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stasiukevic\Downloads\"/>
    </mc:Choice>
  </mc:AlternateContent>
  <xr:revisionPtr revIDLastSave="0" documentId="13_ncr:1_{1218222F-797E-471E-8FF7-0CE8E9D4B6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sheet1!$A$1:$J$13255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77" i="1" l="1"/>
  <c r="B13255" i="1"/>
  <c r="B13254" i="1"/>
  <c r="B13253" i="1"/>
  <c r="B13252" i="1"/>
  <c r="B13251" i="1"/>
  <c r="B13250" i="1"/>
  <c r="B13249" i="1"/>
  <c r="B13248" i="1"/>
  <c r="B13247" i="1"/>
  <c r="B13246" i="1"/>
  <c r="B13245" i="1"/>
  <c r="B13244" i="1"/>
  <c r="B13243" i="1"/>
  <c r="B13242" i="1"/>
  <c r="B13241" i="1"/>
  <c r="B13240" i="1"/>
  <c r="B13239" i="1"/>
  <c r="B13238" i="1"/>
  <c r="B13237" i="1"/>
  <c r="B13236" i="1"/>
  <c r="B13235" i="1"/>
  <c r="B13234" i="1"/>
  <c r="B13233" i="1"/>
  <c r="B13232" i="1"/>
  <c r="B13231" i="1"/>
  <c r="B13230" i="1"/>
  <c r="B13229" i="1"/>
  <c r="B13228" i="1"/>
  <c r="B13227" i="1"/>
  <c r="B13226" i="1"/>
  <c r="B13225" i="1"/>
  <c r="B13224" i="1"/>
  <c r="B13223" i="1"/>
  <c r="B13222" i="1"/>
  <c r="B13221" i="1"/>
  <c r="B13220" i="1"/>
  <c r="B13219" i="1"/>
  <c r="B13218" i="1"/>
  <c r="B13217" i="1"/>
  <c r="B13216" i="1"/>
  <c r="B13215" i="1"/>
  <c r="B13214" i="1"/>
  <c r="B13213" i="1"/>
  <c r="B13212" i="1"/>
  <c r="B13211" i="1"/>
  <c r="B13210" i="1"/>
  <c r="B13209" i="1"/>
  <c r="B13208" i="1"/>
  <c r="B13207" i="1"/>
  <c r="B13206" i="1"/>
  <c r="B13205" i="1"/>
  <c r="B13204" i="1"/>
  <c r="B13203" i="1"/>
  <c r="B13202" i="1"/>
  <c r="B13201" i="1"/>
  <c r="B13200" i="1"/>
  <c r="B13199" i="1"/>
  <c r="B13198" i="1"/>
  <c r="B13197" i="1"/>
  <c r="B13196" i="1"/>
  <c r="B13195" i="1"/>
  <c r="B13194" i="1"/>
  <c r="B13193" i="1"/>
  <c r="B13192" i="1"/>
  <c r="B13191" i="1"/>
  <c r="B13190" i="1"/>
  <c r="B13189" i="1"/>
  <c r="B13188" i="1"/>
  <c r="B13187" i="1"/>
  <c r="B13186" i="1"/>
  <c r="B13185" i="1"/>
  <c r="B13184" i="1"/>
  <c r="B13183" i="1"/>
  <c r="B13182" i="1"/>
  <c r="B13181" i="1"/>
  <c r="B13180" i="1"/>
  <c r="B13179" i="1"/>
  <c r="B13178" i="1"/>
  <c r="B13177" i="1"/>
  <c r="B13176" i="1"/>
  <c r="B13175" i="1"/>
  <c r="B13174" i="1"/>
  <c r="B13173" i="1"/>
  <c r="B13172" i="1"/>
  <c r="B13171" i="1"/>
  <c r="B13170" i="1"/>
  <c r="B13169" i="1"/>
  <c r="B13168" i="1"/>
  <c r="B13167" i="1"/>
  <c r="B13166" i="1"/>
  <c r="B13165" i="1"/>
  <c r="B13164" i="1"/>
  <c r="B13163" i="1"/>
  <c r="B13162" i="1"/>
  <c r="B13161" i="1"/>
  <c r="B13160" i="1"/>
  <c r="B13159" i="1"/>
  <c r="B13158" i="1"/>
  <c r="B13157" i="1"/>
  <c r="B13156" i="1"/>
  <c r="B13155" i="1"/>
  <c r="B13154" i="1"/>
  <c r="B13153" i="1"/>
  <c r="B13152" i="1"/>
  <c r="B13151" i="1"/>
  <c r="B13150" i="1"/>
  <c r="B13149" i="1"/>
  <c r="B13148" i="1"/>
  <c r="B13147" i="1"/>
  <c r="B13146" i="1"/>
  <c r="B13145" i="1"/>
  <c r="B13144" i="1"/>
  <c r="B13143" i="1"/>
  <c r="B13142" i="1"/>
  <c r="B13141" i="1"/>
  <c r="B13140" i="1"/>
  <c r="B13139" i="1"/>
  <c r="B13138" i="1"/>
  <c r="B13137" i="1"/>
  <c r="B13136" i="1"/>
  <c r="B13135" i="1"/>
  <c r="B13134" i="1"/>
  <c r="B13133" i="1"/>
  <c r="B13132" i="1"/>
  <c r="B13131" i="1"/>
  <c r="B13130" i="1"/>
  <c r="B13129" i="1"/>
  <c r="B13128" i="1"/>
  <c r="B13127" i="1"/>
  <c r="B13126" i="1"/>
  <c r="B13125" i="1"/>
  <c r="B13124" i="1"/>
  <c r="B13123" i="1"/>
  <c r="B13122" i="1"/>
  <c r="B13121" i="1"/>
  <c r="B13120" i="1"/>
  <c r="B13119" i="1"/>
  <c r="B13118" i="1"/>
  <c r="B13117" i="1"/>
  <c r="B13116" i="1"/>
  <c r="B13115" i="1"/>
  <c r="B13114" i="1"/>
  <c r="B13113" i="1"/>
  <c r="B13112" i="1"/>
  <c r="B13111" i="1"/>
  <c r="B13110" i="1"/>
  <c r="B13109" i="1"/>
  <c r="B13108" i="1"/>
  <c r="B13107" i="1"/>
  <c r="B13106" i="1"/>
  <c r="B13105" i="1"/>
  <c r="B13104" i="1"/>
  <c r="B13103" i="1"/>
  <c r="B13102" i="1"/>
  <c r="B13101" i="1"/>
  <c r="B13100" i="1"/>
  <c r="B13099" i="1"/>
  <c r="B13098" i="1"/>
  <c r="B13097" i="1"/>
  <c r="B13096" i="1"/>
  <c r="B13095" i="1"/>
  <c r="B13094" i="1"/>
  <c r="B13093" i="1"/>
  <c r="B13092" i="1"/>
  <c r="B13091" i="1"/>
  <c r="B13090" i="1"/>
  <c r="B13089" i="1"/>
  <c r="B13088" i="1"/>
  <c r="B13087" i="1"/>
  <c r="B13086" i="1"/>
  <c r="B13085" i="1"/>
  <c r="B13084" i="1"/>
  <c r="B13083" i="1"/>
  <c r="B13082" i="1"/>
  <c r="B13081" i="1"/>
  <c r="B13080" i="1"/>
  <c r="B13079" i="1"/>
  <c r="B13078" i="1"/>
  <c r="B13077" i="1"/>
  <c r="B13076" i="1"/>
  <c r="B13075" i="1"/>
  <c r="B13074" i="1"/>
  <c r="B13073" i="1"/>
  <c r="B13072" i="1"/>
  <c r="B13071" i="1"/>
  <c r="B13070" i="1"/>
  <c r="B13069" i="1"/>
  <c r="B13068" i="1"/>
  <c r="B13067" i="1"/>
  <c r="B13066" i="1"/>
  <c r="B13065" i="1"/>
  <c r="B13064" i="1"/>
  <c r="B13063" i="1"/>
  <c r="B13062" i="1"/>
  <c r="B13061" i="1"/>
  <c r="B13060" i="1"/>
  <c r="B13059" i="1"/>
  <c r="B13058" i="1"/>
  <c r="B13057" i="1"/>
  <c r="B13056" i="1"/>
  <c r="B13055" i="1"/>
  <c r="B13054" i="1"/>
  <c r="B13053" i="1"/>
  <c r="B13052" i="1"/>
  <c r="B13051" i="1"/>
  <c r="B13050" i="1"/>
  <c r="B13049" i="1"/>
  <c r="B13048" i="1"/>
  <c r="B13047" i="1"/>
  <c r="B13046" i="1"/>
  <c r="B13045" i="1"/>
  <c r="B13044" i="1"/>
  <c r="B13043" i="1"/>
  <c r="B13042" i="1"/>
  <c r="B13041" i="1"/>
  <c r="B13040" i="1"/>
  <c r="B13039" i="1"/>
  <c r="B13038" i="1"/>
  <c r="B13037" i="1"/>
  <c r="B13036" i="1"/>
  <c r="B13035" i="1"/>
  <c r="B13034" i="1"/>
  <c r="B13033" i="1"/>
  <c r="B13032" i="1"/>
  <c r="B13031" i="1"/>
  <c r="B13030" i="1"/>
  <c r="B13029" i="1"/>
  <c r="B13028" i="1"/>
  <c r="B13027" i="1"/>
  <c r="B13026" i="1"/>
  <c r="B13025" i="1"/>
  <c r="B13024" i="1"/>
  <c r="B13023" i="1"/>
  <c r="B13022" i="1"/>
  <c r="B13021" i="1"/>
  <c r="B13020" i="1"/>
  <c r="B13019" i="1"/>
  <c r="B13018" i="1"/>
  <c r="B13017" i="1"/>
  <c r="B13016" i="1"/>
  <c r="B13015" i="1"/>
  <c r="B13014" i="1"/>
  <c r="B13013" i="1"/>
  <c r="B13012" i="1"/>
  <c r="B13011" i="1"/>
  <c r="B13010" i="1"/>
  <c r="B13009" i="1"/>
  <c r="B13008" i="1"/>
  <c r="B13007" i="1"/>
  <c r="B13006" i="1"/>
  <c r="B13005" i="1"/>
  <c r="B13004" i="1"/>
  <c r="B13003" i="1"/>
  <c r="B13002" i="1"/>
  <c r="B13001" i="1"/>
  <c r="B13000" i="1"/>
  <c r="B12999" i="1"/>
  <c r="B12998" i="1"/>
  <c r="B12997" i="1"/>
  <c r="B12996" i="1"/>
  <c r="B12995" i="1"/>
  <c r="B12994" i="1"/>
  <c r="B12993" i="1"/>
  <c r="B12992" i="1"/>
  <c r="B12991" i="1"/>
  <c r="B12990" i="1"/>
  <c r="B12989" i="1"/>
  <c r="B12988" i="1"/>
  <c r="B12987" i="1"/>
  <c r="B12986" i="1"/>
  <c r="B12985" i="1"/>
  <c r="B12984" i="1"/>
  <c r="B12983" i="1"/>
  <c r="B12982" i="1"/>
  <c r="B12981" i="1"/>
  <c r="B12980" i="1"/>
  <c r="B12979" i="1"/>
  <c r="B12978" i="1"/>
  <c r="B12977" i="1"/>
  <c r="B12976" i="1"/>
  <c r="B12975" i="1"/>
  <c r="B12974" i="1"/>
  <c r="B12973" i="1"/>
  <c r="B12972" i="1"/>
  <c r="B12971" i="1"/>
  <c r="B12970" i="1"/>
  <c r="B12969" i="1"/>
  <c r="B12968" i="1"/>
  <c r="B12967" i="1"/>
  <c r="B12966" i="1"/>
  <c r="B12965" i="1"/>
  <c r="B12964" i="1"/>
  <c r="B12963" i="1"/>
  <c r="B12962" i="1"/>
  <c r="B12961" i="1"/>
  <c r="B12960" i="1"/>
  <c r="B12959" i="1"/>
  <c r="B12958" i="1"/>
  <c r="B12957" i="1"/>
  <c r="B12956" i="1"/>
  <c r="B12955" i="1"/>
  <c r="B12954" i="1"/>
  <c r="B12953" i="1"/>
  <c r="B12952" i="1"/>
  <c r="B12951" i="1"/>
  <c r="B12950" i="1"/>
  <c r="B12949" i="1"/>
  <c r="B12948" i="1"/>
  <c r="B12947" i="1"/>
  <c r="B12946" i="1"/>
  <c r="B12945" i="1"/>
  <c r="B12944" i="1"/>
  <c r="B12943" i="1"/>
  <c r="B12942" i="1"/>
  <c r="B12941" i="1"/>
  <c r="B12940" i="1"/>
  <c r="B12939" i="1"/>
  <c r="B12938" i="1"/>
  <c r="B12937" i="1"/>
  <c r="B12936" i="1"/>
  <c r="B12935" i="1"/>
  <c r="B12934" i="1"/>
  <c r="B12933" i="1"/>
  <c r="B12932" i="1"/>
  <c r="B12931" i="1"/>
  <c r="B12930" i="1"/>
  <c r="B12929" i="1"/>
  <c r="B12928" i="1"/>
  <c r="B12927" i="1"/>
  <c r="B12926" i="1"/>
  <c r="B12925" i="1"/>
  <c r="B12924" i="1"/>
  <c r="B12923" i="1"/>
  <c r="B12922" i="1"/>
  <c r="B12921" i="1"/>
  <c r="B12920" i="1"/>
  <c r="B12919" i="1"/>
  <c r="B12918" i="1"/>
  <c r="B12917" i="1"/>
  <c r="B12916" i="1"/>
  <c r="B12915" i="1"/>
  <c r="B12914" i="1"/>
  <c r="B12913" i="1"/>
  <c r="B12912" i="1"/>
  <c r="B12911" i="1"/>
  <c r="B12910" i="1"/>
  <c r="B12909" i="1"/>
  <c r="B12908" i="1"/>
  <c r="B12907" i="1"/>
  <c r="B12906" i="1"/>
  <c r="B12905" i="1"/>
  <c r="B12904" i="1"/>
  <c r="B12903" i="1"/>
  <c r="B12902" i="1"/>
  <c r="B12901" i="1"/>
  <c r="B12900" i="1"/>
  <c r="B12899" i="1"/>
  <c r="B12898" i="1"/>
  <c r="B12897" i="1"/>
  <c r="B12896" i="1"/>
  <c r="B12895" i="1"/>
  <c r="B12894" i="1"/>
  <c r="B12893" i="1"/>
  <c r="B12892" i="1"/>
  <c r="B12891" i="1"/>
  <c r="B12890" i="1"/>
  <c r="B12889" i="1"/>
  <c r="B12888" i="1"/>
  <c r="B12887" i="1"/>
  <c r="B12886" i="1"/>
  <c r="B12885" i="1"/>
  <c r="B12884" i="1"/>
  <c r="B12883" i="1"/>
  <c r="B12882" i="1"/>
  <c r="B12881" i="1"/>
  <c r="B12880" i="1"/>
  <c r="B12879" i="1"/>
  <c r="B12878" i="1"/>
  <c r="B12877" i="1"/>
  <c r="B12876" i="1"/>
  <c r="B12875" i="1"/>
  <c r="B12874" i="1"/>
  <c r="B12873" i="1"/>
  <c r="B12872" i="1"/>
  <c r="B12871" i="1"/>
  <c r="B12870" i="1"/>
  <c r="B12869" i="1"/>
  <c r="B12868" i="1"/>
  <c r="B12867" i="1"/>
  <c r="B12866" i="1"/>
  <c r="B12865" i="1"/>
  <c r="B12864" i="1"/>
  <c r="B12863" i="1"/>
  <c r="B12862" i="1"/>
  <c r="B12861" i="1"/>
  <c r="B12860" i="1"/>
  <c r="B12859" i="1"/>
  <c r="B12858" i="1"/>
  <c r="B12857" i="1"/>
  <c r="B12856" i="1"/>
  <c r="B12855" i="1"/>
  <c r="B12854" i="1"/>
  <c r="B12853" i="1"/>
  <c r="B12852" i="1"/>
  <c r="B12851" i="1"/>
  <c r="B12850" i="1"/>
  <c r="B12849" i="1"/>
  <c r="B12848" i="1"/>
  <c r="B12847" i="1"/>
  <c r="B12846" i="1"/>
  <c r="B12845" i="1"/>
  <c r="B12844" i="1"/>
  <c r="B12843" i="1"/>
  <c r="B12842" i="1"/>
  <c r="B12841" i="1"/>
  <c r="B12840" i="1"/>
  <c r="B12839" i="1"/>
  <c r="B12838" i="1"/>
  <c r="B12837" i="1"/>
  <c r="B12836" i="1"/>
  <c r="B12835" i="1"/>
  <c r="B12834" i="1"/>
  <c r="B12833" i="1"/>
  <c r="B12832" i="1"/>
  <c r="B12831" i="1"/>
  <c r="B12830" i="1"/>
  <c r="B12829" i="1"/>
  <c r="B12828" i="1"/>
  <c r="B12827" i="1"/>
  <c r="B12826" i="1"/>
  <c r="B12825" i="1"/>
  <c r="B12824" i="1"/>
  <c r="B12823" i="1"/>
  <c r="B12822" i="1"/>
  <c r="B12821" i="1"/>
  <c r="B12820" i="1"/>
  <c r="B12819" i="1"/>
  <c r="B12818" i="1"/>
  <c r="B12817" i="1"/>
  <c r="B12816" i="1"/>
  <c r="B12815" i="1"/>
  <c r="B12814" i="1"/>
  <c r="B12813" i="1"/>
  <c r="B12812" i="1"/>
  <c r="B12811" i="1"/>
  <c r="B12810" i="1"/>
  <c r="B12809" i="1"/>
  <c r="B12808" i="1"/>
  <c r="B12807" i="1"/>
  <c r="B12806" i="1"/>
  <c r="B12805" i="1"/>
  <c r="B12804" i="1"/>
  <c r="B12803" i="1"/>
  <c r="B12802" i="1"/>
  <c r="B12801" i="1"/>
  <c r="B12800" i="1"/>
  <c r="B12799" i="1"/>
  <c r="B12798" i="1"/>
  <c r="B12797" i="1"/>
  <c r="B12796" i="1"/>
  <c r="B12795" i="1"/>
  <c r="B12794" i="1"/>
  <c r="B12793" i="1"/>
  <c r="B12792" i="1"/>
  <c r="B12791" i="1"/>
  <c r="B12790" i="1"/>
  <c r="B12789" i="1"/>
  <c r="B12788" i="1"/>
  <c r="B12787" i="1"/>
  <c r="B12786" i="1"/>
  <c r="B12785" i="1"/>
  <c r="B12784" i="1"/>
  <c r="B12783" i="1"/>
  <c r="B12782" i="1"/>
  <c r="B12781" i="1"/>
  <c r="B12780" i="1"/>
  <c r="B12779" i="1"/>
  <c r="B12778" i="1"/>
  <c r="B12777" i="1"/>
  <c r="B12776" i="1"/>
  <c r="B12775" i="1"/>
  <c r="B12774" i="1"/>
  <c r="B12773" i="1"/>
  <c r="B12772" i="1"/>
  <c r="B12771" i="1"/>
  <c r="B12770" i="1"/>
  <c r="B12769" i="1"/>
  <c r="B12768" i="1"/>
  <c r="B12767" i="1"/>
  <c r="B12766" i="1"/>
  <c r="B12765" i="1"/>
  <c r="B12764" i="1"/>
  <c r="B12763" i="1"/>
  <c r="B12762" i="1"/>
  <c r="B12761" i="1"/>
  <c r="B12760" i="1"/>
  <c r="B12759" i="1"/>
  <c r="B12758" i="1"/>
  <c r="B12757" i="1"/>
  <c r="B12756" i="1"/>
  <c r="B12755" i="1"/>
  <c r="B12754" i="1"/>
  <c r="B12753" i="1"/>
  <c r="B12752" i="1"/>
  <c r="B12751" i="1"/>
  <c r="B12750" i="1"/>
  <c r="B12749" i="1"/>
  <c r="B12748" i="1"/>
  <c r="B12747" i="1"/>
  <c r="B12746" i="1"/>
  <c r="B12745" i="1"/>
  <c r="B12744" i="1"/>
  <c r="B12743" i="1"/>
  <c r="B12742" i="1"/>
  <c r="B12741" i="1"/>
  <c r="B12740" i="1"/>
  <c r="B12739" i="1"/>
  <c r="B12738" i="1"/>
  <c r="B12737" i="1"/>
  <c r="B12736" i="1"/>
  <c r="B12735" i="1"/>
  <c r="B12734" i="1"/>
  <c r="B12733" i="1"/>
  <c r="B12732" i="1"/>
  <c r="B12731" i="1"/>
  <c r="B12730" i="1"/>
  <c r="B12729" i="1"/>
  <c r="B12728" i="1"/>
  <c r="B12727" i="1"/>
  <c r="B12726" i="1"/>
  <c r="B12725" i="1"/>
  <c r="B12724" i="1"/>
  <c r="B12723" i="1"/>
  <c r="B12722" i="1"/>
  <c r="B12721" i="1"/>
  <c r="B12720" i="1"/>
  <c r="B12719" i="1"/>
  <c r="B12718" i="1"/>
  <c r="B12717" i="1"/>
  <c r="B12716" i="1"/>
  <c r="B12715" i="1"/>
  <c r="B12714" i="1"/>
  <c r="B12713" i="1"/>
  <c r="B12712" i="1"/>
  <c r="B12711" i="1"/>
  <c r="B12710" i="1"/>
  <c r="B12709" i="1"/>
  <c r="B12708" i="1"/>
  <c r="B12707" i="1"/>
  <c r="B12706" i="1"/>
  <c r="B12705" i="1"/>
  <c r="B12704" i="1"/>
  <c r="B12703" i="1"/>
  <c r="B12702" i="1"/>
  <c r="B12701" i="1"/>
  <c r="B12700" i="1"/>
  <c r="B12699" i="1"/>
  <c r="B12698" i="1"/>
  <c r="B12697" i="1"/>
  <c r="B12696" i="1"/>
  <c r="B12695" i="1"/>
  <c r="B12694" i="1"/>
  <c r="B12693" i="1"/>
  <c r="B12692" i="1"/>
  <c r="B12691" i="1"/>
  <c r="B12690" i="1"/>
  <c r="B12689" i="1"/>
  <c r="B12688" i="1"/>
  <c r="B12687" i="1"/>
  <c r="B12686" i="1"/>
  <c r="B12685" i="1"/>
  <c r="B12684" i="1"/>
  <c r="B12683" i="1"/>
  <c r="B12682" i="1"/>
  <c r="B12681" i="1"/>
  <c r="B12680" i="1"/>
  <c r="B12679" i="1"/>
  <c r="B12678" i="1"/>
  <c r="B12677" i="1"/>
  <c r="B12676" i="1"/>
  <c r="B12675" i="1"/>
  <c r="B12674" i="1"/>
  <c r="B12673" i="1"/>
  <c r="B12672" i="1"/>
  <c r="B12671" i="1"/>
  <c r="B12670" i="1"/>
  <c r="B12669" i="1"/>
  <c r="B12668" i="1"/>
  <c r="B12667" i="1"/>
  <c r="B12666" i="1"/>
  <c r="B12665" i="1"/>
  <c r="B12664" i="1"/>
  <c r="B12663" i="1"/>
  <c r="B12662" i="1"/>
  <c r="B12661" i="1"/>
  <c r="B12660" i="1"/>
  <c r="B12659" i="1"/>
  <c r="B12658" i="1"/>
  <c r="B12657" i="1"/>
  <c r="B12656" i="1"/>
  <c r="B12655" i="1"/>
  <c r="B12654" i="1"/>
  <c r="B12653" i="1"/>
  <c r="B12652" i="1"/>
  <c r="B12651" i="1"/>
  <c r="B12650" i="1"/>
  <c r="B12649" i="1"/>
  <c r="B12648" i="1"/>
  <c r="B12647" i="1"/>
  <c r="B12646" i="1"/>
  <c r="B12645" i="1"/>
  <c r="B12644" i="1"/>
  <c r="B12643" i="1"/>
  <c r="B12642" i="1"/>
  <c r="B12641" i="1"/>
  <c r="B12640" i="1"/>
  <c r="B12639" i="1"/>
  <c r="B12638" i="1"/>
  <c r="B12637" i="1"/>
  <c r="B12636" i="1"/>
  <c r="B12635" i="1"/>
  <c r="B12634" i="1"/>
  <c r="B12633" i="1"/>
  <c r="B12632" i="1"/>
  <c r="B12631" i="1"/>
  <c r="B12630" i="1"/>
  <c r="B12629" i="1"/>
  <c r="B12628" i="1"/>
  <c r="B12627" i="1"/>
  <c r="B12626" i="1"/>
  <c r="B12625" i="1"/>
  <c r="B12624" i="1"/>
  <c r="B12623" i="1"/>
  <c r="B12622" i="1"/>
  <c r="B12621" i="1"/>
  <c r="B12620" i="1"/>
  <c r="B12619" i="1"/>
  <c r="B12618" i="1"/>
  <c r="B12617" i="1"/>
  <c r="B12616" i="1"/>
  <c r="B12615" i="1"/>
  <c r="B12614" i="1"/>
  <c r="B12613" i="1"/>
  <c r="B12612" i="1"/>
  <c r="B12611" i="1"/>
  <c r="B12610" i="1"/>
  <c r="B12609" i="1"/>
  <c r="B12608" i="1"/>
  <c r="B12607" i="1"/>
  <c r="B12606" i="1"/>
  <c r="B12605" i="1"/>
  <c r="B12604" i="1"/>
  <c r="B12603" i="1"/>
  <c r="B12602" i="1"/>
  <c r="B12601" i="1"/>
  <c r="B12600" i="1"/>
  <c r="B12599" i="1"/>
  <c r="B12598" i="1"/>
  <c r="B12597" i="1"/>
  <c r="B12596" i="1"/>
  <c r="B12595" i="1"/>
  <c r="B12594" i="1"/>
  <c r="B12593" i="1"/>
  <c r="B12592" i="1"/>
  <c r="B12591" i="1"/>
  <c r="B12590" i="1"/>
  <c r="B12589" i="1"/>
  <c r="B12588" i="1"/>
  <c r="B12587" i="1"/>
  <c r="B12586" i="1"/>
  <c r="B12585" i="1"/>
  <c r="B12584" i="1"/>
  <c r="B12583" i="1"/>
  <c r="B12582" i="1"/>
  <c r="B12581" i="1"/>
  <c r="B12580" i="1"/>
  <c r="B12579" i="1"/>
  <c r="B12578" i="1"/>
  <c r="B12577" i="1"/>
  <c r="B12576" i="1"/>
  <c r="B12575" i="1"/>
  <c r="B12574" i="1"/>
  <c r="B12573" i="1"/>
  <c r="B12572" i="1"/>
  <c r="B12571" i="1"/>
  <c r="B12570" i="1"/>
  <c r="B12569" i="1"/>
  <c r="B12568" i="1"/>
  <c r="B12567" i="1"/>
  <c r="B12566" i="1"/>
  <c r="B12565" i="1"/>
  <c r="B12564" i="1"/>
  <c r="B12563" i="1"/>
  <c r="B12562" i="1"/>
  <c r="B12561" i="1"/>
  <c r="B12560" i="1"/>
  <c r="B12559" i="1"/>
  <c r="B12558" i="1"/>
  <c r="B12557" i="1"/>
  <c r="B12556" i="1"/>
  <c r="B12555" i="1"/>
  <c r="B12554" i="1"/>
  <c r="B12553" i="1"/>
  <c r="B12552" i="1"/>
  <c r="B12551" i="1"/>
  <c r="B12550" i="1"/>
  <c r="B12549" i="1"/>
  <c r="B12548" i="1"/>
  <c r="B12547" i="1"/>
  <c r="B12546" i="1"/>
  <c r="B12545" i="1"/>
  <c r="B12544" i="1"/>
  <c r="B12543" i="1"/>
  <c r="B12542" i="1"/>
  <c r="B12541" i="1"/>
  <c r="B12540" i="1"/>
  <c r="B12539" i="1"/>
  <c r="B12538" i="1"/>
  <c r="B12537" i="1"/>
  <c r="B12536" i="1"/>
  <c r="B12535" i="1"/>
  <c r="B12534" i="1"/>
  <c r="B12533" i="1"/>
  <c r="B12532" i="1"/>
  <c r="B12531" i="1"/>
  <c r="B12530" i="1"/>
  <c r="B12529" i="1"/>
  <c r="B12528" i="1"/>
  <c r="B12527" i="1"/>
  <c r="B12526" i="1"/>
  <c r="B12525" i="1"/>
  <c r="B12524" i="1"/>
  <c r="B12523" i="1"/>
  <c r="B12522" i="1"/>
  <c r="B12521" i="1"/>
  <c r="B12520" i="1"/>
  <c r="B12519" i="1"/>
  <c r="B12518" i="1"/>
  <c r="B12517" i="1"/>
  <c r="B12516" i="1"/>
  <c r="B12515" i="1"/>
  <c r="B12514" i="1"/>
  <c r="B12513" i="1"/>
  <c r="B12512" i="1"/>
  <c r="B12511" i="1"/>
  <c r="B12510" i="1"/>
  <c r="B12509" i="1"/>
  <c r="B12508" i="1"/>
  <c r="B12507" i="1"/>
  <c r="B12506" i="1"/>
  <c r="B12505" i="1"/>
  <c r="B12504" i="1"/>
  <c r="B12503" i="1"/>
  <c r="B12502" i="1"/>
  <c r="B12501" i="1"/>
  <c r="B12500" i="1"/>
  <c r="B12499" i="1"/>
  <c r="B12498" i="1"/>
  <c r="B12497" i="1"/>
  <c r="B12496" i="1"/>
  <c r="B12495" i="1"/>
  <c r="B12494" i="1"/>
  <c r="B12493" i="1"/>
  <c r="B12492" i="1"/>
  <c r="B12491" i="1"/>
  <c r="B12490" i="1"/>
  <c r="B12489" i="1"/>
  <c r="B12488" i="1"/>
  <c r="B12487" i="1"/>
  <c r="B12486" i="1"/>
  <c r="B12485" i="1"/>
  <c r="B12484" i="1"/>
  <c r="B12483" i="1"/>
  <c r="B12482" i="1"/>
  <c r="B12481" i="1"/>
  <c r="B12480" i="1"/>
  <c r="B12479" i="1"/>
  <c r="B12478" i="1"/>
  <c r="B12477" i="1"/>
  <c r="B12476" i="1"/>
  <c r="B12475" i="1"/>
  <c r="B12474" i="1"/>
  <c r="B12473" i="1"/>
  <c r="B12472" i="1"/>
  <c r="B12471" i="1"/>
  <c r="B12470" i="1"/>
  <c r="B12469" i="1"/>
  <c r="B12468" i="1"/>
  <c r="B12467" i="1"/>
  <c r="B12466" i="1"/>
  <c r="B12465" i="1"/>
  <c r="B12464" i="1"/>
  <c r="B12463" i="1"/>
  <c r="B12462" i="1"/>
  <c r="B12461" i="1"/>
  <c r="B12460" i="1"/>
  <c r="B12459" i="1"/>
  <c r="B12458" i="1"/>
  <c r="B12457" i="1"/>
  <c r="B12456" i="1"/>
  <c r="B12455" i="1"/>
  <c r="B12454" i="1"/>
  <c r="B12453" i="1"/>
  <c r="B12452" i="1"/>
  <c r="B12451" i="1"/>
  <c r="B12450" i="1"/>
  <c r="B12449" i="1"/>
  <c r="B12448" i="1"/>
  <c r="B12447" i="1"/>
  <c r="B12446" i="1"/>
  <c r="B12445" i="1"/>
  <c r="B12444" i="1"/>
  <c r="B12443" i="1"/>
  <c r="B12442" i="1"/>
  <c r="B12441" i="1"/>
  <c r="B12440" i="1"/>
  <c r="B12439" i="1"/>
  <c r="B12438" i="1"/>
  <c r="B12437" i="1"/>
  <c r="B12436" i="1"/>
  <c r="B12435" i="1"/>
  <c r="B12434" i="1"/>
  <c r="B12433" i="1"/>
  <c r="B12432" i="1"/>
  <c r="B12431" i="1"/>
  <c r="B12430" i="1"/>
  <c r="B12429" i="1"/>
  <c r="B12428" i="1"/>
  <c r="B12427" i="1"/>
  <c r="B12426" i="1"/>
  <c r="B12425" i="1"/>
  <c r="B12424" i="1"/>
  <c r="B12423" i="1"/>
  <c r="B12422" i="1"/>
  <c r="B12421" i="1"/>
  <c r="B12420" i="1"/>
  <c r="B12419" i="1"/>
  <c r="B12418" i="1"/>
  <c r="B12417" i="1"/>
  <c r="B12416" i="1"/>
  <c r="B12415" i="1"/>
  <c r="B12414" i="1"/>
  <c r="B12413" i="1"/>
  <c r="B12412" i="1"/>
  <c r="B12411" i="1"/>
  <c r="B12410" i="1"/>
  <c r="B12409" i="1"/>
  <c r="B12408" i="1"/>
  <c r="B12407" i="1"/>
  <c r="B12406" i="1"/>
  <c r="B12405" i="1"/>
  <c r="B12404" i="1"/>
  <c r="B12403" i="1"/>
  <c r="B12402" i="1"/>
  <c r="B12401" i="1"/>
  <c r="B12400" i="1"/>
  <c r="B12399" i="1"/>
  <c r="B12398" i="1"/>
  <c r="B12397" i="1"/>
  <c r="B12396" i="1"/>
  <c r="B12395" i="1"/>
  <c r="B12394" i="1"/>
  <c r="B12393" i="1"/>
  <c r="B12392" i="1"/>
  <c r="B12391" i="1"/>
  <c r="B12390" i="1"/>
  <c r="B12389" i="1"/>
  <c r="B12388" i="1"/>
  <c r="B12387" i="1"/>
  <c r="B12386" i="1"/>
  <c r="B12385" i="1"/>
  <c r="B12384" i="1"/>
  <c r="B12383" i="1"/>
  <c r="B12382" i="1"/>
  <c r="B12381" i="1"/>
  <c r="B12380" i="1"/>
  <c r="B12379" i="1"/>
  <c r="B12378" i="1"/>
  <c r="B12377" i="1"/>
  <c r="B12376" i="1"/>
  <c r="B12375" i="1"/>
  <c r="B12374" i="1"/>
  <c r="B12373" i="1"/>
  <c r="B12372" i="1"/>
  <c r="B12371" i="1"/>
  <c r="B12370" i="1"/>
  <c r="B12369" i="1"/>
  <c r="B12368" i="1"/>
  <c r="B12367" i="1"/>
  <c r="B12366" i="1"/>
  <c r="B12365" i="1"/>
  <c r="B12364" i="1"/>
  <c r="B12363" i="1"/>
  <c r="B12362" i="1"/>
  <c r="B12361" i="1"/>
  <c r="B12360" i="1"/>
  <c r="B12359" i="1"/>
  <c r="B12358" i="1"/>
  <c r="B12357" i="1"/>
  <c r="B12356" i="1"/>
  <c r="B12355" i="1"/>
  <c r="B12354" i="1"/>
  <c r="B12353" i="1"/>
  <c r="B12352" i="1"/>
  <c r="B12351" i="1"/>
  <c r="B12350" i="1"/>
  <c r="B12349" i="1"/>
  <c r="B12348" i="1"/>
  <c r="B12347" i="1"/>
  <c r="B12346" i="1"/>
  <c r="B12345" i="1"/>
  <c r="B12344" i="1"/>
  <c r="B12343" i="1"/>
  <c r="B12342" i="1"/>
  <c r="B12341" i="1"/>
  <c r="B12340" i="1"/>
  <c r="B12339" i="1"/>
  <c r="B12338" i="1"/>
  <c r="B12337" i="1"/>
  <c r="B12336" i="1"/>
  <c r="B12335" i="1"/>
  <c r="B12334" i="1"/>
  <c r="B12333" i="1"/>
  <c r="B12332" i="1"/>
  <c r="B12331" i="1"/>
  <c r="B12330" i="1"/>
  <c r="B12329" i="1"/>
  <c r="B12328" i="1"/>
  <c r="B12327" i="1"/>
  <c r="B12326" i="1"/>
  <c r="B12325" i="1"/>
  <c r="B12324" i="1"/>
  <c r="B12323" i="1"/>
  <c r="B12322" i="1"/>
  <c r="B12321" i="1"/>
  <c r="B12320" i="1"/>
  <c r="B12319" i="1"/>
  <c r="B12318" i="1"/>
  <c r="B12317" i="1"/>
  <c r="B12316" i="1"/>
  <c r="B12315" i="1"/>
  <c r="B12314" i="1"/>
  <c r="B12313" i="1"/>
  <c r="B12312" i="1"/>
  <c r="B12311" i="1"/>
  <c r="B12310" i="1"/>
  <c r="B12309" i="1"/>
  <c r="B12308" i="1"/>
  <c r="B12307" i="1"/>
  <c r="B12306" i="1"/>
  <c r="B12305" i="1"/>
  <c r="B12304" i="1"/>
  <c r="B12303" i="1"/>
  <c r="B12302" i="1"/>
  <c r="B12301" i="1"/>
  <c r="B12300" i="1"/>
  <c r="B12299" i="1"/>
  <c r="B12298" i="1"/>
  <c r="B12297" i="1"/>
  <c r="B12296" i="1"/>
  <c r="B12295" i="1"/>
  <c r="B12294" i="1"/>
  <c r="B12293" i="1"/>
  <c r="B12292" i="1"/>
  <c r="B12291" i="1"/>
  <c r="B12290" i="1"/>
  <c r="B12289" i="1"/>
  <c r="B12288" i="1"/>
  <c r="B12287" i="1"/>
  <c r="B12286" i="1"/>
  <c r="B12285" i="1"/>
  <c r="B12284" i="1"/>
  <c r="B12283" i="1"/>
  <c r="B12282" i="1"/>
  <c r="B12281" i="1"/>
  <c r="B12280" i="1"/>
  <c r="B12279" i="1"/>
  <c r="B12278" i="1"/>
  <c r="B12277" i="1"/>
  <c r="B12276" i="1"/>
  <c r="B12275" i="1"/>
  <c r="B12274" i="1"/>
  <c r="B12273" i="1"/>
  <c r="B12272" i="1"/>
  <c r="B12271" i="1"/>
  <c r="B12270" i="1"/>
  <c r="B12269" i="1"/>
  <c r="B12268" i="1"/>
  <c r="B12267" i="1"/>
  <c r="B12266" i="1"/>
  <c r="B12265" i="1"/>
  <c r="B12264" i="1"/>
  <c r="B12263" i="1"/>
  <c r="B12262" i="1"/>
  <c r="B12261" i="1"/>
  <c r="B12260" i="1"/>
  <c r="B12259" i="1"/>
  <c r="B12258" i="1"/>
  <c r="B12257" i="1"/>
  <c r="B12256" i="1"/>
  <c r="B12255" i="1"/>
  <c r="B12254" i="1"/>
  <c r="B12253" i="1"/>
  <c r="B12252" i="1"/>
  <c r="B12251" i="1"/>
  <c r="B12250" i="1"/>
  <c r="B12249" i="1"/>
  <c r="B12248" i="1"/>
  <c r="B12247" i="1"/>
  <c r="B12246" i="1"/>
  <c r="B12245" i="1"/>
  <c r="B12244" i="1"/>
  <c r="B12243" i="1"/>
  <c r="B12242" i="1"/>
  <c r="B12241" i="1"/>
  <c r="B12240" i="1"/>
  <c r="B12239" i="1"/>
  <c r="B12238" i="1"/>
  <c r="B12237" i="1"/>
  <c r="B12236" i="1"/>
  <c r="B12235" i="1"/>
  <c r="B12234" i="1"/>
  <c r="B12233" i="1"/>
  <c r="B12232" i="1"/>
  <c r="B12231" i="1"/>
  <c r="B12230" i="1"/>
  <c r="B12229" i="1"/>
  <c r="B12228" i="1"/>
  <c r="B12227" i="1"/>
  <c r="B12226" i="1"/>
  <c r="B12225" i="1"/>
  <c r="B12224" i="1"/>
  <c r="B12223" i="1"/>
  <c r="B12222" i="1"/>
  <c r="B12221" i="1"/>
  <c r="B12220" i="1"/>
  <c r="B12219" i="1"/>
  <c r="B12218" i="1"/>
  <c r="B12217" i="1"/>
  <c r="B12216" i="1"/>
  <c r="B12215" i="1"/>
  <c r="B12214" i="1"/>
  <c r="B12213" i="1"/>
  <c r="B12212" i="1"/>
  <c r="B12211" i="1"/>
  <c r="B12210" i="1"/>
  <c r="B12209" i="1"/>
  <c r="B12208" i="1"/>
  <c r="B12207" i="1"/>
  <c r="B12206" i="1"/>
  <c r="B12205" i="1"/>
  <c r="B12204" i="1"/>
  <c r="B12203" i="1"/>
  <c r="B12202" i="1"/>
  <c r="B12201" i="1"/>
  <c r="B12200" i="1"/>
  <c r="B12199" i="1"/>
  <c r="B12198" i="1"/>
  <c r="B12197" i="1"/>
  <c r="B12196" i="1"/>
  <c r="B12195" i="1"/>
  <c r="B12194" i="1"/>
  <c r="B12193" i="1"/>
  <c r="B12192" i="1"/>
  <c r="B12191" i="1"/>
  <c r="B12190" i="1"/>
  <c r="B12189" i="1"/>
  <c r="B12188" i="1"/>
  <c r="B12187" i="1"/>
  <c r="B12186" i="1"/>
  <c r="B12185" i="1"/>
  <c r="B12184" i="1"/>
  <c r="B12183" i="1"/>
  <c r="B12182" i="1"/>
  <c r="B12181" i="1"/>
  <c r="B12180" i="1"/>
  <c r="B12179" i="1"/>
  <c r="B12178" i="1"/>
  <c r="B12177" i="1"/>
  <c r="B12176" i="1"/>
  <c r="B12175" i="1"/>
  <c r="B12174" i="1"/>
  <c r="B12173" i="1"/>
  <c r="B12172" i="1"/>
  <c r="B12171" i="1"/>
  <c r="B12170" i="1"/>
  <c r="B12169" i="1"/>
  <c r="B12168" i="1"/>
  <c r="B12167" i="1"/>
  <c r="B12166" i="1"/>
  <c r="B12165" i="1"/>
  <c r="B12164" i="1"/>
  <c r="B12163" i="1"/>
  <c r="B12162" i="1"/>
  <c r="B12161" i="1"/>
  <c r="B12160" i="1"/>
  <c r="B12159" i="1"/>
  <c r="B12158" i="1"/>
  <c r="B12157" i="1"/>
  <c r="B12156" i="1"/>
  <c r="B12155" i="1"/>
  <c r="B12154" i="1"/>
  <c r="B12153" i="1"/>
  <c r="B12152" i="1"/>
  <c r="B12151" i="1"/>
  <c r="B12150" i="1"/>
  <c r="B12149" i="1"/>
  <c r="B12148" i="1"/>
  <c r="B12147" i="1"/>
  <c r="B12146" i="1"/>
  <c r="B12145" i="1"/>
  <c r="B12144" i="1"/>
  <c r="B12143" i="1"/>
  <c r="B12142" i="1"/>
  <c r="B12141" i="1"/>
  <c r="B12140" i="1"/>
  <c r="B12139" i="1"/>
  <c r="B12138" i="1"/>
  <c r="B12137" i="1"/>
  <c r="B12136" i="1"/>
  <c r="B12135" i="1"/>
  <c r="B12134" i="1"/>
  <c r="B12133" i="1"/>
  <c r="B12132" i="1"/>
  <c r="B12131" i="1"/>
  <c r="B12130" i="1"/>
  <c r="B12129" i="1"/>
  <c r="B12128" i="1"/>
  <c r="B12127" i="1"/>
  <c r="B12126" i="1"/>
  <c r="B12125" i="1"/>
  <c r="B12124" i="1"/>
  <c r="B12123" i="1"/>
  <c r="B12122" i="1"/>
  <c r="B12121" i="1"/>
  <c r="B12120" i="1"/>
  <c r="B12119" i="1"/>
  <c r="B12118" i="1"/>
  <c r="B12117" i="1"/>
  <c r="B12116" i="1"/>
  <c r="B12115" i="1"/>
  <c r="B12114" i="1"/>
  <c r="B12113" i="1"/>
  <c r="B12112" i="1"/>
  <c r="B12111" i="1"/>
  <c r="B12110" i="1"/>
  <c r="B12109" i="1"/>
  <c r="B12108" i="1"/>
  <c r="B12107" i="1"/>
  <c r="B12106" i="1"/>
  <c r="B12105" i="1"/>
  <c r="B12104" i="1"/>
  <c r="B12103" i="1"/>
  <c r="B12102" i="1"/>
  <c r="B12101" i="1"/>
  <c r="B12100" i="1"/>
  <c r="B12099" i="1"/>
  <c r="B12098" i="1"/>
  <c r="B12097" i="1"/>
  <c r="B12096" i="1"/>
  <c r="B12095" i="1"/>
  <c r="B12094" i="1"/>
  <c r="B12093" i="1"/>
  <c r="B12092" i="1"/>
  <c r="B12091" i="1"/>
  <c r="B12090" i="1"/>
  <c r="B12089" i="1"/>
  <c r="B12088" i="1"/>
  <c r="B12087" i="1"/>
  <c r="B12086" i="1"/>
  <c r="B12085" i="1"/>
  <c r="B12084" i="1"/>
  <c r="B12083" i="1"/>
  <c r="B12082" i="1"/>
  <c r="B12081" i="1"/>
  <c r="B12080" i="1"/>
  <c r="B12079" i="1"/>
  <c r="B12078" i="1"/>
  <c r="B12077" i="1"/>
  <c r="B12076" i="1"/>
  <c r="B12075" i="1"/>
  <c r="B12074" i="1"/>
  <c r="B12073" i="1"/>
  <c r="B12072" i="1"/>
  <c r="B12071" i="1"/>
  <c r="B12070" i="1"/>
  <c r="B12069" i="1"/>
  <c r="B12068" i="1"/>
  <c r="B12067" i="1"/>
  <c r="B12066" i="1"/>
  <c r="B12065" i="1"/>
  <c r="B12064" i="1"/>
  <c r="B12063" i="1"/>
  <c r="B12062" i="1"/>
  <c r="B12061" i="1"/>
  <c r="B12060" i="1"/>
  <c r="B12059" i="1"/>
  <c r="B12058" i="1"/>
  <c r="B12057" i="1"/>
  <c r="B12056" i="1"/>
  <c r="B12055" i="1"/>
  <c r="B12054" i="1"/>
  <c r="B12053" i="1"/>
  <c r="B12052" i="1"/>
  <c r="B12051" i="1"/>
  <c r="B12050" i="1"/>
  <c r="B12049" i="1"/>
  <c r="B12048" i="1"/>
  <c r="B12047" i="1"/>
  <c r="B12046" i="1"/>
  <c r="B12045" i="1"/>
  <c r="B12044" i="1"/>
  <c r="B12043" i="1"/>
  <c r="B12042" i="1"/>
  <c r="B12041" i="1"/>
  <c r="B12040" i="1"/>
  <c r="B12039" i="1"/>
  <c r="B12038" i="1"/>
  <c r="B12037" i="1"/>
  <c r="B12036" i="1"/>
  <c r="B12035" i="1"/>
  <c r="B12034" i="1"/>
  <c r="B12033" i="1"/>
  <c r="B12032" i="1"/>
  <c r="B12031" i="1"/>
  <c r="B12030" i="1"/>
  <c r="B12029" i="1"/>
  <c r="B12028" i="1"/>
  <c r="B12027" i="1"/>
  <c r="B12026" i="1"/>
  <c r="B12025" i="1"/>
  <c r="B12024" i="1"/>
  <c r="B12023" i="1"/>
  <c r="B12022" i="1"/>
  <c r="B12021" i="1"/>
  <c r="B12020" i="1"/>
  <c r="B12019" i="1"/>
  <c r="B12018" i="1"/>
  <c r="B12017" i="1"/>
  <c r="B12016" i="1"/>
  <c r="B12015" i="1"/>
  <c r="B12014" i="1"/>
  <c r="B12013" i="1"/>
  <c r="B12012" i="1"/>
  <c r="B12011" i="1"/>
  <c r="B12010" i="1"/>
  <c r="B12009" i="1"/>
  <c r="B12008" i="1"/>
  <c r="B12007" i="1"/>
  <c r="B12006" i="1"/>
  <c r="B12005" i="1"/>
  <c r="B12004" i="1"/>
  <c r="B12003" i="1"/>
  <c r="B12002" i="1"/>
  <c r="B12001" i="1"/>
  <c r="B12000" i="1"/>
  <c r="B11999" i="1"/>
  <c r="B11998" i="1"/>
  <c r="B11997" i="1"/>
  <c r="B11996" i="1"/>
  <c r="B11995" i="1"/>
  <c r="B11994" i="1"/>
  <c r="B11993" i="1"/>
  <c r="B11992" i="1"/>
  <c r="B11991" i="1"/>
  <c r="B11990" i="1"/>
  <c r="B11989" i="1"/>
  <c r="B11988" i="1"/>
  <c r="B11987" i="1"/>
  <c r="B11986" i="1"/>
  <c r="B11985" i="1"/>
  <c r="B11984" i="1"/>
  <c r="B11983" i="1"/>
  <c r="B11982" i="1"/>
  <c r="B11981" i="1"/>
  <c r="B11980" i="1"/>
  <c r="B11979" i="1"/>
  <c r="B11978" i="1"/>
  <c r="B11977" i="1"/>
  <c r="B11976" i="1"/>
  <c r="B11975" i="1"/>
  <c r="B11974" i="1"/>
  <c r="B11973" i="1"/>
  <c r="B11972" i="1"/>
  <c r="B11971" i="1"/>
  <c r="B11970" i="1"/>
  <c r="B11969" i="1"/>
  <c r="B11968" i="1"/>
  <c r="B11967" i="1"/>
  <c r="B11966" i="1"/>
  <c r="B11965" i="1"/>
  <c r="B11964" i="1"/>
  <c r="B11963" i="1"/>
  <c r="B11962" i="1"/>
  <c r="B11961" i="1"/>
  <c r="B11960" i="1"/>
  <c r="B11959" i="1"/>
  <c r="B11958" i="1"/>
  <c r="B11957" i="1"/>
  <c r="B11956" i="1"/>
  <c r="B11955" i="1"/>
  <c r="B11954" i="1"/>
  <c r="B11953" i="1"/>
  <c r="B11952" i="1"/>
  <c r="B11951" i="1"/>
  <c r="B11950" i="1"/>
  <c r="B11949" i="1"/>
  <c r="B11948" i="1"/>
  <c r="B11947" i="1"/>
  <c r="B11946" i="1"/>
  <c r="B11945" i="1"/>
  <c r="B11944" i="1"/>
  <c r="B11943" i="1"/>
  <c r="B11942" i="1"/>
  <c r="B11941" i="1"/>
  <c r="B11940" i="1"/>
  <c r="B11939" i="1"/>
  <c r="B11938" i="1"/>
  <c r="B11937" i="1"/>
  <c r="B11936" i="1"/>
  <c r="B11935" i="1"/>
  <c r="B11934" i="1"/>
  <c r="B11933" i="1"/>
  <c r="B11932" i="1"/>
  <c r="B11931" i="1"/>
  <c r="B11930" i="1"/>
  <c r="B11929" i="1"/>
  <c r="B11928" i="1"/>
  <c r="B11927" i="1"/>
  <c r="B11926" i="1"/>
  <c r="B11925" i="1"/>
  <c r="B11924" i="1"/>
  <c r="B11923" i="1"/>
  <c r="B11922" i="1"/>
  <c r="B11921" i="1"/>
  <c r="B11920" i="1"/>
  <c r="B11919" i="1"/>
  <c r="B11918" i="1"/>
  <c r="B11917" i="1"/>
  <c r="B11916" i="1"/>
  <c r="B11915" i="1"/>
  <c r="B11914" i="1"/>
  <c r="B11913" i="1"/>
  <c r="B11912" i="1"/>
  <c r="B11911" i="1"/>
  <c r="B11910" i="1"/>
  <c r="B11909" i="1"/>
  <c r="B11908" i="1"/>
  <c r="B11907" i="1"/>
  <c r="B11906" i="1"/>
  <c r="B11905" i="1"/>
  <c r="B11904" i="1"/>
  <c r="B11903" i="1"/>
  <c r="B11902" i="1"/>
  <c r="B11901" i="1"/>
  <c r="B11900" i="1"/>
  <c r="B11899" i="1"/>
  <c r="B11898" i="1"/>
  <c r="B11897" i="1"/>
  <c r="B11896" i="1"/>
  <c r="B11895" i="1"/>
  <c r="B11894" i="1"/>
  <c r="B11893" i="1"/>
  <c r="B11892" i="1"/>
  <c r="B11891" i="1"/>
  <c r="B11890" i="1"/>
  <c r="B11889" i="1"/>
  <c r="B11888" i="1"/>
  <c r="B11887" i="1"/>
  <c r="B11886" i="1"/>
  <c r="B11885" i="1"/>
  <c r="B11884" i="1"/>
  <c r="B11883" i="1"/>
  <c r="B11882" i="1"/>
  <c r="B11881" i="1"/>
  <c r="B11880" i="1"/>
  <c r="B11879" i="1"/>
  <c r="B11878" i="1"/>
  <c r="B11877" i="1"/>
  <c r="B11876" i="1"/>
  <c r="B11875" i="1"/>
  <c r="B11874" i="1"/>
  <c r="B11873" i="1"/>
  <c r="B11872" i="1"/>
  <c r="B11871" i="1"/>
  <c r="B11870" i="1"/>
  <c r="B11869" i="1"/>
  <c r="B11868" i="1"/>
  <c r="B11867" i="1"/>
  <c r="B11866" i="1"/>
  <c r="B11865" i="1"/>
  <c r="B11864" i="1"/>
  <c r="B11863" i="1"/>
  <c r="B11862" i="1"/>
  <c r="B11861" i="1"/>
  <c r="B11860" i="1"/>
  <c r="B11859" i="1"/>
  <c r="B11858" i="1"/>
  <c r="B11857" i="1"/>
  <c r="B11856" i="1"/>
  <c r="B11855" i="1"/>
  <c r="B11854" i="1"/>
  <c r="B11853" i="1"/>
  <c r="B11852" i="1"/>
  <c r="B11851" i="1"/>
  <c r="B11850" i="1"/>
  <c r="B11849" i="1"/>
  <c r="B11848" i="1"/>
  <c r="B11847" i="1"/>
  <c r="B11846" i="1"/>
  <c r="B11845" i="1"/>
  <c r="B11844" i="1"/>
  <c r="B11843" i="1"/>
  <c r="B11842" i="1"/>
  <c r="B11841" i="1"/>
  <c r="B11840" i="1"/>
  <c r="B11839" i="1"/>
  <c r="B11838" i="1"/>
  <c r="B11837" i="1"/>
  <c r="B11836" i="1"/>
  <c r="B11835" i="1"/>
  <c r="B11834" i="1"/>
  <c r="B11833" i="1"/>
  <c r="B11832" i="1"/>
  <c r="B11831" i="1"/>
  <c r="B11830" i="1"/>
  <c r="B11829" i="1"/>
  <c r="B11828" i="1"/>
  <c r="B11827" i="1"/>
  <c r="B11826" i="1"/>
  <c r="B11825" i="1"/>
  <c r="B11824" i="1"/>
  <c r="B11823" i="1"/>
  <c r="B11822" i="1"/>
  <c r="B11821" i="1"/>
  <c r="B11820" i="1"/>
  <c r="B11819" i="1"/>
  <c r="B11818" i="1"/>
  <c r="B11817" i="1"/>
  <c r="B11816" i="1"/>
  <c r="B11815" i="1"/>
  <c r="B11814" i="1"/>
  <c r="B11813" i="1"/>
  <c r="B11812" i="1"/>
  <c r="B11811" i="1"/>
  <c r="B11810" i="1"/>
  <c r="B11809" i="1"/>
  <c r="B11808" i="1"/>
  <c r="B11807" i="1"/>
  <c r="B11806" i="1"/>
  <c r="B11805" i="1"/>
  <c r="B11804" i="1"/>
  <c r="B11803" i="1"/>
  <c r="B11802" i="1"/>
  <c r="B11801" i="1"/>
  <c r="B11800" i="1"/>
  <c r="B11799" i="1"/>
  <c r="B11798" i="1"/>
  <c r="B11797" i="1"/>
  <c r="B11796" i="1"/>
  <c r="B11795" i="1"/>
  <c r="B11794" i="1"/>
  <c r="B11793" i="1"/>
  <c r="B11792" i="1"/>
  <c r="B11791" i="1"/>
  <c r="B11790" i="1"/>
  <c r="B11789" i="1"/>
  <c r="B11788" i="1"/>
  <c r="B11787" i="1"/>
  <c r="B11786" i="1"/>
  <c r="B11785" i="1"/>
  <c r="B11784" i="1"/>
  <c r="B11783" i="1"/>
  <c r="B11782" i="1"/>
  <c r="B11781" i="1"/>
  <c r="B11780" i="1"/>
  <c r="B11779" i="1"/>
  <c r="B11778" i="1"/>
  <c r="B11777" i="1"/>
  <c r="B11776" i="1"/>
  <c r="B11775" i="1"/>
  <c r="B11774" i="1"/>
  <c r="B11773" i="1"/>
  <c r="B11772" i="1"/>
  <c r="B11771" i="1"/>
  <c r="B11770" i="1"/>
  <c r="B11769" i="1"/>
  <c r="B11768" i="1"/>
  <c r="B11767" i="1"/>
  <c r="B11766" i="1"/>
  <c r="B11765" i="1"/>
  <c r="B11764" i="1"/>
  <c r="B11763" i="1"/>
  <c r="B11762" i="1"/>
  <c r="B11761" i="1"/>
  <c r="B11760" i="1"/>
  <c r="B11759" i="1"/>
  <c r="B11758" i="1"/>
  <c r="B11757" i="1"/>
  <c r="B11756" i="1"/>
  <c r="B11755" i="1"/>
  <c r="B11754" i="1"/>
  <c r="B11753" i="1"/>
  <c r="B11752" i="1"/>
  <c r="B11751" i="1"/>
  <c r="B11750" i="1"/>
  <c r="B11749" i="1"/>
  <c r="B11748" i="1"/>
  <c r="B11747" i="1"/>
  <c r="B11746" i="1"/>
  <c r="B11745" i="1"/>
  <c r="B11744" i="1"/>
  <c r="B11743" i="1"/>
  <c r="B11742" i="1"/>
  <c r="B11741" i="1"/>
  <c r="B11740" i="1"/>
  <c r="B11739" i="1"/>
  <c r="B11738" i="1"/>
  <c r="B11737" i="1"/>
  <c r="B11736" i="1"/>
  <c r="B11735" i="1"/>
  <c r="B11734" i="1"/>
  <c r="B11733" i="1"/>
  <c r="B11732" i="1"/>
  <c r="B11731" i="1"/>
  <c r="B11730" i="1"/>
  <c r="B11729" i="1"/>
  <c r="B11728" i="1"/>
  <c r="B11727" i="1"/>
  <c r="B11726" i="1"/>
  <c r="B11725" i="1"/>
  <c r="B11724" i="1"/>
  <c r="B11723" i="1"/>
  <c r="B11722" i="1"/>
  <c r="B11721" i="1"/>
  <c r="B11720" i="1"/>
  <c r="B11719" i="1"/>
  <c r="B11718" i="1"/>
  <c r="B11717" i="1"/>
  <c r="B11716" i="1"/>
  <c r="B11715" i="1"/>
  <c r="B11714" i="1"/>
  <c r="B11713" i="1"/>
  <c r="B11712" i="1"/>
  <c r="B11711" i="1"/>
  <c r="B11710" i="1"/>
  <c r="B11709" i="1"/>
  <c r="B11708" i="1"/>
  <c r="B11707" i="1"/>
  <c r="B11706" i="1"/>
  <c r="B11705" i="1"/>
  <c r="B11704" i="1"/>
  <c r="B11703" i="1"/>
  <c r="B11702" i="1"/>
  <c r="B11701" i="1"/>
  <c r="B11700" i="1"/>
  <c r="B11699" i="1"/>
  <c r="B11698" i="1"/>
  <c r="B11697" i="1"/>
  <c r="B11696" i="1"/>
  <c r="B11695" i="1"/>
  <c r="B11694" i="1"/>
  <c r="B11693" i="1"/>
  <c r="B11692" i="1"/>
  <c r="B11691" i="1"/>
  <c r="B11690" i="1"/>
  <c r="B11689" i="1"/>
  <c r="B11688" i="1"/>
  <c r="B11687" i="1"/>
  <c r="B11686" i="1"/>
  <c r="B11685" i="1"/>
  <c r="B11684" i="1"/>
  <c r="B11683" i="1"/>
  <c r="B11682" i="1"/>
  <c r="B11681" i="1"/>
  <c r="B11680" i="1"/>
  <c r="B11679" i="1"/>
  <c r="B11678" i="1"/>
  <c r="B11677" i="1"/>
  <c r="B11676" i="1"/>
  <c r="B11675" i="1"/>
  <c r="B11674" i="1"/>
  <c r="B11673" i="1"/>
  <c r="B11672" i="1"/>
  <c r="B11671" i="1"/>
  <c r="B11670" i="1"/>
  <c r="B11669" i="1"/>
  <c r="B11668" i="1"/>
  <c r="B11667" i="1"/>
  <c r="B11666" i="1"/>
  <c r="B11665" i="1"/>
  <c r="B11664" i="1"/>
  <c r="B11663" i="1"/>
  <c r="B11662" i="1"/>
  <c r="B11661" i="1"/>
  <c r="B11660" i="1"/>
  <c r="B11659" i="1"/>
  <c r="B11658" i="1"/>
  <c r="B11657" i="1"/>
  <c r="B11656" i="1"/>
  <c r="B11655" i="1"/>
  <c r="B11654" i="1"/>
  <c r="B11653" i="1"/>
  <c r="B11652" i="1"/>
  <c r="B11651" i="1"/>
  <c r="B11650" i="1"/>
  <c r="B11649" i="1"/>
  <c r="B11648" i="1"/>
  <c r="B11647" i="1"/>
  <c r="B11646" i="1"/>
  <c r="B11645" i="1"/>
  <c r="B11644" i="1"/>
  <c r="B11643" i="1"/>
  <c r="B11642" i="1"/>
  <c r="B11641" i="1"/>
  <c r="B11640" i="1"/>
  <c r="B11639" i="1"/>
  <c r="B11638" i="1"/>
  <c r="B11637" i="1"/>
  <c r="B11636" i="1"/>
  <c r="B11635" i="1"/>
  <c r="B11634" i="1"/>
  <c r="B11633" i="1"/>
  <c r="B11632" i="1"/>
  <c r="B11631" i="1"/>
  <c r="B11630" i="1"/>
  <c r="B11629" i="1"/>
  <c r="B11628" i="1"/>
  <c r="B11627" i="1"/>
  <c r="B11626" i="1"/>
  <c r="B11625" i="1"/>
  <c r="B11624" i="1"/>
  <c r="B11623" i="1"/>
  <c r="B11622" i="1"/>
  <c r="B11621" i="1"/>
  <c r="B11620" i="1"/>
  <c r="B11619" i="1"/>
  <c r="B11618" i="1"/>
  <c r="B11617" i="1"/>
  <c r="B11616" i="1"/>
  <c r="B11615" i="1"/>
  <c r="B11614" i="1"/>
  <c r="B11613" i="1"/>
  <c r="B11612" i="1"/>
  <c r="B11611" i="1"/>
  <c r="B11610" i="1"/>
  <c r="B11609" i="1"/>
  <c r="B11608" i="1"/>
  <c r="B11607" i="1"/>
  <c r="B11606" i="1"/>
  <c r="B11605" i="1"/>
  <c r="B11604" i="1"/>
  <c r="B11603" i="1"/>
  <c r="B11602" i="1"/>
  <c r="B11601" i="1"/>
  <c r="B11600" i="1"/>
  <c r="B11599" i="1"/>
  <c r="B11598" i="1"/>
  <c r="B11597" i="1"/>
  <c r="B11596" i="1"/>
  <c r="B11595" i="1"/>
  <c r="B11594" i="1"/>
  <c r="B11593" i="1"/>
  <c r="B11592" i="1"/>
  <c r="B11591" i="1"/>
  <c r="B11590" i="1"/>
  <c r="B11589" i="1"/>
  <c r="B11588" i="1"/>
  <c r="B11587" i="1"/>
  <c r="B11586" i="1"/>
  <c r="B11585" i="1"/>
  <c r="B11584" i="1"/>
  <c r="B11583" i="1"/>
  <c r="B11582" i="1"/>
  <c r="B11581" i="1"/>
  <c r="B11580" i="1"/>
  <c r="B11579" i="1"/>
  <c r="B11578" i="1"/>
  <c r="B11577" i="1"/>
  <c r="B11576" i="1"/>
  <c r="B11575" i="1"/>
  <c r="B11574" i="1"/>
  <c r="B11573" i="1"/>
  <c r="B11572" i="1"/>
  <c r="B11571" i="1"/>
  <c r="B11570" i="1"/>
  <c r="B11569" i="1"/>
  <c r="B11568" i="1"/>
  <c r="B11567" i="1"/>
  <c r="B11566" i="1"/>
  <c r="B11565" i="1"/>
  <c r="B11564" i="1"/>
  <c r="B11563" i="1"/>
  <c r="B11562" i="1"/>
  <c r="B11561" i="1"/>
  <c r="B11560" i="1"/>
  <c r="B11559" i="1"/>
  <c r="B11558" i="1"/>
  <c r="B11557" i="1"/>
  <c r="B11556" i="1"/>
  <c r="B11555" i="1"/>
  <c r="B11554" i="1"/>
  <c r="B11553" i="1"/>
  <c r="B11552" i="1"/>
  <c r="B11551" i="1"/>
  <c r="B11550" i="1"/>
  <c r="B11549" i="1"/>
  <c r="B11548" i="1"/>
  <c r="B11547" i="1"/>
  <c r="B11546" i="1"/>
  <c r="B11545" i="1"/>
  <c r="B11544" i="1"/>
  <c r="B11543" i="1"/>
  <c r="B11542" i="1"/>
  <c r="B11541" i="1"/>
  <c r="B11540" i="1"/>
  <c r="B11539" i="1"/>
  <c r="B11538" i="1"/>
  <c r="B11537" i="1"/>
  <c r="B11536" i="1"/>
  <c r="B11535" i="1"/>
  <c r="B11534" i="1"/>
  <c r="B11533" i="1"/>
  <c r="B11532" i="1"/>
  <c r="B11531" i="1"/>
  <c r="B11530" i="1"/>
  <c r="B11529" i="1"/>
  <c r="B11528" i="1"/>
  <c r="B11527" i="1"/>
  <c r="B11526" i="1"/>
  <c r="B11525" i="1"/>
  <c r="B11524" i="1"/>
  <c r="B11523" i="1"/>
  <c r="B11522" i="1"/>
  <c r="B11521" i="1"/>
  <c r="B11520" i="1"/>
  <c r="B11519" i="1"/>
  <c r="B11518" i="1"/>
  <c r="B11517" i="1"/>
  <c r="B11516" i="1"/>
  <c r="B11515" i="1"/>
  <c r="B11514" i="1"/>
  <c r="B11513" i="1"/>
  <c r="B11512" i="1"/>
  <c r="B11511" i="1"/>
  <c r="B11510" i="1"/>
  <c r="B11509" i="1"/>
  <c r="B11508" i="1"/>
  <c r="B11507" i="1"/>
  <c r="B11506" i="1"/>
  <c r="B11505" i="1"/>
  <c r="B11504" i="1"/>
  <c r="B11503" i="1"/>
  <c r="B11502" i="1"/>
  <c r="B11501" i="1"/>
  <c r="B11500" i="1"/>
  <c r="B11499" i="1"/>
  <c r="B11498" i="1"/>
  <c r="B11497" i="1"/>
  <c r="B11496" i="1"/>
  <c r="B11495" i="1"/>
  <c r="B11494" i="1"/>
  <c r="B11493" i="1"/>
  <c r="B11492" i="1"/>
  <c r="B11491" i="1"/>
  <c r="B11490" i="1"/>
  <c r="B11489" i="1"/>
  <c r="B11488" i="1"/>
  <c r="B11487" i="1"/>
  <c r="B11486" i="1"/>
  <c r="B11485" i="1"/>
  <c r="B11484" i="1"/>
  <c r="B11483" i="1"/>
  <c r="B11482" i="1"/>
  <c r="B11481" i="1"/>
  <c r="B11480" i="1"/>
  <c r="B11479" i="1"/>
  <c r="B11478" i="1"/>
  <c r="B11477" i="1"/>
  <c r="B11476" i="1"/>
  <c r="B11475" i="1"/>
  <c r="B11474" i="1"/>
  <c r="B11473" i="1"/>
  <c r="B11472" i="1"/>
  <c r="B11471" i="1"/>
  <c r="B11470" i="1"/>
  <c r="B11469" i="1"/>
  <c r="B11468" i="1"/>
  <c r="B11467" i="1"/>
  <c r="B11466" i="1"/>
  <c r="B11465" i="1"/>
  <c r="B11464" i="1"/>
  <c r="B11463" i="1"/>
  <c r="B11462" i="1"/>
  <c r="B11461" i="1"/>
  <c r="B11460" i="1"/>
  <c r="B11459" i="1"/>
  <c r="B11458" i="1"/>
  <c r="B11457" i="1"/>
  <c r="B11456" i="1"/>
  <c r="B11455" i="1"/>
  <c r="B11454" i="1"/>
  <c r="B11453" i="1"/>
  <c r="B11452" i="1"/>
  <c r="B11451" i="1"/>
  <c r="B11450" i="1"/>
  <c r="B11449" i="1"/>
  <c r="B11448" i="1"/>
  <c r="B11447" i="1"/>
  <c r="B11446" i="1"/>
  <c r="B11445" i="1"/>
  <c r="B11444" i="1"/>
  <c r="B11443" i="1"/>
  <c r="B11442" i="1"/>
  <c r="B11441" i="1"/>
  <c r="B11440" i="1"/>
  <c r="B11439" i="1"/>
  <c r="B11438" i="1"/>
  <c r="B11437" i="1"/>
  <c r="B11436" i="1"/>
  <c r="B11435" i="1"/>
  <c r="B11434" i="1"/>
  <c r="B11433" i="1"/>
  <c r="B11432" i="1"/>
  <c r="B11431" i="1"/>
  <c r="B11430" i="1"/>
  <c r="B11429" i="1"/>
  <c r="B11428" i="1"/>
  <c r="B11427" i="1"/>
  <c r="B11426" i="1"/>
  <c r="B11425" i="1"/>
  <c r="B11424" i="1"/>
  <c r="B11423" i="1"/>
  <c r="B11422" i="1"/>
  <c r="B11421" i="1"/>
  <c r="B11420" i="1"/>
  <c r="B11419" i="1"/>
  <c r="B11418" i="1"/>
  <c r="B11417" i="1"/>
  <c r="B11416" i="1"/>
  <c r="B11415" i="1"/>
  <c r="B11414" i="1"/>
  <c r="B11413" i="1"/>
  <c r="B11412" i="1"/>
  <c r="B11411" i="1"/>
  <c r="B11410" i="1"/>
  <c r="B11409" i="1"/>
  <c r="B11408" i="1"/>
  <c r="B11407" i="1"/>
  <c r="B11406" i="1"/>
  <c r="B11405" i="1"/>
  <c r="B11404" i="1"/>
  <c r="B11403" i="1"/>
  <c r="B11402" i="1"/>
  <c r="B11401" i="1"/>
  <c r="B11400" i="1"/>
  <c r="B11399" i="1"/>
  <c r="B11398" i="1"/>
  <c r="B11397" i="1"/>
  <c r="B11396" i="1"/>
  <c r="B11395" i="1"/>
  <c r="B11394" i="1"/>
  <c r="B11393" i="1"/>
  <c r="B11392" i="1"/>
  <c r="B11391" i="1"/>
  <c r="B11390" i="1"/>
  <c r="B11389" i="1"/>
  <c r="B11388" i="1"/>
  <c r="B11387" i="1"/>
  <c r="B11386" i="1"/>
  <c r="B11385" i="1"/>
  <c r="B11384" i="1"/>
  <c r="B11383" i="1"/>
  <c r="B11382" i="1"/>
  <c r="B11381" i="1"/>
  <c r="B11380" i="1"/>
  <c r="B11379" i="1"/>
  <c r="B11378" i="1"/>
  <c r="B11377" i="1"/>
  <c r="B11376" i="1"/>
  <c r="B11375" i="1"/>
  <c r="B11374" i="1"/>
  <c r="B11373" i="1"/>
  <c r="B11372" i="1"/>
  <c r="B11371" i="1"/>
  <c r="B11370" i="1"/>
  <c r="B11369" i="1"/>
  <c r="B11368" i="1"/>
  <c r="B11367" i="1"/>
  <c r="B11366" i="1"/>
  <c r="B11365" i="1"/>
  <c r="B11364" i="1"/>
  <c r="B11363" i="1"/>
  <c r="B11362" i="1"/>
  <c r="B11361" i="1"/>
  <c r="B11360" i="1"/>
  <c r="B11359" i="1"/>
  <c r="B11358" i="1"/>
  <c r="B11357" i="1"/>
  <c r="B11356" i="1"/>
  <c r="B11355" i="1"/>
  <c r="B11354" i="1"/>
  <c r="B11353" i="1"/>
  <c r="B11352" i="1"/>
  <c r="B11351" i="1"/>
  <c r="B11350" i="1"/>
  <c r="B11349" i="1"/>
  <c r="B11348" i="1"/>
  <c r="B11347" i="1"/>
  <c r="B11346" i="1"/>
  <c r="B11345" i="1"/>
  <c r="B11344" i="1"/>
  <c r="B11343" i="1"/>
  <c r="B11342" i="1"/>
  <c r="B11341" i="1"/>
  <c r="B11340" i="1"/>
  <c r="B11339" i="1"/>
  <c r="B11338" i="1"/>
  <c r="B11337" i="1"/>
  <c r="B11336" i="1"/>
  <c r="B11335" i="1"/>
  <c r="B11334" i="1"/>
  <c r="B11333" i="1"/>
  <c r="B11332" i="1"/>
  <c r="B11331" i="1"/>
  <c r="B11330" i="1"/>
  <c r="B11329" i="1"/>
  <c r="B11328" i="1"/>
  <c r="B11327" i="1"/>
  <c r="B11326" i="1"/>
  <c r="B11325" i="1"/>
  <c r="B11324" i="1"/>
  <c r="B11323" i="1"/>
  <c r="B11322" i="1"/>
  <c r="B11321" i="1"/>
  <c r="B11320" i="1"/>
  <c r="B11319" i="1"/>
  <c r="B11318" i="1"/>
  <c r="B11317" i="1"/>
  <c r="B11316" i="1"/>
  <c r="B11315" i="1"/>
  <c r="B11314" i="1"/>
  <c r="B11313" i="1"/>
  <c r="B11312" i="1"/>
  <c r="B11311" i="1"/>
  <c r="B11310" i="1"/>
  <c r="B11309" i="1"/>
  <c r="B11308" i="1"/>
  <c r="B11307" i="1"/>
  <c r="B11306" i="1"/>
  <c r="B11305" i="1"/>
  <c r="B11304" i="1"/>
  <c r="B11303" i="1"/>
  <c r="B11302" i="1"/>
  <c r="B11301" i="1"/>
  <c r="B11300" i="1"/>
  <c r="B11299" i="1"/>
  <c r="B11298" i="1"/>
  <c r="B11297" i="1"/>
  <c r="B11296" i="1"/>
  <c r="B11295" i="1"/>
  <c r="B11294" i="1"/>
  <c r="B11293" i="1"/>
  <c r="B11292" i="1"/>
  <c r="B11291" i="1"/>
  <c r="B11290" i="1"/>
  <c r="B11289" i="1"/>
  <c r="B11288" i="1"/>
  <c r="B11287" i="1"/>
  <c r="B11286" i="1"/>
  <c r="B11285" i="1"/>
  <c r="B11284" i="1"/>
  <c r="B11283" i="1"/>
  <c r="B11282" i="1"/>
  <c r="B11281" i="1"/>
  <c r="B11280" i="1"/>
  <c r="B11279" i="1"/>
  <c r="B11278" i="1"/>
  <c r="B11277" i="1"/>
  <c r="B11276" i="1"/>
  <c r="B11275" i="1"/>
  <c r="B11274" i="1"/>
  <c r="B11273" i="1"/>
  <c r="B11272" i="1"/>
  <c r="B11271" i="1"/>
  <c r="B11270" i="1"/>
  <c r="B11269" i="1"/>
  <c r="B11268" i="1"/>
  <c r="B11267" i="1"/>
  <c r="B11266" i="1"/>
  <c r="B11265" i="1"/>
  <c r="B11264" i="1"/>
  <c r="B11263" i="1"/>
  <c r="B11262" i="1"/>
  <c r="B11261" i="1"/>
  <c r="B11260" i="1"/>
  <c r="B11259" i="1"/>
  <c r="B11258" i="1"/>
  <c r="B11257" i="1"/>
  <c r="B11256" i="1"/>
  <c r="B11255" i="1"/>
  <c r="B11254" i="1"/>
  <c r="B11253" i="1"/>
  <c r="B11252" i="1"/>
  <c r="B11251" i="1"/>
  <c r="B11250" i="1"/>
  <c r="B11249" i="1"/>
  <c r="B11248" i="1"/>
  <c r="B11247" i="1"/>
  <c r="B11246" i="1"/>
  <c r="B11245" i="1"/>
  <c r="B11244" i="1"/>
  <c r="B11243" i="1"/>
  <c r="B11242" i="1"/>
  <c r="B11241" i="1"/>
  <c r="B11240" i="1"/>
  <c r="B11239" i="1"/>
  <c r="B11238" i="1"/>
  <c r="B11237" i="1"/>
  <c r="B11236" i="1"/>
  <c r="B11235" i="1"/>
  <c r="B11234" i="1"/>
  <c r="B11233" i="1"/>
  <c r="B11232" i="1"/>
  <c r="B11231" i="1"/>
  <c r="B11230" i="1"/>
  <c r="B11229" i="1"/>
  <c r="B11228" i="1"/>
  <c r="B11227" i="1"/>
  <c r="B11226" i="1"/>
  <c r="B11225" i="1"/>
  <c r="B11224" i="1"/>
  <c r="B11223" i="1"/>
  <c r="B11222" i="1"/>
  <c r="B11221" i="1"/>
  <c r="B11220" i="1"/>
  <c r="B11219" i="1"/>
  <c r="B11218" i="1"/>
  <c r="B11217" i="1"/>
  <c r="B11216" i="1"/>
  <c r="B11215" i="1"/>
  <c r="B11214" i="1"/>
  <c r="B11213" i="1"/>
  <c r="B11212" i="1"/>
  <c r="B11211" i="1"/>
  <c r="B11210" i="1"/>
  <c r="B11209" i="1"/>
  <c r="B11208" i="1"/>
  <c r="B11207" i="1"/>
  <c r="B11206" i="1"/>
  <c r="B11205" i="1"/>
  <c r="B11204" i="1"/>
  <c r="B11203" i="1"/>
  <c r="B11202" i="1"/>
  <c r="B11201" i="1"/>
  <c r="B11200" i="1"/>
  <c r="B11199" i="1"/>
  <c r="B11198" i="1"/>
  <c r="B11197" i="1"/>
  <c r="B11196" i="1"/>
  <c r="B11195" i="1"/>
  <c r="B11194" i="1"/>
  <c r="B11193" i="1"/>
  <c r="B11192" i="1"/>
  <c r="B11191" i="1"/>
  <c r="B11190" i="1"/>
  <c r="B11189" i="1"/>
  <c r="B11188" i="1"/>
  <c r="B11187" i="1"/>
  <c r="B11186" i="1"/>
  <c r="B11185" i="1"/>
  <c r="B11184" i="1"/>
  <c r="B11183" i="1"/>
  <c r="B11182" i="1"/>
  <c r="B11181" i="1"/>
  <c r="B11180" i="1"/>
  <c r="B11179" i="1"/>
  <c r="B11178" i="1"/>
  <c r="B11177" i="1"/>
  <c r="B11176" i="1"/>
  <c r="B11175" i="1"/>
  <c r="B11174" i="1"/>
  <c r="B11173" i="1"/>
  <c r="B11172" i="1"/>
  <c r="B11171" i="1"/>
  <c r="B11170" i="1"/>
  <c r="B11169" i="1"/>
  <c r="B11168" i="1"/>
  <c r="B11167" i="1"/>
  <c r="B11166" i="1"/>
  <c r="B11165" i="1"/>
  <c r="B11164" i="1"/>
  <c r="B11163" i="1"/>
  <c r="B11162" i="1"/>
  <c r="B11161" i="1"/>
  <c r="B11160" i="1"/>
  <c r="B11159" i="1"/>
  <c r="B11158" i="1"/>
  <c r="B11157" i="1"/>
  <c r="B11156" i="1"/>
  <c r="B11155" i="1"/>
  <c r="B11154" i="1"/>
  <c r="B11153" i="1"/>
  <c r="B11152" i="1"/>
  <c r="B11151" i="1"/>
  <c r="B11150" i="1"/>
  <c r="B11149" i="1"/>
  <c r="B11148" i="1"/>
  <c r="B11147" i="1"/>
  <c r="B11146" i="1"/>
  <c r="B11145" i="1"/>
  <c r="B11144" i="1"/>
  <c r="B11143" i="1"/>
  <c r="B11142" i="1"/>
  <c r="B11141" i="1"/>
  <c r="B11140" i="1"/>
  <c r="B11139" i="1"/>
  <c r="B11138" i="1"/>
  <c r="B11137" i="1"/>
  <c r="B11136" i="1"/>
  <c r="B11135" i="1"/>
  <c r="B11134" i="1"/>
  <c r="B11133" i="1"/>
  <c r="B11132" i="1"/>
  <c r="B11131" i="1"/>
  <c r="B11130" i="1"/>
  <c r="B11129" i="1"/>
  <c r="B11128" i="1"/>
  <c r="B11127" i="1"/>
  <c r="B11126" i="1"/>
  <c r="B11125" i="1"/>
  <c r="B11124" i="1"/>
  <c r="B11123" i="1"/>
  <c r="B11122" i="1"/>
  <c r="B11121" i="1"/>
  <c r="B11120" i="1"/>
  <c r="B11119" i="1"/>
  <c r="B11118" i="1"/>
  <c r="B11117" i="1"/>
  <c r="B11116" i="1"/>
  <c r="B11115" i="1"/>
  <c r="B11114" i="1"/>
  <c r="B11113" i="1"/>
  <c r="B11112" i="1"/>
  <c r="B11111" i="1"/>
  <c r="B11110" i="1"/>
  <c r="B11109" i="1"/>
  <c r="B11108" i="1"/>
  <c r="B11107" i="1"/>
  <c r="B11106" i="1"/>
  <c r="B11105" i="1"/>
  <c r="B11104" i="1"/>
  <c r="B11103" i="1"/>
  <c r="B11102" i="1"/>
  <c r="B11101" i="1"/>
  <c r="B11100" i="1"/>
  <c r="B11099" i="1"/>
  <c r="B11098" i="1"/>
  <c r="B11097" i="1"/>
  <c r="B11096" i="1"/>
  <c r="B11095" i="1"/>
  <c r="B11094" i="1"/>
  <c r="B11093" i="1"/>
  <c r="B11092" i="1"/>
  <c r="B11091" i="1"/>
  <c r="B11090" i="1"/>
  <c r="B11089" i="1"/>
  <c r="B11088" i="1"/>
  <c r="B11087" i="1"/>
  <c r="B11086" i="1"/>
  <c r="B11085" i="1"/>
  <c r="B11084" i="1"/>
  <c r="B11083" i="1"/>
  <c r="B11082" i="1"/>
  <c r="B11081" i="1"/>
  <c r="B11080" i="1"/>
  <c r="B11079" i="1"/>
  <c r="B11078" i="1"/>
  <c r="B11077" i="1"/>
  <c r="B11076" i="1"/>
  <c r="B11075" i="1"/>
  <c r="B11074" i="1"/>
  <c r="B11073" i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008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67" i="1"/>
  <c r="B10766" i="1"/>
  <c r="B10765" i="1"/>
  <c r="B10764" i="1"/>
  <c r="B10763" i="1"/>
  <c r="B10762" i="1"/>
  <c r="B10761" i="1"/>
  <c r="B10760" i="1"/>
  <c r="B10759" i="1"/>
  <c r="B10758" i="1"/>
  <c r="B10757" i="1"/>
  <c r="B10756" i="1"/>
  <c r="B10755" i="1"/>
  <c r="B10754" i="1"/>
  <c r="B10753" i="1"/>
  <c r="B10752" i="1"/>
  <c r="B10751" i="1"/>
  <c r="B10750" i="1"/>
  <c r="B10749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688" i="1"/>
  <c r="B10687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365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256" i="1"/>
  <c r="B10255" i="1"/>
  <c r="B10254" i="1"/>
  <c r="B10253" i="1"/>
  <c r="B10252" i="1"/>
  <c r="B10251" i="1"/>
  <c r="B10250" i="1"/>
  <c r="B10249" i="1"/>
  <c r="B10248" i="1"/>
  <c r="B10247" i="1"/>
  <c r="B10246" i="1"/>
  <c r="B10245" i="1"/>
  <c r="B10244" i="1"/>
  <c r="B10243" i="1"/>
  <c r="B10242" i="1"/>
  <c r="B10241" i="1"/>
  <c r="B10240" i="1"/>
  <c r="B10239" i="1"/>
  <c r="B10238" i="1"/>
  <c r="B10237" i="1"/>
  <c r="B10236" i="1"/>
  <c r="B10235" i="1"/>
  <c r="B10234" i="1"/>
  <c r="B10233" i="1"/>
  <c r="B10232" i="1"/>
  <c r="B10231" i="1"/>
  <c r="B10230" i="1"/>
  <c r="B10229" i="1"/>
  <c r="B10228" i="1"/>
  <c r="B10227" i="1"/>
  <c r="B10226" i="1"/>
  <c r="B10225" i="1"/>
  <c r="B10224" i="1"/>
  <c r="B10223" i="1"/>
  <c r="B10222" i="1"/>
  <c r="B10221" i="1"/>
  <c r="B10220" i="1"/>
  <c r="B10219" i="1"/>
  <c r="B10218" i="1"/>
  <c r="B10217" i="1"/>
  <c r="B10216" i="1"/>
  <c r="B10215" i="1"/>
  <c r="B10214" i="1"/>
  <c r="B10213" i="1"/>
  <c r="B10212" i="1"/>
  <c r="B10211" i="1"/>
  <c r="B10210" i="1"/>
  <c r="B10209" i="1"/>
  <c r="B10208" i="1"/>
  <c r="B10207" i="1"/>
  <c r="B10206" i="1"/>
  <c r="B10205" i="1"/>
  <c r="B10204" i="1"/>
  <c r="B10203" i="1"/>
  <c r="B10202" i="1"/>
  <c r="B10201" i="1"/>
  <c r="B10200" i="1"/>
  <c r="B10199" i="1"/>
  <c r="B10198" i="1"/>
  <c r="B10197" i="1"/>
  <c r="B10196" i="1"/>
  <c r="B10195" i="1"/>
  <c r="B10194" i="1"/>
  <c r="B10193" i="1"/>
  <c r="B10192" i="1"/>
  <c r="B10191" i="1"/>
  <c r="B10190" i="1"/>
  <c r="B10189" i="1"/>
  <c r="B10188" i="1"/>
  <c r="B10187" i="1"/>
  <c r="B10186" i="1"/>
  <c r="B10185" i="1"/>
  <c r="B10184" i="1"/>
  <c r="B10183" i="1"/>
  <c r="B10182" i="1"/>
  <c r="B10181" i="1"/>
  <c r="B10180" i="1"/>
  <c r="B10179" i="1"/>
  <c r="B10178" i="1"/>
  <c r="B10177" i="1"/>
  <c r="B10176" i="1"/>
  <c r="B10175" i="1"/>
  <c r="B10174" i="1"/>
  <c r="B10173" i="1"/>
  <c r="B10172" i="1"/>
  <c r="B10171" i="1"/>
  <c r="B10170" i="1"/>
  <c r="B10169" i="1"/>
  <c r="B10168" i="1"/>
  <c r="B10167" i="1"/>
  <c r="B10166" i="1"/>
  <c r="B10165" i="1"/>
  <c r="B10164" i="1"/>
  <c r="B10163" i="1"/>
  <c r="B10162" i="1"/>
  <c r="B10161" i="1"/>
  <c r="B10160" i="1"/>
  <c r="B10159" i="1"/>
  <c r="B10158" i="1"/>
  <c r="B10157" i="1"/>
  <c r="B10156" i="1"/>
  <c r="B10155" i="1"/>
  <c r="B10154" i="1"/>
  <c r="B10153" i="1"/>
  <c r="B10152" i="1"/>
  <c r="B10151" i="1"/>
  <c r="B10150" i="1"/>
  <c r="B10149" i="1"/>
  <c r="B10148" i="1"/>
  <c r="B10147" i="1"/>
  <c r="B10146" i="1"/>
  <c r="B10145" i="1"/>
  <c r="B10144" i="1"/>
  <c r="B10143" i="1"/>
  <c r="B10142" i="1"/>
  <c r="B10141" i="1"/>
  <c r="B10140" i="1"/>
  <c r="B10139" i="1"/>
  <c r="B10138" i="1"/>
  <c r="B10137" i="1"/>
  <c r="B10136" i="1"/>
  <c r="B10135" i="1"/>
  <c r="B10134" i="1"/>
  <c r="B10133" i="1"/>
  <c r="B10132" i="1"/>
  <c r="B10131" i="1"/>
  <c r="B10130" i="1"/>
  <c r="B10129" i="1"/>
  <c r="B10128" i="1"/>
  <c r="B10127" i="1"/>
  <c r="B10126" i="1"/>
  <c r="B10125" i="1"/>
  <c r="B10124" i="1"/>
  <c r="B10123" i="1"/>
  <c r="B10122" i="1"/>
  <c r="B10121" i="1"/>
  <c r="B10120" i="1"/>
  <c r="B10119" i="1"/>
  <c r="B10118" i="1"/>
  <c r="B10117" i="1"/>
  <c r="B10116" i="1"/>
  <c r="B10115" i="1"/>
  <c r="B10114" i="1"/>
  <c r="B10113" i="1"/>
  <c r="B10112" i="1"/>
  <c r="B10111" i="1"/>
  <c r="B10110" i="1"/>
  <c r="B10109" i="1"/>
  <c r="B10108" i="1"/>
  <c r="B10107" i="1"/>
  <c r="B10106" i="1"/>
  <c r="B10105" i="1"/>
  <c r="B10104" i="1"/>
  <c r="B10103" i="1"/>
  <c r="B10102" i="1"/>
  <c r="B10101" i="1"/>
  <c r="B10100" i="1"/>
  <c r="B10099" i="1"/>
  <c r="B10098" i="1"/>
  <c r="B10097" i="1"/>
  <c r="B10096" i="1"/>
  <c r="B10095" i="1"/>
  <c r="B10094" i="1"/>
  <c r="B10093" i="1"/>
  <c r="B1009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10079" i="1"/>
  <c r="B10078" i="1"/>
  <c r="B10077" i="1"/>
  <c r="B10076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10062" i="1"/>
  <c r="B10061" i="1"/>
  <c r="B10060" i="1"/>
  <c r="B10059" i="1"/>
  <c r="B10058" i="1"/>
  <c r="B10057" i="1"/>
  <c r="B10056" i="1"/>
  <c r="B10055" i="1"/>
  <c r="B10054" i="1"/>
  <c r="B10053" i="1"/>
  <c r="B10052" i="1"/>
  <c r="B10051" i="1"/>
  <c r="B10050" i="1"/>
  <c r="B10049" i="1"/>
  <c r="B10048" i="1"/>
  <c r="B10047" i="1"/>
  <c r="B10046" i="1"/>
  <c r="B10045" i="1"/>
  <c r="B10044" i="1"/>
  <c r="B10043" i="1"/>
  <c r="B10042" i="1"/>
  <c r="B10041" i="1"/>
  <c r="B10040" i="1"/>
  <c r="B10039" i="1"/>
  <c r="B10038" i="1"/>
  <c r="B10037" i="1"/>
  <c r="B10036" i="1"/>
  <c r="B10035" i="1"/>
  <c r="B10034" i="1"/>
  <c r="B10033" i="1"/>
  <c r="B10032" i="1"/>
  <c r="B10031" i="1"/>
  <c r="B10030" i="1"/>
  <c r="B10029" i="1"/>
  <c r="B10028" i="1"/>
  <c r="B10027" i="1"/>
  <c r="B10026" i="1"/>
  <c r="B10025" i="1"/>
  <c r="B10024" i="1"/>
  <c r="B10023" i="1"/>
  <c r="B10022" i="1"/>
  <c r="B10021" i="1"/>
  <c r="B10020" i="1"/>
  <c r="B10019" i="1"/>
  <c r="B10018" i="1"/>
  <c r="B10017" i="1"/>
  <c r="B10016" i="1"/>
  <c r="B10015" i="1"/>
  <c r="B10014" i="1"/>
  <c r="B10013" i="1"/>
  <c r="B10012" i="1"/>
  <c r="B10011" i="1"/>
  <c r="B10010" i="1"/>
  <c r="B10009" i="1"/>
  <c r="B10008" i="1"/>
  <c r="B10007" i="1"/>
  <c r="B10006" i="1"/>
  <c r="B10005" i="1"/>
  <c r="B10004" i="1"/>
  <c r="B10003" i="1"/>
  <c r="B10002" i="1"/>
  <c r="B10001" i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<sst xmlns="http://schemas.openxmlformats.org/spreadsheetml/2006/main" count="72687" uniqueCount="17531">
  <si>
    <t>Data</t>
  </si>
  <si>
    <t>Inventoriaus nr.</t>
  </si>
  <si>
    <t>Tūris</t>
  </si>
  <si>
    <t>Adresas</t>
  </si>
  <si>
    <t>Tvarkaraštis</t>
  </si>
  <si>
    <t>Komentaras</t>
  </si>
  <si>
    <t>Maršruto teritorija</t>
  </si>
  <si>
    <t>Klientas</t>
  </si>
  <si>
    <t>2025-11-24 00:04:36</t>
  </si>
  <si>
    <t>Vilniaus m. BA5</t>
  </si>
  <si>
    <t>Konstitucijos pr. 12, Vilniaus m., Vilniaus m. sav.</t>
  </si>
  <si>
    <t>Taip</t>
  </si>
  <si>
    <t>Ne</t>
  </si>
  <si>
    <t/>
  </si>
  <si>
    <t>Ekonovus, UAB</t>
  </si>
  <si>
    <t>2025-11-24 00:05:16</t>
  </si>
  <si>
    <t>2025-11-24 00:06:12</t>
  </si>
  <si>
    <t>2025-11-24 00:07:16</t>
  </si>
  <si>
    <t>Konstitucijos pr. 14, Vilniaus m., Vilniaus m. sav.</t>
  </si>
  <si>
    <t>2025-11-24 00:08:32</t>
  </si>
  <si>
    <t>2025-11-24 00:12:14</t>
  </si>
  <si>
    <t>2025-11-24 00:12:24</t>
  </si>
  <si>
    <t>2025-11-24 00:12:30</t>
  </si>
  <si>
    <t>2025-11-24 00:16:30</t>
  </si>
  <si>
    <t>Konstitucijos pr. 6, Vilniaus m., Vilniaus m. sav.</t>
  </si>
  <si>
    <t>2025-11-24 00:20:30</t>
  </si>
  <si>
    <t>Kalvarijų g. 12, Vilniaus m., Vilniaus m. sav.</t>
  </si>
  <si>
    <t>2025-11-24 00:22:00</t>
  </si>
  <si>
    <t>2025-11-24 00:24:43</t>
  </si>
  <si>
    <t>Konstitucijos pr. 20, Vilniaus m., Vilniaus m. sav.</t>
  </si>
  <si>
    <t>2025-11-24 00:29:42</t>
  </si>
  <si>
    <t>Konstitucijos pr. 20A, Vilniaus m., Vilniaus m. sav.</t>
  </si>
  <si>
    <t>2025-11-24 00:36:39</t>
  </si>
  <si>
    <t>2025-11-24 00:37:55</t>
  </si>
  <si>
    <t>2025-11-24 00:39:05</t>
  </si>
  <si>
    <t>2025-11-24 00:39:17</t>
  </si>
  <si>
    <t>2025-11-24 00:39:25</t>
  </si>
  <si>
    <t>2025-11-24 00:42:37</t>
  </si>
  <si>
    <t>Konstitucijos pr. 26, Vilniaus m., Vilniaus m. sav.</t>
  </si>
  <si>
    <t>2025-11-24 00:43:25</t>
  </si>
  <si>
    <t>2025-11-24 00:49:17</t>
  </si>
  <si>
    <t>Studentų g. 47, Vilniaus m., Vilniaus m. sav.</t>
  </si>
  <si>
    <t>2025-11-24 00:49:53</t>
  </si>
  <si>
    <t>2025-11-24 00:50:23</t>
  </si>
  <si>
    <t>2025-11-24 00:51:04</t>
  </si>
  <si>
    <t>2025-11-24 00:52:54</t>
  </si>
  <si>
    <t>Saltoniškių g. 19, Vilniaus m., Vilniaus m. sav.</t>
  </si>
  <si>
    <t>2025-11-24 00:52:58</t>
  </si>
  <si>
    <t>2025-11-24 00:54:38</t>
  </si>
  <si>
    <t>Saltoniškių g. 12, Vilniaus m., Vilniaus m. sav.</t>
  </si>
  <si>
    <t>2025-11-24 00:55:18</t>
  </si>
  <si>
    <t>2025-11-24 00:57:18</t>
  </si>
  <si>
    <t>Geležinio Vilko g. 18A, Vilniaus m., Vilniaus m. sav.</t>
  </si>
  <si>
    <t>2025-11-24 00:57:26</t>
  </si>
  <si>
    <t>2025-11-24 00:58:00</t>
  </si>
  <si>
    <t>Saltoniškių g. 2, Vilniaus m., Vilniaus m. sav.</t>
  </si>
  <si>
    <t>2025-11-24 00:58:04</t>
  </si>
  <si>
    <t>2025-11-24 01:03:04</t>
  </si>
  <si>
    <t>Ukmergės g. 126, Vilniaus m., Vilniaus m. sav.</t>
  </si>
  <si>
    <t>2025-11-24 01:04:10</t>
  </si>
  <si>
    <t>2025-11-24 01:05:11</t>
  </si>
  <si>
    <t>2025-11-24 01:06:39</t>
  </si>
  <si>
    <t>2025-11-24 01:06:47</t>
  </si>
  <si>
    <t>2025-11-24 01:08:41</t>
  </si>
  <si>
    <t>Saltoniškių g. 9, Vilniaus m., Vilniaus m. sav.</t>
  </si>
  <si>
    <t>2025-11-24 01:09:07</t>
  </si>
  <si>
    <t>2025-11-24 01:10:47</t>
  </si>
  <si>
    <t>2025-11-24 01:11:03</t>
  </si>
  <si>
    <t>2025-11-24 01:11:19</t>
  </si>
  <si>
    <t>2025-11-24 01:11:53</t>
  </si>
  <si>
    <t>2025-11-24 01:12:25</t>
  </si>
  <si>
    <t>2025-11-24 01:12:55</t>
  </si>
  <si>
    <t>2025-11-24 01:13:41</t>
  </si>
  <si>
    <t>2025-11-24 01:17:38</t>
  </si>
  <si>
    <t>Vilniaus m. BA1</t>
  </si>
  <si>
    <t>Žalgirio g. 131, Vilniaus m., Vilniaus m. sav.</t>
  </si>
  <si>
    <t>2025-11-24 01:17:45</t>
  </si>
  <si>
    <t>2025-11-24 01:18:11</t>
  </si>
  <si>
    <t>2025-11-24 01:18:50</t>
  </si>
  <si>
    <t>2025-11-24 01:19:40</t>
  </si>
  <si>
    <t>2025-11-24 01:19:46</t>
  </si>
  <si>
    <t>2025-11-24 01:20:18</t>
  </si>
  <si>
    <t>2025-11-24 01:20:20</t>
  </si>
  <si>
    <t>2025-11-24 01:20:22</t>
  </si>
  <si>
    <t>2025-11-24 01:20:24</t>
  </si>
  <si>
    <t>2025-11-24 01:20:32</t>
  </si>
  <si>
    <t>2025-11-24 01:20:36</t>
  </si>
  <si>
    <t>2025-11-24 01:20:42</t>
  </si>
  <si>
    <t>2025-11-24 01:22:20</t>
  </si>
  <si>
    <t>Žalgirio g. 105, Vilniaus m., Vilniaus m. sav.</t>
  </si>
  <si>
    <t>2025-11-24 01:22:40</t>
  </si>
  <si>
    <t>2025-11-24 01:23:06</t>
  </si>
  <si>
    <t>2025-11-24 01:23:22</t>
  </si>
  <si>
    <t>Saltoniškių g. 9B, Vilniaus m., Vilniaus m. sav.</t>
  </si>
  <si>
    <t>2025-11-24 01:26:27</t>
  </si>
  <si>
    <t>Kalvarijų g. 128A, Vilniaus m., Vilniaus m. sav.</t>
  </si>
  <si>
    <t>2025-11-24 01:26:28</t>
  </si>
  <si>
    <t>Saltoniškių g. 7, Vilniaus m., Vilniaus m. sav.</t>
  </si>
  <si>
    <t>2025-11-24 01:27:18</t>
  </si>
  <si>
    <t>2025-11-24 01:27:24</t>
  </si>
  <si>
    <t>2025-11-24 01:27:30</t>
  </si>
  <si>
    <t>2025-11-24 01:27:34</t>
  </si>
  <si>
    <t>2025-11-24 01:28:13</t>
  </si>
  <si>
    <t>Kalvarijų g. 126A, Vilniaus m., Vilniaus m. sav.</t>
  </si>
  <si>
    <t>2025-11-24 01:31:42</t>
  </si>
  <si>
    <t>Vytauto g. 55, Vilniaus m., Vilniaus m. sav.</t>
  </si>
  <si>
    <t>2025-11-24 01:33:03</t>
  </si>
  <si>
    <t>Žalgirio g. 117, Vilniaus m., Vilniaus m. sav.</t>
  </si>
  <si>
    <t>2025-11-24 01:33:29</t>
  </si>
  <si>
    <t>2025-11-24 01:33:49</t>
  </si>
  <si>
    <t>2025-11-24 01:34:03</t>
  </si>
  <si>
    <t>2025-11-24 01:34:25</t>
  </si>
  <si>
    <t>2025-11-24 01:35:45</t>
  </si>
  <si>
    <t>Kęstučio g. 39, Vilniaus m., Vilniaus m. sav.</t>
  </si>
  <si>
    <t>2025-11-24 01:36:03</t>
  </si>
  <si>
    <t>Giedraičių g. 60, Vilniaus m., Vilniaus m. sav.</t>
  </si>
  <si>
    <t>2025-11-24 01:36:45</t>
  </si>
  <si>
    <t>Kęstučio g. 37, Vilniaus m., Vilniaus m. sav.</t>
  </si>
  <si>
    <t>2025-11-24 01:37:39</t>
  </si>
  <si>
    <t>Giedraičių g. 81, Vilniaus m., Vilniaus m. sav.</t>
  </si>
  <si>
    <t>2025-11-24 01:38:03</t>
  </si>
  <si>
    <t>2025-11-24 01:38:11</t>
  </si>
  <si>
    <t>2025-11-24 01:39:45</t>
  </si>
  <si>
    <t>Kęstučio g. 24A, Vilniaus m., Vilniaus m. sav.</t>
  </si>
  <si>
    <t>2025-11-24 01:41:40</t>
  </si>
  <si>
    <t>Kernavės g. 84, Vilniaus m., Vilniaus m. sav.</t>
  </si>
  <si>
    <t>2025-11-24 01:42:00</t>
  </si>
  <si>
    <t>2025-11-24 01:42:26</t>
  </si>
  <si>
    <t>2025-11-24 01:42:37</t>
  </si>
  <si>
    <t>Kęstučio g. 34, Vilniaus m., Vilniaus m. sav.</t>
  </si>
  <si>
    <t>2025-11-24 01:44:11</t>
  </si>
  <si>
    <t>2025-11-24 01:44:26</t>
  </si>
  <si>
    <t>Širvintų g. 82, Vilniaus m., Vilniaus m. sav.</t>
  </si>
  <si>
    <t>2025-11-24 01:44:42</t>
  </si>
  <si>
    <t>Širvintų g. 80, Vilniaus m., Vilniaus m. sav.</t>
  </si>
  <si>
    <t>2025-11-24 01:45:02</t>
  </si>
  <si>
    <t>2025-11-24 01:47:48</t>
  </si>
  <si>
    <t>Kernavės g. 88, Vilniaus m., Vilniaus m. sav.</t>
  </si>
  <si>
    <t>2025-11-24 01:48:58</t>
  </si>
  <si>
    <t>2025-11-24 01:53:00</t>
  </si>
  <si>
    <t>Ozo g. 12, Vilniaus m., Vilniaus m. sav.</t>
  </si>
  <si>
    <t>2025-11-24 01:55:39</t>
  </si>
  <si>
    <t>2025-11-24 01:58:17</t>
  </si>
  <si>
    <t>Ozo g. 18, Vilniaus m., Vilniaus m. sav.</t>
  </si>
  <si>
    <t>2025-11-24 01:58:33</t>
  </si>
  <si>
    <t>2025-11-24 01:58:47</t>
  </si>
  <si>
    <t>2025-11-24 01:59:03</t>
  </si>
  <si>
    <t>2025-11-24 01:59:39</t>
  </si>
  <si>
    <t>2025-11-24 02:00:03</t>
  </si>
  <si>
    <t>2025-11-24 02:01:33</t>
  </si>
  <si>
    <t>Baltupio g. 149, Vilniaus m., Vilniaus m. sav.</t>
  </si>
  <si>
    <t>2025-11-24 02:05:25</t>
  </si>
  <si>
    <t>Marijos Horodničienės g. 4, Vilniaus m., Vilniaus m. sav.</t>
  </si>
  <si>
    <t>2025-11-24 02:05:55</t>
  </si>
  <si>
    <t>Juozo Balčikonio g. 9, Vilniaus m., Vilniaus m. sav.</t>
  </si>
  <si>
    <t>2025-11-24 02:06:25</t>
  </si>
  <si>
    <t>2025-11-24 02:06:51</t>
  </si>
  <si>
    <t>2025-11-24 02:06:59</t>
  </si>
  <si>
    <t>Vytenio g. 2, Vilniaus m., Vilniaus m. sav.</t>
  </si>
  <si>
    <t>2025-11-24 02:07:35</t>
  </si>
  <si>
    <t>2025-11-24 02:09:05</t>
  </si>
  <si>
    <t>Mykolo Marcinkevičiaus g. 1, Vilniaus m., Vilniaus m. sav.</t>
  </si>
  <si>
    <t>Vytenio g. 4, Vilniaus m., Vilniaus m. sav.</t>
  </si>
  <si>
    <t>2025-11-24 02:09:36</t>
  </si>
  <si>
    <t>2025-11-24 02:09:50</t>
  </si>
  <si>
    <t>2025-11-24 02:10:12</t>
  </si>
  <si>
    <t>2025-11-24 02:10:42</t>
  </si>
  <si>
    <t>2025-11-24 02:11:31</t>
  </si>
  <si>
    <t>M. Marcinkevičiaus g. 7, Vilniaus m., Vilniaus m. sav.</t>
  </si>
  <si>
    <t>2025-11-24 02:12:31</t>
  </si>
  <si>
    <t>A. Vivulskio g. 27, Vilniaus m., Vilniaus m. sav.</t>
  </si>
  <si>
    <t>2025-11-24 02:14:21</t>
  </si>
  <si>
    <t>Mykolo Marcinkevičiaus g. 21, Vilniaus m., Vilniaus m. sav.</t>
  </si>
  <si>
    <t>2025-11-24 02:14:30</t>
  </si>
  <si>
    <t>Ozo g. 6, Vilniaus m., Vilniaus m. sav.</t>
  </si>
  <si>
    <t>2025-11-24 02:14:36</t>
  </si>
  <si>
    <t>2025-11-24 02:14:44</t>
  </si>
  <si>
    <t>2025-11-24 02:15:10</t>
  </si>
  <si>
    <t>Muitinės g. 39, Vilniaus m., Vilniaus m. sav.</t>
  </si>
  <si>
    <t>2025-11-24 02:16:42</t>
  </si>
  <si>
    <t>Ozo g. 10A, Vilniaus m., Vilniaus m. sav.</t>
  </si>
  <si>
    <t>2025-11-24 02:16:58</t>
  </si>
  <si>
    <t>2025-11-24 02:17:24</t>
  </si>
  <si>
    <t>2025-11-24 02:17:33</t>
  </si>
  <si>
    <t>Žaliųjų Ežerų g. 3B, Vilniaus m., Vilniaus m. sav.</t>
  </si>
  <si>
    <t>2025-11-24 02:19:43</t>
  </si>
  <si>
    <t>Žaliųjų Ežerų g. 9, Vilniaus m., Vilniaus m. sav.</t>
  </si>
  <si>
    <t>2025-11-24 02:20:14</t>
  </si>
  <si>
    <t>Ozo g. 10, Vilniaus m., Vilniaus m. sav.</t>
  </si>
  <si>
    <t>2025-11-24 02:21:42</t>
  </si>
  <si>
    <t>Švitrigailos g. 7, Vilniaus m., Vilniaus m. sav.</t>
  </si>
  <si>
    <t>2025-11-24 02:21:51</t>
  </si>
  <si>
    <t>2025-11-24 02:22:01</t>
  </si>
  <si>
    <t>2025-11-24 02:22:17</t>
  </si>
  <si>
    <t>2025-11-24 02:22:42</t>
  </si>
  <si>
    <t>2025-11-24 02:23:32</t>
  </si>
  <si>
    <t>2025-11-24 02:25:28</t>
  </si>
  <si>
    <t>T. Ševčenkos g. 17, Vilniaus m., Vilniaus m. sav.</t>
  </si>
  <si>
    <t>2025-11-24 02:25:47</t>
  </si>
  <si>
    <t>Ozo g. 14A, Vilniaus m., Vilniaus m. sav.</t>
  </si>
  <si>
    <t>2025-11-24 02:26:17</t>
  </si>
  <si>
    <t>2025-11-24 02:26:35</t>
  </si>
  <si>
    <t>2025-11-24 02:27:09</t>
  </si>
  <si>
    <t>Verkių Riešės g. 10, Vilniaus m., Vilniaus m. sav.</t>
  </si>
  <si>
    <t>2025-11-24 02:30:29</t>
  </si>
  <si>
    <t>Visalaukio g. 1, Vilniaus m., Vilniaus m. sav.</t>
  </si>
  <si>
    <t>2025-11-24 02:31:13</t>
  </si>
  <si>
    <t>Vito Gerulaičio g. 10, Vilniaus m., Vilniaus m. sav.</t>
  </si>
  <si>
    <t>2025-11-24 02:31:15</t>
  </si>
  <si>
    <t>2025-11-24 03:12:43</t>
  </si>
  <si>
    <t>2025-11-24 02:32:02</t>
  </si>
  <si>
    <t>Aušros Vartų g. 10, Vilniaus m., Vilniaus m. sav.</t>
  </si>
  <si>
    <t>2025-11-24 02:32:11</t>
  </si>
  <si>
    <t>Birželio 23-iosios g. 12, Vilniaus m., Vilniaus m. sav.</t>
  </si>
  <si>
    <t>2025-11-24 02:32:25</t>
  </si>
  <si>
    <t>2025-11-24 02:33:35</t>
  </si>
  <si>
    <t>2025-11-24 02:33:44</t>
  </si>
  <si>
    <t>Subačiaus g. 16, Vilniaus m., Vilniaus m. sav.</t>
  </si>
  <si>
    <t>2025-11-24 02:33:49</t>
  </si>
  <si>
    <t>Žemėpačio g. 24, Vilniaus m., Vilniaus m. sav.</t>
  </si>
  <si>
    <t>2025-11-24 02:33:50</t>
  </si>
  <si>
    <t>2025-11-24 02:34:05</t>
  </si>
  <si>
    <t>2025-11-24 02:34:27</t>
  </si>
  <si>
    <t>Birželio 23-iosios g. 16, Vilniaus m., Vilniaus m. sav.</t>
  </si>
  <si>
    <t>2025-11-24 02:34:37</t>
  </si>
  <si>
    <t>2025-11-24 02:34:44</t>
  </si>
  <si>
    <t>Subačiaus g. 8, Vilniaus m., Vilniaus m. sav.</t>
  </si>
  <si>
    <t>2025-11-24 02:35:20</t>
  </si>
  <si>
    <t>2025-11-24 02:35:24</t>
  </si>
  <si>
    <t>Ozo g. 14C, Vilniaus m., Vilniaus m. sav.</t>
  </si>
  <si>
    <t>2025-11-24 02:35:44</t>
  </si>
  <si>
    <t>2025-11-24 02:35:53</t>
  </si>
  <si>
    <t>2025-11-24 02:36:04</t>
  </si>
  <si>
    <t>2025-11-24 02:36:07</t>
  </si>
  <si>
    <t>Vilniaus m. PA3</t>
  </si>
  <si>
    <t>Pelesos g. 67, Vilniaus m., Vilniaus m. sav.</t>
  </si>
  <si>
    <t>2025-11-24 02:36:21</t>
  </si>
  <si>
    <t>Tuskulėnų g. 66, Vilniaus m., Vilniaus m. sav.</t>
  </si>
  <si>
    <t>2025-11-24 02:36:43</t>
  </si>
  <si>
    <t>2025-11-24 02:36:46</t>
  </si>
  <si>
    <t>2025-11-24 02:36:56</t>
  </si>
  <si>
    <t>2025-11-24 02:36:59</t>
  </si>
  <si>
    <t>2025-11-24 02:37:05</t>
  </si>
  <si>
    <t>2025-11-24 02:37:16</t>
  </si>
  <si>
    <t>2025-11-24 02:37:32</t>
  </si>
  <si>
    <t>2025-11-24 02:37:40</t>
  </si>
  <si>
    <t>Subačiaus g. 6, Vilniaus m., Vilniaus m. sav.</t>
  </si>
  <si>
    <t>2025-11-24 02:38:05</t>
  </si>
  <si>
    <t>Žaliųjų Ežerų g. 160, Vilniaus m., Vilniaus m. sav.</t>
  </si>
  <si>
    <t>2025-11-24 02:38:32</t>
  </si>
  <si>
    <t>Aušros Vartų g. 6, Vilniaus m., Vilniaus m. sav.</t>
  </si>
  <si>
    <t>2025-11-24 02:38:41</t>
  </si>
  <si>
    <t>2025-11-24 03:12:52</t>
  </si>
  <si>
    <t>Subačiaus g. 5, Vilniaus m., Vilniaus m. sav.</t>
  </si>
  <si>
    <t>2025-11-24 02:38:49</t>
  </si>
  <si>
    <t>Tuskulėnų g. 48, Vilniaus m., Vilniaus m. sav.</t>
  </si>
  <si>
    <t>2025-11-24 02:38:59</t>
  </si>
  <si>
    <t>2025-11-24 02:39:07</t>
  </si>
  <si>
    <t>2025-11-24 02:39:13</t>
  </si>
  <si>
    <t>2025-11-24 02:39:37</t>
  </si>
  <si>
    <t>Liepkalnio g. 7, Vilniaus m., Vilniaus m. sav.</t>
  </si>
  <si>
    <t>2025-11-24 02:40:13</t>
  </si>
  <si>
    <t>Smolensko g. 15A, Vilniaus m., Vilniaus m. sav.</t>
  </si>
  <si>
    <t>2025-11-24 02:40:52</t>
  </si>
  <si>
    <t>Vilniaus m. PA1</t>
  </si>
  <si>
    <t>Liubčios g. 15, Vilniaus m., Vilniaus m. sav.</t>
  </si>
  <si>
    <t>2025-11-24 02:41:09</t>
  </si>
  <si>
    <t>Tuskulėnų g. 44, Vilniaus m., Vilniaus m. sav.</t>
  </si>
  <si>
    <t>2025-11-24 02:41:12</t>
  </si>
  <si>
    <t>Ozo g. 12A, Vilniaus m., Vilniaus m. sav.</t>
  </si>
  <si>
    <t>2025-11-24 02:41:28</t>
  </si>
  <si>
    <t>2025-11-24 02:41:31</t>
  </si>
  <si>
    <t>Aitvarų g. 82, Vilniaus m., Vilniaus m. sav.</t>
  </si>
  <si>
    <t>2025-11-24 02:42:18</t>
  </si>
  <si>
    <t>2025-11-24 02:42:26</t>
  </si>
  <si>
    <t>2025-11-24 02:42:27</t>
  </si>
  <si>
    <t>Aušros Vartų g. 3, Vilniaus m., Vilniaus m. sav.</t>
  </si>
  <si>
    <t>2025-11-24 02:42:35</t>
  </si>
  <si>
    <t>Žemaitės g. 16, Vilniaus m., Vilniaus m. sav.</t>
  </si>
  <si>
    <t>2025-11-24 02:42:57</t>
  </si>
  <si>
    <t>Liepkalnio g. 18, Vilniaus m., Vilniaus m. sav.</t>
  </si>
  <si>
    <t>2025-11-24 02:43:31</t>
  </si>
  <si>
    <t>2025-11-24 03:22:22</t>
  </si>
  <si>
    <t>2025-11-24 02:43:38</t>
  </si>
  <si>
    <t>Liubčios g. 2, Vilniaus m., Vilniaus m. sav.</t>
  </si>
  <si>
    <t>2025-11-24 02:43:44</t>
  </si>
  <si>
    <t>Tuskulėnų g. 38, Vilniaus m., Vilniaus m. sav.</t>
  </si>
  <si>
    <t>2025-11-24 02:44:08</t>
  </si>
  <si>
    <t>2025-11-24 02:45:09</t>
  </si>
  <si>
    <t>Aušros Vartų g. 4, Vilniaus m., Vilniaus m. sav.</t>
  </si>
  <si>
    <t>2025-11-24 02:45:11</t>
  </si>
  <si>
    <t>Kryžiokų Sodų 2-oji g. 1, Vilniaus m., Vilniaus m. sav.</t>
  </si>
  <si>
    <t>2025-11-24 02:45:17</t>
  </si>
  <si>
    <t>2025-11-24 02:45:44</t>
  </si>
  <si>
    <t>Kalvarijų g. 180, Vilniaus m., Vilniaus m. sav.</t>
  </si>
  <si>
    <t>2025-11-24 02:45:49</t>
  </si>
  <si>
    <t>Liepkalnio g. 24, Vilniaus m., Vilniaus m. sav.</t>
  </si>
  <si>
    <t>2025-11-24 02:46:54</t>
  </si>
  <si>
    <t>Tuskulėnų g. 6, Vilniaus m., Vilniaus m. sav.</t>
  </si>
  <si>
    <t>2025-11-24 02:47:21</t>
  </si>
  <si>
    <t>2025-11-24 02:47:24</t>
  </si>
  <si>
    <t>Skroblų g. 19, Vilniaus m., Vilniaus m. sav.</t>
  </si>
  <si>
    <t>2025-11-24 02:47:27</t>
  </si>
  <si>
    <t>2025-11-24 02:48:16</t>
  </si>
  <si>
    <t>2025-11-24 02:48:19</t>
  </si>
  <si>
    <t>Didžioji g. 37, Vilniaus m., Vilniaus m. sav.</t>
  </si>
  <si>
    <t>2025-11-24 02:48:21</t>
  </si>
  <si>
    <t>Nesvyžiaus g. 45G, Vilniaus m., Vilniaus m. sav.</t>
  </si>
  <si>
    <t>2025-11-24 02:48:41</t>
  </si>
  <si>
    <t>Kalvarijų g. 174A, Vilniaus m., Vilniaus m. sav.</t>
  </si>
  <si>
    <t>2025-11-24 02:49:01</t>
  </si>
  <si>
    <t>Gardino g. 10, Vilniaus m., Vilniaus m. sav.</t>
  </si>
  <si>
    <t>2025-11-24 02:49:13</t>
  </si>
  <si>
    <t>Didžioji g. 30, Vilniaus m., Vilniaus m. sav.</t>
  </si>
  <si>
    <t>2025-11-24 02:49:23</t>
  </si>
  <si>
    <t>Didžioji g. 28, Vilniaus m., Vilniaus m. sav.</t>
  </si>
  <si>
    <t>2025-11-24 02:49:45</t>
  </si>
  <si>
    <t>2025-11-24 02:49:53</t>
  </si>
  <si>
    <t>2025-11-24 02:50:01</t>
  </si>
  <si>
    <t>Savičiaus g. 5, Vilniaus m., Vilniaus m. sav.</t>
  </si>
  <si>
    <t>2025-11-24 02:50:37</t>
  </si>
  <si>
    <t>Sakališkių g. 46, Vilniaus m., Vilniaus m. sav.</t>
  </si>
  <si>
    <t>2025-11-24 02:50:52</t>
  </si>
  <si>
    <t>Šeimyniškių g. 42, Vilniaus m., Vilniaus m. sav.</t>
  </si>
  <si>
    <t>2025-11-24 02:51:18</t>
  </si>
  <si>
    <t>Didžioji g. 19A, Vilniaus m., Vilniaus m. sav.</t>
  </si>
  <si>
    <t>2025-11-24 02:51:44</t>
  </si>
  <si>
    <t>Didžioji g. 19, Vilniaus m., Vilniaus m. sav.</t>
  </si>
  <si>
    <t>2025-11-24 02:52:42</t>
  </si>
  <si>
    <t>Skroblų g. 3A, Vilniaus m., Vilniaus m. sav.</t>
  </si>
  <si>
    <t>2025-11-24 02:52:46</t>
  </si>
  <si>
    <t>2025-11-24 02:52:47</t>
  </si>
  <si>
    <t>Kalvarijų g. 105, Vilniaus m., Vilniaus m. sav.</t>
  </si>
  <si>
    <t>2025-11-24 02:52:59</t>
  </si>
  <si>
    <t>Kalvarijų g. 107, Vilniaus m., Vilniaus m. sav.</t>
  </si>
  <si>
    <t>2025-11-24 02:53:09</t>
  </si>
  <si>
    <t>Šeimyniškių g. 30, Vilniaus m., Vilniaus m. sav.</t>
  </si>
  <si>
    <t>2025-11-24 02:53:37</t>
  </si>
  <si>
    <t>Dzūkų g. 95, Vilniaus m., Vilniaus m. sav.</t>
  </si>
  <si>
    <t>2025-11-24 02:53:38</t>
  </si>
  <si>
    <t>2025-11-24 02:53:41</t>
  </si>
  <si>
    <t>2025-11-24 02:53:52</t>
  </si>
  <si>
    <t>Didžioji g. 31, Vilniaus m., Vilniaus m. sav.</t>
  </si>
  <si>
    <t>2025-11-24 02:54:26</t>
  </si>
  <si>
    <t>Rūdninkų g. 6, Vilniaus m., Vilniaus m. sav.</t>
  </si>
  <si>
    <t>2025-11-24 02:54:46</t>
  </si>
  <si>
    <t>2025-11-24 02:54:56</t>
  </si>
  <si>
    <t>2025-11-24 02:55:47</t>
  </si>
  <si>
    <t>Kalvarijų g. 125, Vilniaus m., Vilniaus m. sav.</t>
  </si>
  <si>
    <t>2025-11-24 02:56:25</t>
  </si>
  <si>
    <t>Šventeliškių g. 4, Vilniaus m., Vilniaus m. sav.</t>
  </si>
  <si>
    <t>2025-11-24 02:56:28</t>
  </si>
  <si>
    <t>2025-11-24 03:32:23</t>
  </si>
  <si>
    <t>2025-11-24 02:56:35</t>
  </si>
  <si>
    <t>Tyzenhauzų g. 19B, Vilniaus m., Vilniaus m. sav.</t>
  </si>
  <si>
    <t>2025-11-24 02:57:01</t>
  </si>
  <si>
    <t>Rinktinės g. 28, Vilniaus m., Vilniaus m. sav.</t>
  </si>
  <si>
    <t>2025-11-24 02:57:24</t>
  </si>
  <si>
    <t>Mėsinių g. 4, Vilniaus m., Vilniaus m. sav.</t>
  </si>
  <si>
    <t>2025-11-24 02:57:48</t>
  </si>
  <si>
    <t>2025-11-24 02:58:09</t>
  </si>
  <si>
    <t>Verkių g. 34, Vilniaus m., Vilniaus m. sav.</t>
  </si>
  <si>
    <t>2025-11-24 02:58:30</t>
  </si>
  <si>
    <t>2025-11-24 02:58:39</t>
  </si>
  <si>
    <t>Gerosios Vilties g. 18A, Vilniaus m., Vilniaus m. sav.</t>
  </si>
  <si>
    <t>Tyzenhauzų g. 9, Vilniaus m., Vilniaus m. sav.</t>
  </si>
  <si>
    <t>2025-11-24 02:59:04</t>
  </si>
  <si>
    <t>2025-11-24 02:59:11</t>
  </si>
  <si>
    <t>2025-11-24 02:59:25</t>
  </si>
  <si>
    <t>2025-11-24 02:59:27</t>
  </si>
  <si>
    <t>2025-11-24 03:00:06</t>
  </si>
  <si>
    <t>2025-11-24 03:00:26</t>
  </si>
  <si>
    <t>2025-11-24 03:00:36</t>
  </si>
  <si>
    <t>2025-11-24 03:00:43</t>
  </si>
  <si>
    <t>Rinktinės g. 29, Vilniaus m., Vilniaus m. sav.</t>
  </si>
  <si>
    <t>2025-11-24 03:00:50</t>
  </si>
  <si>
    <t>2025-11-24 03:01:10</t>
  </si>
  <si>
    <t>2025-11-24 03:01:20</t>
  </si>
  <si>
    <t>2025-11-24 03:01:28</t>
  </si>
  <si>
    <t>2025-11-24 03:01:34</t>
  </si>
  <si>
    <t>2025-11-24 03:01:57</t>
  </si>
  <si>
    <t>M. Lietuvio g. 37, Vilniaus m., Vilniaus m. sav.</t>
  </si>
  <si>
    <t>2025-11-24 03:02:10</t>
  </si>
  <si>
    <t>2025-11-24 03:02:39</t>
  </si>
  <si>
    <t>Tyzenhauzų g. 8A, Vilniaus m., Vilniaus m. sav.</t>
  </si>
  <si>
    <t>2025-11-24 03:02:46</t>
  </si>
  <si>
    <t>2025-11-24 03:03:05</t>
  </si>
  <si>
    <t>Kazliškių g. 15, Vilniaus m., Vilniaus m. sav.</t>
  </si>
  <si>
    <t>2025-11-24 03:03:12</t>
  </si>
  <si>
    <t>2025-11-24 03:03:36</t>
  </si>
  <si>
    <t>Kalvarijų g. 129, Vilniaus m., Vilniaus m. sav.</t>
  </si>
  <si>
    <t>2025-11-24 03:03:45</t>
  </si>
  <si>
    <t>Savanorių pr. 28, Vilniaus m., Vilniaus m. sav.</t>
  </si>
  <si>
    <t>2025-11-24 03:03:58</t>
  </si>
  <si>
    <t>2025-11-24 03:04:02</t>
  </si>
  <si>
    <t>2025-11-24 03:04:05</t>
  </si>
  <si>
    <t>2025-11-24 03:04:11</t>
  </si>
  <si>
    <t>2025-11-24 03:04:15</t>
  </si>
  <si>
    <t>2025-11-24 03:04:23</t>
  </si>
  <si>
    <t>Šiaulių g. 10, Vilniaus m., Vilniaus m. sav.</t>
  </si>
  <si>
    <t>2025-11-24 03:04:39</t>
  </si>
  <si>
    <t>Mokyklos g. 3, Vilniaus m., Vilniaus m. sav.</t>
  </si>
  <si>
    <t>2025-11-24 03:05:22</t>
  </si>
  <si>
    <t>2025-11-24 03:05:39</t>
  </si>
  <si>
    <t>2025-11-24 03:06:05</t>
  </si>
  <si>
    <t>Stadiono g. 9, Vilniaus m., Vilniaus m. sav.</t>
  </si>
  <si>
    <t>2025-11-24 03:06:06</t>
  </si>
  <si>
    <t>Kazliškių g. 9, Vilniaus m., Vilniaus m. sav.</t>
  </si>
  <si>
    <t>2025-11-24 03:06:14</t>
  </si>
  <si>
    <t>Kalvarijų g. 131, Vilniaus m., Vilniaus m. sav.</t>
  </si>
  <si>
    <t>2025-11-24 03:06:45</t>
  </si>
  <si>
    <t>2025-11-24 03:42:47</t>
  </si>
  <si>
    <t>Vilniaus m. PA5</t>
  </si>
  <si>
    <t>Eigulių g. 29, Vilniaus m., Vilniaus m. sav.</t>
  </si>
  <si>
    <t>2025-11-24 03:06:51</t>
  </si>
  <si>
    <t>Eigulių g. 16A, Vilniaus m., Vilniaus m. sav.</t>
  </si>
  <si>
    <t>2025-11-24 03:07:09</t>
  </si>
  <si>
    <t>Eigulių g. 21, Vilniaus m., Vilniaus m. sav.</t>
  </si>
  <si>
    <t>2025-11-24 03:07:11</t>
  </si>
  <si>
    <t>Eigulių g. 27, Vilniaus m., Vilniaus m. sav.</t>
  </si>
  <si>
    <t>2025-11-24 03:07:24</t>
  </si>
  <si>
    <t>2025-11-24 03:07:35</t>
  </si>
  <si>
    <t>Eigulių g. 13B, Vilniaus m., Vilniaus m. sav.</t>
  </si>
  <si>
    <t>2025-11-24 03:07:41</t>
  </si>
  <si>
    <t>Eigulių g. 13C, Vilniaus m., Vilniaus m. sav.</t>
  </si>
  <si>
    <t>2025-11-24 03:08:17</t>
  </si>
  <si>
    <t>Mokyklos g. 40, Vilniaus m., Vilniaus m. sav.</t>
  </si>
  <si>
    <t>2025-11-24 03:08:59</t>
  </si>
  <si>
    <t>Eigulių g. 11, Vilniaus m., Vilniaus m. sav.</t>
  </si>
  <si>
    <t>2025-11-24 03:09:03</t>
  </si>
  <si>
    <t>Vilniaus m. BA4</t>
  </si>
  <si>
    <t>Laisvės pr. 39, Vilniaus m., Vilniaus m. sav.</t>
  </si>
  <si>
    <t>Ecoservice, UAB</t>
  </si>
  <si>
    <t>2025-11-24 03:09:04</t>
  </si>
  <si>
    <t>2025-11-24 03:09:12</t>
  </si>
  <si>
    <t>Bajorų Sodų 29-oji g. 2, Vilniaus m., Vilniaus m. sav.</t>
  </si>
  <si>
    <t>2025-11-24 03:09:24</t>
  </si>
  <si>
    <t>2025-11-24 03:09:37</t>
  </si>
  <si>
    <t>Stadiono g. 2, Vilniaus m., Vilniaus m. sav.</t>
  </si>
  <si>
    <t>2025-11-24 03:09:50</t>
  </si>
  <si>
    <t>2025-11-24 03:09:54</t>
  </si>
  <si>
    <t>Rinktinės g. 37, Vilniaus m., Vilniaus m. sav.</t>
  </si>
  <si>
    <t>2025-11-24 03:10:17</t>
  </si>
  <si>
    <t>Savanorių pr. 22, Vilniaus m., Vilniaus m. sav.</t>
  </si>
  <si>
    <t>2025-11-24 03:10:20</t>
  </si>
  <si>
    <t>2025-11-24 03:10:36</t>
  </si>
  <si>
    <t>2025-11-24 03:10:43</t>
  </si>
  <si>
    <t>2025-11-24 03:10:47</t>
  </si>
  <si>
    <t>Islandijos g. 2, Vilniaus m., Vilniaus m. sav.</t>
  </si>
  <si>
    <t>2025-11-24 03:10:49</t>
  </si>
  <si>
    <t>Braškių g. 48, Vilniaus m., Vilniaus m. sav.</t>
  </si>
  <si>
    <t>2025-11-24 03:10:56</t>
  </si>
  <si>
    <t>2025-11-24 03:10:57</t>
  </si>
  <si>
    <t>2025-11-24 03:11:03</t>
  </si>
  <si>
    <t>2025-11-24 03:11:22</t>
  </si>
  <si>
    <t>Rinktinės g. 48B, Vilniaus m., Vilniaus m. sav.</t>
  </si>
  <si>
    <t>2025-11-24 03:11:23</t>
  </si>
  <si>
    <t>2025-11-24 03:11:38</t>
  </si>
  <si>
    <t>Eigulių g. 9, Vilniaus m., Vilniaus m. sav.</t>
  </si>
  <si>
    <t>2025-11-24 03:11:49</t>
  </si>
  <si>
    <t>Islandijos g. 4, Vilniaus m., Vilniaus m. sav.</t>
  </si>
  <si>
    <t>2025-11-24 03:11:52</t>
  </si>
  <si>
    <t>2025-11-24 03:12:07</t>
  </si>
  <si>
    <t>Braškių g. 30, Vilniaus m., Vilniaus m. sav.</t>
  </si>
  <si>
    <t>2025-11-24 03:12:08</t>
  </si>
  <si>
    <t>Eigulių g. 14, Vilniaus m., Vilniaus m. sav.</t>
  </si>
  <si>
    <t>2025-11-24 03:12:28</t>
  </si>
  <si>
    <t>Eigulių g. 4, Vilniaus m., Vilniaus m. sav.</t>
  </si>
  <si>
    <t>2025-11-24 03:12:29</t>
  </si>
  <si>
    <t>Bitininkų g. 10, Vilniaus m., Vilniaus m. sav.</t>
  </si>
  <si>
    <t>2025-11-24 03:12:40</t>
  </si>
  <si>
    <t>Rinktinės g. 53, Vilniaus m., Vilniaus m. sav.</t>
  </si>
  <si>
    <t>2025-11-24 03:12:49</t>
  </si>
  <si>
    <t>Eigulių g. 2, Vilniaus m., Vilniaus m. sav.</t>
  </si>
  <si>
    <t>2025-11-24 03:12:58</t>
  </si>
  <si>
    <t>2025-11-24 03:13:27</t>
  </si>
  <si>
    <t>Naujininkų g. 7, Vilniaus m., Vilniaus m. sav.</t>
  </si>
  <si>
    <t>2025-11-24 03:13:29</t>
  </si>
  <si>
    <t>2025-11-24 03:13:32</t>
  </si>
  <si>
    <t>Pilaitės pr. 18, Vilniaus m., Vilniaus m. sav.</t>
  </si>
  <si>
    <t>2025-11-24 03:13:33</t>
  </si>
  <si>
    <t>2025-11-24 03:13:37</t>
  </si>
  <si>
    <t>Vytenio g. 50, Vilniaus m., Vilniaus m. sav.</t>
  </si>
  <si>
    <t>2025-11-24 03:13:49</t>
  </si>
  <si>
    <t>2025-11-24 03:14:38</t>
  </si>
  <si>
    <t>Bajorų Sodų 4-oji g. 19, Vilniaus m., Vilniaus m. sav.</t>
  </si>
  <si>
    <t>2025-11-24 03:14:41</t>
  </si>
  <si>
    <t>Švitrigailos g. 31, Vilniaus m., Vilniaus m. sav.</t>
  </si>
  <si>
    <t>2025-11-24 03:14:48</t>
  </si>
  <si>
    <t>Savanorių pr. 12, Vilniaus m., Vilniaus m. sav.</t>
  </si>
  <si>
    <t>2025-11-24 03:14:49</t>
  </si>
  <si>
    <t>2025-11-24 03:14:51</t>
  </si>
  <si>
    <t>Rinktinės g. 47, Vilniaus m., Vilniaus m. sav.</t>
  </si>
  <si>
    <t>2025-11-24 03:14:57</t>
  </si>
  <si>
    <t>Kviečių g. 2F, Vilniaus m., Vilniaus m. sav.</t>
  </si>
  <si>
    <t>2025-11-24 03:15:02</t>
  </si>
  <si>
    <t>2025-11-24 03:15:09</t>
  </si>
  <si>
    <t>2025-11-24 03:15:18</t>
  </si>
  <si>
    <t>2025-11-24 03:15:21</t>
  </si>
  <si>
    <t>Švitrigailos g. 29, Vilniaus m., Vilniaus m. sav.</t>
  </si>
  <si>
    <t>2025-11-24 03:15:39</t>
  </si>
  <si>
    <t>Kviečių g. 2, Vilniaus m., Vilniaus m. sav.</t>
  </si>
  <si>
    <t>2025-11-24 03:16:03</t>
  </si>
  <si>
    <t>2025-11-24 03:16:09</t>
  </si>
  <si>
    <t>2025-11-24 03:16:19</t>
  </si>
  <si>
    <t>2025-11-24 03:16:33</t>
  </si>
  <si>
    <t>Panerių g. 35A, Vilniaus m., Vilniaus m. sav.</t>
  </si>
  <si>
    <t>2025-11-24 03:16:39</t>
  </si>
  <si>
    <t>2025-11-24 03:16:47</t>
  </si>
  <si>
    <t>2025-11-24 03:16:49</t>
  </si>
  <si>
    <t>2025-11-24 03:16:51</t>
  </si>
  <si>
    <t>Braškių g. 2C, Vilniaus m., Vilniaus m. sav.</t>
  </si>
  <si>
    <t>2025-11-24 03:16:53</t>
  </si>
  <si>
    <t>2025-11-24 03:17:00</t>
  </si>
  <si>
    <t>Juozo Rutkausko g. 6, Vilniaus m., Vilniaus m. sav.</t>
  </si>
  <si>
    <t>2025-11-24 03:17:04</t>
  </si>
  <si>
    <t>Kedrų g. 2, Vilniaus m., Vilniaus m. sav.</t>
  </si>
  <si>
    <t>2025-11-24 03:17:11</t>
  </si>
  <si>
    <t>2025-11-24 03:17:18</t>
  </si>
  <si>
    <t>Mokslininkų g. 39, Vilniaus m., Vilniaus m. sav.</t>
  </si>
  <si>
    <t>2025-11-24 03:17:21</t>
  </si>
  <si>
    <t>2025-11-24 03:17:49</t>
  </si>
  <si>
    <t>Vytenio g. 52, Vilniaus m., Vilniaus m. sav.</t>
  </si>
  <si>
    <t>2025-11-24 03:17:51</t>
  </si>
  <si>
    <t>2025-11-24 03:18:09</t>
  </si>
  <si>
    <t>2025-11-24 03:18:23</t>
  </si>
  <si>
    <t>Kalvarijų g. 57, Vilniaus m., Vilniaus m. sav.</t>
  </si>
  <si>
    <t>2025-11-24 03:18:28</t>
  </si>
  <si>
    <t>Vilniaus g. 31, Vilniaus m., Vilniaus m. sav.</t>
  </si>
  <si>
    <t>2025-11-24 03:18:32</t>
  </si>
  <si>
    <t>Geležinio Vilko g. 5A, Vilniaus m., Vilniaus m. sav.</t>
  </si>
  <si>
    <t>2025-11-24 03:18:38</t>
  </si>
  <si>
    <t>2025-11-24 03:18:41</t>
  </si>
  <si>
    <t>Naujininkų g. 21, Vilniaus m., Vilniaus m. sav.</t>
  </si>
  <si>
    <t>2025-11-24 03:18:55</t>
  </si>
  <si>
    <t>2025-11-24 03:19:16</t>
  </si>
  <si>
    <t>Mokslininkų g. 13D, Vilniaus m., Vilniaus m. sav.</t>
  </si>
  <si>
    <t>2025-11-24 03:19:24</t>
  </si>
  <si>
    <t>Savanorių pr. 18, Vilniaus m., Vilniaus m. sav.</t>
  </si>
  <si>
    <t>2025-11-24 03:19:31</t>
  </si>
  <si>
    <t>Kalvarijų g. 125A, Vilniaus m., Vilniaus m. sav.</t>
  </si>
  <si>
    <t>2025-11-24 03:19:45</t>
  </si>
  <si>
    <t>Kauno g. 30, Vilniaus m., Vilniaus m. sav.</t>
  </si>
  <si>
    <t>Viršuliškių skg. 26, Vilniaus m., Vilniaus m. sav.</t>
  </si>
  <si>
    <t>2025-11-24 03:19:50</t>
  </si>
  <si>
    <t>2025-11-24 03:19:55</t>
  </si>
  <si>
    <t>2025-11-24 03:19:57</t>
  </si>
  <si>
    <t>2025-11-24 03:20:04</t>
  </si>
  <si>
    <t>2025-11-24 03:20:07</t>
  </si>
  <si>
    <t>2025-11-24 03:20:08</t>
  </si>
  <si>
    <t>Mokslininkų g. 22, Vilniaus m., Vilniaus m. sav.</t>
  </si>
  <si>
    <t>2025-11-24 03:20:14</t>
  </si>
  <si>
    <t>2025-11-24 03:20:17</t>
  </si>
  <si>
    <t>2025-11-24 03:20:27</t>
  </si>
  <si>
    <t>Rugių g. 1, Vilniaus m., Vilniaus m. sav.</t>
  </si>
  <si>
    <t>2025-11-24 03:20:43</t>
  </si>
  <si>
    <t>2025-11-24 03:21:18</t>
  </si>
  <si>
    <t>Vilniaus g. 22, Vilniaus m., Vilniaus m. sav.</t>
  </si>
  <si>
    <t>2025-11-24 03:21:45</t>
  </si>
  <si>
    <t>Saracėnų g. 21, Vilniaus m., Vilniaus m. sav.</t>
  </si>
  <si>
    <t>2025-11-24 03:22:21</t>
  </si>
  <si>
    <t>Ateities g. 1G, Vilniaus m., Vilniaus m. sav.</t>
  </si>
  <si>
    <t>Geležinio Vilko g. 11, Vilniaus m., Vilniaus m. sav.</t>
  </si>
  <si>
    <t>2025-11-24 03:22:40</t>
  </si>
  <si>
    <t>Bajorų kel. 4, Vilniaus m., Vilniaus m. sav.</t>
  </si>
  <si>
    <t>2025-11-24 03:22:48</t>
  </si>
  <si>
    <t>2025-11-24 03:22:50</t>
  </si>
  <si>
    <t>Savanorių pr. 11, Vilniaus m., Vilniaus m. sav.</t>
  </si>
  <si>
    <t>2025-11-24 03:23:15</t>
  </si>
  <si>
    <t>Juozo Rutkausko g. 19, Vilniaus m., Vilniaus m. sav.</t>
  </si>
  <si>
    <t>2025-11-24 03:23:17</t>
  </si>
  <si>
    <t>Vytenio g. 54, Vilniaus m., Vilniaus m. sav.</t>
  </si>
  <si>
    <t>2025-11-24 03:23:18</t>
  </si>
  <si>
    <t>Žemaitės g. 21, Vilniaus m., Vilniaus m. sav.</t>
  </si>
  <si>
    <t>2025-11-24 03:23:33</t>
  </si>
  <si>
    <t>2025-11-24 03:23:39</t>
  </si>
  <si>
    <t>2025-11-24 03:23:42</t>
  </si>
  <si>
    <t>2025-11-24 04:02:51</t>
  </si>
  <si>
    <t>Mokslininkų g. 18, Vilniaus m., Vilniaus m. sav.</t>
  </si>
  <si>
    <t>2025-11-24 03:23:47</t>
  </si>
  <si>
    <t>Panerių g. 39, Vilniaus m., Vilniaus m. sav.</t>
  </si>
  <si>
    <t>2025-11-24 03:23:59</t>
  </si>
  <si>
    <t>2025-11-24 03:24:03</t>
  </si>
  <si>
    <t>Alytaus g. 1, Vilniaus m., Vilniaus m. sav.</t>
  </si>
  <si>
    <t>2025-11-24 03:24:19</t>
  </si>
  <si>
    <t>2025-11-24 03:24:42</t>
  </si>
  <si>
    <t>Gerosios Vilties g. 4, Vilniaus m., Vilniaus m. sav.</t>
  </si>
  <si>
    <t>2025-11-24 03:24:56</t>
  </si>
  <si>
    <t>Vilniaus g. 37, Vilniaus m., Vilniaus m. sav.</t>
  </si>
  <si>
    <t>2025-11-24 03:25:16</t>
  </si>
  <si>
    <t>Žemaitės g. 15, Vilniaus m., Vilniaus m. sav.</t>
  </si>
  <si>
    <t>2025-11-24 03:25:26</t>
  </si>
  <si>
    <t>Spaudos g. 9, Vilniaus m., Vilniaus m. sav.</t>
  </si>
  <si>
    <t>2025-11-24 03:25:38</t>
  </si>
  <si>
    <t>Kernavės g. 17, Vilniaus m., Vilniaus m. sav.</t>
  </si>
  <si>
    <t>2025-11-24 03:25:42</t>
  </si>
  <si>
    <t>2025-11-24 03:25:44</t>
  </si>
  <si>
    <t>Mokslininkų g. 16, Vilniaus m., Vilniaus m. sav.</t>
  </si>
  <si>
    <t>2025-11-24 03:25:46</t>
  </si>
  <si>
    <t>2025-11-24 03:25:48</t>
  </si>
  <si>
    <t>2025-11-24 03:25:59</t>
  </si>
  <si>
    <t>2025-11-24 03:26:03</t>
  </si>
  <si>
    <t>2025-11-24 03:26:14</t>
  </si>
  <si>
    <t>2025-11-24 03:26:26</t>
  </si>
  <si>
    <t>Skroblų g. 13, Vilniaus m., Vilniaus m. sav.</t>
  </si>
  <si>
    <t>2025-11-24 03:26:37</t>
  </si>
  <si>
    <t>Vilniaus g. 30, Vilniaus m., Vilniaus m. sav.</t>
  </si>
  <si>
    <t>2025-11-24 03:26:42</t>
  </si>
  <si>
    <t>Panerių g. 37, Vilniaus m., Vilniaus m. sav.</t>
  </si>
  <si>
    <t>2025-11-24 03:26:46</t>
  </si>
  <si>
    <t>Švitrigailos g. 33, Vilniaus m., Vilniaus m. sav.</t>
  </si>
  <si>
    <t>2025-11-24 03:26:54</t>
  </si>
  <si>
    <t>2025-11-24 03:27:00</t>
  </si>
  <si>
    <t>2025-11-24 03:27:07</t>
  </si>
  <si>
    <t>2025-11-24 03:27:13</t>
  </si>
  <si>
    <t>Savanorių pr. 1, Vilniaus m., Vilniaus m. sav.</t>
  </si>
  <si>
    <t>2025-11-24 03:27:16</t>
  </si>
  <si>
    <t>Žemaitės g. 17, Vilniaus m., Vilniaus m. sav.</t>
  </si>
  <si>
    <t>2025-11-24 03:27:32</t>
  </si>
  <si>
    <t>Lvovo g. 37, Vilniaus m., Vilniaus m. sav.</t>
  </si>
  <si>
    <t>2025-11-24 03:27:38</t>
  </si>
  <si>
    <t>Akademijos g. 7, Vilniaus m., Vilniaus m. sav.</t>
  </si>
  <si>
    <t>2025-11-24 03:27:39</t>
  </si>
  <si>
    <t>2025-11-24 03:27:53</t>
  </si>
  <si>
    <t>Klaipėdos g. 7, Vilniaus m., Vilniaus m. sav.</t>
  </si>
  <si>
    <t>2025-11-24 03:28:03</t>
  </si>
  <si>
    <t>Ateities g. 2E, Vilniaus m., Vilniaus m. sav.</t>
  </si>
  <si>
    <t>2025-11-24 03:28:05</t>
  </si>
  <si>
    <t>Vilniaus g. 41, Vilniaus m., Vilniaus m. sav.</t>
  </si>
  <si>
    <t>2025-11-24 03:28:24</t>
  </si>
  <si>
    <t>2025-11-24 03:28:29</t>
  </si>
  <si>
    <t>Viršilų g. 11, Vilniaus m., Vilniaus m. sav.</t>
  </si>
  <si>
    <t>2025-11-24 03:29:50</t>
  </si>
  <si>
    <t>2025-11-24 03:28:40</t>
  </si>
  <si>
    <t>2025-11-24 03:28:43</t>
  </si>
  <si>
    <t>Dzūkų g. 57, Vilniaus m., Vilniaus m. sav.</t>
  </si>
  <si>
    <t>2025-11-24 03:28:52</t>
  </si>
  <si>
    <t>2025-11-24 03:29:30</t>
  </si>
  <si>
    <t>Panerių g. 41, Vilniaus m., Vilniaus m. sav.</t>
  </si>
  <si>
    <t>Panerių g. 41A, Vilniaus m., Vilniaus m. sav.</t>
  </si>
  <si>
    <t>2025-11-24 03:29:59</t>
  </si>
  <si>
    <t>Dominikonų g. 6, Vilniaus m., Vilniaus m. sav.</t>
  </si>
  <si>
    <t>2025-11-24 03:30:09</t>
  </si>
  <si>
    <t>Birželio 23-iosios g. 10, Vilniaus m., Vilniaus m. sav.</t>
  </si>
  <si>
    <t>2025-11-24 03:30:10</t>
  </si>
  <si>
    <t>2025-11-24 03:30:25</t>
  </si>
  <si>
    <t>2025-11-24 03:30:33</t>
  </si>
  <si>
    <t>2025-11-24 03:30:35</t>
  </si>
  <si>
    <t>2025-11-24 03:30:38</t>
  </si>
  <si>
    <t>M. K. Čiurlionio g. 110B, Vilniaus m., Vilniaus m. sav.</t>
  </si>
  <si>
    <t>2025-11-24 03:30:40</t>
  </si>
  <si>
    <t>2025-11-24 03:30:41</t>
  </si>
  <si>
    <t>2025-11-24 03:30:43</t>
  </si>
  <si>
    <t>2025-11-24 03:30:45</t>
  </si>
  <si>
    <t>Ateities g. 1E, Vilniaus m., Vilniaus m. sav.</t>
  </si>
  <si>
    <t>2025-11-24 03:30:47</t>
  </si>
  <si>
    <t>2025-11-24 03:30:50</t>
  </si>
  <si>
    <t>Mokslininkų g. 12A, Vilniaus m., Vilniaus m. sav.</t>
  </si>
  <si>
    <t>2025-11-24 03:30:51</t>
  </si>
  <si>
    <t>2025-11-24 03:30:54</t>
  </si>
  <si>
    <t>P. Lukšio g. 4, Vilniaus m., Vilniaus m. sav.</t>
  </si>
  <si>
    <t>2025-11-24 03:30:57</t>
  </si>
  <si>
    <t>2025-11-24 03:31:06</t>
  </si>
  <si>
    <t>Konstitucijos pr. 3, Vilniaus m., Vilniaus m. sav.</t>
  </si>
  <si>
    <t>2025-11-24 03:31:07</t>
  </si>
  <si>
    <t>2025-11-24 11:35:31</t>
  </si>
  <si>
    <t>T. Ševčenkos g. 31, Vilniaus m., Vilniaus m. sav.</t>
  </si>
  <si>
    <t>2025-11-24 03:31:16</t>
  </si>
  <si>
    <t>Vytenio g. 63A, Vilniaus m., Vilniaus m. sav.</t>
  </si>
  <si>
    <t>2025-11-24 03:31:30</t>
  </si>
  <si>
    <t>2025-11-24 03:31:42</t>
  </si>
  <si>
    <t>2025-11-24 03:32:10</t>
  </si>
  <si>
    <t>P. Lukšio g. 1, Vilniaus m., Vilniaus m. sav.</t>
  </si>
  <si>
    <t>2025-11-24 03:32:13</t>
  </si>
  <si>
    <t>Dzūkų g. 38, Vilniaus m., Vilniaus m. sav.</t>
  </si>
  <si>
    <t>Ateities g. 1, Vilniaus m., Vilniaus m. sav.</t>
  </si>
  <si>
    <t>2025-11-24 03:32:35</t>
  </si>
  <si>
    <t>Ateities g. 5, Vilniaus m., Vilniaus m. sav.</t>
  </si>
  <si>
    <t>2025-11-24 03:33:15</t>
  </si>
  <si>
    <t>Viršilų g. 6, Vilniaus m., Vilniaus m. sav.</t>
  </si>
  <si>
    <t>2025-11-24 03:33:25</t>
  </si>
  <si>
    <t>Ateities g. 7, Vilniaus m., Vilniaus m. sav.</t>
  </si>
  <si>
    <t>2025-11-24 03:33:26</t>
  </si>
  <si>
    <t>2025-11-24 03:33:34</t>
  </si>
  <si>
    <t>Akademijos g. 4, Vilniaus m., Vilniaus m. sav.</t>
  </si>
  <si>
    <t>2025-11-24 03:33:35</t>
  </si>
  <si>
    <t>S. Konarskio g. 21, Vilniaus m., Vilniaus m. sav.</t>
  </si>
  <si>
    <t>2025-11-24 03:33:46</t>
  </si>
  <si>
    <t>2025-11-24 03:34:07</t>
  </si>
  <si>
    <t>Žemaitės g. 6, Vilniaus m., Vilniaus m. sav.</t>
  </si>
  <si>
    <t>2025-11-24 03:34:08</t>
  </si>
  <si>
    <t>Konstitucijos pr. 24, Vilniaus m., Vilniaus m. sav.</t>
  </si>
  <si>
    <t>2025-11-24 03:34:21</t>
  </si>
  <si>
    <t>2025-11-24 03:34:22</t>
  </si>
  <si>
    <t>Kauno g. 32A, Vilniaus m., Vilniaus m. sav.</t>
  </si>
  <si>
    <t>2025-11-24 03:34:32</t>
  </si>
  <si>
    <t>2025-11-24 03:34:33</t>
  </si>
  <si>
    <t>Geležinio Vilko g. 25, Vilniaus m., Vilniaus m. sav.</t>
  </si>
  <si>
    <t>2025-11-24 03:34:58</t>
  </si>
  <si>
    <t>2025-11-24 03:35:11</t>
  </si>
  <si>
    <t>2025-11-24 03:35:16</t>
  </si>
  <si>
    <t>2025-11-24 03:35:22</t>
  </si>
  <si>
    <t>2025-11-24 03:36:11</t>
  </si>
  <si>
    <t>Baltupio g. 81, Vilniaus m., Vilniaus m. sav.</t>
  </si>
  <si>
    <t>2025-11-24 03:36:15</t>
  </si>
  <si>
    <t>Rudaminos g. 12, Vilniaus m., Vilniaus m. sav.</t>
  </si>
  <si>
    <t>2025-11-24 03:36:21</t>
  </si>
  <si>
    <t>2025-11-24 03:36:53</t>
  </si>
  <si>
    <t>2025-11-24 03:37:13</t>
  </si>
  <si>
    <t>Kedrų g. 6, Vilniaus m., Vilniaus m. sav.</t>
  </si>
  <si>
    <t>2025-11-24 03:37:28</t>
  </si>
  <si>
    <t>Kauno g. 27, Vilniaus m., Vilniaus m. sav.</t>
  </si>
  <si>
    <t xml:space="preserve">Konteineris neišstumtas
</t>
  </si>
  <si>
    <t>2025-11-24 03:37:42</t>
  </si>
  <si>
    <t>2025-11-24 03:37:45</t>
  </si>
  <si>
    <t>Justiniškių g. 49, Vilniaus m., Vilniaus m. sav.</t>
  </si>
  <si>
    <t>2025-11-24 03:38:24</t>
  </si>
  <si>
    <t>Vytenio g. 46B, Vilniaus m., Vilniaus m. sav.</t>
  </si>
  <si>
    <t>2025-11-24 03:38:28</t>
  </si>
  <si>
    <t>Amatų g. 9, Vilniaus m., Vilniaus m. sav.</t>
  </si>
  <si>
    <t>2025-11-24 03:38:31</t>
  </si>
  <si>
    <t>Vilniaus g. 28, Vilniaus m., Vilniaus m. sav.</t>
  </si>
  <si>
    <t>Upės g. 6, Vilniaus m., Vilniaus m. sav.</t>
  </si>
  <si>
    <t>2025-11-24 03:38:36</t>
  </si>
  <si>
    <t>Justiniškių g. 57, Vilniaus m., Vilniaus m. sav.</t>
  </si>
  <si>
    <t>2025-11-24 03:38:45</t>
  </si>
  <si>
    <t>P. Lukšio g. 3, Vilniaus m., Vilniaus m. sav.</t>
  </si>
  <si>
    <t>2025-11-24 03:39:04</t>
  </si>
  <si>
    <t>2025-11-24 03:39:05</t>
  </si>
  <si>
    <t>2025-11-24 03:39:09</t>
  </si>
  <si>
    <t>2025-11-24 03:39:19</t>
  </si>
  <si>
    <t>Rudaminos g. 7, Vilniaus m., Vilniaus m. sav.</t>
  </si>
  <si>
    <t>2025-11-24 03:39:43</t>
  </si>
  <si>
    <t>Baltupio g. 73, Vilniaus m., Vilniaus m. sav.</t>
  </si>
  <si>
    <t>2025-11-24 03:40:00</t>
  </si>
  <si>
    <t>2025-11-24 03:40:09</t>
  </si>
  <si>
    <t>2025-11-24 04:22:48</t>
  </si>
  <si>
    <t>S. Konarskio g. 24, Vilniaus m., Vilniaus m. sav.</t>
  </si>
  <si>
    <t>2025-11-24 03:40:21</t>
  </si>
  <si>
    <t>Bajorų kelio 1-oji g. 4, Vilniaus m., Vilniaus m. sav.</t>
  </si>
  <si>
    <t>2025-11-24 03:40:39</t>
  </si>
  <si>
    <t>Naugarduko g. 62, Vilniaus m., Vilniaus m. sav.</t>
  </si>
  <si>
    <t>2025-11-24 03:40:42</t>
  </si>
  <si>
    <t>M. K. Čiurlionio g. 21, Vilniaus m., Vilniaus m. sav.</t>
  </si>
  <si>
    <t>2025-11-24 03:40:43</t>
  </si>
  <si>
    <t>2025-11-24 03:40:45</t>
  </si>
  <si>
    <t>2025-11-24 03:40:47</t>
  </si>
  <si>
    <t>2025-11-24 03:40:50</t>
  </si>
  <si>
    <t>2025-11-24 03:40:51</t>
  </si>
  <si>
    <t>2025-11-24 03:40:55</t>
  </si>
  <si>
    <t>2025-11-24 03:40:58</t>
  </si>
  <si>
    <t>2025-11-24 03:41:14</t>
  </si>
  <si>
    <t>Šešuolių g. 9A, Vilniaus m., Vilniaus m. sav.</t>
  </si>
  <si>
    <t>2025-11-24 03:41:25</t>
  </si>
  <si>
    <t>2025-11-24 03:41:28</t>
  </si>
  <si>
    <t>2025-11-24 03:41:30</t>
  </si>
  <si>
    <t>2025-11-24 03:41:52</t>
  </si>
  <si>
    <t>2025-11-24 03:42:25</t>
  </si>
  <si>
    <t>Kauno g. 34, Vilniaus m., Vilniaus m. sav.</t>
  </si>
  <si>
    <t>2025-11-24 03:42:39</t>
  </si>
  <si>
    <t>2025-11-24 03:42:44</t>
  </si>
  <si>
    <t>2025-11-24 03:42:45</t>
  </si>
  <si>
    <t>A. Goštauto g. 12, Vilniaus m., Vilniaus m. sav.</t>
  </si>
  <si>
    <t>V. Pietario g. 8, Vilniaus m., Vilniaus m. sav.</t>
  </si>
  <si>
    <t>2025-11-24 03:42:46</t>
  </si>
  <si>
    <t>Dzūkų g. 6A, Vilniaus m., Vilniaus m. sav.</t>
  </si>
  <si>
    <t>2025-11-24 03:43:10</t>
  </si>
  <si>
    <t>2025-11-24 03:43:24</t>
  </si>
  <si>
    <t>2025-11-24 03:43:30</t>
  </si>
  <si>
    <t>2025-11-24 03:43:35</t>
  </si>
  <si>
    <t>Verkių g. 36, Vilniaus m., Vilniaus m. sav.</t>
  </si>
  <si>
    <t>2025-11-24 03:43:50</t>
  </si>
  <si>
    <t>Vilniaus g. 24, Vilniaus m., Vilniaus m. sav.</t>
  </si>
  <si>
    <t>2025-11-24 03:44:10</t>
  </si>
  <si>
    <t>M. K. Čiurlionio g. 23, Vilniaus m., Vilniaus m. sav.</t>
  </si>
  <si>
    <t>2025-11-24 03:44:12</t>
  </si>
  <si>
    <t>Viršuliškių g. 57, Vilniaus m., Vilniaus m. sav.</t>
  </si>
  <si>
    <t>2025-11-24 03:44:31</t>
  </si>
  <si>
    <t>2025-11-24 03:44:47</t>
  </si>
  <si>
    <t>Panerių g. 49, Vilniaus m., Vilniaus m. sav.</t>
  </si>
  <si>
    <t>2025-11-24 03:44:50</t>
  </si>
  <si>
    <t>2025-11-24 03:44:51</t>
  </si>
  <si>
    <t>2025-11-24 03:44:57</t>
  </si>
  <si>
    <t>2025-11-24 03:45:03</t>
  </si>
  <si>
    <t>2025-11-24 03:45:05</t>
  </si>
  <si>
    <t>Viršuliškių g. 38, Vilniaus m., Vilniaus m. sav.</t>
  </si>
  <si>
    <t>2025-11-24 03:45:20</t>
  </si>
  <si>
    <t>2025-11-24 03:45:36</t>
  </si>
  <si>
    <t>2025-11-24 03:45:57</t>
  </si>
  <si>
    <t>2025-11-24 03:46:03</t>
  </si>
  <si>
    <t>Gedimino pr. 64, Vilniaus m., Vilniaus m. sav.</t>
  </si>
  <si>
    <t>2025-11-24 03:46:16</t>
  </si>
  <si>
    <t>Dzūkų g. 15, Vilniaus m., Vilniaus m. sav.</t>
  </si>
  <si>
    <t>2025-11-24 03:46:17</t>
  </si>
  <si>
    <t>2025-11-24 03:46:22</t>
  </si>
  <si>
    <t>2025-11-24 03:46:32</t>
  </si>
  <si>
    <t>2025-11-24 03:46:37</t>
  </si>
  <si>
    <t>Naugarduko g. 84, Vilniaus m., Vilniaus m. sav.</t>
  </si>
  <si>
    <t>2025-11-24 03:46:39</t>
  </si>
  <si>
    <t>Bajorų Kelio 4-oji g. 1, Vilniaus m., Vilniaus m. sav.</t>
  </si>
  <si>
    <t>2025-11-24 03:46:47</t>
  </si>
  <si>
    <t>2025-11-24 03:46:52</t>
  </si>
  <si>
    <t>Liejyklos g. 4, Vilniaus m., Vilniaus m. sav.</t>
  </si>
  <si>
    <t>2025-11-24 03:46:55</t>
  </si>
  <si>
    <t>2025-11-24 03:47:07</t>
  </si>
  <si>
    <t>2025-11-24 03:47:12</t>
  </si>
  <si>
    <t>2025-11-24 03:47:20</t>
  </si>
  <si>
    <t>2025-11-24 03:47:28</t>
  </si>
  <si>
    <t>2025-11-24 03:47:40</t>
  </si>
  <si>
    <t>Žemaitės g. 9, Vilniaus m., Vilniaus m. sav.</t>
  </si>
  <si>
    <t>2025-11-24 03:47:53</t>
  </si>
  <si>
    <t>2025-11-24 03:47:57</t>
  </si>
  <si>
    <t>2025-11-24 03:47:59</t>
  </si>
  <si>
    <t>2025-11-24 03:48:08</t>
  </si>
  <si>
    <t>Liejyklos g. 9, Vilniaus m., Vilniaus m. sav.</t>
  </si>
  <si>
    <t>2025-11-24 03:48:19</t>
  </si>
  <si>
    <t>2025-11-24 03:48:51</t>
  </si>
  <si>
    <t>2025-11-24 03:49:07</t>
  </si>
  <si>
    <t>2025-11-24 03:49:12</t>
  </si>
  <si>
    <t>Geležinio Vilko g. 8, Vilniaus m., Vilniaus m. sav.</t>
  </si>
  <si>
    <t>2025-11-24 03:49:28</t>
  </si>
  <si>
    <t>S. Konarskio g. 27, Vilniaus m., Vilniaus m. sav.</t>
  </si>
  <si>
    <t>2025-11-24 03:49:31</t>
  </si>
  <si>
    <t>Santaros g. 3, Vilniaus m., Vilniaus m. sav.</t>
  </si>
  <si>
    <t>2025-11-24 03:49:35</t>
  </si>
  <si>
    <t>2025-11-24 03:50:00</t>
  </si>
  <si>
    <t>J. Jasinskio g. 16D, Vilniaus m., Vilniaus m. sav.</t>
  </si>
  <si>
    <t>2025-11-24 03:50:09</t>
  </si>
  <si>
    <t>2025-11-24 03:50:10</t>
  </si>
  <si>
    <t>Žemaitės g. 7, Vilniaus m., Vilniaus m. sav.</t>
  </si>
  <si>
    <t>2025-11-24 03:50:47</t>
  </si>
  <si>
    <t>Kauno g. 36, Vilniaus m., Vilniaus m. sav.</t>
  </si>
  <si>
    <t>2025-11-24 03:50:54</t>
  </si>
  <si>
    <t>Liejyklos g. 7, Vilniaus m., Vilniaus m. sav.</t>
  </si>
  <si>
    <t>2025-11-24 03:51:12</t>
  </si>
  <si>
    <t>Dzūkų g. 35, Vilniaus m., Vilniaus m. sav.</t>
  </si>
  <si>
    <t>2025-11-24 03:51:18</t>
  </si>
  <si>
    <t>2025-11-24 03:51:32</t>
  </si>
  <si>
    <t>Vinco Kudirkos g. 4, Vilniaus m., Vilniaus m. sav.</t>
  </si>
  <si>
    <t>Verkių g. 44, Vilniaus m., Vilniaus m. sav.</t>
  </si>
  <si>
    <t>2025-11-24 03:51:52</t>
  </si>
  <si>
    <t>Gedimino pr. 47, Vilniaus m., Vilniaus m. sav.</t>
  </si>
  <si>
    <t>2025-11-24 03:51:58</t>
  </si>
  <si>
    <t>Justiniškių g. 75, Vilniaus m., Vilniaus m. sav.</t>
  </si>
  <si>
    <t>2025-11-24 03:52:07</t>
  </si>
  <si>
    <t>2025-11-24 03:52:17</t>
  </si>
  <si>
    <t>Bajorų kel. 8, Vilniaus m., Vilniaus m. sav.</t>
  </si>
  <si>
    <t>2025-11-24 03:52:21</t>
  </si>
  <si>
    <t>2025-11-24 03:52:25</t>
  </si>
  <si>
    <t>2025-11-24 03:52:26</t>
  </si>
  <si>
    <t>Nočios g. 4, Vilniaus m., Vilniaus m. sav.</t>
  </si>
  <si>
    <t>2025-11-24 03:53:12</t>
  </si>
  <si>
    <t>Beržyno g. 7A, Vilniaus m., Vilniaus m. sav.</t>
  </si>
  <si>
    <t>2025-11-24 03:53:15</t>
  </si>
  <si>
    <t>Šv. Ignoto g. 3, Vilniaus m., Vilniaus m. sav.</t>
  </si>
  <si>
    <t>2025-11-24 03:53:18</t>
  </si>
  <si>
    <t>Panevėžio g. 29, Vilniaus m., Vilniaus m. sav.</t>
  </si>
  <si>
    <t>2025-11-24 03:53:21</t>
  </si>
  <si>
    <t>Šv. Ignoto g. 5, Vilniaus m., Vilniaus m. sav.</t>
  </si>
  <si>
    <t>2025-11-24 03:53:27</t>
  </si>
  <si>
    <t>Šv. Ignoto g. 6, Vilniaus m., Vilniaus m. sav.</t>
  </si>
  <si>
    <t>2025-11-24 03:53:33</t>
  </si>
  <si>
    <t>Šv. Ignoto g. 4, Vilniaus m., Vilniaus m. sav.</t>
  </si>
  <si>
    <t>2025-11-24 03:53:40</t>
  </si>
  <si>
    <t>Skroblų g. 11, Vilniaus m., Vilniaus m. sav.</t>
  </si>
  <si>
    <t>2025-11-24 03:53:41</t>
  </si>
  <si>
    <t>Akademijos g. 2, Vilniaus m., Vilniaus m. sav.</t>
  </si>
  <si>
    <t>2025-11-24 03:54:16</t>
  </si>
  <si>
    <t>J. Savickio g. 11, Vilniaus m., Vilniaus m. sav.</t>
  </si>
  <si>
    <t>2025-11-24 03:54:17</t>
  </si>
  <si>
    <t>Dominikonų g. 8, Vilniaus m., Vilniaus m. sav.</t>
  </si>
  <si>
    <t>Uždaryti užtvarai/konteinerinės patalpos</t>
  </si>
  <si>
    <t>2025-11-24 03:54:27</t>
  </si>
  <si>
    <t>Santariškių g. 14, Vilniaus m., Vilniaus m. sav.</t>
  </si>
  <si>
    <t>2025-11-24 03:54:57</t>
  </si>
  <si>
    <t>2025-11-24 03:55:03</t>
  </si>
  <si>
    <t>Totorių g. 30, Vilniaus m., Vilniaus m. sav.</t>
  </si>
  <si>
    <t>2025-11-24 03:55:05</t>
  </si>
  <si>
    <t>Gedimino pr. 44A, Vilniaus m., Vilniaus m. sav.</t>
  </si>
  <si>
    <t>2025-11-24 03:55:09</t>
  </si>
  <si>
    <t>2025-11-24 03:55:15</t>
  </si>
  <si>
    <t>2025-11-24 03:55:19</t>
  </si>
  <si>
    <t>2025-11-24 04:32:25</t>
  </si>
  <si>
    <t>2025-11-24 03:55:23</t>
  </si>
  <si>
    <t>Justiniškių g. 69, Vilniaus m., Vilniaus m. sav.</t>
  </si>
  <si>
    <t>2025-11-24 03:55:27</t>
  </si>
  <si>
    <t>2025-11-24 03:55:28</t>
  </si>
  <si>
    <t>Kareivių g. 2C, Vilniaus m., Vilniaus m. sav.</t>
  </si>
  <si>
    <t>2025-11-24 03:55:46</t>
  </si>
  <si>
    <t>Žemaitės g. 15C, Vilniaus m., Vilniaus m. sav.</t>
  </si>
  <si>
    <t>2025-11-24 03:55:53</t>
  </si>
  <si>
    <t>2025-11-24 03:56:00</t>
  </si>
  <si>
    <t>2025-11-24 03:56:05</t>
  </si>
  <si>
    <t>2025-11-24 03:56:20</t>
  </si>
  <si>
    <t>2025-11-24 03:56:45</t>
  </si>
  <si>
    <t>Kalvarijų g. 88, Vilniaus m., Vilniaus m. sav.</t>
  </si>
  <si>
    <t>2025-11-24 03:56:46</t>
  </si>
  <si>
    <t>2025-11-24 03:56:49</t>
  </si>
  <si>
    <t>2025-11-24 03:56:55</t>
  </si>
  <si>
    <t>2025-11-24 03:57:11</t>
  </si>
  <si>
    <t>Totorių g. 21, Vilniaus m., Vilniaus m. sav.</t>
  </si>
  <si>
    <t>2025-11-24 03:57:29</t>
  </si>
  <si>
    <t>2025-11-24 03:57:32</t>
  </si>
  <si>
    <t>Kapsų g. 40, Vilniaus m., Vilniaus m. sav.</t>
  </si>
  <si>
    <t>2025-11-24 03:57:40</t>
  </si>
  <si>
    <t>2025-11-24 03:57:53</t>
  </si>
  <si>
    <t>Tauro g. 8, Vilniaus m., Vilniaus m. sav.</t>
  </si>
  <si>
    <t>2025-11-24 03:58:06</t>
  </si>
  <si>
    <t>2025-11-24 03:58:58</t>
  </si>
  <si>
    <t>Z. Sierakausko g. 17, Vilniaus m., Vilniaus m. sav.</t>
  </si>
  <si>
    <t>2025-11-24 03:59:25</t>
  </si>
  <si>
    <t>Gedimino pr. 44B, Vilniaus m., Vilniaus m. sav.</t>
  </si>
  <si>
    <t>2025-11-24 03:59:27</t>
  </si>
  <si>
    <t>2025-11-24 03:59:31</t>
  </si>
  <si>
    <t>2025-11-24 03:59:47</t>
  </si>
  <si>
    <t>Totorių g. 19, Vilniaus m., Vilniaus m. sav.</t>
  </si>
  <si>
    <t>2025-11-24 03:59:54</t>
  </si>
  <si>
    <t>Smolensko g. 6, Vilniaus m., Vilniaus m. sav.</t>
  </si>
  <si>
    <t>2025-11-24 03:59:58</t>
  </si>
  <si>
    <t>2025-11-24 04:00:10</t>
  </si>
  <si>
    <t>Broniaus Krivicko g. 50, Vilniaus m., Vilniaus m. sav.</t>
  </si>
  <si>
    <t>2025-11-24 04:00:26</t>
  </si>
  <si>
    <t>Žalgirio g. 123, Vilniaus m., Vilniaus m. sav.</t>
  </si>
  <si>
    <t>2025-11-24 04:00:47</t>
  </si>
  <si>
    <t>Kalvarijų g. 59, Vilniaus m., Vilniaus m. sav.</t>
  </si>
  <si>
    <t>2025-11-24 04:00:52</t>
  </si>
  <si>
    <t>Z. Sierakausko g. 15A, Vilniaus m., Vilniaus m. sav.</t>
  </si>
  <si>
    <t>2025-11-24 04:01:21</t>
  </si>
  <si>
    <t>Viršuliškių g. 51, Vilniaus m., Vilniaus m. sav.</t>
  </si>
  <si>
    <t>2025-11-24 04:01:35</t>
  </si>
  <si>
    <t>K. Kalinausko g. 10, Vilniaus m., Vilniaus m. sav.</t>
  </si>
  <si>
    <t>2025-11-24 04:02:03</t>
  </si>
  <si>
    <t>Kalvarijų g. 49, Vilniaus m., Vilniaus m. sav.</t>
  </si>
  <si>
    <t>2025-11-24 04:02:11</t>
  </si>
  <si>
    <t>Verkių g. 71, Vilniaus m., Vilniaus m. sav.</t>
  </si>
  <si>
    <t>2025-11-24 04:02:37</t>
  </si>
  <si>
    <t>Vilniaus m. BA3</t>
  </si>
  <si>
    <t>Vaduvos g. 4A, Vilniaus m., Vilniaus m. sav.</t>
  </si>
  <si>
    <t>UAB „Kauno švara“</t>
  </si>
  <si>
    <t>2025-11-24 04:02:38</t>
  </si>
  <si>
    <t>Kalvarijų g. 143, Vilniaus m., Vilniaus m. sav.</t>
  </si>
  <si>
    <t>2025-11-24 04:03:03</t>
  </si>
  <si>
    <t>2025-11-24 04:03:07</t>
  </si>
  <si>
    <t>Viršuliškių g. 41A, Vilniaus m., Vilniaus m. sav.</t>
  </si>
  <si>
    <t>Gedimino pr. 56, Vilniaus m., Vilniaus m. sav.</t>
  </si>
  <si>
    <t>2025-11-24 04:03:08</t>
  </si>
  <si>
    <t>2025-11-24 04:03:13</t>
  </si>
  <si>
    <t>2025-11-24 04:03:24</t>
  </si>
  <si>
    <t>2025-11-24 04:03:43</t>
  </si>
  <si>
    <t>2025-11-24 04:03:48</t>
  </si>
  <si>
    <t>2025-11-24 04:42:57</t>
  </si>
  <si>
    <t>Kapsų g. 11, Vilniaus m., Vilniaus m. sav.</t>
  </si>
  <si>
    <t>2025-11-24 04:03:59</t>
  </si>
  <si>
    <t>2025-11-24 04:04:00</t>
  </si>
  <si>
    <t>2025-11-24 04:42:15</t>
  </si>
  <si>
    <t>Pakalnio g. 18, Vilniaus m., Vilniaus m. sav.</t>
  </si>
  <si>
    <t>2025-11-24 04:04:03</t>
  </si>
  <si>
    <t>2025-11-24 04:04:07</t>
  </si>
  <si>
    <t>Vilniaus g. 29, Vilniaus m., Vilniaus m. sav.</t>
  </si>
  <si>
    <t>2025-11-24 04:04:19</t>
  </si>
  <si>
    <t>2025-11-24 04:04:20</t>
  </si>
  <si>
    <t>Naugarduko g. 76, Vilniaus m., Vilniaus m. sav.</t>
  </si>
  <si>
    <t>2025-11-24 04:04:25</t>
  </si>
  <si>
    <t>Kalvarijų g. 34, Vilniaus m., Vilniaus m. sav.</t>
  </si>
  <si>
    <t>2025-11-24 04:04:30</t>
  </si>
  <si>
    <t>Viršuliškių g. 35, Vilniaus m., Vilniaus m. sav.</t>
  </si>
  <si>
    <t>2025-11-24 04:04:43</t>
  </si>
  <si>
    <t>2025-11-24 04:04:52</t>
  </si>
  <si>
    <t>Žaliųjų Ežerų g. 20, Vilniaus m., Vilniaus m. sav.</t>
  </si>
  <si>
    <t>2025-11-24 04:05:19</t>
  </si>
  <si>
    <t>2025-11-24 04:05:27</t>
  </si>
  <si>
    <t>Pakalnės g. 13, Vilniaus m., Vilniaus m. sav.</t>
  </si>
  <si>
    <t>2025-11-24 04:05:28</t>
  </si>
  <si>
    <t>Žalgirio g. 135, Vilniaus m., Vilniaus m. sav.</t>
  </si>
  <si>
    <t>Lvivo g. 21, Vilniaus m., Vilniaus m. sav.</t>
  </si>
  <si>
    <t>2025-11-24 04:05:32</t>
  </si>
  <si>
    <t>Žalgirio g. 137, Vilniaus m., Vilniaus m. sav.</t>
  </si>
  <si>
    <t>2025-11-24 04:05:42</t>
  </si>
  <si>
    <t>Kapsų g. 7, Vilniaus m., Vilniaus m. sav.</t>
  </si>
  <si>
    <t>2025-11-24 04:05:44</t>
  </si>
  <si>
    <t>Žaliųjų Ežerų g. 18, Vilniaus m., Vilniaus m. sav.</t>
  </si>
  <si>
    <t>2025-11-24 04:05:45</t>
  </si>
  <si>
    <t>Kalvarijų g. 151, Vilniaus m., Vilniaus m. sav.</t>
  </si>
  <si>
    <t>2025-11-24 04:05:46</t>
  </si>
  <si>
    <t>2025-11-24 04:05:58</t>
  </si>
  <si>
    <t>2025-11-24 04:05:59</t>
  </si>
  <si>
    <t>2025-11-24 04:06:11</t>
  </si>
  <si>
    <t>2025-11-24 04:06:12</t>
  </si>
  <si>
    <t>2025-11-24 04:06:21</t>
  </si>
  <si>
    <t>2025-11-24 04:06:26</t>
  </si>
  <si>
    <t>2025-11-24 04:06:36</t>
  </si>
  <si>
    <t>2025-11-24 04:06:46</t>
  </si>
  <si>
    <t>2025-11-24 04:06:51</t>
  </si>
  <si>
    <t>2025-11-24 04:06:47</t>
  </si>
  <si>
    <t>2025-11-24 04:06:50</t>
  </si>
  <si>
    <t>Linkmenų g. 19, Vilniaus m., Vilniaus m. sav.</t>
  </si>
  <si>
    <t>Pylimo g. 9, Vilniaus m., Vilniaus m. sav.</t>
  </si>
  <si>
    <t>2025-11-24 04:07:02</t>
  </si>
  <si>
    <t>2025-11-24 04:07:03</t>
  </si>
  <si>
    <t>Titnago g. 7, Vilniaus m., Vilniaus m. sav.</t>
  </si>
  <si>
    <t>2025-11-24 04:07:07</t>
  </si>
  <si>
    <t>2025-11-24 04:07:12</t>
  </si>
  <si>
    <t>2025-11-24 04:07:17</t>
  </si>
  <si>
    <t>2025-11-24 04:07:13</t>
  </si>
  <si>
    <t>Birželio 23-iosios g. 2, Vilniaus m., Vilniaus m. sav.</t>
  </si>
  <si>
    <t>2025-11-24 04:07:20</t>
  </si>
  <si>
    <t>Viršuliškių g. 25, Vilniaus m., Vilniaus m. sav.</t>
  </si>
  <si>
    <t>2025-11-24 04:07:22</t>
  </si>
  <si>
    <t>2025-11-24 04:07:23</t>
  </si>
  <si>
    <t>2025-11-24 04:07:26</t>
  </si>
  <si>
    <t>Ventos g. 18, Vilniaus m., Vilniaus m. sav.</t>
  </si>
  <si>
    <t>2025-11-24 04:07:37</t>
  </si>
  <si>
    <t>2025-11-24 04:12:16</t>
  </si>
  <si>
    <t>2025-11-24 04:07:55</t>
  </si>
  <si>
    <t>2025-11-24 04:08:04</t>
  </si>
  <si>
    <t>J. Jasinskio g. 7, Vilniaus m., Vilniaus m. sav.</t>
  </si>
  <si>
    <t>2025-11-24 04:08:05</t>
  </si>
  <si>
    <t>Geležinio Vilko g. 29, Vilniaus m., Vilniaus m. sav.</t>
  </si>
  <si>
    <t>2025-11-24 04:08:07</t>
  </si>
  <si>
    <t>2025-11-24 04:08:18</t>
  </si>
  <si>
    <t>Kapsų g. 22, Vilniaus m., Vilniaus m. sav.</t>
  </si>
  <si>
    <t>2025-11-24 04:08:28</t>
  </si>
  <si>
    <t>2025-11-24 04:08:31</t>
  </si>
  <si>
    <t>2025-11-24 04:08:40</t>
  </si>
  <si>
    <t>2025-11-24 04:08:46</t>
  </si>
  <si>
    <t>2025-11-24 04:08:51</t>
  </si>
  <si>
    <t>Naugarduko g. 38, Vilniaus m., Vilniaus m. sav.</t>
  </si>
  <si>
    <t>2025-11-24 04:09:07</t>
  </si>
  <si>
    <t>2025-11-24 04:09:08</t>
  </si>
  <si>
    <t>A. Rotundo g. 4A, Vilniaus m., Vilniaus m. sav.</t>
  </si>
  <si>
    <t>2025-11-24 04:09:15</t>
  </si>
  <si>
    <t>2025-11-24 04:09:47</t>
  </si>
  <si>
    <t>2025-11-24 04:09:49</t>
  </si>
  <si>
    <t>Širvintų g. 73, Vilniaus m., Vilniaus m. sav.</t>
  </si>
  <si>
    <t>2025-11-24 04:09:53</t>
  </si>
  <si>
    <t>J. Jasinskio g. 14A, Vilniaus m., Vilniaus m. sav.</t>
  </si>
  <si>
    <t>2025-11-24 04:10:00</t>
  </si>
  <si>
    <t>Lobio g. 17, Vilniaus m., Vilniaus m. sav.</t>
  </si>
  <si>
    <t>2025-11-24 04:10:06</t>
  </si>
  <si>
    <t>Viršuliškių g. 20, Vilniaus m., Vilniaus m. sav.</t>
  </si>
  <si>
    <t>2025-11-24 04:10:13</t>
  </si>
  <si>
    <t>2025-11-24 04:10:16</t>
  </si>
  <si>
    <t>J. Jasinskio g. 5, Vilniaus m., Vilniaus m. sav.</t>
  </si>
  <si>
    <t>2025-11-24 04:10:18</t>
  </si>
  <si>
    <t>Kapsų g. 3, Vilniaus m., Vilniaus m. sav.</t>
  </si>
  <si>
    <t>2025-11-24 04:10:34</t>
  </si>
  <si>
    <t>Vilniaus g. 18, Vilniaus m., Vilniaus m. sav.</t>
  </si>
  <si>
    <t>2025-11-24 04:10:38</t>
  </si>
  <si>
    <t>Vilniaus g. 16, Vilniaus m., Vilniaus m. sav.</t>
  </si>
  <si>
    <t>Noragiškių g. 2, Vilniaus m., Vilniaus m. sav.</t>
  </si>
  <si>
    <t>2025-11-24 04:10:39</t>
  </si>
  <si>
    <t>Birželio 23-iosios g. 10A, Vilniaus m., Vilniaus m. sav.</t>
  </si>
  <si>
    <t>2025-11-24 04:10:53</t>
  </si>
  <si>
    <t>Žvalgų g. 7, Vilniaus m., Vilniaus m. sav.</t>
  </si>
  <si>
    <t>2025-11-24 04:11:03</t>
  </si>
  <si>
    <t>J. Jasinskio g. 14, Vilniaus m., Vilniaus m. sav.</t>
  </si>
  <si>
    <t>2025-11-24 04:11:06</t>
  </si>
  <si>
    <t>Gedimino pr. 9A, Vilniaus m., Vilniaus m. sav.</t>
  </si>
  <si>
    <t>2025-11-24 04:11:19</t>
  </si>
  <si>
    <t>2025-11-24 04:11:21</t>
  </si>
  <si>
    <t>2025-11-24 04:11:47</t>
  </si>
  <si>
    <t>Jankiškių g. 2, Vilniaus m., Vilniaus m. sav.</t>
  </si>
  <si>
    <t>2025-11-24 04:11:50</t>
  </si>
  <si>
    <t>2025-11-24 04:11:58</t>
  </si>
  <si>
    <t>2025-11-24 04:12:01</t>
  </si>
  <si>
    <t>Pakalnės g. 7A, Vilniaus m., Vilniaus m. sav.</t>
  </si>
  <si>
    <t>2025-11-24 04:12:24</t>
  </si>
  <si>
    <t>Dariaus ir Girėno g. 8, Vilniaus m., Vilniaus m. sav.</t>
  </si>
  <si>
    <t>2025-11-24 04:12:37</t>
  </si>
  <si>
    <t>Naugarduko g. 13, Vilniaus m., Vilniaus m. sav.</t>
  </si>
  <si>
    <t>2025-11-24 04:12:42</t>
  </si>
  <si>
    <t>Lvovo g. 25, Vilniaus m., Vilniaus m. sav.</t>
  </si>
  <si>
    <t>2025-11-24 04:12:43</t>
  </si>
  <si>
    <t>Naugarduko g. 26, Vilniaus m., Vilniaus m. sav.</t>
  </si>
  <si>
    <t>2025-11-24 04:13:09</t>
  </si>
  <si>
    <t>Viršuliškių g. 23, Vilniaus m., Vilniaus m. sav.</t>
  </si>
  <si>
    <t>2025-11-24 04:13:37</t>
  </si>
  <si>
    <t>2025-11-24 04:13:40</t>
  </si>
  <si>
    <t>2025-11-24 04:13:43</t>
  </si>
  <si>
    <t>2025-11-24 04:13:45</t>
  </si>
  <si>
    <t>Trinapolio g. 3, Vilniaus m., Vilniaus m. sav.</t>
  </si>
  <si>
    <t>2025-11-24 04:13:47</t>
  </si>
  <si>
    <t>Savanorių pr. 221, Vilniaus m., Vilniaus m. sav.</t>
  </si>
  <si>
    <t>2025-11-24 04:13:48</t>
  </si>
  <si>
    <t>Baltupio g. 14, Vilniaus m., Vilniaus m. sav.</t>
  </si>
  <si>
    <t>2025-11-24 04:13:54</t>
  </si>
  <si>
    <t>2025-11-24 04:13:56</t>
  </si>
  <si>
    <t>2025-11-24 04:14:02</t>
  </si>
  <si>
    <t>Pakalnės g. 2, Vilniaus m., Vilniaus m. sav.</t>
  </si>
  <si>
    <t>2025-11-24 04:14:05</t>
  </si>
  <si>
    <t>2025-11-24 04:14:20</t>
  </si>
  <si>
    <t>Lvovo g. 25-101, Vilniaus m., Vilniaus m. sav.</t>
  </si>
  <si>
    <t>2025-11-24 04:14:21</t>
  </si>
  <si>
    <t>Viršuliškių g. 18, Vilniaus m., Vilniaus m. sav.</t>
  </si>
  <si>
    <t>2025-11-24 04:14:34</t>
  </si>
  <si>
    <t>Totorių g. 8, Vilniaus m., Vilniaus m. sav.</t>
  </si>
  <si>
    <t>2025-11-24 04:14:35</t>
  </si>
  <si>
    <t>T. Ševčenkos g. 18, Vilniaus m., Vilniaus m. sav.</t>
  </si>
  <si>
    <t>2025-11-24 04:14:48</t>
  </si>
  <si>
    <t>Kazio Borutos g. 24, Vilniaus m., Vilniaus m. sav.</t>
  </si>
  <si>
    <t>2025-11-24 04:14:53</t>
  </si>
  <si>
    <t>A. Vienuolio g. 6, Vilniaus m., Vilniaus m. sav.</t>
  </si>
  <si>
    <t>2025-11-24 04:14:55</t>
  </si>
  <si>
    <t>2025-11-24 04:15:15</t>
  </si>
  <si>
    <t>2025-11-24 04:15:35</t>
  </si>
  <si>
    <t>2025-11-24 04:15:41</t>
  </si>
  <si>
    <t>2025-11-24 04:15:43</t>
  </si>
  <si>
    <t>Šaltinių g. 5, Vilniaus m., Vilniaus m. sav.</t>
  </si>
  <si>
    <t>2025-11-24 04:15:44</t>
  </si>
  <si>
    <t>2025-11-24 04:15:47</t>
  </si>
  <si>
    <t>2025-11-24 04:15:56</t>
  </si>
  <si>
    <t>2025-11-24 04:16:03</t>
  </si>
  <si>
    <t>Gedimino pr. 44, Vilniaus m., Vilniaus m. sav.</t>
  </si>
  <si>
    <t>2025-11-24 04:16:05</t>
  </si>
  <si>
    <t>2025-11-24 04:16:06</t>
  </si>
  <si>
    <t>2025-11-24 04:16:08</t>
  </si>
  <si>
    <t>2025-11-24 04:16:10</t>
  </si>
  <si>
    <t>2025-11-24 04:16:14</t>
  </si>
  <si>
    <t>2025-11-24 04:52:28</t>
  </si>
  <si>
    <t>2025-11-24 04:16:16</t>
  </si>
  <si>
    <t>2025-11-24 04:16:22</t>
  </si>
  <si>
    <t>2025-11-24 04:16:23</t>
  </si>
  <si>
    <t>Viršuliškių g. 10, Vilniaus m., Vilniaus m. sav.</t>
  </si>
  <si>
    <t>2025-11-24 04:21:25</t>
  </si>
  <si>
    <t>Giedraičių g. 100, Vilniaus m., Vilniaus m. sav.</t>
  </si>
  <si>
    <t>2025-11-24 04:16:28</t>
  </si>
  <si>
    <t>2025-11-24 04:16:58</t>
  </si>
  <si>
    <t>Ateities g. 15, Vilniaus m., Vilniaus m. sav.</t>
  </si>
  <si>
    <t>2025-11-24 04:17:03</t>
  </si>
  <si>
    <t>2025-11-24 04:17:12</t>
  </si>
  <si>
    <t>Gedimino pr. 10, Vilniaus m., Vilniaus m. sav.</t>
  </si>
  <si>
    <t>2025-11-24 04:17:29</t>
  </si>
  <si>
    <t>2025-11-24 04:17:37</t>
  </si>
  <si>
    <t>Konstitucijos pr. 7, Vilniaus m., Vilniaus m. sav.</t>
  </si>
  <si>
    <t>2025-11-24 04:17:39</t>
  </si>
  <si>
    <t>2025-11-24 04:17:41</t>
  </si>
  <si>
    <t>2025-11-24 04:52:53</t>
  </si>
  <si>
    <t>2025-11-24 04:17:42</t>
  </si>
  <si>
    <t>Savanorių pr. 178, Vilnius, Vilniaus r. sav.</t>
  </si>
  <si>
    <t>2025-11-24 04:17:48</t>
  </si>
  <si>
    <t>Savanorių pr. 178, Vilniaus m., Vilniaus m. sav.</t>
  </si>
  <si>
    <t>2025-11-24 04:17:52</t>
  </si>
  <si>
    <t>A. Goštauto g. 1, Vilniaus m., Vilniaus m. sav.</t>
  </si>
  <si>
    <t>2025-11-24 04:18:07</t>
  </si>
  <si>
    <t>2025-11-24 04:18:13</t>
  </si>
  <si>
    <t>2025-11-24 04:18:30</t>
  </si>
  <si>
    <t>Viršuliškių g. 13, Vilniaus m., Vilniaus m. sav.</t>
  </si>
  <si>
    <t>2025-11-24 04:18:31</t>
  </si>
  <si>
    <t>Mindaugo g. 25, Vilniaus m., Vilniaus m. sav.</t>
  </si>
  <si>
    <t>2025-11-24 04:18:35</t>
  </si>
  <si>
    <t>Gedimino pr. 60, Vilniaus m., Vilniaus m. sav.</t>
  </si>
  <si>
    <t>2025-11-24 04:18:39</t>
  </si>
  <si>
    <t>2025-11-24 04:18:40</t>
  </si>
  <si>
    <t>Konduktorių g. 4, Vilniaus m., Vilniaus m. sav.</t>
  </si>
  <si>
    <t>2025-11-24 04:18:41</t>
  </si>
  <si>
    <t>2025-11-24 04:18:44</t>
  </si>
  <si>
    <t>T. Ševčenkos g. 27, Vilniaus m., Vilniaus m. sav.</t>
  </si>
  <si>
    <t>2025-11-24 04:18:45</t>
  </si>
  <si>
    <t>Giedraičių g. 59, Vilniaus m., Vilniaus m. sav.</t>
  </si>
  <si>
    <t>2025-11-24 04:18:50</t>
  </si>
  <si>
    <t>Trinapolio g. 25, Vilniaus m., Vilniaus m. sav.</t>
  </si>
  <si>
    <t>2025-11-24 04:18:58</t>
  </si>
  <si>
    <t>Tilto g. 27, Vilniaus m., Vilniaus m. sav.</t>
  </si>
  <si>
    <t>2025-11-24 04:19:10</t>
  </si>
  <si>
    <t>2025-11-24 04:19:15</t>
  </si>
  <si>
    <t>2025-11-24 04:34:47</t>
  </si>
  <si>
    <t>Savanorių pr. 176B, Vilniaus m., Vilniaus m. sav.</t>
  </si>
  <si>
    <t>2025-11-24 04:19:19</t>
  </si>
  <si>
    <t>Mykolo Lietuvio g. 6, Vilniaus m., Vilniaus m. sav.</t>
  </si>
  <si>
    <t>2025-11-24 04:19:22</t>
  </si>
  <si>
    <t>2025-11-24 04:19:33</t>
  </si>
  <si>
    <t>Konstitucijos pr. 7A, Vilniaus m., Vilniaus m. sav.</t>
  </si>
  <si>
    <t>2025-11-24 04:19:39</t>
  </si>
  <si>
    <t>Račių g. 1, Vilniaus m., Vilniaus m. sav.</t>
  </si>
  <si>
    <t>2025-11-24 04:19:41</t>
  </si>
  <si>
    <t>2025-11-24 04:19:44</t>
  </si>
  <si>
    <t>2025-11-24 04:20:05</t>
  </si>
  <si>
    <t>2025-11-24 04:20:20</t>
  </si>
  <si>
    <t>2025-11-24 04:20:25</t>
  </si>
  <si>
    <t>2025-11-24 04:20:32</t>
  </si>
  <si>
    <t>Kauno g. 7, Vilniaus m., Vilniaus m. sav.</t>
  </si>
  <si>
    <t>2025-11-24 04:20:38</t>
  </si>
  <si>
    <t>2025-11-24 05:02:27</t>
  </si>
  <si>
    <t>2025-11-24 04:20:55</t>
  </si>
  <si>
    <t>2025-11-24 04:21:04</t>
  </si>
  <si>
    <t>2025-11-24 04:21:12</t>
  </si>
  <si>
    <t>2025-11-24 04:21:32</t>
  </si>
  <si>
    <t>2025-11-24 04:21:35</t>
  </si>
  <si>
    <t>2025-11-24 05:05:22</t>
  </si>
  <si>
    <t>2025-11-24 04:21:40</t>
  </si>
  <si>
    <t>Jurgio Matulaičio a. 5, Vilniaus m., Vilniaus m. sav.</t>
  </si>
  <si>
    <t>2025-11-24 04:21:42</t>
  </si>
  <si>
    <t>Mindaugo g. 23, Vilniaus m., Vilniaus m. sav.</t>
  </si>
  <si>
    <t>2025-11-24 04:21:47</t>
  </si>
  <si>
    <t>2025-11-24 04:21:59</t>
  </si>
  <si>
    <t>2025-11-24 04:22:07</t>
  </si>
  <si>
    <t>Liejyklos g. 8, Vilniaus m., Vilniaus m. sav.</t>
  </si>
  <si>
    <t>2025-11-24 04:22:11</t>
  </si>
  <si>
    <t>2025-11-24 04:22:17</t>
  </si>
  <si>
    <t>Verkių g. 5, Vilniaus m., Vilniaus m. sav.</t>
  </si>
  <si>
    <t>2025-11-24 04:22:21</t>
  </si>
  <si>
    <t>2025-11-24 04:22:24</t>
  </si>
  <si>
    <t>2025-11-24 05:02:52</t>
  </si>
  <si>
    <t>Ateities g. 20, Vilniaus m., Vilniaus m. sav.</t>
  </si>
  <si>
    <t>2025-11-24 04:22:35</t>
  </si>
  <si>
    <t>Savanorių pr. 176E, Vilniaus m., Vilniaus m. sav.</t>
  </si>
  <si>
    <t>2025-11-24 04:22:53</t>
  </si>
  <si>
    <t>2025-11-24 04:22:57</t>
  </si>
  <si>
    <t>Lenktoji g. 55, Vilniaus m., Vilniaus m. sav.</t>
  </si>
  <si>
    <t>Neišstumtas konteineris</t>
  </si>
  <si>
    <t>2025-11-24 04:32:11</t>
  </si>
  <si>
    <t>2025-11-24 04:23:07</t>
  </si>
  <si>
    <t>2025-11-24 04:23:13</t>
  </si>
  <si>
    <t>2025-11-24 04:23:14</t>
  </si>
  <si>
    <t>Mindaugo g. 42, Vilniaus m., Vilniaus m. sav.</t>
  </si>
  <si>
    <t xml:space="preserve">Nepravažiuojamas kelias
</t>
  </si>
  <si>
    <t>2025-11-24 04:23:16</t>
  </si>
  <si>
    <t>Didlaukio g. 65, Vilniaus m., Vilniaus m. sav.</t>
  </si>
  <si>
    <t>2025-11-24 04:23:18</t>
  </si>
  <si>
    <t>T. Kosciuškos g. 11, Vilniaus m., Vilniaus m. sav.</t>
  </si>
  <si>
    <t>2025-11-24 04:23:30</t>
  </si>
  <si>
    <t>T. Ševčenkos g. 19A, Vilniaus m., Vilniaus m. sav.</t>
  </si>
  <si>
    <t>2025-11-24 04:23:31</t>
  </si>
  <si>
    <t>Savanorių pr. 176, Vilniaus m., Vilniaus m. sav.</t>
  </si>
  <si>
    <t>2025-11-24 04:23:34</t>
  </si>
  <si>
    <t>2025-11-24 04:23:38</t>
  </si>
  <si>
    <t>2025-11-24 04:23:43</t>
  </si>
  <si>
    <t>Savanorių pr. 176F, Vilniaus m., Vilniaus m. sav.</t>
  </si>
  <si>
    <t>2025-11-24 04:23:51</t>
  </si>
  <si>
    <t>2025-11-24 04:24:04</t>
  </si>
  <si>
    <t>2025-11-24 04:24:23</t>
  </si>
  <si>
    <t>Lvovo g. 39, Vilniaus m., Vilniaus m. sav.</t>
  </si>
  <si>
    <t>2025-11-24 04:24:29</t>
  </si>
  <si>
    <t>2025-11-24 04:24:33</t>
  </si>
  <si>
    <t>2025-11-24 04:24:44</t>
  </si>
  <si>
    <t>2025-11-24 04:24:51</t>
  </si>
  <si>
    <t>2025-11-24 04:25:04</t>
  </si>
  <si>
    <t>2025-11-24 04:25:18</t>
  </si>
  <si>
    <t>2025-11-24 04:25:22</t>
  </si>
  <si>
    <t>Didlaukio g. 63, Vilniaus m., Vilniaus m. sav.</t>
  </si>
  <si>
    <t>2025-11-24 04:25:26</t>
  </si>
  <si>
    <t>Kalvarijų g. 195, Vilniaus m., Vilniaus m. sav.</t>
  </si>
  <si>
    <t>2025-11-24 04:25:43</t>
  </si>
  <si>
    <t>Lvivo g.  38, Vilniaus m., Vilniaus m. sav.</t>
  </si>
  <si>
    <t>2025-11-24 04:25:57</t>
  </si>
  <si>
    <t>Totorių g. 24, Vilniaus m., Vilniaus m. sav.</t>
  </si>
  <si>
    <t>2025-11-24 04:25:58</t>
  </si>
  <si>
    <t>2025-11-24 04:26:03</t>
  </si>
  <si>
    <t>2025-11-24 04:26:14</t>
  </si>
  <si>
    <t>Krivių g. 48, Vilniaus m., Vilniaus m. sav.</t>
  </si>
  <si>
    <t>2025-11-24 04:26:17</t>
  </si>
  <si>
    <t>2025-11-24 04:26:26</t>
  </si>
  <si>
    <t>Gedimino pr. 51, Vilniaus m., Vilniaus m. sav.</t>
  </si>
  <si>
    <t>2025-11-24 04:26:28</t>
  </si>
  <si>
    <t>Verkių g. 3, Vilniaus m., Vilniaus m. sav.</t>
  </si>
  <si>
    <t>2025-11-24 04:26:31</t>
  </si>
  <si>
    <t>2025-11-24 04:26:32</t>
  </si>
  <si>
    <t>2025-11-24 04:26:36</t>
  </si>
  <si>
    <t>Šlaito g. 22, Vilniaus m., Vilniaus m. sav.</t>
  </si>
  <si>
    <t>Laisvės pr. 51A, Vilniaus m., Vilniaus m. sav.</t>
  </si>
  <si>
    <t>2025-11-24 04:26:40</t>
  </si>
  <si>
    <t>2025-11-24 04:26:49</t>
  </si>
  <si>
    <t>J. Jasinskio g. 16, Vilniaus m., Vilniaus m. sav.</t>
  </si>
  <si>
    <t>2025-11-24 04:26:59</t>
  </si>
  <si>
    <t>2025-11-24 04:27:03</t>
  </si>
  <si>
    <t>2025-11-24 04:27:06</t>
  </si>
  <si>
    <t>Krivių g. 35A, Vilniaus m., Vilniaus m. sav.</t>
  </si>
  <si>
    <t>2025-11-24 04:27:12</t>
  </si>
  <si>
    <t>A. Tumėno g. 4, Vilniaus m., Vilniaus m. sav.</t>
  </si>
  <si>
    <t>2025-11-24 04:27:14</t>
  </si>
  <si>
    <t>2025-11-24 04:27:20</t>
  </si>
  <si>
    <t>2025-11-24 04:27:23</t>
  </si>
  <si>
    <t>2025-11-24 04:27:39</t>
  </si>
  <si>
    <t>L. Stuokos-Gucevičiaus g. 11, Vilniaus m., Vilniaus m. sav.</t>
  </si>
  <si>
    <t>2025-11-24 04:27:42</t>
  </si>
  <si>
    <t>Smolensko g. 39, Vilniaus m., Vilniaus m. sav.</t>
  </si>
  <si>
    <t>2025-11-24 04:27:43</t>
  </si>
  <si>
    <t>Lvovo g. 89A, Vilniaus m., Vilniaus m. sav.</t>
  </si>
  <si>
    <t>2025-11-24 04:27:44</t>
  </si>
  <si>
    <t>Gynėjų g. 8, Vilniaus m., Vilniaus m. sav.</t>
  </si>
  <si>
    <t>2025-11-24 04:27:47</t>
  </si>
  <si>
    <t>2025-11-24 04:27:58</t>
  </si>
  <si>
    <t>Didlaukio g. 51, Vilniaus m., Vilniaus m. sav.</t>
  </si>
  <si>
    <t>2025-11-24 04:27:59</t>
  </si>
  <si>
    <t>2025-11-24 04:28:19</t>
  </si>
  <si>
    <t>2025-11-24 04:28:25</t>
  </si>
  <si>
    <t>2025-11-24 04:28:31</t>
  </si>
  <si>
    <t>Savanorių pr. 178B, Vilniaus m., Vilniaus m. sav.</t>
  </si>
  <si>
    <t>2025-11-24 04:28:46</t>
  </si>
  <si>
    <t>Didlaukio g. 86E, Vilniaus m., Vilniaus m. sav.</t>
  </si>
  <si>
    <t>2025-11-24 04:28:52</t>
  </si>
  <si>
    <t>2025-11-24 04:28:58</t>
  </si>
  <si>
    <t>2025-11-24 04:29:01</t>
  </si>
  <si>
    <t>Krivių g. 10A, Vilniaus m., Vilniaus m. sav.</t>
  </si>
  <si>
    <t>2025-11-24 04:29:21</t>
  </si>
  <si>
    <t>2025-11-24 04:29:31</t>
  </si>
  <si>
    <t>2025-11-24 04:29:36</t>
  </si>
  <si>
    <t>Lvovo g. 56, Vilniaus m., Vilniaus m. sav.</t>
  </si>
  <si>
    <t>2025-11-24 04:29:43</t>
  </si>
  <si>
    <t>2025-11-24 04:29:50</t>
  </si>
  <si>
    <t>Kalvarijų g. 124, Vilniaus m., Vilniaus m. sav.</t>
  </si>
  <si>
    <t>2025-11-24 04:30:07</t>
  </si>
  <si>
    <t>2025-11-24 04:30:16</t>
  </si>
  <si>
    <t>Buivydiškių g. 15, Vilniaus m., Vilniaus m. sav.</t>
  </si>
  <si>
    <t>2025-11-24 04:30:34</t>
  </si>
  <si>
    <t>Vašingtono a. 1, Vilniaus m., Vilniaus m. sav.</t>
  </si>
  <si>
    <t>2025-11-24 04:30:36</t>
  </si>
  <si>
    <t>2025-11-24 05:13:00</t>
  </si>
  <si>
    <t>2025-11-24 04:30:38</t>
  </si>
  <si>
    <t>2025-11-24 04:30:39</t>
  </si>
  <si>
    <t>2025-11-24 04:30:44</t>
  </si>
  <si>
    <t>Sodų g. 14, Vilniaus m., Vilniaus m. sav.</t>
  </si>
  <si>
    <t>2025-11-24 04:30:51</t>
  </si>
  <si>
    <t>2025-11-24 04:30:48</t>
  </si>
  <si>
    <t>Račių g. 12, Vilniaus m., Vilniaus m. sav.</t>
  </si>
  <si>
    <t>Mokslininkų g. 5-14, Vilniaus m., Vilniaus m. sav.</t>
  </si>
  <si>
    <t>2025-11-24 04:31:00</t>
  </si>
  <si>
    <t>Didlaukio g. 84, Vilniaus m., Vilniaus m. sav.</t>
  </si>
  <si>
    <t>2025-11-24 04:31:04</t>
  </si>
  <si>
    <t>S. Daukanto a. 1, Vilniaus m., Vilniaus m. sav.</t>
  </si>
  <si>
    <t>2025-11-24 04:31:09</t>
  </si>
  <si>
    <t>2025-11-24 04:31:16</t>
  </si>
  <si>
    <t>2025-11-24 04:31:31</t>
  </si>
  <si>
    <t>Mokslininkų g. 5-16, Vilniaus m., Vilniaus m. sav.</t>
  </si>
  <si>
    <t>Mokslininkų g. 5, Vilniaus m., Vilniaus m. sav.</t>
  </si>
  <si>
    <t>2025-11-24 04:31:40</t>
  </si>
  <si>
    <t>2025-11-24 05:13:04</t>
  </si>
  <si>
    <t>Didlaukio g. 47, Vilniaus m., Vilniaus m. sav.</t>
  </si>
  <si>
    <t>2025-11-24 04:31:45</t>
  </si>
  <si>
    <t>2025-11-24 04:31:46</t>
  </si>
  <si>
    <t>2025-11-24 04:31:49</t>
  </si>
  <si>
    <t>Filaretų g. 17A, Vilniaus m., Vilniaus m. sav.</t>
  </si>
  <si>
    <t>2025-11-24 04:31:52</t>
  </si>
  <si>
    <t>L. Stuokos-Gucevičiaus g. 7, Vilniaus m., Vilniaus m. sav.</t>
  </si>
  <si>
    <t xml:space="preserve">Konteineris neišstumtas
</t>
  </si>
  <si>
    <t>2025-11-24 04:31:55</t>
  </si>
  <si>
    <t>2025-11-24 04:31:56</t>
  </si>
  <si>
    <t>Konstitucijos pr. 25, Vilniaus m., Vilniaus m. sav.</t>
  </si>
  <si>
    <t>2025-11-24 04:31:57</t>
  </si>
  <si>
    <t>2025-11-24 04:32:05</t>
  </si>
  <si>
    <t>Didlaukio g. 80A, Vilniaus m., Vilniaus m. sav.</t>
  </si>
  <si>
    <t>Mokslininkų g. 5-17, Vilniaus m., Vilniaus m. sav.</t>
  </si>
  <si>
    <t>2025-11-24 04:32:16</t>
  </si>
  <si>
    <t>2025-11-24 04:32:20</t>
  </si>
  <si>
    <t>2025-11-24 04:32:29</t>
  </si>
  <si>
    <t>2025-11-24 04:32:32</t>
  </si>
  <si>
    <t>Didlaukio g. 57, Vilniaus m., Vilniaus m. sav.</t>
  </si>
  <si>
    <t>2025-11-24 04:32:43</t>
  </si>
  <si>
    <t>Mokslininkų g. 5-19, Vilniaus m., Vilniaus m. sav.</t>
  </si>
  <si>
    <t>Mokslininkų g. 5-18, Vilniaus m., Vilniaus m. sav.</t>
  </si>
  <si>
    <t>2025-11-24 04:32:46</t>
  </si>
  <si>
    <t>2025-11-24 04:32:59</t>
  </si>
  <si>
    <t>Mokslininkų g. 5-13, Vilniaus m., Vilniaus m. sav.</t>
  </si>
  <si>
    <t>2025-11-24 04:33:22</t>
  </si>
  <si>
    <t>Liongino Baliukevičiaus-Dzūko g. 4, Vilniaus m., Vilniaus m. sav.</t>
  </si>
  <si>
    <t>2025-11-24 04:33:28</t>
  </si>
  <si>
    <t>Kalvarijų g. 99, Vilniaus m., Vilniaus m. sav.</t>
  </si>
  <si>
    <t>2025-11-24 04:33:34</t>
  </si>
  <si>
    <t>J. Basanavičiaus g. 41, Vilniaus m., Vilniaus m. sav.</t>
  </si>
  <si>
    <t>2025-11-24 04:33:36</t>
  </si>
  <si>
    <t>Vilkpėdės g. 7, Vilniaus m., Vilniaus m. sav.</t>
  </si>
  <si>
    <t>2025-11-24 04:34:07</t>
  </si>
  <si>
    <t>Mokslininkų g. 5-4, Vilniaus m., Vilniaus m. sav.</t>
  </si>
  <si>
    <t>2025-11-24 04:34:16</t>
  </si>
  <si>
    <t>Universiteto g. 14, Vilniaus m., Vilniaus m. sav.</t>
  </si>
  <si>
    <t>2025-11-24 04:34:22</t>
  </si>
  <si>
    <t>Čiobiškio g. 1, Vilniaus m., Vilniaus m. sav.</t>
  </si>
  <si>
    <t>2025-11-24 04:34:40</t>
  </si>
  <si>
    <t>2025-11-24 04:34:42</t>
  </si>
  <si>
    <t>2025-11-24 04:34:43</t>
  </si>
  <si>
    <t>Mokslininkų g. 5-7, Vilniaus m., Vilniaus m. sav.</t>
  </si>
  <si>
    <t>Olandų g. 51, Vilniaus m., Vilniaus m. sav.</t>
  </si>
  <si>
    <t>2025-11-24 04:34:52</t>
  </si>
  <si>
    <t>J. Basanavičiaus g. 45, Vilniaus m., Vilniaus m. sav.</t>
  </si>
  <si>
    <t>2025-11-24 04:35:19</t>
  </si>
  <si>
    <t>2025-11-24 04:35:22</t>
  </si>
  <si>
    <t>Lvovo g. 105A, Vilniaus m., Vilniaus m. sav.</t>
  </si>
  <si>
    <t>2025-11-24 04:35:28</t>
  </si>
  <si>
    <t>2025-11-24 04:35:31</t>
  </si>
  <si>
    <t>2025-11-24 04:35:32</t>
  </si>
  <si>
    <t>Lvovo g. 101, Vilniaus m., Vilniaus m. sav.</t>
  </si>
  <si>
    <t>2025-11-24 04:35:34</t>
  </si>
  <si>
    <t>2025-11-24 04:35:35</t>
  </si>
  <si>
    <t>Aušros Vartų g. 27, Vilniaus m., Vilniaus m. sav.</t>
  </si>
  <si>
    <t>2025-11-24 04:35:39</t>
  </si>
  <si>
    <t>2025-11-24 04:36:01</t>
  </si>
  <si>
    <t>Ateities g. 77, Vilniaus m., Vilniaus m. sav.</t>
  </si>
  <si>
    <t>2025-11-24 04:36:09</t>
  </si>
  <si>
    <t>2025-11-24 04:36:14</t>
  </si>
  <si>
    <t>2025-11-24 04:36:15</t>
  </si>
  <si>
    <t>Mokslininkų g. 5-11, Vilniaus m., Vilniaus m. sav.</t>
  </si>
  <si>
    <t>2025-11-24 04:36:19</t>
  </si>
  <si>
    <t>Polocko g. 43, Vilniaus m., Vilniaus m. sav.</t>
  </si>
  <si>
    <t>2025-11-24 04:36:25</t>
  </si>
  <si>
    <t>Geležinkelio g. 1, Vilniaus m., Vilniaus m. sav.</t>
  </si>
  <si>
    <t>2025-11-24 04:36:28</t>
  </si>
  <si>
    <t>Ateities g. 21A, Vilniaus m., Vilniaus m. sav.</t>
  </si>
  <si>
    <t>2025-11-24 04:36:29</t>
  </si>
  <si>
    <t>2025-11-24 04:36:44</t>
  </si>
  <si>
    <t>2025-11-24 04:36:46</t>
  </si>
  <si>
    <t>2025-11-24 04:36:50</t>
  </si>
  <si>
    <t>Kalvarijų g. 148, Vilniaus m., Vilniaus m. sav.</t>
  </si>
  <si>
    <t>2025-11-24 04:36:52</t>
  </si>
  <si>
    <t>2025-11-24 04:37:28</t>
  </si>
  <si>
    <t>Geležinio Vilko g. 37A, Vilniaus m., Vilniaus m. sav.</t>
  </si>
  <si>
    <t>2025-11-24 04:37:35</t>
  </si>
  <si>
    <t>Fizikų g. 9, Vilniaus m., Vilniaus m. sav.</t>
  </si>
  <si>
    <t>2025-11-24 04:37:40</t>
  </si>
  <si>
    <t>L. Stuokos-Gucevičiaus g. 5, Vilniaus m., Vilniaus m. sav.</t>
  </si>
  <si>
    <t>2025-11-24 04:37:42</t>
  </si>
  <si>
    <t>Čiobiškio g. 10, Vilniaus m., Vilniaus m. sav.</t>
  </si>
  <si>
    <t>2025-11-24 04:37:52</t>
  </si>
  <si>
    <t>2025-11-24 04:38:11</t>
  </si>
  <si>
    <t>Didlaukio g. 82, Vilniaus m., Vilniaus m. sav.</t>
  </si>
  <si>
    <t>2025-11-24 04:38:14</t>
  </si>
  <si>
    <t>Gynėjų g. 4, Vilniaus m., Vilniaus m. sav.</t>
  </si>
  <si>
    <t>2025-11-24 04:38:15</t>
  </si>
  <si>
    <t>2025-11-24 04:38:17</t>
  </si>
  <si>
    <t>Fizikų g. 7, Vilniaus m., Vilniaus m. sav.</t>
  </si>
  <si>
    <t>2025-11-24 04:38:22</t>
  </si>
  <si>
    <t>Katedros a. 2, Vilniaus m., Vilniaus m. sav.</t>
  </si>
  <si>
    <t>2025-11-24 04:38:27</t>
  </si>
  <si>
    <t>Seinų g. 1, Vilniaus m., Vilniaus m. sav.</t>
  </si>
  <si>
    <t>2025-11-24 04:38:28</t>
  </si>
  <si>
    <t>Zarasų g. 5A, Vilniaus m., Vilniaus m. sav.</t>
  </si>
  <si>
    <t>2025-11-24 04:38:31</t>
  </si>
  <si>
    <t>Kolektyvo g. 36, Vilniaus m., Vilniaus m. sav.</t>
  </si>
  <si>
    <t>2025-11-24 04:38:41</t>
  </si>
  <si>
    <t>Seinų g. 3, Vilniaus m., Vilniaus m. sav.</t>
  </si>
  <si>
    <t>2025-11-24 04:38:45</t>
  </si>
  <si>
    <t>Žirmūnų g. 48E, Vilniaus m., Vilniaus m. sav.</t>
  </si>
  <si>
    <t>2025-11-24 04:38:50</t>
  </si>
  <si>
    <t>2025-11-24 04:38:51</t>
  </si>
  <si>
    <t>Ateities g. 48, Vilniaus m., Vilniaus m. sav.</t>
  </si>
  <si>
    <t>2025-11-24 04:38:59</t>
  </si>
  <si>
    <t>V. Pietario g. 5, Vilniaus m., Vilniaus m. sav.</t>
  </si>
  <si>
    <t>2025-11-24 04:39:07</t>
  </si>
  <si>
    <t>Fizikų g. 5B, Vilniaus m., Vilniaus m. sav.</t>
  </si>
  <si>
    <t>2025-11-24 04:39:08</t>
  </si>
  <si>
    <t>2025-11-24 04:39:12</t>
  </si>
  <si>
    <t>2025-11-24 04:39:20</t>
  </si>
  <si>
    <t>2025-11-24 04:39:48</t>
  </si>
  <si>
    <t>Elektrinės g. 6, Vilniaus m., Vilniaus m. sav.</t>
  </si>
  <si>
    <t>2025-11-24 04:39:49</t>
  </si>
  <si>
    <t>Apkasų g. 3, Vilniaus m., Vilniaus m. sav.</t>
  </si>
  <si>
    <t>2025-11-24 04:39:52</t>
  </si>
  <si>
    <t>2025-11-24 04:40:08</t>
  </si>
  <si>
    <t>Ateities g. 37, Vilniaus m., Vilniaus m. sav.</t>
  </si>
  <si>
    <t>2025-11-24 04:40:17</t>
  </si>
  <si>
    <t>Fizikų g. 3, Vilniaus m., Vilniaus m. sav.</t>
  </si>
  <si>
    <t>2025-11-24 04:40:21</t>
  </si>
  <si>
    <t>Geležinkelio g. 6, Vilniaus m., Vilniaus m. sav.</t>
  </si>
  <si>
    <t>2025-11-24 04:40:31</t>
  </si>
  <si>
    <t>2025-11-24 04:40:33</t>
  </si>
  <si>
    <t>Jono Kazlausko g. 33, Vilniaus m., Vilniaus m. sav.</t>
  </si>
  <si>
    <t>2025-11-24 04:40:34</t>
  </si>
  <si>
    <t>Čiobiškio g. 11, Vilniaus m., Vilniaus m. sav.</t>
  </si>
  <si>
    <t>2025-11-24 04:40:47</t>
  </si>
  <si>
    <t>2025-11-24 04:40:48</t>
  </si>
  <si>
    <t>2025-11-24 04:40:50</t>
  </si>
  <si>
    <t>2025-11-24 05:22:30</t>
  </si>
  <si>
    <t>Subačiaus g. 47, Vilniaus m., Vilniaus m. sav.</t>
  </si>
  <si>
    <t>2025-11-24 04:40:53</t>
  </si>
  <si>
    <t>Fizikų g. 1B, Vilniaus m., Vilniaus m. sav.</t>
  </si>
  <si>
    <t>2025-11-24 04:41:00</t>
  </si>
  <si>
    <t>Šventaragio g. 2, Vilniaus m., Vilniaus m. sav.</t>
  </si>
  <si>
    <t>2025-11-24 04:41:04</t>
  </si>
  <si>
    <t>Vytenio g. 18, Vilniaus m., Vilniaus m. sav.</t>
  </si>
  <si>
    <t>2025-11-24 04:41:05</t>
  </si>
  <si>
    <t>2025-11-24 04:41:06</t>
  </si>
  <si>
    <t>2025-11-24 04:41:15</t>
  </si>
  <si>
    <t>Žirmūnų g. 52, Vilniaus m., Vilniaus m. sav.</t>
  </si>
  <si>
    <t>2025-11-24 04:41:22</t>
  </si>
  <si>
    <t>2025-11-24 04:41:30</t>
  </si>
  <si>
    <t>2025-11-24 04:41:31</t>
  </si>
  <si>
    <t>Fabijoniškių g. 90C, Vilniaus m., Vilniaus m. sav.</t>
  </si>
  <si>
    <t>2025-11-24 04:41:32</t>
  </si>
  <si>
    <t>Gynėjų g. 16, Vilniaus m., Vilniaus m. sav.</t>
  </si>
  <si>
    <t>2025-11-24 04:41:33</t>
  </si>
  <si>
    <t>Fizikų g. 1A-1, Vilniaus m., Vilniaus m. sav.</t>
  </si>
  <si>
    <t>2025-11-24 04:41:35</t>
  </si>
  <si>
    <t>Didlaukio g. 49, Vilniaus m., Vilniaus m. sav.</t>
  </si>
  <si>
    <t>2025-11-24 04:41:38</t>
  </si>
  <si>
    <t>2025-11-24 04:41:40</t>
  </si>
  <si>
    <t>2025-11-24 04:41:41</t>
  </si>
  <si>
    <t>2025-11-24 04:41:44</t>
  </si>
  <si>
    <t>2025-11-24 04:41:45</t>
  </si>
  <si>
    <t>Geležinio Vilko g. 39, Vilniaus m., Vilniaus m. sav.</t>
  </si>
  <si>
    <t>2025-11-24 04:41:46</t>
  </si>
  <si>
    <t>Antano Tumėno g. 4, Vilniaus m., Vilniaus m. sav.</t>
  </si>
  <si>
    <t>2025-11-24 04:42:02</t>
  </si>
  <si>
    <t>2025-11-24 04:42:12</t>
  </si>
  <si>
    <t>S. Konarskio g. 12, Vilniaus m., Vilniaus m. sav.</t>
  </si>
  <si>
    <t>2025-11-24 04:42:26</t>
  </si>
  <si>
    <t>2025-11-24 04:42:27</t>
  </si>
  <si>
    <t>Fabijoniškių g. 95, Vilniaus m., Vilniaus m. sav.</t>
  </si>
  <si>
    <t>Jono Kairiūkščio g. 3H, Vilniaus m., Vilniaus m. sav.</t>
  </si>
  <si>
    <t>2025-11-24 04:43:10</t>
  </si>
  <si>
    <t>Jono Kazlausko g. 42, Vilniaus m., Vilniaus m. sav.</t>
  </si>
  <si>
    <t>2025-11-24 04:43:13</t>
  </si>
  <si>
    <t>Čiobiškio g. 13, Vilniaus m., Vilniaus m. sav.</t>
  </si>
  <si>
    <t>2025-11-24 04:54:32</t>
  </si>
  <si>
    <t>Šv. Stepono g. 44, Vilniaus m., Vilniaus m. sav.</t>
  </si>
  <si>
    <t>2025-11-24 04:43:18</t>
  </si>
  <si>
    <t>Barboros Radvilaitės g. 4, Vilniaus m., Vilniaus m. sav.</t>
  </si>
  <si>
    <t>2025-11-24 04:43:39</t>
  </si>
  <si>
    <t>Žirmūnų g. 3, Vilniaus m., Vilniaus m. sav.</t>
  </si>
  <si>
    <t>2025-11-24 04:43:41</t>
  </si>
  <si>
    <t>Verkių g. 25A, Vilniaus m., Vilniaus m. sav.</t>
  </si>
  <si>
    <t>2025-11-24 04:44:00</t>
  </si>
  <si>
    <t>2025-11-24 04:44:30</t>
  </si>
  <si>
    <t>2025-11-24 04:44:31</t>
  </si>
  <si>
    <t>T. Ševčenkos g. 16F, Vilniaus m., Vilniaus m. sav.</t>
  </si>
  <si>
    <t>2025-11-24 04:44:33</t>
  </si>
  <si>
    <t>Biochemikų g. 1A, Vilniaus m., Vilniaus m. sav.</t>
  </si>
  <si>
    <t>2025-11-24 04:44:34</t>
  </si>
  <si>
    <t>P. Žadeikos g. 15, Vilniaus m., Vilniaus m. sav.</t>
  </si>
  <si>
    <t>2025-11-24 04:44:40</t>
  </si>
  <si>
    <t>Sodų g. 22, Vilniaus m., Vilniaus m. sav.</t>
  </si>
  <si>
    <t>2025-11-24 04:44:41</t>
  </si>
  <si>
    <t>Geležinio Vilko g. 41, Vilniaus m., Vilniaus m. sav.</t>
  </si>
  <si>
    <t>2025-11-24 04:44:46</t>
  </si>
  <si>
    <t>V. A. Graičiūno g. 10, Vilnius, Vilniaus r. sav.</t>
  </si>
  <si>
    <t>2025-11-24 04:44:54</t>
  </si>
  <si>
    <t>2025-11-24 05:26:20</t>
  </si>
  <si>
    <t>V. A. Graičiūno g. 10, Vilniaus m., Vilniaus m. sav.</t>
  </si>
  <si>
    <t>2025-11-24 04:45:01</t>
  </si>
  <si>
    <t>2025-11-24 04:45:07</t>
  </si>
  <si>
    <t>2025-11-24 04:45:31</t>
  </si>
  <si>
    <t>Apkasų g. 7, Vilniaus m., Vilniaus m. sav.</t>
  </si>
  <si>
    <t>2025-11-24 04:45:45</t>
  </si>
  <si>
    <t>Barboros Radvilaitės g. 6A, Vilniaus m., Vilniaus m. sav.</t>
  </si>
  <si>
    <t>2025-11-24 04:45:49</t>
  </si>
  <si>
    <t>Biochemikų g. 1D-1, Vilniaus m., Vilniaus m. sav.</t>
  </si>
  <si>
    <t>Biochemikų g. 1D-2, Vilniaus m., Vilniaus m. sav.</t>
  </si>
  <si>
    <t>2025-11-24 04:46:01</t>
  </si>
  <si>
    <t>Molėtų pl. 18-1, Vilniaus m., Vilniaus m. sav.</t>
  </si>
  <si>
    <t>2025-11-24 04:46:04</t>
  </si>
  <si>
    <t>2025-11-24 04:46:05</t>
  </si>
  <si>
    <t>Biochemikų g. 1F, Vilniaus m., Vilniaus m. sav.</t>
  </si>
  <si>
    <t>2025-11-24 04:46:26</t>
  </si>
  <si>
    <t>2025-11-24 04:46:08</t>
  </si>
  <si>
    <t>Lukiškių skg. 5, Vilniaus m., Vilniaus m. sav.</t>
  </si>
  <si>
    <t>2025-11-24 04:46:17</t>
  </si>
  <si>
    <t>Didlaukio g. 69, Vilniaus m., Vilniaus m. sav.</t>
  </si>
  <si>
    <t>2025-11-24 04:46:19</t>
  </si>
  <si>
    <t>Fabijoniškių g. 93, Vilniaus m., Vilniaus m. sav.</t>
  </si>
  <si>
    <t>2025-11-24 04:46:20</t>
  </si>
  <si>
    <t>2025-11-24 04:46:36</t>
  </si>
  <si>
    <t>2025-11-24 04:46:50</t>
  </si>
  <si>
    <t>K. Donelaičio g. 14B, Vilniaus m., Vilniaus m. sav.</t>
  </si>
  <si>
    <t>2025-11-24 04:46:51</t>
  </si>
  <si>
    <t>Švitrigailos g. 11E, Vilniaus m., Vilniaus m. sav.</t>
  </si>
  <si>
    <t>2025-11-24 04:46:52</t>
  </si>
  <si>
    <t>2025-11-24 04:46:53</t>
  </si>
  <si>
    <t>Čiobiškio g. 27, Vilniaus m., Vilniaus m. sav.</t>
  </si>
  <si>
    <t>2025-11-24 04:47:12</t>
  </si>
  <si>
    <t>Žirmūnų g. 143, Vilniaus m., Vilniaus m. sav.</t>
  </si>
  <si>
    <t>2025-11-24 04:47:20</t>
  </si>
  <si>
    <t>2025-11-24 04:47:26</t>
  </si>
  <si>
    <t>2025-11-24 04:47:28</t>
  </si>
  <si>
    <t>Fabijoniškių g. 77, Vilniaus m., Vilniaus m. sav.</t>
  </si>
  <si>
    <t>2025-11-24 04:47:32</t>
  </si>
  <si>
    <t>2025-11-24 04:47:40</t>
  </si>
  <si>
    <t>Aukštaičių g. 7, Vilniaus m., Vilniaus m. sav.</t>
  </si>
  <si>
    <t>2025-11-24 04:47:42</t>
  </si>
  <si>
    <t>2025-11-24 04:47:50</t>
  </si>
  <si>
    <t>2025-11-24 04:47:52</t>
  </si>
  <si>
    <t>2025-11-24 04:48:02</t>
  </si>
  <si>
    <t>2025-11-24 04:48:11</t>
  </si>
  <si>
    <t>Žirmūnų g. 62, Vilniaus m., Vilniaus m. sav.</t>
  </si>
  <si>
    <t>2025-11-24 04:48:19</t>
  </si>
  <si>
    <t>Barboros Radvilaitės g. 3, Vilniaus m., Vilniaus m. sav.</t>
  </si>
  <si>
    <t>2025-11-24 04:48:21</t>
  </si>
  <si>
    <t>Ateities g. 17B, Vilniaus m., Vilniaus m. sav.</t>
  </si>
  <si>
    <t>2025-11-24 04:48:25</t>
  </si>
  <si>
    <t>2025-11-24 04:48:27</t>
  </si>
  <si>
    <t>Apkasų g. 27, Vilniaus m., Vilniaus m. sav.</t>
  </si>
  <si>
    <t>2025-11-24 04:48:31</t>
  </si>
  <si>
    <t>B. Radvilaitės g. 3, Vilniaus m., Vilniaus m. sav.</t>
  </si>
  <si>
    <t>Žalgirio g. 94, Vilniaus m., Vilniaus m. sav.</t>
  </si>
  <si>
    <t>2025-11-24 04:48:35</t>
  </si>
  <si>
    <t>Biochemikų g. 13, Vilniaus m., Vilniaus m. sav.</t>
  </si>
  <si>
    <t>Biochemikų g. 15, Vilniaus m., Vilniaus m. sav.</t>
  </si>
  <si>
    <t>2025-11-24 04:48:41</t>
  </si>
  <si>
    <t>2025-11-24 04:48:51</t>
  </si>
  <si>
    <t>Pilies g. 2, Vilniaus m., Vilniaus m. sav.</t>
  </si>
  <si>
    <t>2025-11-24 04:48:55</t>
  </si>
  <si>
    <t>Švitrigailos g. 18, Vilniaus m., Vilniaus m. sav.</t>
  </si>
  <si>
    <t>2025-11-24 04:49:01</t>
  </si>
  <si>
    <t>2025-11-24 04:49:04</t>
  </si>
  <si>
    <t>Lukiškių skg. 6, Vilniaus m., Vilniaus m. sav.</t>
  </si>
  <si>
    <t>2025-11-24 04:49:05</t>
  </si>
  <si>
    <t>Biochemikų g. 11, Vilniaus m., Vilniaus m. sav.</t>
  </si>
  <si>
    <t>2025-11-24 04:49:12</t>
  </si>
  <si>
    <t>Verkių g. 39B, Vilniaus m., Vilniaus m. sav.</t>
  </si>
  <si>
    <t>2025-11-24 04:49:16</t>
  </si>
  <si>
    <t>2025-11-24 04:49:17</t>
  </si>
  <si>
    <t>Fabijoniškių g. 79A, Vilniaus m., Vilniaus m. sav.</t>
  </si>
  <si>
    <t>2025-11-24 04:49:47</t>
  </si>
  <si>
    <t>2025-11-24 04:49:49</t>
  </si>
  <si>
    <t>2025-11-24 04:49:54</t>
  </si>
  <si>
    <t>P. Žadeikos g. 9, Vilniaus m., Vilniaus m. sav.</t>
  </si>
  <si>
    <t>2025-11-24 04:49:55</t>
  </si>
  <si>
    <t>2025-11-24 05:22:20</t>
  </si>
  <si>
    <t>Biochemikų g. 9, Vilniaus m., Vilniaus m. sav.</t>
  </si>
  <si>
    <t>2025-11-24 04:49:56</t>
  </si>
  <si>
    <t>2025-11-24 04:50:00</t>
  </si>
  <si>
    <t>Kirtimų g. 49D, Vilniaus m., Vilniaus m. sav.</t>
  </si>
  <si>
    <t>2025-11-24 04:50:03</t>
  </si>
  <si>
    <t>Švitrigailos g. 10, Vilniaus m., Vilniaus m. sav.</t>
  </si>
  <si>
    <t>2025-11-24 04:50:07</t>
  </si>
  <si>
    <t>Ateities g. 17, Vilniaus m., Vilniaus m. sav.</t>
  </si>
  <si>
    <t>Žirmūnų g. 54B, Vilniaus m., Vilniaus m. sav.</t>
  </si>
  <si>
    <t>2025-11-24 04:50:09</t>
  </si>
  <si>
    <t>Apkasų g. 31, Vilniaus m., Vilniaus m. sav.</t>
  </si>
  <si>
    <t>2025-11-24 04:50:15</t>
  </si>
  <si>
    <t>2025-11-24 04:50:16</t>
  </si>
  <si>
    <t>Riovonių g. 2A, Vilniaus m., Vilniaus m. sav.</t>
  </si>
  <si>
    <t>2025-11-24 04:50:21</t>
  </si>
  <si>
    <t>Čiobiškio g. 35, Vilniaus m., Vilniaus m. sav.</t>
  </si>
  <si>
    <t>2025-11-24 04:50:35</t>
  </si>
  <si>
    <t>Biochemikų g. 7, Vilniaus m., Vilniaus m. sav.</t>
  </si>
  <si>
    <t>Barboros Radvilaitės g. 1, Vilniaus m., Vilniaus m. sav.</t>
  </si>
  <si>
    <t>2025-11-24 04:50:39</t>
  </si>
  <si>
    <t>2025-11-24 04:50:41</t>
  </si>
  <si>
    <t>2025-11-24 04:50:42</t>
  </si>
  <si>
    <t>2025-11-24 04:50:45</t>
  </si>
  <si>
    <t>2025-11-24 04:50:59</t>
  </si>
  <si>
    <t>A. Vivulskio g. 12D, Vilniaus m., Vilniaus m. sav.</t>
  </si>
  <si>
    <t>2025-11-24 04:51:01</t>
  </si>
  <si>
    <t>Biochemikų g. 5, Vilniaus m., Vilniaus m. sav.</t>
  </si>
  <si>
    <t>2025-11-24 04:51:05</t>
  </si>
  <si>
    <t>Biochemikų g. 6, Vilniaus m., Vilniaus m. sav.</t>
  </si>
  <si>
    <t>2025-11-24 04:51:12</t>
  </si>
  <si>
    <t>2025-11-24 04:51:15</t>
  </si>
  <si>
    <t>Aukštaičių g. 15A, Vilniaus m., Vilniaus m. sav.</t>
  </si>
  <si>
    <t>2025-11-24 04:51:23</t>
  </si>
  <si>
    <t>2025-11-24 04:51:29</t>
  </si>
  <si>
    <t>2025-11-24 04:51:30</t>
  </si>
  <si>
    <t>M. K. Čiurlionio g. 25A, Vilniaus m., Vilniaus m. sav.</t>
  </si>
  <si>
    <t>2025-11-24 04:51:32</t>
  </si>
  <si>
    <t>Verkių g. 37, Vilniaus m., Vilniaus m. sav.</t>
  </si>
  <si>
    <t>2025-11-24 04:51:42</t>
  </si>
  <si>
    <t>2025-11-24 04:51:55</t>
  </si>
  <si>
    <t>Biochemikų g. 4, Vilniaus m., Vilniaus m. sav.</t>
  </si>
  <si>
    <t>Biochemikų g. 3, Vilniaus m., Vilniaus m. sav.</t>
  </si>
  <si>
    <t>2025-11-24 04:51:56</t>
  </si>
  <si>
    <t>2025-11-24 04:52:02</t>
  </si>
  <si>
    <t>Žalgirio g. 112, Vilniaus m., Vilniaus m. sav.</t>
  </si>
  <si>
    <t>2025-11-24 04:52:06</t>
  </si>
  <si>
    <t>P. Žadeikos g. 30, Vilniaus m., Vilniaus m. sav.</t>
  </si>
  <si>
    <t>2025-11-24 04:52:10</t>
  </si>
  <si>
    <t>Kirtimų g. 47A, Vilniaus m., Vilniaus m. sav.</t>
  </si>
  <si>
    <t>2025-11-24 04:52:14</t>
  </si>
  <si>
    <t>Kirtimų g. 51A, Vilniaus m., Vilniaus m. sav.</t>
  </si>
  <si>
    <t>2025-11-24 04:52:34</t>
  </si>
  <si>
    <t>2025-11-24 04:52:37</t>
  </si>
  <si>
    <t>Barboros Radvilaitės g. 8, Vilniaus m., Vilniaus m. sav.</t>
  </si>
  <si>
    <t>2025-11-24 04:52:44</t>
  </si>
  <si>
    <t>2025-11-24 04:52:45</t>
  </si>
  <si>
    <t>Ateities g. 17A, Vilniaus m., Vilniaus m. sav.</t>
  </si>
  <si>
    <t>2025-11-24 04:52:57</t>
  </si>
  <si>
    <t>Maironio g. 1, Vilniaus m., Vilniaus m. sav.</t>
  </si>
  <si>
    <t>2025-11-24 04:53:18</t>
  </si>
  <si>
    <t>2025-11-24 04:53:20</t>
  </si>
  <si>
    <t>2025-11-24 04:53:26</t>
  </si>
  <si>
    <t>Fizikų g. 1-1, Vilniaus m., Vilniaus m. sav.</t>
  </si>
  <si>
    <t>Fizikų g. 35A, Vilniaus m., Vilniaus m. sav.</t>
  </si>
  <si>
    <t>2025-11-24 04:53:40</t>
  </si>
  <si>
    <t>2025-11-24 04:53:49</t>
  </si>
  <si>
    <t>Algirdo g. 16, Vilniaus m., Vilniaus m. sav.</t>
  </si>
  <si>
    <t>2025-11-24 04:53:50</t>
  </si>
  <si>
    <t>Fizikų g. 1-2, Vilniaus m., Vilniaus m. sav.</t>
  </si>
  <si>
    <t>2025-11-24 04:53:56</t>
  </si>
  <si>
    <t>2025-11-24 04:54:03</t>
  </si>
  <si>
    <t>Maironio g. 7, Vilniaus m., Vilniaus m. sav.</t>
  </si>
  <si>
    <t>2025-11-24 04:54:08</t>
  </si>
  <si>
    <t>Kareivių g. 6, Vilniaus m., Vilniaus m. sav.</t>
  </si>
  <si>
    <t>2025-11-24 04:54:13</t>
  </si>
  <si>
    <t>Fabijoniškių g. 75A, Vilniaus m., Vilniaus m. sav.</t>
  </si>
  <si>
    <t>2025-11-24 04:54:15</t>
  </si>
  <si>
    <t>Maironio g. 12, Vilniaus m., Vilniaus m. sav.</t>
  </si>
  <si>
    <t>2025-11-24 04:54:25</t>
  </si>
  <si>
    <t>Musninkų g. 24, Vilniaus m., Vilniaus m. sav.</t>
  </si>
  <si>
    <t>2025-11-24 04:54:26</t>
  </si>
  <si>
    <t>Žygio g. 3, Vilniaus m., Vilniaus m. sav.</t>
  </si>
  <si>
    <t>2025-11-24 04:54:30</t>
  </si>
  <si>
    <t>2025-11-24 04:54:38</t>
  </si>
  <si>
    <t>2025-11-24 04:54:44</t>
  </si>
  <si>
    <t>2025-11-24 04:54:46</t>
  </si>
  <si>
    <t>Fizikų g. 35, Vilniaus m., Vilniaus m. sav.</t>
  </si>
  <si>
    <t>Fizikų g. 33A, Vilniaus m., Vilniaus m. sav.</t>
  </si>
  <si>
    <t>2025-11-24 04:54:48</t>
  </si>
  <si>
    <t>Minties g. 1C, Vilniaus m., Vilniaus m. sav.</t>
  </si>
  <si>
    <t>2025-11-24 04:54:50</t>
  </si>
  <si>
    <t>Žygio g. 5, Vilniaus m., Vilniaus m. sav.</t>
  </si>
  <si>
    <t>2025-11-24 04:54:52</t>
  </si>
  <si>
    <t>2025-11-24 04:55:13</t>
  </si>
  <si>
    <t>Bokšto g. 6, Vilniaus m., Vilniaus m. sav.</t>
  </si>
  <si>
    <t>2025-11-24 04:55:15</t>
  </si>
  <si>
    <t>2025-11-24 04:55:23</t>
  </si>
  <si>
    <t>2025-11-24 04:55:26</t>
  </si>
  <si>
    <t>Fizikų g. 33, Vilniaus m., Vilniaus m. sav.</t>
  </si>
  <si>
    <t>2025-11-24 04:55:30</t>
  </si>
  <si>
    <t>P. Žadeikos g. 28, Vilniaus m., Vilniaus m. sav.</t>
  </si>
  <si>
    <t>2025-11-24 04:55:31</t>
  </si>
  <si>
    <t>2025-11-24 04:55:32</t>
  </si>
  <si>
    <t>Panerių g. 6, Vilniaus m., Vilniaus m. sav.</t>
  </si>
  <si>
    <t>2025-11-24 04:55:42</t>
  </si>
  <si>
    <t>Minties g. 2, Vilniaus m., Vilniaus m. sav.</t>
  </si>
  <si>
    <t>2025-11-24 04:55:43</t>
  </si>
  <si>
    <t>Fabijoniškių g. 2, Vilniaus m., Vilniaus m. sav.</t>
  </si>
  <si>
    <t>2025-11-24 04:56:02</t>
  </si>
  <si>
    <t>Žygio g. 16, Vilniaus m., Vilniaus m. sav.</t>
  </si>
  <si>
    <t>2025-11-24 04:56:03</t>
  </si>
  <si>
    <t>A. Vivulskio g. 11, Vilniaus m., Vilniaus m. sav.</t>
  </si>
  <si>
    <t>2025-11-24 04:56:06</t>
  </si>
  <si>
    <t>Fizikų g. 31, Vilniaus m., Vilniaus m. sav.</t>
  </si>
  <si>
    <t>2025-11-24 04:56:20</t>
  </si>
  <si>
    <t>Kirtimų g. 47, Vilniaus m., Vilniaus m. sav.</t>
  </si>
  <si>
    <t>2025-11-24 04:56:21</t>
  </si>
  <si>
    <t>Ateities g. 31A, Vilniaus m., Vilniaus m. sav.</t>
  </si>
  <si>
    <t>2025-11-24 04:56:22</t>
  </si>
  <si>
    <t>P. Žadeikos g. 24, Vilniaus m., Vilniaus m. sav.</t>
  </si>
  <si>
    <t>2025-11-24 04:56:39</t>
  </si>
  <si>
    <t>Maironio g. 21, Vilniaus m., Vilniaus m. sav.</t>
  </si>
  <si>
    <t>2025-11-24 05:33:01</t>
  </si>
  <si>
    <t>2025-11-24 04:56:41</t>
  </si>
  <si>
    <t>Čiobiškio g. 5, Vilniaus m., Vilniaus m. sav.</t>
  </si>
  <si>
    <t>2025-11-24 04:56:42</t>
  </si>
  <si>
    <t>Daugėliškio g. 32, Vilniaus m., Vilniaus m. sav.</t>
  </si>
  <si>
    <t>2025-11-24 04:56:52</t>
  </si>
  <si>
    <t>Fizikų g. 37, Vilniaus m., Vilniaus m. sav.</t>
  </si>
  <si>
    <t>2025-11-24 04:56:54</t>
  </si>
  <si>
    <t>Jovaro g. 12, Vilniaus m., Vilniaus m. sav.</t>
  </si>
  <si>
    <t>2025-11-24 04:56:57</t>
  </si>
  <si>
    <t>2025-11-24 04:57:12</t>
  </si>
  <si>
    <t>2025-11-24 04:57:14</t>
  </si>
  <si>
    <t>Panerių g. 10B, Vilniaus m., Vilniaus m. sav.</t>
  </si>
  <si>
    <t>2025-11-24 04:57:15</t>
  </si>
  <si>
    <t>Žirmūnų g. 145, Vilniaus m., Vilniaus m. sav.</t>
  </si>
  <si>
    <t>2025-11-24 04:57:24</t>
  </si>
  <si>
    <t>2025-11-24 04:57:38</t>
  </si>
  <si>
    <t>2025-11-24 04:57:47</t>
  </si>
  <si>
    <t>2025-11-24 04:57:56</t>
  </si>
  <si>
    <t>Minties g. 24, Vilniaus m., Vilniaus m. sav.</t>
  </si>
  <si>
    <t>2025-11-24 04:57:58</t>
  </si>
  <si>
    <t>2025-11-24 04:57:59</t>
  </si>
  <si>
    <t>K. Vanagėlio g. 7, Vilniaus m., Vilniaus m. sav.</t>
  </si>
  <si>
    <t>2025-11-24 04:58:02</t>
  </si>
  <si>
    <t>Fizikų g. 27, Vilniaus m., Vilniaus m. sav.</t>
  </si>
  <si>
    <t>2025-11-24 04:58:08</t>
  </si>
  <si>
    <t>Fizikų g. 39, Vilniaus m., Vilniaus m. sav.</t>
  </si>
  <si>
    <t>2025-11-24 04:58:09</t>
  </si>
  <si>
    <t>Fabijoniškių g. 5C, Vilniaus m., Vilniaus m. sav.</t>
  </si>
  <si>
    <t>2025-11-24 04:58:30</t>
  </si>
  <si>
    <t>P. Žadeikos g. 18, Vilniaus m., Vilniaus m. sav.</t>
  </si>
  <si>
    <t>2025-11-24 04:58:32</t>
  </si>
  <si>
    <t>Fizikų g. 29, Vilniaus m., Vilniaus m. sav.</t>
  </si>
  <si>
    <t>Fizikų g. 41, Vilniaus m., Vilniaus m. sav.</t>
  </si>
  <si>
    <t>2025-11-24 04:58:35</t>
  </si>
  <si>
    <t>A. Vienuolio g. 4, Vilniaus m., Vilniaus m. sav.</t>
  </si>
  <si>
    <t>2025-11-24 04:58:41</t>
  </si>
  <si>
    <t>Ateities g. 83, Vilniaus m., Vilniaus m. sav.</t>
  </si>
  <si>
    <t>2025-11-24 04:58:49</t>
  </si>
  <si>
    <t>2025-11-24 04:58:54</t>
  </si>
  <si>
    <t>Musninkų g. 18, Vilniaus m., Vilniaus m. sav.</t>
  </si>
  <si>
    <t>2025-11-24 04:58:58</t>
  </si>
  <si>
    <t>Fizikų g. 45, Vilniaus m., Vilniaus m. sav.</t>
  </si>
  <si>
    <t>Fizikų g. 43, Vilniaus m., Vilniaus m. sav.</t>
  </si>
  <si>
    <t>2025-11-24 04:59:05</t>
  </si>
  <si>
    <t>Gedimino pr. 23, Vilniaus m., Vilniaus m. sav.</t>
  </si>
  <si>
    <t>2025-11-24 04:59:08</t>
  </si>
  <si>
    <t>Fizikų g. 25, Vilniaus m., Vilniaus m. sav.</t>
  </si>
  <si>
    <t>2025-11-24 04:59:12</t>
  </si>
  <si>
    <t>Fizikų g. 23, Vilniaus m., Vilniaus m. sav.</t>
  </si>
  <si>
    <t>2025-11-24 04:59:22</t>
  </si>
  <si>
    <t>Maironio g. 27, Vilniaus m., Vilniaus m. sav.</t>
  </si>
  <si>
    <t>2025-11-24 04:59:25</t>
  </si>
  <si>
    <t>Žirmūnų g. 139, Vilniaus m., Vilniaus m. sav.</t>
  </si>
  <si>
    <t>2025-11-24 04:59:43</t>
  </si>
  <si>
    <t>2025-11-24 04:59:54</t>
  </si>
  <si>
    <t>Fizikų g. 47, Vilniaus m., Vilniaus m. sav.</t>
  </si>
  <si>
    <t>Fizikų g. 21, Vilniaus m., Vilniaus m. sav.</t>
  </si>
  <si>
    <t>2025-11-24 05:00:02</t>
  </si>
  <si>
    <t>Fabijoniškių g. 1, Vilniaus m., Vilniaus m. sav.</t>
  </si>
  <si>
    <t>2025-11-24 05:42:33</t>
  </si>
  <si>
    <t>2025-11-24 05:00:05</t>
  </si>
  <si>
    <t>Kirtimų g. 51, Vilnius, Vilniaus r. sav.</t>
  </si>
  <si>
    <t>2025-11-24 05:00:11</t>
  </si>
  <si>
    <t>Kirtimų g. 51C, Vilniaus m., Vilniaus m. sav.</t>
  </si>
  <si>
    <t>2025-11-24 05:00:14</t>
  </si>
  <si>
    <t>Lapų g. 8, Vilniaus m., Vilniaus m. sav.</t>
  </si>
  <si>
    <t>2025-11-24 05:00:18</t>
  </si>
  <si>
    <t>2025-11-24 05:42:21</t>
  </si>
  <si>
    <t>Minties g. 9, Vilniaus m., Vilniaus m. sav.</t>
  </si>
  <si>
    <t>2025-11-24 05:00:21</t>
  </si>
  <si>
    <t>Algirdo g. 9, Vilniaus m., Vilniaus m. sav.</t>
  </si>
  <si>
    <t>2025-11-24 05:00:28</t>
  </si>
  <si>
    <t>Fizikų g. 49, Vilniaus m., Vilniaus m. sav.</t>
  </si>
  <si>
    <t>2025-11-24 05:00:29</t>
  </si>
  <si>
    <t>Kauno g. 26, Vilniaus m., Vilniaus m. sav.</t>
  </si>
  <si>
    <t>2025-11-24 05:00:35</t>
  </si>
  <si>
    <t>2025-11-24 05:00:51</t>
  </si>
  <si>
    <t>2025-11-24 05:00:56</t>
  </si>
  <si>
    <t>Algirdo g. 5, Vilniaus m., Vilniaus m. sav.</t>
  </si>
  <si>
    <t>2025-11-24 05:00:57</t>
  </si>
  <si>
    <t>2025-11-24 05:00:58</t>
  </si>
  <si>
    <t>2025-11-24 05:01:01</t>
  </si>
  <si>
    <t>Kirtimų g. 51, Vilniaus m., Vilniaus m. sav.</t>
  </si>
  <si>
    <t>2025-11-24 05:01:07</t>
  </si>
  <si>
    <t>2025-11-24 05:01:10</t>
  </si>
  <si>
    <t>Fizikų g. 19, Vilniaus m., Vilniaus m. sav.</t>
  </si>
  <si>
    <t>Fizikų g. 17, Vilniaus m., Vilniaus m. sav.</t>
  </si>
  <si>
    <t>2025-11-24 05:01:30</t>
  </si>
  <si>
    <t>Fizikų g. 51, Vilniaus m., Vilniaus m. sav.</t>
  </si>
  <si>
    <t>2025-11-24 05:01:46</t>
  </si>
  <si>
    <t>Algirdo g. 2, Vilniaus m., Vilniaus m. sav.</t>
  </si>
  <si>
    <t>2025-11-24 05:01:52</t>
  </si>
  <si>
    <t>Minties g. 18, Vilniaus m., Vilniaus m. sav.</t>
  </si>
  <si>
    <t>2025-11-24 05:01:55</t>
  </si>
  <si>
    <t>S. Stanevičiaus g. 7, Vilniaus m., Vilniaus m. sav.</t>
  </si>
  <si>
    <t>2025-11-24 05:01:56</t>
  </si>
  <si>
    <t>Musninkų g. 12, Vilniaus m., Vilniaus m. sav.</t>
  </si>
  <si>
    <t>2025-11-24 05:02:07</t>
  </si>
  <si>
    <t>A. Domaševičiaus g. 3, Vilniaus m., Vilniaus m. sav.</t>
  </si>
  <si>
    <t>2025-11-24 05:02:12</t>
  </si>
  <si>
    <t>Minties g. 56, Vilniaus m., Vilniaus m. sav.</t>
  </si>
  <si>
    <t>2025-11-24 05:02:20</t>
  </si>
  <si>
    <t>P. Žadeikos g. 2A, Vilniaus m., Vilniaus m. sav.</t>
  </si>
  <si>
    <t>2025-11-24 05:02:22</t>
  </si>
  <si>
    <t>Kibirkšties g. 3, Vilniaus m., Vilniaus m. sav.</t>
  </si>
  <si>
    <t>2025-11-24 05:02:40</t>
  </si>
  <si>
    <t>Ateities g. 50, Vilniaus m., Vilniaus m. sav.</t>
  </si>
  <si>
    <t>2025-11-24 05:02:44</t>
  </si>
  <si>
    <t>Fizikų g. 55-2, Vilniaus m., Vilniaus m. sav.</t>
  </si>
  <si>
    <t>2025-11-24 05:02:50</t>
  </si>
  <si>
    <t>Fizikų g. 55-1, Vilniaus m., Vilniaus m. sav.</t>
  </si>
  <si>
    <t>2025-11-24 05:02:51</t>
  </si>
  <si>
    <t>Užupio g. 5, Vilniaus m., Vilniaus m. sav.</t>
  </si>
  <si>
    <t>2025-11-24 05:03:26</t>
  </si>
  <si>
    <t>Fizikų g. 55-4, Vilniaus m., Vilniaus m. sav.</t>
  </si>
  <si>
    <t>2025-11-24 05:03:29</t>
  </si>
  <si>
    <t>A. Jakšto g. 1, Vilniaus m., Vilniaus m. sav.</t>
  </si>
  <si>
    <t>2025-11-24 05:03:32</t>
  </si>
  <si>
    <t>Fizikų g. 15, Vilniaus m., Vilniaus m. sav.</t>
  </si>
  <si>
    <t>2025-11-24 05:07:46</t>
  </si>
  <si>
    <t>2025-11-24 05:03:39</t>
  </si>
  <si>
    <t>S. Stanevičiaus g. 16, Vilniaus m., Vilniaus m. sav.</t>
  </si>
  <si>
    <t>2025-11-24 05:03:51</t>
  </si>
  <si>
    <t>2025-11-24 05:03:52</t>
  </si>
  <si>
    <t>Mindaugo g. 30, Vilniaus m., Vilniaus m. sav.</t>
  </si>
  <si>
    <t>Minties g. 42, Vilniaus m., Vilniaus m. sav.</t>
  </si>
  <si>
    <t>2025-11-24 05:03:54</t>
  </si>
  <si>
    <t>2025-11-24 05:03:57</t>
  </si>
  <si>
    <t>Žirmūnų g. 106E, Vilniaus m., Vilniaus m. sav.</t>
  </si>
  <si>
    <t>2025-11-24 05:04:10</t>
  </si>
  <si>
    <t>P. Žadeikos g. 6, Vilniaus m., Vilniaus m. sav.</t>
  </si>
  <si>
    <t>2025-11-24 05:04:23</t>
  </si>
  <si>
    <t>2025-11-24 05:04:28</t>
  </si>
  <si>
    <t>Musninkų g. 7, Vilniaus m., Vilniaus m. sav.</t>
  </si>
  <si>
    <t>2025-11-24 05:04:43</t>
  </si>
  <si>
    <t>2025-11-24 05:04:44</t>
  </si>
  <si>
    <t>Minties g. 54, Vilniaus m., Vilniaus m. sav.</t>
  </si>
  <si>
    <t>2025-11-24 05:04:56</t>
  </si>
  <si>
    <t>Fizikų g. 61, Vilniaus m., Vilniaus m. sav.</t>
  </si>
  <si>
    <t>Fizikų g. 13, Vilniaus m., Vilniaus m. sav.</t>
  </si>
  <si>
    <t>2025-11-24 05:05:04</t>
  </si>
  <si>
    <t>Fizikų g. 57, Vilniaus m., Vilniaus m. sav.</t>
  </si>
  <si>
    <t>2025-11-24 05:05:06</t>
  </si>
  <si>
    <t>Fizikų g. 59, Vilniaus m., Vilniaus m. sav.</t>
  </si>
  <si>
    <t>2025-11-24 05:05:16</t>
  </si>
  <si>
    <t>Fizikų g. 11, Vilniaus m., Vilniaus m. sav.</t>
  </si>
  <si>
    <t>2025-11-24 05:05:23</t>
  </si>
  <si>
    <t>2025-11-24 05:05:39</t>
  </si>
  <si>
    <t>S. Stanevičiaus g. 34A, Vilniaus m., Vilniaus m. sav.</t>
  </si>
  <si>
    <t>2025-11-24 05:05:48</t>
  </si>
  <si>
    <t>Šermukšnių g. 4, Vilniaus m., Vilniaus m. sav.</t>
  </si>
  <si>
    <t>2025-11-24 05:05:53</t>
  </si>
  <si>
    <t>2025-11-24 05:05:56</t>
  </si>
  <si>
    <t>Fabijoniškių g. 97, Vilniaus m., Vilniaus m. sav.</t>
  </si>
  <si>
    <t>2025-11-24 05:06:08</t>
  </si>
  <si>
    <t>Algirdo g. 3, Vilniaus m., Vilniaus m. sav.</t>
  </si>
  <si>
    <t>2025-11-24 05:06:24</t>
  </si>
  <si>
    <t>2025-11-24 05:06:26</t>
  </si>
  <si>
    <t>2025-11-24 05:06:34</t>
  </si>
  <si>
    <t>2025-11-24 05:06:35</t>
  </si>
  <si>
    <t>Žirmūnų g. 137A, Vilniaus m., Vilniaus m. sav.</t>
  </si>
  <si>
    <t>2025-11-24 05:06:39</t>
  </si>
  <si>
    <t>Žalgirio g. 90, Vilniaus m., Vilniaus m. sav.</t>
  </si>
  <si>
    <t>2025-11-24 05:06:40</t>
  </si>
  <si>
    <t>2025-11-24 05:06:41</t>
  </si>
  <si>
    <t>2025-11-24 05:06:45</t>
  </si>
  <si>
    <t>2025-11-24 05:42:34</t>
  </si>
  <si>
    <t>2025-11-24 05:06:47</t>
  </si>
  <si>
    <t>2025-11-24 05:07:00</t>
  </si>
  <si>
    <t>2025-11-24 05:07:05</t>
  </si>
  <si>
    <t>2025-11-24 05:10:29</t>
  </si>
  <si>
    <t>Vilniaus m. TA</t>
  </si>
  <si>
    <t>Dariaus ir Girėno g.  19B, Vilniaus m., Vilniaus m. sav.</t>
  </si>
  <si>
    <t>2025-11-24 05:07:09</t>
  </si>
  <si>
    <t>Šeškinės g. 59, Vilniaus m., Vilniaus m. sav.</t>
  </si>
  <si>
    <t>2025-11-24 05:17:54</t>
  </si>
  <si>
    <t>2025-11-24 05:07:20</t>
  </si>
  <si>
    <t>2025-11-24 05:07:21</t>
  </si>
  <si>
    <t>Kirtimų g. 57D, Vilniaus m., Vilniaus m. sav.</t>
  </si>
  <si>
    <t>2025-11-24 05:07:27</t>
  </si>
  <si>
    <t>Kirtimų g. 57A, Vilniaus m., Vilniaus m. sav.</t>
  </si>
  <si>
    <t>2025-11-24 05:07:35</t>
  </si>
  <si>
    <t>2025-11-24 05:07:39</t>
  </si>
  <si>
    <t>2025-11-24 06:16:48</t>
  </si>
  <si>
    <t>Vilniaus m. BA2</t>
  </si>
  <si>
    <t>Subačiaus g. 115B, Vilniaus m., Vilniaus m. sav.</t>
  </si>
  <si>
    <t>2025-11-24 05:17:59</t>
  </si>
  <si>
    <t>2025-11-24 05:07:41</t>
  </si>
  <si>
    <t>2025-11-24 05:07:43</t>
  </si>
  <si>
    <t>Vilniaus m. PA2</t>
  </si>
  <si>
    <t>Antakalnio g. 8, Vilniaus m., Vilniaus m. sav.</t>
  </si>
  <si>
    <t>2025-11-24 05:17:58</t>
  </si>
  <si>
    <t>2025-11-24 05:07:58</t>
  </si>
  <si>
    <t>P. Žadeikos g. 1, Vilniaus m., Vilniaus m. sav.</t>
  </si>
  <si>
    <t>2025-11-24 05:08:02</t>
  </si>
  <si>
    <t>Pagirio g. 20, Vilniaus m., Vilniaus m. sav.</t>
  </si>
  <si>
    <t>2025-11-24 05:08:06</t>
  </si>
  <si>
    <t>2025-11-24 05:08:10</t>
  </si>
  <si>
    <t>S. Stanevičiaus g. 54, Vilniaus m., Vilniaus m. sav.</t>
  </si>
  <si>
    <t>2025-11-24 05:08:14</t>
  </si>
  <si>
    <t>Malūnų g. 6A, Vilniaus m., Vilniaus m. sav.</t>
  </si>
  <si>
    <t>2025-11-24 05:08:16</t>
  </si>
  <si>
    <t>Ukmergės g. 184, Vilniaus m., Vilniaus m. sav.</t>
  </si>
  <si>
    <t>2025-11-24 05:08:20</t>
  </si>
  <si>
    <t>2025-11-24 05:08:21</t>
  </si>
  <si>
    <t>2025-11-24 05:08:29</t>
  </si>
  <si>
    <t>2025-11-24 05:08:48</t>
  </si>
  <si>
    <t>2025-11-24 05:08:53</t>
  </si>
  <si>
    <t>2025-11-24 05:08:54</t>
  </si>
  <si>
    <t>Užupio g. 10, Vilniaus m., Vilniaus m. sav.</t>
  </si>
  <si>
    <t>2025-11-24 05:08:56</t>
  </si>
  <si>
    <t>2025-11-24 05:08:59</t>
  </si>
  <si>
    <t>2025-11-24 05:09:02</t>
  </si>
  <si>
    <t>2025-11-24 05:09:04</t>
  </si>
  <si>
    <t>2025-11-24 05:09:21</t>
  </si>
  <si>
    <t>Švitrigailos g. 16A, Vilniaus m., Vilniaus m. sav.</t>
  </si>
  <si>
    <t>2025-11-24 05:09:24</t>
  </si>
  <si>
    <t>2025-11-24 05:09:33</t>
  </si>
  <si>
    <t>Šeškinės g. 28A, Vilniaus m., Vilniaus m. sav.</t>
  </si>
  <si>
    <t>2025-11-24 05:09:46</t>
  </si>
  <si>
    <t>Juliaus Juzeliūno g. 33, Vilniaus m., Vilniaus m. sav.</t>
  </si>
  <si>
    <t>2025-11-24 05:10:07</t>
  </si>
  <si>
    <t>2025-11-24 05:52:32</t>
  </si>
  <si>
    <t>Sodų g. 23, Vilniaus m., Vilniaus m. sav.</t>
  </si>
  <si>
    <t>2025-11-24 05:10:08</t>
  </si>
  <si>
    <t>Malūnų g. 4, Vilniaus m., Vilniaus m. sav.</t>
  </si>
  <si>
    <t>2025-11-24 05:10:10</t>
  </si>
  <si>
    <t>Vėtrungių g.  3, Vilniaus m., Vilniaus m. sav.</t>
  </si>
  <si>
    <t>2025-11-24 05:10:16</t>
  </si>
  <si>
    <t>2025-11-24 05:10:17</t>
  </si>
  <si>
    <t>2025-11-24 05:10:18</t>
  </si>
  <si>
    <t>2025-11-24 06:16:49</t>
  </si>
  <si>
    <t>Subačiaus g. 116, Vilniaus m., Vilniaus m. sav.</t>
  </si>
  <si>
    <t>2025-11-24 05:10:21</t>
  </si>
  <si>
    <t>Švitrigailos g. 16, Vilniaus m., Vilniaus m. sav.</t>
  </si>
  <si>
    <t>2025-11-24 05:10:22</t>
  </si>
  <si>
    <t>Bajorų Sodų 14-oji g. 3A, Vilniaus m., Vilniaus m. sav.</t>
  </si>
  <si>
    <t>2025-11-24 05:10:23</t>
  </si>
  <si>
    <t>2025-11-24 05:10:24</t>
  </si>
  <si>
    <t>K. Kalinausko g. 21, Vilniaus m., Vilniaus m. sav.</t>
  </si>
  <si>
    <t>Kirtimų g. 57B, Vilniaus m., Vilniaus m. sav.</t>
  </si>
  <si>
    <t>2025-11-24 05:10:31</t>
  </si>
  <si>
    <t>Laisvės pr. 10, Vilniaus m., Vilniaus m. sav.</t>
  </si>
  <si>
    <t>2025-11-24 05:10:32</t>
  </si>
  <si>
    <t>Užupio g. 7, Vilniaus m., Vilniaus m. sav.</t>
  </si>
  <si>
    <t>2025-11-24 05:10:39</t>
  </si>
  <si>
    <t>2025-11-24 05:10:43</t>
  </si>
  <si>
    <t>2025-11-24 05:10:47</t>
  </si>
  <si>
    <t>2025-11-24 05:10:51</t>
  </si>
  <si>
    <t>Paupio g. 5, Vilniaus m., Vilniaus m. sav.</t>
  </si>
  <si>
    <t>2025-11-24 05:10:59</t>
  </si>
  <si>
    <t>2025-11-24 05:11:01</t>
  </si>
  <si>
    <t>Žalgirio g. 88, Vilniaus m., Vilniaus m. sav.</t>
  </si>
  <si>
    <t>2025-11-24 05:11:04</t>
  </si>
  <si>
    <t>2025-11-24 05:11:05</t>
  </si>
  <si>
    <t>2025-11-24 05:11:07</t>
  </si>
  <si>
    <t>2025-11-24 05:11:08</t>
  </si>
  <si>
    <t>2025-11-24 05:11:19</t>
  </si>
  <si>
    <t>2025-11-24 05:11:20</t>
  </si>
  <si>
    <t>Akmenų g. 6, Vilniaus m., Vilniaus m. sav.</t>
  </si>
  <si>
    <t>2025-11-24 05:11:21</t>
  </si>
  <si>
    <t>2025-11-24 05:11:25</t>
  </si>
  <si>
    <t>2025-11-24 05:11:56</t>
  </si>
  <si>
    <t>Šeškinės g. 65, Vilniaus m., Vilniaus m. sav.</t>
  </si>
  <si>
    <t>2025-11-24 05:12:19</t>
  </si>
  <si>
    <t>Mechanikų g. 98, Vilniaus m., Vilniaus m. sav.</t>
  </si>
  <si>
    <t>2025-11-24 05:12:27</t>
  </si>
  <si>
    <t>2025-11-24 05:12:47</t>
  </si>
  <si>
    <t>Petešos g. 1, Vilniaus m., Vilniaus m. sav.</t>
  </si>
  <si>
    <t>2025-11-24 05:12:48</t>
  </si>
  <si>
    <t>Malūnų g. 8, Vilniaus m., Vilniaus m. sav.</t>
  </si>
  <si>
    <t>2025-11-24 05:12:50</t>
  </si>
  <si>
    <t>Gedimino pr. 28, Vilniaus m., Vilniaus m. sav.</t>
  </si>
  <si>
    <t>S. Stanevičiaus g. 102, Vilniaus m., Vilniaus m. sav.</t>
  </si>
  <si>
    <t>2025-11-24 05:13:15</t>
  </si>
  <si>
    <t>2025-11-24 05:13:18</t>
  </si>
  <si>
    <t>2025-11-24 05:13:22</t>
  </si>
  <si>
    <t>2025-11-24 05:13:24</t>
  </si>
  <si>
    <t>Bajorų Sodų g. 1, Vilniaus m., Vilniaus m. sav.</t>
  </si>
  <si>
    <t>2025-11-24 05:13:34</t>
  </si>
  <si>
    <t>2025-11-24 05:13:27</t>
  </si>
  <si>
    <t>2025-11-24 05:13:29</t>
  </si>
  <si>
    <t>Algirdo g. 85, Vilniaus m., Vilniaus m. sav.</t>
  </si>
  <si>
    <t>2025-11-24 05:13:33</t>
  </si>
  <si>
    <t>2025-11-24 05:13:42</t>
  </si>
  <si>
    <t>J. Basanavičiaus g. 29, Vilniaus m., Vilniaus m. sav.</t>
  </si>
  <si>
    <t>2025-11-24 05:13:44</t>
  </si>
  <si>
    <t>Juliaus Juzeliūno g. 9-3, Vilniaus m., Vilniaus m. sav.</t>
  </si>
  <si>
    <t>2025-11-24 05:13:51</t>
  </si>
  <si>
    <t>2025-11-24 05:14:00</t>
  </si>
  <si>
    <t>2025-11-24 05:14:04</t>
  </si>
  <si>
    <t>Mechanikų g. 79, Vilniaus m., Vilniaus m. sav.</t>
  </si>
  <si>
    <t>2025-11-24 05:14:08</t>
  </si>
  <si>
    <t>J. Basanavičiaus g. 30, Vilniaus m., Vilniaus m. sav.</t>
  </si>
  <si>
    <t>2025-11-24 05:14:16</t>
  </si>
  <si>
    <t>2025-11-24 05:14:24</t>
  </si>
  <si>
    <t>2025-11-24 05:14:30</t>
  </si>
  <si>
    <t>Žirmūnų g. 84, Vilniaus m., Vilniaus m. sav.</t>
  </si>
  <si>
    <t>2025-11-24 05:14:33</t>
  </si>
  <si>
    <t>2025-11-24 05:14:34</t>
  </si>
  <si>
    <t>Vėtrungių g.  11, Vilniaus m., Vilniaus m. sav.</t>
  </si>
  <si>
    <t>2025-11-24 05:14:37</t>
  </si>
  <si>
    <t>Liepkalnio g. 90, Vilniaus m., Vilniaus m. sav.</t>
  </si>
  <si>
    <t>2025-11-24 05:14:38</t>
  </si>
  <si>
    <t>2025-11-24 05:14:48</t>
  </si>
  <si>
    <t>Malūnų g. 5, Vilniaus m., Vilniaus m. sav.</t>
  </si>
  <si>
    <t>2025-11-24 05:14:50</t>
  </si>
  <si>
    <t>2025-11-24 05:14:54</t>
  </si>
  <si>
    <t>2025-11-24 05:15:01</t>
  </si>
  <si>
    <t>2025-11-24 05:15:02</t>
  </si>
  <si>
    <t>2025-11-24 05:15:04</t>
  </si>
  <si>
    <t>2025-11-24 05:15:10</t>
  </si>
  <si>
    <t>2025-11-24 05:15:11</t>
  </si>
  <si>
    <t>2025-11-24 05:15:12</t>
  </si>
  <si>
    <t>Pakalnės g. 9, Vilniaus m., Vilniaus m. sav.</t>
  </si>
  <si>
    <t>2025-11-24 05:15:16</t>
  </si>
  <si>
    <t>2025-11-24 05:15:50</t>
  </si>
  <si>
    <t>Malūnų g. 3, Vilniaus m., Vilniaus m. sav.</t>
  </si>
  <si>
    <t>2025-11-24 05:15:56</t>
  </si>
  <si>
    <t>Bajorų kel. 37, Vilniaus m., Vilniaus m. sav.</t>
  </si>
  <si>
    <t>2025-11-24 05:16:00</t>
  </si>
  <si>
    <t>Šeškinės g. 67, Vilniaus m., Vilniaus m. sav.</t>
  </si>
  <si>
    <t>2025-11-24 05:16:12</t>
  </si>
  <si>
    <t>Antakalnio g. 26B, Vilniaus m., Vilniaus m. sav.</t>
  </si>
  <si>
    <t>2025-11-24 05:18:01</t>
  </si>
  <si>
    <t>Žalgirio g. 66, Vilniaus m., Vilniaus m. sav.</t>
  </si>
  <si>
    <t>2025-11-24 05:16:22</t>
  </si>
  <si>
    <t>Fabijoniškių g. 2A, Vilniaus m., Vilniaus m. sav.</t>
  </si>
  <si>
    <t>2025-11-24 05:16:44</t>
  </si>
  <si>
    <t>Rygos g. 1, Vilniaus m., Vilniaus m. sav.</t>
  </si>
  <si>
    <t>2025-11-24 05:16:48</t>
  </si>
  <si>
    <t>Bajorų kel. 41, Vilniaus m., Vilniaus m. sav.</t>
  </si>
  <si>
    <t>2025-11-24 05:16:49</t>
  </si>
  <si>
    <t>2025-11-24 05:16:51</t>
  </si>
  <si>
    <t>2025-11-24 05:30:56</t>
  </si>
  <si>
    <t>Ozo g. 25, Vilniaus m., Vilniaus m. sav.</t>
  </si>
  <si>
    <t>2025-11-24 05:17:02</t>
  </si>
  <si>
    <t>Netinkamas naudoti konteineris</t>
  </si>
  <si>
    <t>2025-11-24 05:17:04</t>
  </si>
  <si>
    <t>J. Basanavičiaus g. 16, Vilniaus m., Vilniaus m. sav.</t>
  </si>
  <si>
    <t>2025-11-24 05:17:10</t>
  </si>
  <si>
    <t>Liepkalnio g. 64, Vilniaus m., Vilniaus m. sav.</t>
  </si>
  <si>
    <t>2025-11-24 05:17:15</t>
  </si>
  <si>
    <t>2025-11-24 05:17:19</t>
  </si>
  <si>
    <t>2025-11-24 05:17:23</t>
  </si>
  <si>
    <t>2025-11-24 05:17:24</t>
  </si>
  <si>
    <t>Švitrigailos g. 16B, Vilniaus m., Vilniaus m. sav.</t>
  </si>
  <si>
    <t>2025-11-24 05:17:39</t>
  </si>
  <si>
    <t>Šv. Stepono g. 33, Vilniaus m., Vilniaus m. sav.</t>
  </si>
  <si>
    <t>2025-11-24 05:17:46</t>
  </si>
  <si>
    <t>Vėtrungių g.  13, Vilniaus m., Vilniaus m. sav.</t>
  </si>
  <si>
    <t>2025-11-24 05:17:52</t>
  </si>
  <si>
    <t>Parodų g.  1A, Vilniaus m., Vilniaus m. sav.</t>
  </si>
  <si>
    <t>2025-11-24 05:32:35</t>
  </si>
  <si>
    <t>Rinktinės g. 60, Vilniaus m., Vilniaus m. sav.</t>
  </si>
  <si>
    <t>Bajorų Kelio 1-oji g. 58, Vilniaus m., Vilniaus m. sav.</t>
  </si>
  <si>
    <t>2025-11-24 05:18:03</t>
  </si>
  <si>
    <t>Gedimino pr. 19, Vilniaus m., Vilniaus m. sav.</t>
  </si>
  <si>
    <t>2025-11-24 05:18:09</t>
  </si>
  <si>
    <t>2025-11-24 05:18:14</t>
  </si>
  <si>
    <t>Bajorų kelio 1-oji g. 57, Vilniaus m., Vilniaus m. sav.</t>
  </si>
  <si>
    <t>2025-11-24 05:18:19</t>
  </si>
  <si>
    <t>2025-11-24 05:18:20</t>
  </si>
  <si>
    <t>Eišiškių pl. 82, Vilniaus m., Vilniaus m. sav.</t>
  </si>
  <si>
    <t>Paupio g. 15A, Vilniaus m., Vilniaus m. sav.</t>
  </si>
  <si>
    <t>2025-11-24 05:18:22</t>
  </si>
  <si>
    <t>Taikos g. 98, Vilniaus m., Vilniaus m. sav.</t>
  </si>
  <si>
    <t>2025-11-24 05:18:23</t>
  </si>
  <si>
    <t>2025-11-24 05:18:25</t>
  </si>
  <si>
    <t>2025-11-24 05:18:26</t>
  </si>
  <si>
    <t>Taikos g. 113, Vilniaus m., Vilniaus m. sav.</t>
  </si>
  <si>
    <t>2025-11-24 05:18:33</t>
  </si>
  <si>
    <t>Taikos g. 101A, Vilniaus m., Vilniaus m. sav.</t>
  </si>
  <si>
    <t>2025-11-24 05:29:48</t>
  </si>
  <si>
    <t>2025-11-24 05:18:34</t>
  </si>
  <si>
    <t>Bajorų kelio 1-oji g. 59, Vilniaus m., Vilniaus m. sav.</t>
  </si>
  <si>
    <t>2025-11-24 05:18:36</t>
  </si>
  <si>
    <t>2025-11-24 05:18:39</t>
  </si>
  <si>
    <t>Šeškinės g. 75, Vilniaus m., Vilniaus m. sav.</t>
  </si>
  <si>
    <t>2025-11-24 05:29:35</t>
  </si>
  <si>
    <t>2025-11-24 05:18:42</t>
  </si>
  <si>
    <t>2025-11-24 05:19:04</t>
  </si>
  <si>
    <t>Bajorų Kelio 1-oji g. 55, Vilniaus m., Vilniaus m. sav.</t>
  </si>
  <si>
    <t>2025-11-24 05:19:05</t>
  </si>
  <si>
    <t>2025-11-24 05:19:08</t>
  </si>
  <si>
    <t>Vėtrungių g.  29, Vilniaus m., Vilniaus m. sav.</t>
  </si>
  <si>
    <t>2025-11-24 05:19:11</t>
  </si>
  <si>
    <t>2025-11-24 05:19:17</t>
  </si>
  <si>
    <t>Liepkalnio g. 58, Vilniaus m., Vilniaus m. sav.</t>
  </si>
  <si>
    <t>2025-11-24 05:19:19</t>
  </si>
  <si>
    <t>Moravų g. 7, Vilniaus m., Vilniaus m. sav.</t>
  </si>
  <si>
    <t>2025-11-24 05:19:30</t>
  </si>
  <si>
    <t>Kareivių g. 7, Vilniaus m., Vilniaus m. sav.</t>
  </si>
  <si>
    <t>2025-11-24 05:19:32</t>
  </si>
  <si>
    <t>2025-11-24 05:19:47</t>
  </si>
  <si>
    <t>2025-11-24 05:19:57</t>
  </si>
  <si>
    <t>2025-11-24 05:20:01</t>
  </si>
  <si>
    <t>2025-11-24 06:02:31</t>
  </si>
  <si>
    <t>2025-11-24 05:20:06</t>
  </si>
  <si>
    <t>2025-11-24 05:20:07</t>
  </si>
  <si>
    <t>2025-11-24 05:20:14</t>
  </si>
  <si>
    <t>2025-11-24 05:20:25</t>
  </si>
  <si>
    <t>Mindaugo g. 12, Vilniaus m., Vilniaus m. sav.</t>
  </si>
  <si>
    <t>Antakalnio g. 35, Vilniaus m., Vilniaus m. sav.</t>
  </si>
  <si>
    <t>2025-11-24 05:20:26</t>
  </si>
  <si>
    <t>2025-11-24 05:20:31</t>
  </si>
  <si>
    <t>Mindaugo g. 12B, Vilniaus m., Vilniaus m. sav.</t>
  </si>
  <si>
    <t>2025-11-24 05:20:32</t>
  </si>
  <si>
    <t>T. Ševčenkos g. 12, Vilniaus m., Vilniaus m. sav.</t>
  </si>
  <si>
    <t>2025-11-24 05:20:41</t>
  </si>
  <si>
    <t>Mindaugo g. 12A, Vilniaus m., Vilniaus m. sav.</t>
  </si>
  <si>
    <t>2025-11-24 05:20:52</t>
  </si>
  <si>
    <t>Dūkštų g. 3, Vilniaus m., Vilniaus m. sav.</t>
  </si>
  <si>
    <t>2025-11-24 05:29:39</t>
  </si>
  <si>
    <t>2025-11-24 05:20:58</t>
  </si>
  <si>
    <t>2025-11-24 06:05:21</t>
  </si>
  <si>
    <t>2025-11-24 05:21:00</t>
  </si>
  <si>
    <t>Bajorų kelio 1-oji g. 46, Vilniaus m., Vilniaus m. sav.</t>
  </si>
  <si>
    <t>2025-11-24 05:21:09</t>
  </si>
  <si>
    <t>Mindaugo g. 14, Vilniaus m., Vilniaus m. sav.</t>
  </si>
  <si>
    <t>2025-11-24 05:21:11</t>
  </si>
  <si>
    <t>2025-11-24 05:21:12</t>
  </si>
  <si>
    <t>2025-11-24 05:21:14</t>
  </si>
  <si>
    <t>2025-11-24 06:02:59</t>
  </si>
  <si>
    <t>S. Stanevičiaus g. 21, Vilniaus m., Vilniaus m. sav.</t>
  </si>
  <si>
    <t>2025-11-24 05:21:17</t>
  </si>
  <si>
    <t>Mindaugo g. 14B, Vilniaus m., Vilniaus m. sav.</t>
  </si>
  <si>
    <t>2025-11-24 05:21:18</t>
  </si>
  <si>
    <t>2025-11-24 05:21:22</t>
  </si>
  <si>
    <t>Paupio g. 31A, Vilniaus m., Vilniaus m. sav.</t>
  </si>
  <si>
    <t>2025-11-24 05:21:24</t>
  </si>
  <si>
    <t>2025-11-24 05:21:26</t>
  </si>
  <si>
    <t>2025-11-24 05:21:30</t>
  </si>
  <si>
    <t>Rinktinės g. 57, Vilniaus m., Vilniaus m. sav.</t>
  </si>
  <si>
    <t>2025-11-24 05:21:46</t>
  </si>
  <si>
    <t>Bajorų kelio 1-oji g. 36, Vilniaus m., Vilniaus m. sav.</t>
  </si>
  <si>
    <t>2025-11-24 05:22:02</t>
  </si>
  <si>
    <t>Kazimiero Jelskio g. 65, Vilniaus m., Vilniaus m. sav.</t>
  </si>
  <si>
    <t>2025-11-24 05:22:10</t>
  </si>
  <si>
    <t>Vėtrungių g.  21, Vilniaus m., Vilniaus m. sav.</t>
  </si>
  <si>
    <t>2025-11-24 05:22:12</t>
  </si>
  <si>
    <t>T. Ševčenkos g. 13, Vilniaus m., Vilniaus m. sav.</t>
  </si>
  <si>
    <t>2025-11-24 05:22:16</t>
  </si>
  <si>
    <t>Bajorų Kelio 1-oji g. 40, Vilniaus m., Vilniaus m. sav.</t>
  </si>
  <si>
    <t>2025-11-24 05:22:22</t>
  </si>
  <si>
    <t>2025-11-24 06:02:32</t>
  </si>
  <si>
    <t>Krivūlės g. 1C, Vilniaus m., Vilniaus m. sav.</t>
  </si>
  <si>
    <t>Bajorų Kelio 1-oji g. 34, Vilniaus m., Vilniaus m. sav.</t>
  </si>
  <si>
    <t>2025-11-24 05:22:24</t>
  </si>
  <si>
    <t>2025-11-24 06:42:53</t>
  </si>
  <si>
    <t>Vilniaus m. PA4</t>
  </si>
  <si>
    <t>2025-11-24 05:22:26</t>
  </si>
  <si>
    <t>2025-11-24 05:22:28</t>
  </si>
  <si>
    <t>Bajorų kelio 1-oji g. 44, Vilniaus m., Vilniaus m. sav.</t>
  </si>
  <si>
    <t>2025-11-24 05:22:34</t>
  </si>
  <si>
    <t>Ulonų g. 5, Vilniaus m., Vilniaus m. sav.</t>
  </si>
  <si>
    <t>2025-11-24 05:22:35</t>
  </si>
  <si>
    <t>Naugarduko g. 16, Vilniaus m., Vilniaus m. sav.</t>
  </si>
  <si>
    <t>2025-11-24 05:22:36</t>
  </si>
  <si>
    <t>Bajorų kelio 1-oji g. 48, Vilniaus m., Vilniaus m. sav.</t>
  </si>
  <si>
    <t>2025-11-24 05:22:38</t>
  </si>
  <si>
    <t>2025-11-24 05:22:42</t>
  </si>
  <si>
    <t>Eišiškių Sodų 7-oji g. 1, Vilniaus m., Vilniaus m. sav.</t>
  </si>
  <si>
    <t>2025-11-24 05:22:45</t>
  </si>
  <si>
    <t>Gedimino pr. 3A, Vilniaus m., Vilniaus m. sav.</t>
  </si>
  <si>
    <t>2025-11-24 05:22:58</t>
  </si>
  <si>
    <t>Gerovės g. 3, Vilniaus m., Vilniaus m. sav.</t>
  </si>
  <si>
    <t>2025-11-24 05:23:01</t>
  </si>
  <si>
    <t>M. Sleževičiaus g. 14, Vilniaus m., Vilniaus m. sav.</t>
  </si>
  <si>
    <t>2025-11-24 05:23:09</t>
  </si>
  <si>
    <t>2025-11-24 05:23:17</t>
  </si>
  <si>
    <t>2025-11-24 05:23:24</t>
  </si>
  <si>
    <t>2025-11-24 05:23:25</t>
  </si>
  <si>
    <t>2025-11-24 05:23:28</t>
  </si>
  <si>
    <t>2025-11-24 05:23:37</t>
  </si>
  <si>
    <t>2025-11-24 05:23:46</t>
  </si>
  <si>
    <t>V. A. Graičiūno g. 22, Vilniaus m., Vilniaus m. sav.</t>
  </si>
  <si>
    <t>Justiniškių g. 91, Vilniaus m., Vilniaus m. sav.</t>
  </si>
  <si>
    <t>2025-11-24 05:23:48</t>
  </si>
  <si>
    <t>Ribiškių Didžioji g. 7, Vilniaus m., Vilniaus m. sav.</t>
  </si>
  <si>
    <t>2025-11-24 05:23:51</t>
  </si>
  <si>
    <t>2025-11-24 05:23:57</t>
  </si>
  <si>
    <t>2025-11-24 05:24:01</t>
  </si>
  <si>
    <t>Tilto g. 6, Vilniaus m., Vilniaus m. sav.</t>
  </si>
  <si>
    <t>2025-11-24 05:24:04</t>
  </si>
  <si>
    <t>Algirdo g. 53, Vilniaus m., Vilniaus m. sav.</t>
  </si>
  <si>
    <t>2025-11-24 05:24:07</t>
  </si>
  <si>
    <t>Minsko pl. 2, Vilniaus m., Vilniaus m. sav.</t>
  </si>
  <si>
    <t>2025-11-24 05:24:12</t>
  </si>
  <si>
    <t>2025-11-24 05:24:18</t>
  </si>
  <si>
    <t>2025-11-24 05:24:23</t>
  </si>
  <si>
    <t>2025-11-24 05:24:29</t>
  </si>
  <si>
    <t>Kareivių g. 9A, Vilniaus m., Vilniaus m. sav.</t>
  </si>
  <si>
    <t>2025-11-24 05:24:33</t>
  </si>
  <si>
    <t>Ukmergės g. 214, Vilniaus m., Vilniaus m. sav.</t>
  </si>
  <si>
    <t>2025-11-24 05:24:36</t>
  </si>
  <si>
    <t>Bajorų kelio 1-oji g. 49, Vilniaus m., Vilniaus m. sav.</t>
  </si>
  <si>
    <t>2025-11-24 05:24:40</t>
  </si>
  <si>
    <t>J. Galvydžio g. 11A, Vilniaus m., Vilniaus m. sav.</t>
  </si>
  <si>
    <t>2025-11-24 05:24:42</t>
  </si>
  <si>
    <t>Bajorų kelio 1-oji g. 53, Vilniaus m., Vilniaus m. sav.</t>
  </si>
  <si>
    <t>2025-11-24 05:24:53</t>
  </si>
  <si>
    <t>2025-11-24 05:24:54</t>
  </si>
  <si>
    <t>J. Galvydžio g. 11B, Vilniaus m., Vilniaus m. sav.</t>
  </si>
  <si>
    <t>2025-11-24 05:24:56</t>
  </si>
  <si>
    <t>Bajorų kelio 1-oji g. 60, Vilniaus m., Vilniaus m. sav.</t>
  </si>
  <si>
    <t>2025-11-24 05:24:57</t>
  </si>
  <si>
    <t>2025-11-24 05:29:21</t>
  </si>
  <si>
    <t>2025-11-24 05:25:16</t>
  </si>
  <si>
    <t>Antakalnio g. 48, Vilniaus m., Vilniaus m. sav.</t>
  </si>
  <si>
    <t>2025-11-24 05:29:42</t>
  </si>
  <si>
    <t>2025-11-24 05:25:18</t>
  </si>
  <si>
    <t>Gedvydžių g. 7, Vilniaus m., Vilniaus m. sav.</t>
  </si>
  <si>
    <t>2025-11-24 05:25:21</t>
  </si>
  <si>
    <t>Mindaugo g. 11, Vilniaus m., Vilniaus m. sav.</t>
  </si>
  <si>
    <t>2025-11-24 05:25:23</t>
  </si>
  <si>
    <t>Tilto g. 3, Vilniaus m., Vilniaus m. sav.</t>
  </si>
  <si>
    <t>2025-11-24 05:25:26</t>
  </si>
  <si>
    <t>Slucko g. 8, Vilniaus m., Vilniaus m. sav.</t>
  </si>
  <si>
    <t>2025-11-24 05:25:28</t>
  </si>
  <si>
    <t>Jankiškių g. 50, Vilniaus m., Vilniaus m. sav.</t>
  </si>
  <si>
    <t>2025-11-24 05:25:32</t>
  </si>
  <si>
    <t>2025-11-24 05:25:37</t>
  </si>
  <si>
    <t>2025-11-24 05:25:42</t>
  </si>
  <si>
    <t>2025-11-24 05:25:41</t>
  </si>
  <si>
    <t>Krivūlės g. 3, Vilniaus m., Vilniaus m. sav.</t>
  </si>
  <si>
    <t>Bajorų kelio 1-oji g. 32, Vilniaus m., Vilniaus m. sav.</t>
  </si>
  <si>
    <t>Bajorų kelio 1-oji g. 47-1, Vilniaus m., Vilniaus m. sav.</t>
  </si>
  <si>
    <t>2025-11-24 05:25:50</t>
  </si>
  <si>
    <t>Darželio g. 5, Vilniaus m., Vilniaus m. sav.</t>
  </si>
  <si>
    <t>Bajorų kelio 1-oji g. 47-2, Vilniaus m., Vilniaus m. sav.</t>
  </si>
  <si>
    <t>2025-11-24 05:29:11</t>
  </si>
  <si>
    <t>2025-11-24 05:25:51</t>
  </si>
  <si>
    <t>2025-11-24 05:25:54</t>
  </si>
  <si>
    <t>S. Stanevičiaus g. 23, Vilniaus m., Vilniaus m. sav.</t>
  </si>
  <si>
    <t>2025-11-24 05:25:55</t>
  </si>
  <si>
    <t>2025-11-24 05:26:08</t>
  </si>
  <si>
    <t>Stepono Batoro g. 88-2, Vilniaus m., Vilniaus m. sav.</t>
  </si>
  <si>
    <t>2025-11-24 05:26:12</t>
  </si>
  <si>
    <t>Architektų g. 226, Vilniaus m., Vilniaus m. sav.</t>
  </si>
  <si>
    <t>2025-11-24 05:26:28</t>
  </si>
  <si>
    <t>Stepono Batoro g. 88-1, Vilniaus m., Vilniaus m. sav.</t>
  </si>
  <si>
    <t>2025-11-24 05:26:32</t>
  </si>
  <si>
    <t>2025-11-24 05:26:51</t>
  </si>
  <si>
    <t>Trakų g. 1, Vilniaus m., Vilniaus m. sav.</t>
  </si>
  <si>
    <t>2025-11-24 05:27:08</t>
  </si>
  <si>
    <t>Bajorų kelio 4-oji g. 7, Vilniaus m., Vilniaus m. sav.</t>
  </si>
  <si>
    <t>2025-11-24 05:27:11</t>
  </si>
  <si>
    <t>2025-11-24 05:27:14</t>
  </si>
  <si>
    <t>Bajorų kelio 1-oji g. 28, Vilniaus m., Vilniaus m. sav.</t>
  </si>
  <si>
    <t>2025-11-24 05:27:24</t>
  </si>
  <si>
    <t>2025-11-24 05:27:33</t>
  </si>
  <si>
    <t>2025-11-24 05:27:41</t>
  </si>
  <si>
    <t>2025-11-24 05:27:42</t>
  </si>
  <si>
    <t>2025-11-24 05:27:59</t>
  </si>
  <si>
    <t>Ukmergės g. 206, Vilniaus m., Vilniaus m. sav.</t>
  </si>
  <si>
    <t>2025-11-24 05:28:03</t>
  </si>
  <si>
    <t>2025-11-24 05:28:15</t>
  </si>
  <si>
    <t>Krivūlės g. 9, Vilniaus m., Vilniaus m. sav.</t>
  </si>
  <si>
    <t>2025-11-24 05:28:18</t>
  </si>
  <si>
    <t>Bajorų kelio 1-oji g. 35, Vilniaus m., Vilniaus m. sav.</t>
  </si>
  <si>
    <t>2025-11-24 05:28:20</t>
  </si>
  <si>
    <t>Naugarduko g. 41, Vilniaus m., Vilniaus m. sav.</t>
  </si>
  <si>
    <t>2025-11-24 05:28:28</t>
  </si>
  <si>
    <t>Rygos g. 8, Vilniaus m., Vilniaus m. sav.</t>
  </si>
  <si>
    <t>2025-11-24 05:28:31</t>
  </si>
  <si>
    <t>2025-11-24 05:28:33</t>
  </si>
  <si>
    <t>Visorių g. 27, Vilniaus m., Vilniaus m. sav.</t>
  </si>
  <si>
    <t>Ąžuolyno g. 10, Vilniaus m., Vilniaus m. sav.</t>
  </si>
  <si>
    <t>2025-11-24 05:28:38</t>
  </si>
  <si>
    <t>Genių g. 3, Vilniaus m., Vilniaus m. sav.</t>
  </si>
  <si>
    <t>Žirmūnų g. 1M, Vilniaus m., Vilniaus m. sav.</t>
  </si>
  <si>
    <t>2025-11-24 05:28:42</t>
  </si>
  <si>
    <t>Taikos g. 79, Vilniaus m., Vilniaus m. sav.</t>
  </si>
  <si>
    <t>2025-11-24 05:29:50</t>
  </si>
  <si>
    <t>2025-11-24 05:28:46</t>
  </si>
  <si>
    <t>Taikos g. 77, Vilniaus m., Vilniaus m. sav.</t>
  </si>
  <si>
    <t>2025-11-24 05:28:47</t>
  </si>
  <si>
    <t>Burbiškių g. 46, Vilniaus m., Vilniaus m. sav.</t>
  </si>
  <si>
    <t>2025-11-24 05:28:50</t>
  </si>
  <si>
    <t>Taikos g. 84, Vilniaus m., Vilniaus m. sav.</t>
  </si>
  <si>
    <t>2025-11-24 05:28:54</t>
  </si>
  <si>
    <t>Gariūnų g. 55, Vilniaus m., Vilniaus m. sav.</t>
  </si>
  <si>
    <t>Kirtimų g. 57E, Vilniaus m., Vilniaus m. sav.</t>
  </si>
  <si>
    <t>2025-11-24 05:29:00</t>
  </si>
  <si>
    <t>2025-11-24 05:29:06</t>
  </si>
  <si>
    <t>2025-11-24 05:29:07</t>
  </si>
  <si>
    <t>Žygimantų g. 2, Vilniaus m., Vilniaus m. sav.</t>
  </si>
  <si>
    <t>2025-11-24 05:29:12</t>
  </si>
  <si>
    <t>Kirtimų g. 57, Vilniaus m., Vilniaus m. sav.</t>
  </si>
  <si>
    <t>2025-11-24 05:29:18</t>
  </si>
  <si>
    <t>Bajorų kelio 1-oji g. 24, Vilniaus m., Vilniaus m. sav.</t>
  </si>
  <si>
    <t>2025-11-24 05:29:19</t>
  </si>
  <si>
    <t>Kareivių g. 11B, Vilniaus m., Vilniaus m. sav.</t>
  </si>
  <si>
    <t>Pylimo g. 12, Vilniaus m., Vilniaus m. sav.</t>
  </si>
  <si>
    <t>2025-11-24 05:29:22</t>
  </si>
  <si>
    <t>2025-11-24 05:29:29</t>
  </si>
  <si>
    <t>2025-11-24 05:29:32</t>
  </si>
  <si>
    <t>Gedvydžių g. 27, Vilniaus m., Vilniaus m. sav.</t>
  </si>
  <si>
    <t>2025-11-24 05:29:33</t>
  </si>
  <si>
    <t>A. Vivulskio g. 13, Vilniaus m., Vilniaus m. sav.</t>
  </si>
  <si>
    <t>Stepono Batoro g. 84, Vilniaus m., Vilniaus m. sav.</t>
  </si>
  <si>
    <t>Bajorų Kelio 1-oji g. 22, Vilniaus m., Vilniaus m. sav.</t>
  </si>
  <si>
    <t>Šilo g. 4, Vilniaus m., Vilniaus m. sav.</t>
  </si>
  <si>
    <t>2025-11-24 05:41:51</t>
  </si>
  <si>
    <t>2025-11-24 05:29:58</t>
  </si>
  <si>
    <t>Stepono Batoro g. 66-2, Vilniaus m., Vilniaus m. sav.</t>
  </si>
  <si>
    <t>2025-11-24 05:30:00</t>
  </si>
  <si>
    <t>2025-11-24 05:30:02</t>
  </si>
  <si>
    <t>2025-11-24 05:30:03</t>
  </si>
  <si>
    <t>2025-11-24 05:30:11</t>
  </si>
  <si>
    <t>A. Vivulskio g. 12, Vilniaus m., Vilniaus m. sav.</t>
  </si>
  <si>
    <t>2025-11-24 05:30:15</t>
  </si>
  <si>
    <t>Vytenio g. 46, Vilniaus m., Vilniaus m. sav.</t>
  </si>
  <si>
    <t>2025-11-24 05:30:16</t>
  </si>
  <si>
    <t>2025-11-24 06:13:03</t>
  </si>
  <si>
    <t>Žirmūnų g. 35, Vilniaus m., Vilniaus m. sav.</t>
  </si>
  <si>
    <t>2025-11-24 05:30:17</t>
  </si>
  <si>
    <t>Krivūlės g. 13, Vilniaus m., Vilniaus m. sav.</t>
  </si>
  <si>
    <t>2025-11-24 05:30:19</t>
  </si>
  <si>
    <t>2025-11-24 05:30:20</t>
  </si>
  <si>
    <t>2025-11-24 05:30:21</t>
  </si>
  <si>
    <t>2025-11-24 05:30:25</t>
  </si>
  <si>
    <t>Šeškinės g. 32, Vilniaus m., Vilniaus m. sav.</t>
  </si>
  <si>
    <t>2025-11-24 05:30:29</t>
  </si>
  <si>
    <t>Ukmergės g. 200, Vilniaus m., Vilniaus m. sav.</t>
  </si>
  <si>
    <t>2025-11-24 05:41:38</t>
  </si>
  <si>
    <t>2025-11-24 05:30:35</t>
  </si>
  <si>
    <t>Žygimantų g. 1, Vilniaus m., Vilniaus m. sav.</t>
  </si>
  <si>
    <t>2025-11-24 05:30:47</t>
  </si>
  <si>
    <t>2025-11-24 05:30:54</t>
  </si>
  <si>
    <t>Ąžuolyno g. 7, Vilniaus m., Vilniaus m. sav.</t>
  </si>
  <si>
    <t>Subačiaus g. 64, Vilniaus m., Vilniaus m. sav.</t>
  </si>
  <si>
    <t>2025-11-24 05:43:02</t>
  </si>
  <si>
    <t>2025-11-24 05:31:16</t>
  </si>
  <si>
    <t>2025-11-24 05:31:20</t>
  </si>
  <si>
    <t>2025-11-24 05:31:24</t>
  </si>
  <si>
    <t>Bajorų kelio 1-oji g. 20, Vilniaus m., Vilniaus m. sav.</t>
  </si>
  <si>
    <t>2025-11-24 05:31:28</t>
  </si>
  <si>
    <t>2025-11-24 05:44:01</t>
  </si>
  <si>
    <t>2025-11-24 05:31:29</t>
  </si>
  <si>
    <t>Stepono Batoro g. 66-1, Vilniaus m., Vilniaus m. sav.</t>
  </si>
  <si>
    <t>2025-11-24 05:44:05</t>
  </si>
  <si>
    <t>2025-11-24 05:31:34</t>
  </si>
  <si>
    <t>2025-11-24 05:44:14</t>
  </si>
  <si>
    <t>2025-11-24 05:31:37</t>
  </si>
  <si>
    <t>2025-11-24 05:31:38</t>
  </si>
  <si>
    <t>2025-11-24 05:31:44</t>
  </si>
  <si>
    <t>2025-11-24 05:44:22</t>
  </si>
  <si>
    <t>2025-11-24 05:31:50</t>
  </si>
  <si>
    <t>Genių g. 4, Vilniaus m., Vilniaus m. sav.</t>
  </si>
  <si>
    <t>2025-11-24 05:41:54</t>
  </si>
  <si>
    <t>2025-11-24 05:31:52</t>
  </si>
  <si>
    <t>2025-11-24 05:31:53</t>
  </si>
  <si>
    <t>A. Vivulskio g. 12B, Vilniaus m., Vilniaus m. sav.</t>
  </si>
  <si>
    <t>2025-11-24 05:32:01</t>
  </si>
  <si>
    <t>Krivūlės g. 12, Vilniaus m., Vilniaus m. sav.</t>
  </si>
  <si>
    <t>2025-11-24 05:32:14</t>
  </si>
  <si>
    <t>Bajorų Kelio 1-oji g. 16, Vilniaus m., Vilniaus m. sav.</t>
  </si>
  <si>
    <t>2025-11-24 05:32:18</t>
  </si>
  <si>
    <t>Subačiaus g. 78, Vilniaus m., Vilniaus m. sav.</t>
  </si>
  <si>
    <t>2025-11-24 05:32:23</t>
  </si>
  <si>
    <t>2025-11-24 05:32:27</t>
  </si>
  <si>
    <t>Palangos g. 4, Vilniaus m., Vilniaus m. sav.</t>
  </si>
  <si>
    <t>Krivūlės g. 12A, Vilniaus m., Vilniaus m. sav.</t>
  </si>
  <si>
    <t>2025-11-24 05:32:36</t>
  </si>
  <si>
    <t>2025-11-24 05:32:44</t>
  </si>
  <si>
    <t>Savanorių pr. 226, Vilniaus m., Vilniaus m. sav.</t>
  </si>
  <si>
    <t>2025-11-24 05:32:51</t>
  </si>
  <si>
    <t>Kareivių g. 13, Vilniaus m., Vilniaus m. sav.</t>
  </si>
  <si>
    <t>2025-11-24 05:32:52</t>
  </si>
  <si>
    <t>2025-11-24 06:50:15</t>
  </si>
  <si>
    <t>Stepono Batoro g. 80-2, Vilniaus m., Vilniaus m. sav.</t>
  </si>
  <si>
    <t>2025-11-24 05:33:02</t>
  </si>
  <si>
    <t>Žygimantų g. 5A, Vilniaus m., Vilniaus m. sav.</t>
  </si>
  <si>
    <t>2025-11-24 05:33:04</t>
  </si>
  <si>
    <t>Bajorų kelio 1-oji g. 14, Vilniaus m., Vilniaus m. sav.</t>
  </si>
  <si>
    <t>2025-11-24 05:33:10</t>
  </si>
  <si>
    <t>2025-11-24 05:33:19</t>
  </si>
  <si>
    <t>A. Vivulskio g. 8A, Vilniaus m., Vilniaus m. sav.</t>
  </si>
  <si>
    <t>2025-11-24 05:33:29</t>
  </si>
  <si>
    <t>Ukmergės g. 198, Vilniaus m., Vilniaus m. sav.</t>
  </si>
  <si>
    <t>2025-11-24 05:33:30</t>
  </si>
  <si>
    <t>2025-11-24 05:33:34</t>
  </si>
  <si>
    <t>2025-11-24 05:33:37</t>
  </si>
  <si>
    <t>Antakalnio g. 54, Vilniaus m., Vilniaus m. sav.</t>
  </si>
  <si>
    <t>2025-11-24 05:33:40</t>
  </si>
  <si>
    <t>Ąžuolyno g. 5, Vilniaus m., Vilniaus m. sav.</t>
  </si>
  <si>
    <t>2025-11-24 05:33:41</t>
  </si>
  <si>
    <t>Gariūnų g. 45, Vilniaus m., Vilniaus m. sav.</t>
  </si>
  <si>
    <t>2025-11-24 05:33:42</t>
  </si>
  <si>
    <t>Stepono Batoro g. 64, Vilniaus m., Vilniaus m. sav.</t>
  </si>
  <si>
    <t>2025-11-24 05:44:31</t>
  </si>
  <si>
    <t>2025-11-24 05:33:44</t>
  </si>
  <si>
    <t>Subačiaus g. 98, Vilniaus m., Vilniaus m. sav.</t>
  </si>
  <si>
    <t>2025-11-24 05:33:48</t>
  </si>
  <si>
    <t>2025-11-24 05:33:52</t>
  </si>
  <si>
    <t>Bajorų kelio 1-oji g. 12, Vilniaus m., Vilniaus m. sav.</t>
  </si>
  <si>
    <t>2025-11-24 05:36:17</t>
  </si>
  <si>
    <t>2025-11-24 05:33:54</t>
  </si>
  <si>
    <t>Bajorų kelio 1-oji g. 19, Vilniaus m., Vilniaus m. sav.</t>
  </si>
  <si>
    <t>2025-11-24 05:33:58</t>
  </si>
  <si>
    <t>Parko g. 10, Vilniaus m., Vilniaus m. sav.</t>
  </si>
  <si>
    <t>2025-11-24 05:34:00</t>
  </si>
  <si>
    <t>2025-11-24 05:34:09</t>
  </si>
  <si>
    <t>2025-11-24 05:34:10</t>
  </si>
  <si>
    <t>Gedvydžių g. 24, Vilniaus m., Vilniaus m. sav.</t>
  </si>
  <si>
    <t>2025-11-24 05:34:12</t>
  </si>
  <si>
    <t>2025-11-24 05:34:24</t>
  </si>
  <si>
    <t>Stepono Batoro g. 62-2, Vilniaus m., Vilniaus m. sav.</t>
  </si>
  <si>
    <t>2025-11-24 05:34:26</t>
  </si>
  <si>
    <t>2025-11-24 06:16:50</t>
  </si>
  <si>
    <t>2025-11-24 05:34:36</t>
  </si>
  <si>
    <t>Bajorų kelio 1-oji g. 17, Vilniaus m., Vilniaus m. sav.</t>
  </si>
  <si>
    <t>2025-11-24 05:34:37</t>
  </si>
  <si>
    <t>J. Tiškevičiaus g. 11, Vilniaus m., Vilniaus m. sav.</t>
  </si>
  <si>
    <t>2025-11-24 05:34:38</t>
  </si>
  <si>
    <t>Stepono Batoro g. 80-3, Vilniaus m., Vilniaus m. sav.</t>
  </si>
  <si>
    <t>2025-11-24 05:44:48</t>
  </si>
  <si>
    <t>2025-11-24 05:34:42</t>
  </si>
  <si>
    <t>Kareivių g. 15, Vilniaus m., Vilniaus m. sav.</t>
  </si>
  <si>
    <t>2025-11-24 05:34:46</t>
  </si>
  <si>
    <t>2025-11-24 05:34:47</t>
  </si>
  <si>
    <t>2025-11-24 05:45:09</t>
  </si>
  <si>
    <t>2025-11-24 05:34:50</t>
  </si>
  <si>
    <t>Bajorų kelio 1-oji g. 10, Vilniaus m., Vilniaus m. sav.</t>
  </si>
  <si>
    <t>2025-11-24 05:34:55</t>
  </si>
  <si>
    <t>Architektų g. 152, Vilniaus m., Vilniaus m. sav.</t>
  </si>
  <si>
    <t>2025-11-24 05:35:06</t>
  </si>
  <si>
    <t>2025-11-24 05:35:13</t>
  </si>
  <si>
    <t>2025-11-24 05:35:21</t>
  </si>
  <si>
    <t>Laisvės pr.  87A, Vilniaus m., Vilniaus m. sav.</t>
  </si>
  <si>
    <t>2025-11-24 05:35:23</t>
  </si>
  <si>
    <t>2025-11-24 05:35:26</t>
  </si>
  <si>
    <t>2025-11-24 05:35:28</t>
  </si>
  <si>
    <t>2025-11-24 05:35:32</t>
  </si>
  <si>
    <t>Tilto g. 15, Vilniaus m., Vilniaus m. sav.</t>
  </si>
  <si>
    <t>2025-11-24 05:35:34</t>
  </si>
  <si>
    <t>Vaduvos g. 23, Vilniaus m., Vilniaus m. sav.</t>
  </si>
  <si>
    <t>2025-11-24 05:35:35</t>
  </si>
  <si>
    <t>Panerių g. 51, Vilniaus m., Vilniaus m. sav.</t>
  </si>
  <si>
    <t>2025-11-24 05:35:46</t>
  </si>
  <si>
    <t>2025-11-24 05:35:52</t>
  </si>
  <si>
    <t>2025-11-24 05:35:57</t>
  </si>
  <si>
    <t>Žirmūnų g. 29, Vilniaus m., Vilniaus m. sav.</t>
  </si>
  <si>
    <t>2025-11-24 05:35:58</t>
  </si>
  <si>
    <t>2025-11-24 05:35:59</t>
  </si>
  <si>
    <t>2025-11-24 05:36:01</t>
  </si>
  <si>
    <t>2025-11-24 05:36:05</t>
  </si>
  <si>
    <t>2025-11-24 05:36:06</t>
  </si>
  <si>
    <t>Įsruties g. 22B, Vilniaus m., Vilniaus m. sav.</t>
  </si>
  <si>
    <t>2025-11-24 05:36:13</t>
  </si>
  <si>
    <t>Dūkštų g. 34, Vilniaus m., Vilniaus m. sav.</t>
  </si>
  <si>
    <t>2025-11-24 05:36:15</t>
  </si>
  <si>
    <t>Ukmergės g. 186, Vilniaus m., Vilniaus m. sav.</t>
  </si>
  <si>
    <t>2025-11-24 05:36:19</t>
  </si>
  <si>
    <t>2025-11-24 05:36:20</t>
  </si>
  <si>
    <t>Bajorų Sodų 1-oji g. 8, Vilniaus m., Vilniaus m. sav.</t>
  </si>
  <si>
    <t>2025-11-24 05:36:38</t>
  </si>
  <si>
    <t>Subačiaus g. 116A, Vilniaus m., Vilniaus m. sav.</t>
  </si>
  <si>
    <t>2025-11-24 05:36:41</t>
  </si>
  <si>
    <t>2025-11-24 05:36:56</t>
  </si>
  <si>
    <t>Dirvonų g. 10, Vilniaus m., Vilniaus m. sav.</t>
  </si>
  <si>
    <t>Nepravažiuojamas kelias</t>
  </si>
  <si>
    <t>2025-11-24 05:37:04</t>
  </si>
  <si>
    <t>2025-11-24 05:36:57</t>
  </si>
  <si>
    <t>2025-11-24 05:37:02</t>
  </si>
  <si>
    <t>Stepono Batoro g. 80, Vilniaus m., Vilniaus m. sav.</t>
  </si>
  <si>
    <t>2025-11-24 05:37:14</t>
  </si>
  <si>
    <t>2025-11-24 05:37:16</t>
  </si>
  <si>
    <t>2025-11-24 06:50:16</t>
  </si>
  <si>
    <t>Erfurto g. 54, Vilniaus m., Vilniaus m. sav.</t>
  </si>
  <si>
    <t>2025-11-24 05:37:18</t>
  </si>
  <si>
    <t>Taikos g. 69, Vilniaus m., Vilniaus m. sav.</t>
  </si>
  <si>
    <t>2025-11-24 05:37:20</t>
  </si>
  <si>
    <t>Taikos g. 69A, Vilniaus m., Vilniaus m. sav.</t>
  </si>
  <si>
    <t>2025-11-24 05:37:22</t>
  </si>
  <si>
    <t>2025-11-24 05:37:28</t>
  </si>
  <si>
    <t>2025-11-24 05:37:30</t>
  </si>
  <si>
    <t>Parko g. 4, Vilniaus m., Vilniaus m. sav.</t>
  </si>
  <si>
    <t>2025-11-24 05:37:45</t>
  </si>
  <si>
    <t>Buivydiškių g. 17, Vilniaus m., Vilniaus m. sav.</t>
  </si>
  <si>
    <t>2025-11-24 05:44:17</t>
  </si>
  <si>
    <t>2025-11-24 05:37:48</t>
  </si>
  <si>
    <t>2025-11-24 05:37:51</t>
  </si>
  <si>
    <t>J. Tiškevičiaus g. 18, Vilniaus m., Vilniaus m. sav.</t>
  </si>
  <si>
    <t>2025-11-24 05:38:13</t>
  </si>
  <si>
    <t>2025-11-24 05:38:19</t>
  </si>
  <si>
    <t>2025-11-24 05:38:24</t>
  </si>
  <si>
    <t>K. Sirvydo g. 6, Vilniaus m., Vilniaus m. sav.</t>
  </si>
  <si>
    <t>2025-11-24 05:38:29</t>
  </si>
  <si>
    <t>B. Krivicko g. 6, Vilniaus m., Vilniaus m. sav.</t>
  </si>
  <si>
    <t>2025-11-24 05:38:38</t>
  </si>
  <si>
    <t>2025-11-24 05:38:39</t>
  </si>
  <si>
    <t>Antakalnio g. 62, Vilniaus m., Vilniaus m. sav.</t>
  </si>
  <si>
    <t>2025-11-24 05:38:43</t>
  </si>
  <si>
    <t>B. Krivicko g. 4, Vilniaus m., Vilniaus m. sav.</t>
  </si>
  <si>
    <t>2025-11-24 05:38:50</t>
  </si>
  <si>
    <t>Ūmėdžių g. 1, Vilniaus m., Vilniaus m. sav.</t>
  </si>
  <si>
    <t>2025-11-24 05:38:57</t>
  </si>
  <si>
    <t>Žirmūnų g. 25, Vilniaus m., Vilniaus m. sav.</t>
  </si>
  <si>
    <t>2025-11-24 05:39:03</t>
  </si>
  <si>
    <t>Dariaus ir Girėno g. 21A, Vilniaus m., Vilniaus m. sav.</t>
  </si>
  <si>
    <t>2025-11-24 05:39:05</t>
  </si>
  <si>
    <t>B. Krivicko g. 8, Vilniaus m., Vilniaus m. sav.</t>
  </si>
  <si>
    <t>2025-11-24 05:39:09</t>
  </si>
  <si>
    <t>Ribiškių Didžioji g. 24, Vilniaus m., Vilniaus m. sav.</t>
  </si>
  <si>
    <t>2025-11-24 05:39:23</t>
  </si>
  <si>
    <t>2025-11-24 05:39:33</t>
  </si>
  <si>
    <t>Žirmūnų g. 79, Vilniaus m., Vilniaus m. sav.</t>
  </si>
  <si>
    <t>2025-11-24 05:39:36</t>
  </si>
  <si>
    <t>A. Vivulskio g. 5, Vilniaus m., Vilniaus m. sav.</t>
  </si>
  <si>
    <t>2025-11-24 05:39:39</t>
  </si>
  <si>
    <t>2025-11-24 05:39:42</t>
  </si>
  <si>
    <t>Gedvydžių g. 35, Vilniaus m., Vilniaus m. sav.</t>
  </si>
  <si>
    <t>2025-11-24 05:39:52</t>
  </si>
  <si>
    <t>Vydūno g. 15, Vilniaus m., Vilniaus m. sav.</t>
  </si>
  <si>
    <t>2025-11-24 05:40:03</t>
  </si>
  <si>
    <t>Buivydiškių g. 26, Vilniaus m., Vilniaus m. sav.</t>
  </si>
  <si>
    <t>2025-11-24 05:44:21</t>
  </si>
  <si>
    <t>Gariūnų g. 68, Vilniaus m., Vilniaus m. sav.</t>
  </si>
  <si>
    <t>2025-11-24 05:40:05</t>
  </si>
  <si>
    <t>2025-11-24 05:40:11</t>
  </si>
  <si>
    <t>2025-11-24 05:40:14</t>
  </si>
  <si>
    <t>2025-11-24 05:40:16</t>
  </si>
  <si>
    <t>2025-11-24 05:40:24</t>
  </si>
  <si>
    <t>2025-11-24 05:40:28</t>
  </si>
  <si>
    <t>Stepono Batoro g. 76, Vilniaus m., Vilniaus m. sav.</t>
  </si>
  <si>
    <t>Nepravažiuojamas keliasNukopijuota į maršrutą nr. 300266 vartotojo Valytė Dremeikienė.</t>
  </si>
  <si>
    <t>2025-11-24 05:40:35</t>
  </si>
  <si>
    <t>2025-11-24 05:40:38</t>
  </si>
  <si>
    <t>Gedimino pr. 5, Vilniaus m., Vilniaus m. sav.</t>
  </si>
  <si>
    <t>2025-11-24 05:40:39</t>
  </si>
  <si>
    <t>2025-11-24 05:40:42</t>
  </si>
  <si>
    <t>Vaduvos g. 25, Vilniaus m., Vilniaus m. sav.</t>
  </si>
  <si>
    <t>2025-11-24 05:40:43</t>
  </si>
  <si>
    <t>2025-11-24 05:40:48</t>
  </si>
  <si>
    <t>Parko g. 15A, Vilniaus m., Vilniaus m. sav.</t>
  </si>
  <si>
    <t>Paupio g. 50, Vilniaus m., Vilniaus m. sav.</t>
  </si>
  <si>
    <t>2025-11-24 05:40:53</t>
  </si>
  <si>
    <t>Tarandės g. 52, Vilniaus m., Vilniaus m. sav.</t>
  </si>
  <si>
    <t>2025-11-24 05:40:56</t>
  </si>
  <si>
    <t>2025-11-24 05:40:58</t>
  </si>
  <si>
    <t>Kareivių g. 19, Vilniaus m., Vilniaus m. sav.</t>
  </si>
  <si>
    <t>2025-11-24 05:40:59</t>
  </si>
  <si>
    <t>2025-11-24 05:41:00</t>
  </si>
  <si>
    <t>Bajorų kelio 3-ioji g. 16, Vilniaus m., Vilniaus m. sav.</t>
  </si>
  <si>
    <t>2025-11-24 05:41:05</t>
  </si>
  <si>
    <t>2025-11-24 05:41:10</t>
  </si>
  <si>
    <t>2025-11-24 06:22:33</t>
  </si>
  <si>
    <t>Smolensko g. 10, Vilniaus m., Vilniaus m. sav.</t>
  </si>
  <si>
    <t>2025-11-24 05:41:12</t>
  </si>
  <si>
    <t>Stepono Batoro g. 68, Vilniaus m., Vilniaus m. sav.</t>
  </si>
  <si>
    <t>2025-11-24 05:44:36</t>
  </si>
  <si>
    <t>A. Vivulskio g. 7, Vilniaus m., Vilniaus m. sav.</t>
  </si>
  <si>
    <t>2025-11-24 05:41:15</t>
  </si>
  <si>
    <t>Žirmūnų g. 85, Vilniaus m., Vilniaus m. sav.</t>
  </si>
  <si>
    <t>B. Krivicko g. 10, Vilniaus m., Vilniaus m. sav.</t>
  </si>
  <si>
    <t>2025-11-24 05:41:18</t>
  </si>
  <si>
    <t>Trampolio g. 2, Vilniaus m., Vilniaus m. sav.</t>
  </si>
  <si>
    <t>2025-11-24 05:41:23</t>
  </si>
  <si>
    <t>2025-11-24 05:41:25</t>
  </si>
  <si>
    <t>2025-11-24 05:41:26</t>
  </si>
  <si>
    <t>Erfurto g. 48, Vilniaus m., Vilniaus m. sav.</t>
  </si>
  <si>
    <t>2025-11-24 05:41:27</t>
  </si>
  <si>
    <t>Stepono Batoro g. 60A, Vilniaus m., Vilniaus m. sav.</t>
  </si>
  <si>
    <t>2025-11-24 05:41:30</t>
  </si>
  <si>
    <t>2025-11-24 05:41:36</t>
  </si>
  <si>
    <t>2025-11-24 05:41:42</t>
  </si>
  <si>
    <t>Taikos g. 50A, Vilniaus m., Vilniaus m. sav.</t>
  </si>
  <si>
    <t>2025-11-24 05:58:46</t>
  </si>
  <si>
    <t>2025-11-24 05:41:44</t>
  </si>
  <si>
    <t>2025-11-24 05:41:46</t>
  </si>
  <si>
    <t>Taikos g. 63, Vilniaus m., Vilniaus m. sav.</t>
  </si>
  <si>
    <t>Bajorų Kelio 3-ioji g. 7, Vilniaus m., Vilniaus m. sav.</t>
  </si>
  <si>
    <t>Bajorų kelio 3-ioji g. 12, Vilniaus m., Vilniaus m. sav.</t>
  </si>
  <si>
    <t>2025-11-24 05:41:49</t>
  </si>
  <si>
    <t>2025-11-24 05:41:50</t>
  </si>
  <si>
    <t>Vaduvos g. 31, Vilniaus m., Vilniaus m. sav.</t>
  </si>
  <si>
    <t>2025-11-24 05:41:57</t>
  </si>
  <si>
    <t>Gariūnų g. 70, Vilniaus m., Vilniaus m. sav.</t>
  </si>
  <si>
    <t>2025-11-24 05:42:00</t>
  </si>
  <si>
    <t>Paupio g. 46, Vilniaus m., Vilniaus m. sav.</t>
  </si>
  <si>
    <t>2025-11-24 05:42:01</t>
  </si>
  <si>
    <t>Antakalnio g. 70, Vilniaus m., Vilniaus m. sav.</t>
  </si>
  <si>
    <t>Kareivių g. 1, Vilniaus m., Vilniaus m. sav.</t>
  </si>
  <si>
    <t>2025-11-24 05:42:03</t>
  </si>
  <si>
    <t>2025-11-24 05:42:04</t>
  </si>
  <si>
    <t>Stepono Batoro g. 62-1, Vilniaus m., Vilniaus m. sav.</t>
  </si>
  <si>
    <t>2025-11-24 05:42:08</t>
  </si>
  <si>
    <t>2025-11-24 05:42:09</t>
  </si>
  <si>
    <t>2025-11-24 05:42:14</t>
  </si>
  <si>
    <t>2025-11-24 05:42:15</t>
  </si>
  <si>
    <t>B. Krivicko g. 10A, Vilniaus m., Vilniaus m. sav.</t>
  </si>
  <si>
    <t>2025-11-24 05:42:16</t>
  </si>
  <si>
    <t>Vydūno g. 8A, Vilniaus m., Vilniaus m. sav.</t>
  </si>
  <si>
    <t>2025-11-24 05:42:17</t>
  </si>
  <si>
    <t>Šeškinės g. 26, Vilniaus m., Vilniaus m. sav.</t>
  </si>
  <si>
    <t>2025-11-24 05:42:24</t>
  </si>
  <si>
    <t>2025-11-24 05:42:30</t>
  </si>
  <si>
    <t>Jurgio Baltrušaičio g. 3, Vilniaus m., Vilniaus m. sav.</t>
  </si>
  <si>
    <t>2025-11-24 05:42:31</t>
  </si>
  <si>
    <t>2025-11-24 05:42:32</t>
  </si>
  <si>
    <t>Bajorų Kelio 3-ioji g. 10, Vilniaus m., Vilniaus m. sav.</t>
  </si>
  <si>
    <t>2025-11-24 05:42:35</t>
  </si>
  <si>
    <t>Dariaus ir Girėno g. 21, Vilniaus m., Vilniaus m. sav.</t>
  </si>
  <si>
    <t>2025-11-24 05:42:37</t>
  </si>
  <si>
    <t>2025-11-24 05:42:42</t>
  </si>
  <si>
    <t>Buivydiškių g. 12A, Vilniaus m., Vilniaus m. sav.</t>
  </si>
  <si>
    <t>2025-11-24 05:42:48</t>
  </si>
  <si>
    <t>2025-11-24 05:42:58</t>
  </si>
  <si>
    <t>2025-11-24 05:43:01</t>
  </si>
  <si>
    <t>Raistelių g. 52, Vilniaus m., Vilniaus m. sav.</t>
  </si>
  <si>
    <t>Baltupio g. 14B, Vilniaus m., Vilniaus m. sav.</t>
  </si>
  <si>
    <t>2025-11-24 05:43:10</t>
  </si>
  <si>
    <t>2025-11-24 05:43:12</t>
  </si>
  <si>
    <t>2025-11-24 05:58:50</t>
  </si>
  <si>
    <t>2025-11-24 05:43:28</t>
  </si>
  <si>
    <t>Bajorų kelio 3-ioji g. 6, Vilniaus m., Vilniaus m. sav.</t>
  </si>
  <si>
    <t>Bajorų kelio 3-ioji g. 8, Vilniaus m., Vilniaus m. sav.</t>
  </si>
  <si>
    <t>2025-11-24 05:57:09</t>
  </si>
  <si>
    <t>2025-11-24 05:43:30</t>
  </si>
  <si>
    <t>2025-11-24 05:43:31</t>
  </si>
  <si>
    <t>Tomo Žebrausko g. 13-1, Vilniaus m., Vilniaus m. sav.</t>
  </si>
  <si>
    <t>2025-11-24 05:43:34</t>
  </si>
  <si>
    <t>Bajorų kelio 3-ioji g. 5, Vilniaus m., Vilniaus m. sav.</t>
  </si>
  <si>
    <t>2025-11-24 05:43:35</t>
  </si>
  <si>
    <t>2025-11-24 05:43:36</t>
  </si>
  <si>
    <t>2025-11-24 05:43:42</t>
  </si>
  <si>
    <t>Parko g. 20, Vilniaus m., Vilniaus m. sav.</t>
  </si>
  <si>
    <t>2025-11-24 05:43:45</t>
  </si>
  <si>
    <t>Žirmūnų g. 15, Vilniaus m., Vilniaus m. sav.</t>
  </si>
  <si>
    <t>2025-11-24 05:44:08</t>
  </si>
  <si>
    <t>2025-11-24 05:44:11</t>
  </si>
  <si>
    <t>2025-11-24 05:44:20</t>
  </si>
  <si>
    <t>2025-11-24 06:22:34</t>
  </si>
  <si>
    <t>2025-11-24 05:44:28</t>
  </si>
  <si>
    <t>Raistelių g. 66, Vilniaus m., Vilniaus m. sav.</t>
  </si>
  <si>
    <t>2025-11-24 05:44:34</t>
  </si>
  <si>
    <t>Bajorų kelio 3-ioji g. 1, Vilniaus m., Vilniaus m. sav.</t>
  </si>
  <si>
    <t>2025-11-24 05:50:30</t>
  </si>
  <si>
    <t>Žirmūnų g. 70, Vilniaus m., Vilniaus m. sav.</t>
  </si>
  <si>
    <t>2025-11-24 05:44:46</t>
  </si>
  <si>
    <t>Vydūno g. 13A, Vilniaus m., Vilniaus m. sav.</t>
  </si>
  <si>
    <t>2025-11-24 05:46:27</t>
  </si>
  <si>
    <t>2025-11-24 05:44:47</t>
  </si>
  <si>
    <t>B. Krivicko g. 16, Vilniaus m., Vilniaus m. sav.</t>
  </si>
  <si>
    <t>Filaretų g. 43, Vilniaus m., Vilniaus m. sav.</t>
  </si>
  <si>
    <t>2025-11-24 05:58:10</t>
  </si>
  <si>
    <t>2025-11-24 05:44:51</t>
  </si>
  <si>
    <t>Kareivių g. 9, Vilniaus m., Vilniaus m. sav.</t>
  </si>
  <si>
    <t>2025-11-24 05:44:56</t>
  </si>
  <si>
    <t>J. Tiškevičiaus g. 1, Vilniaus m., Vilniaus m. sav.</t>
  </si>
  <si>
    <t>2025-11-24 05:45:27</t>
  </si>
  <si>
    <t>2025-11-24 05:45:10</t>
  </si>
  <si>
    <t>Filaretų g. 43A, Vilniaus m., Vilniaus m. sav.</t>
  </si>
  <si>
    <t>Vaduvos g. 36, Vilniaus m., Vilniaus m. sav.</t>
  </si>
  <si>
    <t>2025-11-24 05:45:16</t>
  </si>
  <si>
    <t>Stepono Batoro g. 70, Vilniaus m., Vilniaus m. sav.</t>
  </si>
  <si>
    <t>2025-11-24 06:00:18</t>
  </si>
  <si>
    <t>2025-11-24 05:45:17</t>
  </si>
  <si>
    <t>B. Krivicko g. 14, Vilniaus m., Vilniaus m. sav.</t>
  </si>
  <si>
    <t>2025-11-24 05:45:20</t>
  </si>
  <si>
    <t>2025-11-24 05:45:22</t>
  </si>
  <si>
    <t>Laisvės pr. 51, Vilniaus m., Vilniaus m. sav.</t>
  </si>
  <si>
    <t>Antakalnio g. 76, Vilniaus m., Vilniaus m. sav.</t>
  </si>
  <si>
    <t>2025-11-24 05:45:30</t>
  </si>
  <si>
    <t>2025-11-24 05:45:31</t>
  </si>
  <si>
    <t>B. Krivicko g. 18A, Vilniaus m., Vilniaus m. sav.</t>
  </si>
  <si>
    <t>2025-11-24 05:45:36</t>
  </si>
  <si>
    <t>2025-11-24 05:45:37</t>
  </si>
  <si>
    <t>2025-11-24 05:45:39</t>
  </si>
  <si>
    <t>B. Krivicko g. 18, Vilniaus m., Vilniaus m. sav.</t>
  </si>
  <si>
    <t>2025-11-24 05:50:34</t>
  </si>
  <si>
    <t>2025-11-24 05:45:41</t>
  </si>
  <si>
    <t>2025-11-24 05:45:48</t>
  </si>
  <si>
    <t>2025-11-24 05:45:56</t>
  </si>
  <si>
    <t>Stepono Batoro g. 74, Vilniaus m., Vilniaus m. sav.</t>
  </si>
  <si>
    <t>2025-11-24 06:00:22</t>
  </si>
  <si>
    <t>2025-11-24 05:45:57</t>
  </si>
  <si>
    <t>2025-11-24 05:45:58</t>
  </si>
  <si>
    <t>2025-11-24 05:46:02</t>
  </si>
  <si>
    <t>2025-11-24 06:00:26</t>
  </si>
  <si>
    <t>2025-11-24 05:46:07</t>
  </si>
  <si>
    <t>Žirmūnų g. 21, Vilniaus m., Vilniaus m. sav.</t>
  </si>
  <si>
    <t>2025-11-24 05:46:12</t>
  </si>
  <si>
    <t>2025-11-24 05:46:18</t>
  </si>
  <si>
    <t>Aukštaičių g. 19, Vilniaus m., Vilniaus m. sav.</t>
  </si>
  <si>
    <t>2025-11-24 05:46:21</t>
  </si>
  <si>
    <t>2025-11-24 05:46:22</t>
  </si>
  <si>
    <t>2025-11-24 05:46:24</t>
  </si>
  <si>
    <t>Parko g. 24, Vilniaus m., Vilniaus m. sav.</t>
  </si>
  <si>
    <t>B. Krivicko g. 12, Vilniaus m., Vilniaus m. sav.</t>
  </si>
  <si>
    <t>2025-11-24 05:46:32</t>
  </si>
  <si>
    <t>Baltupio g. 10, Vilniaus m., Vilniaus m. sav.</t>
  </si>
  <si>
    <t>Švitrigailos g. 6, Vilniaus m., Vilniaus m. sav.</t>
  </si>
  <si>
    <t>2025-11-24 05:46:44</t>
  </si>
  <si>
    <t>2025-11-24 05:46:46</t>
  </si>
  <si>
    <t>2025-11-24 06:01:06</t>
  </si>
  <si>
    <t>2025-11-24 05:46:48</t>
  </si>
  <si>
    <t>2025-11-24 05:46:50</t>
  </si>
  <si>
    <t>2025-11-24 06:00:50</t>
  </si>
  <si>
    <t>2025-11-24 05:46:52</t>
  </si>
  <si>
    <t>2025-11-24 06:00:42</t>
  </si>
  <si>
    <t>2025-11-24 05:46:54</t>
  </si>
  <si>
    <t>Stepono Batoro g. 72, Vilniaus m., Vilniaus m. sav.</t>
  </si>
  <si>
    <t>2025-11-24 06:00:38</t>
  </si>
  <si>
    <t>2025-11-24 05:46:56</t>
  </si>
  <si>
    <t>2025-11-24 05:47:02</t>
  </si>
  <si>
    <t>2025-11-24 06:01:18</t>
  </si>
  <si>
    <t>2025-11-24 05:47:03</t>
  </si>
  <si>
    <t>Gedimino pr. 16, Vilniaus m., Vilniaus m. sav.</t>
  </si>
  <si>
    <t>2025-11-24 05:47:06</t>
  </si>
  <si>
    <t>2025-11-24 05:47:08</t>
  </si>
  <si>
    <t>2025-11-24 05:47:10</t>
  </si>
  <si>
    <t>Justiniškių g. 119, Vilniaus m., Vilniaus m. sav.</t>
  </si>
  <si>
    <t>2025-11-24 05:47:11</t>
  </si>
  <si>
    <t>Tarandės g. 82-1, Vilniaus m., Vilniaus m. sav.</t>
  </si>
  <si>
    <t>2025-11-24 05:47:14</t>
  </si>
  <si>
    <t>2025-11-24 05:47:28</t>
  </si>
  <si>
    <t>2025-11-24 06:50:19</t>
  </si>
  <si>
    <t>Dunojaus g. 29, Vilniaus m., Vilniaus m. sav.</t>
  </si>
  <si>
    <t>2025-11-24 06:01:53</t>
  </si>
  <si>
    <t>2025-11-24 05:47:30</t>
  </si>
  <si>
    <t>Erfurto g. 27, Vilniaus m., Vilniaus m. sav.</t>
  </si>
  <si>
    <t>2025-11-24 05:47:33</t>
  </si>
  <si>
    <t>Broniaus Krivicko g. 20, Vilniaus m., Vilniaus m. sav.</t>
  </si>
  <si>
    <t>2025-11-24 05:47:35</t>
  </si>
  <si>
    <t>2025-11-24 05:47:44</t>
  </si>
  <si>
    <t>Bajorų kelio 2-oji g. 20, Vilniaus m., Vilniaus m. sav.</t>
  </si>
  <si>
    <t>Bajorų kelio 2-oji g. 18, Vilniaus m., Vilniaus m. sav.</t>
  </si>
  <si>
    <t>2025-11-24 05:47:47</t>
  </si>
  <si>
    <t>Tarandės g. 84-1, Vilniaus m., Vilniaus m. sav.</t>
  </si>
  <si>
    <t>2025-11-24 05:47:53</t>
  </si>
  <si>
    <t>2025-11-24 05:47:54</t>
  </si>
  <si>
    <t>Bajorų kelio 2-oji g. 15, Vilniaus m., Vilniaus m. sav.</t>
  </si>
  <si>
    <t>2025-11-24 05:47:55</t>
  </si>
  <si>
    <t>2025-11-24 05:47:58</t>
  </si>
  <si>
    <t>2025-11-24 05:48:10</t>
  </si>
  <si>
    <t>Kedrų g. 2A, Vilniaus m., Vilniaus m. sav.</t>
  </si>
  <si>
    <t>Sausio 13-osios g. 2, Vilniaus m., Vilniaus m. sav.</t>
  </si>
  <si>
    <t>Klaipėdos g. 7A, Vilniaus m., Vilniaus m. sav.</t>
  </si>
  <si>
    <t>2025-11-24 05:48:13</t>
  </si>
  <si>
    <t>2025-11-24 05:48:18</t>
  </si>
  <si>
    <t>A. Vivulskio g. 15, Vilniaus m., Vilniaus m. sav.</t>
  </si>
  <si>
    <t>Žirmūnų g. 70C, Vilniaus m., Vilniaus m. sav.</t>
  </si>
  <si>
    <t>2025-11-24 05:48:19</t>
  </si>
  <si>
    <t>2025-11-24 05:48:20</t>
  </si>
  <si>
    <t>2025-11-24 06:50:34</t>
  </si>
  <si>
    <t>2025-11-24 05:48:21</t>
  </si>
  <si>
    <t>2025-11-24 05:48:24</t>
  </si>
  <si>
    <t>Bajorų kelio 2-oji g. 22, Vilniaus m., Vilniaus m. sav.</t>
  </si>
  <si>
    <t>Bajorų Kelio 2-oji g. 11, Vilniaus m., Vilniaus m. sav.</t>
  </si>
  <si>
    <t>2025-11-24 05:48:31</t>
  </si>
  <si>
    <t>Kirtimų g. 59C, Vilniaus m., Vilniaus m. sav.</t>
  </si>
  <si>
    <t>2025-11-24 05:48:36</t>
  </si>
  <si>
    <t>Buivydiškių g. 36, Vilniaus m., Vilniaus m. sav.</t>
  </si>
  <si>
    <t>2025-11-24 05:59:24</t>
  </si>
  <si>
    <t>2025-11-24 05:48:39</t>
  </si>
  <si>
    <t>2025-11-24 05:48:40</t>
  </si>
  <si>
    <t>2025-11-24 05:48:42</t>
  </si>
  <si>
    <t>Genių g. 21, Vilniaus m., Vilniaus m. sav.</t>
  </si>
  <si>
    <t>2025-11-24 05:48:43</t>
  </si>
  <si>
    <t>2025-11-24 05:48:44</t>
  </si>
  <si>
    <t>Aukštaičių g. 25, Vilniaus m., Vilniaus m. sav.</t>
  </si>
  <si>
    <t>2025-11-24 05:48:47</t>
  </si>
  <si>
    <t>Žirmūnų g. 89A, Vilniaus m., Vilniaus m. sav.</t>
  </si>
  <si>
    <t>2025-11-24 05:48:49</t>
  </si>
  <si>
    <t>B. Krivicko g. 22, Vilniaus m., Vilniaus m. sav.</t>
  </si>
  <si>
    <t>2025-11-24 05:48:50</t>
  </si>
  <si>
    <t>2025-11-24 05:48:52</t>
  </si>
  <si>
    <t>Vydūno g. 2, Vilniaus m., Vilniaus m. sav.</t>
  </si>
  <si>
    <t>2025-11-24 05:48:54</t>
  </si>
  <si>
    <t>Filaretų g. 75, Vilniaus m., Vilniaus m. sav.</t>
  </si>
  <si>
    <t>2025-11-24 05:48:55</t>
  </si>
  <si>
    <t>2025-11-24 05:48:57</t>
  </si>
  <si>
    <t>Baltosios Vokės g. 47-2, Vilniaus m., Vilniaus m. sav.</t>
  </si>
  <si>
    <t>2025-11-24 05:49:00</t>
  </si>
  <si>
    <t>Bajorų kelio 2-oji g. 16, Vilniaus m., Vilniaus m. sav.</t>
  </si>
  <si>
    <t>2025-11-24 05:49:02</t>
  </si>
  <si>
    <t>2025-11-24 05:49:03</t>
  </si>
  <si>
    <t>2025-11-24 05:49:05</t>
  </si>
  <si>
    <t>B. Krivicko g. 26-2, Vilniaus m., Vilniaus m. sav.</t>
  </si>
  <si>
    <t>2025-11-24 05:49:07</t>
  </si>
  <si>
    <t>2025-11-24 05:49:10</t>
  </si>
  <si>
    <t>Aukštaičių g. 17, Vilniaus m., Vilniaus m. sav.</t>
  </si>
  <si>
    <t>2025-11-24 05:49:13</t>
  </si>
  <si>
    <t>2025-11-24 06:25:58</t>
  </si>
  <si>
    <t>2025-11-24 05:49:16</t>
  </si>
  <si>
    <t>2025-11-24 05:49:17</t>
  </si>
  <si>
    <t>2025-11-24 05:49:22</t>
  </si>
  <si>
    <t>Vaduvos g. 10, Vilniaus m., Vilniaus m. sav.</t>
  </si>
  <si>
    <t>2025-11-24 05:49:24</t>
  </si>
  <si>
    <t>Bajorų Kelio 2-oji g. 13, Vilniaus m., Vilniaus m. sav.</t>
  </si>
  <si>
    <t>Bajorų Kelio 2-oji g. 7, Vilniaus m., Vilniaus m. sav.</t>
  </si>
  <si>
    <t>2025-11-24 05:49:28</t>
  </si>
  <si>
    <t>Aukštaičių g. 30, Vilniaus m., Vilniaus m. sav.</t>
  </si>
  <si>
    <t>2025-11-24 05:49:29</t>
  </si>
  <si>
    <t>B. Krivicko g. 26-1, Vilniaus m., Vilniaus m. sav.</t>
  </si>
  <si>
    <t>2025-11-24 05:49:31</t>
  </si>
  <si>
    <t>Gedimino pr. 12, Vilniaus m., Vilniaus m. sav.</t>
  </si>
  <si>
    <t>2025-11-24 05:49:32</t>
  </si>
  <si>
    <t>2025-11-24 05:52:22</t>
  </si>
  <si>
    <t>Bajorų Kelio 2-oji g. 9, Vilniaus m., Vilniaus m. sav.</t>
  </si>
  <si>
    <t>2025-11-24 05:49:33</t>
  </si>
  <si>
    <t>Kirtimų g. 59, Vilniaus m., Vilniaus m. sav.</t>
  </si>
  <si>
    <t>2025-11-24 05:49:35</t>
  </si>
  <si>
    <t>Pikutiškių g. 3, Vilniaus m., Vilniaus m. sav.</t>
  </si>
  <si>
    <t>2025-11-24 05:49:41</t>
  </si>
  <si>
    <t>2025-11-24 05:49:54</t>
  </si>
  <si>
    <t>2025-11-24 05:49:55</t>
  </si>
  <si>
    <t>Žemynos g. 2, Vilniaus m., Vilniaus m. sav.</t>
  </si>
  <si>
    <t>2025-11-24 05:50:00</t>
  </si>
  <si>
    <t>Aukštaičių g. 13, Vilniaus m., Vilniaus m. sav.</t>
  </si>
  <si>
    <t>2025-11-24 05:50:01</t>
  </si>
  <si>
    <t>Antakalnio g. 80, Vilniaus m., Vilniaus m. sav.</t>
  </si>
  <si>
    <t>P. Lukšio g. 7, Vilniaus m., Vilniaus m. sav.</t>
  </si>
  <si>
    <t>2025-11-24 05:50:02</t>
  </si>
  <si>
    <t>2025-11-24 05:50:03</t>
  </si>
  <si>
    <t>Baltosios Vokės g. 47-1, Vilniaus m., Vilniaus m. sav.</t>
  </si>
  <si>
    <t>2025-11-24 05:50:09</t>
  </si>
  <si>
    <t>2025-11-24 05:50:10</t>
  </si>
  <si>
    <t>Bajorų kelio 2-oji g. 12, Vilniaus m., Vilniaus m. sav.</t>
  </si>
  <si>
    <t>Aukštaičių g. 15-2, Vilniaus m., Vilniaus m. sav.</t>
  </si>
  <si>
    <t>2025-11-24 05:50:18</t>
  </si>
  <si>
    <t>2025-11-24 05:50:19</t>
  </si>
  <si>
    <t>B. Krivicko g. 30, Vilniaus m., Vilniaus m. sav.</t>
  </si>
  <si>
    <t>2025-11-24 05:50:24</t>
  </si>
  <si>
    <t>2025-11-24 06:32:25</t>
  </si>
  <si>
    <t>2025-11-24 05:50:25</t>
  </si>
  <si>
    <t>2025-11-24 06:03:00</t>
  </si>
  <si>
    <t>2025-11-24 05:50:35</t>
  </si>
  <si>
    <t>Žirmūnų g. 68A, Vilniaus m., Vilniaus m. sav.</t>
  </si>
  <si>
    <t>2025-11-24 05:50:38</t>
  </si>
  <si>
    <t>2025-11-24 05:50:41</t>
  </si>
  <si>
    <t>2025-11-24 05:50:42</t>
  </si>
  <si>
    <t>Justiniškių g. 86, Vilniaus m., Vilniaus m. sav.</t>
  </si>
  <si>
    <t>2025-11-24 05:58:57</t>
  </si>
  <si>
    <t>2025-11-24 05:50:43</t>
  </si>
  <si>
    <t>2025-11-24 05:50:44</t>
  </si>
  <si>
    <t>Laisvės pr. 53, Vilniaus m., Vilniaus m. sav.</t>
  </si>
  <si>
    <t>2025-11-24 06:00:58</t>
  </si>
  <si>
    <t>2025-11-24 05:50:46</t>
  </si>
  <si>
    <t>Justiniškių g. 74, Vilniaus m., Vilniaus m. sav.</t>
  </si>
  <si>
    <t>2025-11-24 05:50:47</t>
  </si>
  <si>
    <t>Žirnių g. 58, Vilniaus m., Vilniaus m. sav.</t>
  </si>
  <si>
    <t>2025-11-24 05:50:49</t>
  </si>
  <si>
    <t>2025-11-24 05:50:50</t>
  </si>
  <si>
    <t>Bajorų Kelio 2-oji g. 5, Vilniaus m., Vilniaus m. sav.</t>
  </si>
  <si>
    <t>2025-11-24 05:50:56</t>
  </si>
  <si>
    <t>2025-11-24 05:51:04</t>
  </si>
  <si>
    <t>2025-11-24 05:51:06</t>
  </si>
  <si>
    <t>Gariūnų g. 62, Vilniaus m., Vilniaus m. sav.</t>
  </si>
  <si>
    <t>2025-11-24 05:51:26</t>
  </si>
  <si>
    <t>Genių g. 17, Vilniaus m., Vilniaus m. sav.</t>
  </si>
  <si>
    <t>J. Degutytės g. 1, Vilniaus m., Vilniaus m. sav.</t>
  </si>
  <si>
    <t>2025-11-24 05:51:35</t>
  </si>
  <si>
    <t>2025-11-24 05:51:36</t>
  </si>
  <si>
    <t>Pranciškonų g. 4A, Vilniaus m., Vilniaus m. sav.</t>
  </si>
  <si>
    <t>2025-11-24 05:51:39</t>
  </si>
  <si>
    <t>Baltosios Vokės g. 43-2, Vilniaus m., Vilniaus m. sav.</t>
  </si>
  <si>
    <t>2025-11-24 05:51:43</t>
  </si>
  <si>
    <t>2025-11-24 05:51:46</t>
  </si>
  <si>
    <t>J. Degutytės g. 4, Vilniaus m., Vilniaus m. sav.</t>
  </si>
  <si>
    <t>2025-11-24 05:51:49</t>
  </si>
  <si>
    <t>Č. Sugiharos g. 4, Vilniaus m., Vilniaus m. sav.</t>
  </si>
  <si>
    <t>2025-11-24 06:32:26</t>
  </si>
  <si>
    <t>2025-11-24 05:51:50</t>
  </si>
  <si>
    <t>Šeškinės g.  22A, Vilniaus m., Vilniaus m. sav.</t>
  </si>
  <si>
    <t>2025-11-24 05:51:56</t>
  </si>
  <si>
    <t>2025-11-24 05:51:58</t>
  </si>
  <si>
    <t>2025-11-24 05:52:06</t>
  </si>
  <si>
    <t>J. Degutytės g. 3, Vilniaus m., Vilniaus m. sav.</t>
  </si>
  <si>
    <t>2025-11-24 05:52:12</t>
  </si>
  <si>
    <t>Vaduvos g. 16, Vilniaus m., Vilniaus m. sav.</t>
  </si>
  <si>
    <t>2025-11-24 05:52:14</t>
  </si>
  <si>
    <t>Žirmūnų g. 132, Vilniaus m., Vilniaus m. sav.</t>
  </si>
  <si>
    <t>Sluškų g. 3, Vilniaus m., Vilniaus m. sav.</t>
  </si>
  <si>
    <t>2025-11-24 05:52:24</t>
  </si>
  <si>
    <t>Smalinės g. 23, Vilniaus m., Vilniaus m. sav.</t>
  </si>
  <si>
    <t>2025-11-24 05:52:26</t>
  </si>
  <si>
    <t>2025-11-24 05:52:28</t>
  </si>
  <si>
    <t>Erfurto g. 36, Vilniaus m., Vilniaus m. sav.</t>
  </si>
  <si>
    <t>2025-11-24 05:57:38</t>
  </si>
  <si>
    <t>2025-11-24 05:52:38</t>
  </si>
  <si>
    <t>2025-11-24 05:52:42</t>
  </si>
  <si>
    <t>2025-11-24 05:52:43</t>
  </si>
  <si>
    <t>Švitrigailos g. 4, Vilniaus m., Vilniaus m. sav.</t>
  </si>
  <si>
    <t>2025-11-24 05:52:54</t>
  </si>
  <si>
    <t>2025-11-24 05:52:56</t>
  </si>
  <si>
    <t>2025-11-24 05:53:02</t>
  </si>
  <si>
    <t>J. Degutytės g. 8, Vilniaus m., Vilniaus m. sav.</t>
  </si>
  <si>
    <t>2025-11-24 05:53:04</t>
  </si>
  <si>
    <t>2025-11-24 05:53:18</t>
  </si>
  <si>
    <t>2025-11-24 05:53:19</t>
  </si>
  <si>
    <t>2025-11-24 05:53:34</t>
  </si>
  <si>
    <t>2025-11-24 05:53:36</t>
  </si>
  <si>
    <t>Kirtimų g. 57C, Vilniaus m., Vilniaus m. sav.</t>
  </si>
  <si>
    <t>2025-11-24 05:53:37</t>
  </si>
  <si>
    <t>Stepono Batoro g. 60, Vilniaus m., Vilniaus m. sav.</t>
  </si>
  <si>
    <t>2025-11-24 05:53:38</t>
  </si>
  <si>
    <t>J. Degutytės g. 10, Vilniaus m., Vilniaus m. sav.</t>
  </si>
  <si>
    <t>2025-11-24 05:53:40</t>
  </si>
  <si>
    <t>Lazdakiemio g. 6-2, Vilniaus m., Vilniaus m. sav.</t>
  </si>
  <si>
    <t>2025-11-24 05:59:18</t>
  </si>
  <si>
    <t>2025-11-24 05:53:44</t>
  </si>
  <si>
    <t>2025-11-24 05:53:45</t>
  </si>
  <si>
    <t>Aukštaičių g. 16, Vilniaus m., Vilniaus m. sav.</t>
  </si>
  <si>
    <t>2025-11-24 05:53:46</t>
  </si>
  <si>
    <t>2025-11-24 05:53:48</t>
  </si>
  <si>
    <t>2025-11-24 05:53:50</t>
  </si>
  <si>
    <t>Lazdakiemio g. 6, Vilniaus m., Vilniaus m. sav.</t>
  </si>
  <si>
    <t>2025-11-24 05:53:51</t>
  </si>
  <si>
    <t>2025-11-24 05:53:54</t>
  </si>
  <si>
    <t>2025-11-24 05:53:57</t>
  </si>
  <si>
    <t>J. Galvydžio g. 3, Vilniaus m., Vilniaus m. sav.</t>
  </si>
  <si>
    <t>2025-11-24 05:53:58</t>
  </si>
  <si>
    <t>2025-11-24 05:54:01</t>
  </si>
  <si>
    <t>Žirmūnų g. 68, Vilniaus m., Vilniaus m. sav.</t>
  </si>
  <si>
    <t>2025-11-24 05:54:02</t>
  </si>
  <si>
    <t>2025-11-24 05:54:13</t>
  </si>
  <si>
    <t>Medeinos g. 8, Vilniaus m., Vilniaus m. sav.</t>
  </si>
  <si>
    <t>Apolinaro Juozo Povilaičio g. 20, Vilniaus m., Vilniaus m. sav.</t>
  </si>
  <si>
    <t>2025-11-24 05:54:14</t>
  </si>
  <si>
    <t>J. Degutytės g. 9, Vilniaus m., Vilniaus m. sav.</t>
  </si>
  <si>
    <t>2025-11-24 05:54:17</t>
  </si>
  <si>
    <t>2025-11-24 05:54:18</t>
  </si>
  <si>
    <t>2025-11-24 05:54:23</t>
  </si>
  <si>
    <t>Stepono Batoro g. 56A, Vilniaus m., Vilniaus m. sav.</t>
  </si>
  <si>
    <t>2025-11-24 05:54:26</t>
  </si>
  <si>
    <t>2025-11-24 05:54:27</t>
  </si>
  <si>
    <t>Vaduvos g. 30D, Vilniaus m., Vilniaus m. sav.</t>
  </si>
  <si>
    <t xml:space="preserve">Užstatyti automobilių
</t>
  </si>
  <si>
    <t>2025-11-24 05:54:30</t>
  </si>
  <si>
    <t>Viršuliškių g. 101, Vilniaus m., Vilniaus m. sav.</t>
  </si>
  <si>
    <t>Vokiečių g. 20, Vilniaus m., Vilniaus m. sav.</t>
  </si>
  <si>
    <t>2025-11-24 05:54:36</t>
  </si>
  <si>
    <t>2025-11-24 05:54:38</t>
  </si>
  <si>
    <t>J. Degutytės g. 11, Vilniaus m., Vilniaus m. sav.</t>
  </si>
  <si>
    <t>2025-11-24 05:54:43</t>
  </si>
  <si>
    <t>Gedimino pr. 9, Vilniaus m., Vilniaus m. sav.</t>
  </si>
  <si>
    <t>2025-11-24 05:54:48</t>
  </si>
  <si>
    <t>J. Degutytės g. 12, Vilniaus m., Vilniaus m. sav.</t>
  </si>
  <si>
    <t>2025-11-24 05:54:50</t>
  </si>
  <si>
    <t>2025-11-24 05:54:54</t>
  </si>
  <si>
    <t>Pergalės g. 26, Vilniaus m., Vilniaus m. sav.</t>
  </si>
  <si>
    <t>2025-11-24 05:54:56</t>
  </si>
  <si>
    <t>Lazdakiemio g. 6-1, Vilniaus m., Vilniaus m. sav.</t>
  </si>
  <si>
    <t>2025-11-24 05:59:27</t>
  </si>
  <si>
    <t>2025-11-24 05:54:57</t>
  </si>
  <si>
    <t>2025-11-24 05:55:00</t>
  </si>
  <si>
    <t>Genių g. 20, Vilniaus m., Vilniaus m. sav.</t>
  </si>
  <si>
    <t>2025-11-24 06:50:35</t>
  </si>
  <si>
    <t>Stepono Batoro g. 56, Vilniaus m., Vilniaus m. sav.</t>
  </si>
  <si>
    <t>T. Kosciuškos g. 34, Vilniaus m., Vilniaus m. sav.</t>
  </si>
  <si>
    <t>2025-11-24 05:55:02</t>
  </si>
  <si>
    <t>Lazdakiemio g. 11, Vilniaus m., Vilniaus m. sav.</t>
  </si>
  <si>
    <t>2025-11-24 05:55:08</t>
  </si>
  <si>
    <t>2025-11-24 05:55:13</t>
  </si>
  <si>
    <t>2025-11-24 05:55:15</t>
  </si>
  <si>
    <t>2025-11-24 05:55:16</t>
  </si>
  <si>
    <t>2025-11-24 05:55:18</t>
  </si>
  <si>
    <t>2025-11-24 05:55:19</t>
  </si>
  <si>
    <t>2025-11-24 05:55:20</t>
  </si>
  <si>
    <t>2025-11-24 09:21:46</t>
  </si>
  <si>
    <t>Tujų g. 7, Vilniaus m., Vilniaus m. sav.</t>
  </si>
  <si>
    <t>2025-11-24 05:55:24</t>
  </si>
  <si>
    <t>J. Degutytės g. 13, Vilniaus m., Vilniaus m. sav.</t>
  </si>
  <si>
    <t>2025-11-24 05:55:25</t>
  </si>
  <si>
    <t>2025-11-24 05:55:26</t>
  </si>
  <si>
    <t>2025-11-24 05:55:28</t>
  </si>
  <si>
    <t>Rūtų g. 21, Vilniaus m., Vilniaus m. sav.</t>
  </si>
  <si>
    <t>2025-11-24 05:55:34</t>
  </si>
  <si>
    <t>J. Degutytės g. 14, Vilniaus m., Vilniaus m. sav.</t>
  </si>
  <si>
    <t>2025-11-24 05:55:38</t>
  </si>
  <si>
    <t>I. Kanto al. 4, Vilniaus m., Vilniaus m. sav.</t>
  </si>
  <si>
    <t>2025-11-24 06:00:19</t>
  </si>
  <si>
    <t>Lazdakiemio g. 9, Vilniaus m., Vilniaus m. sav.</t>
  </si>
  <si>
    <t>2025-11-24 05:55:40</t>
  </si>
  <si>
    <t>2025-11-24 05:55:42</t>
  </si>
  <si>
    <t>2025-11-24 06:11:08</t>
  </si>
  <si>
    <t>2025-11-24 05:55:45</t>
  </si>
  <si>
    <t>Pauliaus Širvio g. 14, Vilniaus m., Vilniaus m. sav.</t>
  </si>
  <si>
    <t>2025-11-24 05:55:48</t>
  </si>
  <si>
    <t>Lazdakiemio g. 9-1, Vilniaus m., Vilniaus m. sav.</t>
  </si>
  <si>
    <t>2025-11-24 05:55:52</t>
  </si>
  <si>
    <t>2025-11-24 05:55:55</t>
  </si>
  <si>
    <t>Stepono Batoro g. 58, Vilniaus m., Vilniaus m. sav.</t>
  </si>
  <si>
    <t>2025-11-24 05:55:56</t>
  </si>
  <si>
    <t>2025-11-24 05:56:02</t>
  </si>
  <si>
    <t>2025-11-24 05:56:08</t>
  </si>
  <si>
    <t>2025-11-24 05:56:12</t>
  </si>
  <si>
    <t>Žirmūnų g. 110, Vilniaus m., Vilniaus m. sav.</t>
  </si>
  <si>
    <t>Erfurto g. 21A, Vilniaus m., Vilniaus m. sav.</t>
  </si>
  <si>
    <t>2025-11-24 05:56:14</t>
  </si>
  <si>
    <t>2025-11-24 05:56:19</t>
  </si>
  <si>
    <t>Vikingų g. 3, Vilniaus m., Vilniaus m. sav.</t>
  </si>
  <si>
    <t>2025-11-24 05:56:22</t>
  </si>
  <si>
    <t>2025-11-24 05:56:24</t>
  </si>
  <si>
    <t>Lazdakiemio g. 2, Vilniaus m., Vilniaus m. sav.</t>
  </si>
  <si>
    <t>2025-11-24 05:56:25</t>
  </si>
  <si>
    <t>2025-11-24 05:56:30</t>
  </si>
  <si>
    <t>2025-11-24 06:43:02</t>
  </si>
  <si>
    <t>Lazdakiemio g. 4, Vilniaus m., Vilniaus m. sav.</t>
  </si>
  <si>
    <t>2025-11-24 05:56:32</t>
  </si>
  <si>
    <t>J. Degutytės g. 16, Vilniaus m., Vilniaus m. sav.</t>
  </si>
  <si>
    <t>2025-11-24 05:56:34</t>
  </si>
  <si>
    <t>Baltosios Vokės Sodų g. 70, Vilniaus m., Vilniaus m. sav.</t>
  </si>
  <si>
    <t>2025-11-24 05:56:37</t>
  </si>
  <si>
    <t>Arklių g. 22, Vilniaus m., Vilniaus m. sav.</t>
  </si>
  <si>
    <t>2025-11-24 05:56:39</t>
  </si>
  <si>
    <t>2025-11-24 05:56:40</t>
  </si>
  <si>
    <t>2025-11-24 05:56:41</t>
  </si>
  <si>
    <t>Arklių g. 18, Vilniaus m., Vilniaus m. sav.</t>
  </si>
  <si>
    <t>2025-11-24 05:56:43</t>
  </si>
  <si>
    <t>2025-11-24 05:57:04</t>
  </si>
  <si>
    <t>Speigo g. 5, Vilniaus m., Vilniaus m. sav.</t>
  </si>
  <si>
    <t>2025-11-24 05:57:10</t>
  </si>
  <si>
    <t>J. Degutytės g. 17, Vilniaus m., Vilniaus m. sav.</t>
  </si>
  <si>
    <t>Žirmūnų g. 106, Vilniaus m., Vilniaus m. sav.</t>
  </si>
  <si>
    <t>Baltosios Vokės Sodų g. 104, Vilniaus m., Vilniaus m. sav.</t>
  </si>
  <si>
    <t>2025-11-24 05:57:16</t>
  </si>
  <si>
    <t>Laisvės pr. 3A, Vilniaus m., Vilniaus m. sav.</t>
  </si>
  <si>
    <t>2025-11-24 05:57:19</t>
  </si>
  <si>
    <t>J. Kubiliaus g. 10, Vilniaus m., Vilniaus m. sav.</t>
  </si>
  <si>
    <t>2025-11-24 05:57:20</t>
  </si>
  <si>
    <t>Lazdakiemio g. 7, Vilniaus m., Vilniaus m. sav.</t>
  </si>
  <si>
    <t>Rūtų g. 10, Vilniaus m., Vilniaus m. sav.</t>
  </si>
  <si>
    <t>2025-11-24 05:57:22</t>
  </si>
  <si>
    <t>J. Degutytės g. 18, Vilniaus m., Vilniaus m. sav.</t>
  </si>
  <si>
    <t>2025-11-24 05:57:26</t>
  </si>
  <si>
    <t>Genių g. 24, Vilniaus m., Vilniaus m. sav.</t>
  </si>
  <si>
    <t>2025-11-24 05:57:29</t>
  </si>
  <si>
    <t>2025-11-24 06:16:13</t>
  </si>
  <si>
    <t>2025-11-24 05:57:33</t>
  </si>
  <si>
    <t>Gariūnų g. 66, Vilniaus m., Vilniaus m. sav.</t>
  </si>
  <si>
    <t>2025-11-24 05:57:37</t>
  </si>
  <si>
    <t>2025-11-24 05:57:43</t>
  </si>
  <si>
    <t>2025-11-24 05:57:48</t>
  </si>
  <si>
    <t>2025-11-24 05:57:49</t>
  </si>
  <si>
    <t>2025-11-24 05:57:51</t>
  </si>
  <si>
    <t>Aukštaičių g. 12, Vilniaus m., Vilniaus m. sav.</t>
  </si>
  <si>
    <t>2025-11-24 05:57:55</t>
  </si>
  <si>
    <t>2025-11-24 05:57:57</t>
  </si>
  <si>
    <t>2025-11-24 05:58:00</t>
  </si>
  <si>
    <t>Lazdakiemio g. 5, Vilniaus m., Vilniaus m. sav.</t>
  </si>
  <si>
    <t>Tujų g. 21, Vilniaus m., Vilniaus m. sav.</t>
  </si>
  <si>
    <t>2025-11-24 06:43:03</t>
  </si>
  <si>
    <t>2025-11-24 06:11:38</t>
  </si>
  <si>
    <t>2025-11-24 05:58:03</t>
  </si>
  <si>
    <t>2025-11-24 05:58:04</t>
  </si>
  <si>
    <t>Baltosios Vokės Sodų g. 112, Vilniaus m., Vilniaus m. sav.</t>
  </si>
  <si>
    <t>2025-11-24 05:58:12</t>
  </si>
  <si>
    <t>Bajorų kelio 2-oji g. 4, Vilniaus m., Vilniaus m. sav.</t>
  </si>
  <si>
    <t>2025-11-24 06:04:46</t>
  </si>
  <si>
    <t>2025-11-24 06:11:10</t>
  </si>
  <si>
    <t>2025-11-24 05:58:13</t>
  </si>
  <si>
    <t>Etmonų g. 3, Vilniaus m., Vilniaus m. sav.</t>
  </si>
  <si>
    <t>2025-11-24 05:58:14</t>
  </si>
  <si>
    <t>2025-11-24 05:58:18</t>
  </si>
  <si>
    <t>Bajorų kelio 2-oji g. 10, Vilniaus m., Vilniaus m. sav.</t>
  </si>
  <si>
    <t>2025-11-24 05:58:20</t>
  </si>
  <si>
    <t>Taikos g. 38A, Vilniaus m., Vilniaus m. sav.</t>
  </si>
  <si>
    <t>2025-11-24 06:10:52</t>
  </si>
  <si>
    <t>2025-11-24 05:58:24</t>
  </si>
  <si>
    <t>Bajorų kelio 2-oji g. 3, Vilniaus m., Vilniaus m. sav.</t>
  </si>
  <si>
    <t>2025-11-24 06:04:48</t>
  </si>
  <si>
    <t>2025-11-24 05:58:30</t>
  </si>
  <si>
    <t>Bajorų kelio 2-oji g. 1, Vilniaus m., Vilniaus m. sav.</t>
  </si>
  <si>
    <t>Baltosios Vokės Sodų g. 100, Vilniaus m., Vilniaus m. sav.</t>
  </si>
  <si>
    <t>2025-11-24 05:58:31</t>
  </si>
  <si>
    <t>2025-11-24 05:58:37</t>
  </si>
  <si>
    <t>2025-11-24 05:58:38</t>
  </si>
  <si>
    <t>Verkių g. 29, Vilniaus m., Vilniaus m. sav.</t>
  </si>
  <si>
    <t>2025-11-24 05:58:42</t>
  </si>
  <si>
    <t>V. Mačernio g. 6, Vilniaus m., Vilniaus m. sav.</t>
  </si>
  <si>
    <t>Lazdakiemio g. 2-1, Vilniaus m., Vilniaus m. sav.</t>
  </si>
  <si>
    <t>Stepono Batoro g. 50, Vilniaus m., Vilniaus m. sav.</t>
  </si>
  <si>
    <t>2025-11-24 06:11:36</t>
  </si>
  <si>
    <t>Visorių g. 2, Vilniaus m., Vilniaus m. sav.</t>
  </si>
  <si>
    <t xml:space="preserve">Nepravažiuojamas kelias
</t>
  </si>
  <si>
    <t>Antakalnio g. 75A, Vilniaus m., Vilniaus m. sav.</t>
  </si>
  <si>
    <t>2025-11-24 05:59:00</t>
  </si>
  <si>
    <t>2025-11-24 05:59:10</t>
  </si>
  <si>
    <t>Bajorų kelio 1-oji g. 13, Vilniaus m., Vilniaus m. sav.</t>
  </si>
  <si>
    <t>2025-11-24 06:04:51</t>
  </si>
  <si>
    <t>2025-11-24 05:59:19</t>
  </si>
  <si>
    <t>Ukmergės g. 202A, Vilniaus m., Vilniaus m. sav.</t>
  </si>
  <si>
    <t>2025-11-24 05:59:22</t>
  </si>
  <si>
    <t>V. Mačernio g. 20, Vilniaus m., Vilniaus m. sav.</t>
  </si>
  <si>
    <t>Baltosios Vokės Sodų g. 35, Vilniaus m., Vilniaus m. sav.</t>
  </si>
  <si>
    <t>2025-11-24 05:59:26</t>
  </si>
  <si>
    <t>Lazdakiemio g. 3, Vilniaus m., Vilniaus m. sav.</t>
  </si>
  <si>
    <t>2025-11-24 06:11:44</t>
  </si>
  <si>
    <t>2025-11-24 05:59:35</t>
  </si>
  <si>
    <t>2025-11-24 05:59:40</t>
  </si>
  <si>
    <t>2025-11-24 05:59:42</t>
  </si>
  <si>
    <t>V. Mačernio g. 8-1, Vilniaus m., Vilniaus m. sav.</t>
  </si>
  <si>
    <t>2025-11-24 05:59:44</t>
  </si>
  <si>
    <t>Bitininkų g. 2B, Vilniaus m., Vilniaus m. sav.</t>
  </si>
  <si>
    <t>2025-11-24 05:59:48</t>
  </si>
  <si>
    <t>I. Kanto al. 10, Vilniaus m., Vilniaus m. sav.</t>
  </si>
  <si>
    <t>2025-11-24 06:00:23</t>
  </si>
  <si>
    <t>2025-11-24 06:03:01</t>
  </si>
  <si>
    <t>2025-11-24 05:59:51</t>
  </si>
  <si>
    <t>2025-11-24 05:59:53</t>
  </si>
  <si>
    <t>Baltosios Vokės g. 43, Vilniaus m., Vilniaus m. sav.</t>
  </si>
  <si>
    <t>2025-11-24 06:00:06</t>
  </si>
  <si>
    <t>Ūmėdžių g. 72, Vilniaus m., Vilniaus m. sav.</t>
  </si>
  <si>
    <t>2025-11-24 06:00:13</t>
  </si>
  <si>
    <t>2025-11-24 06:42:31</t>
  </si>
  <si>
    <t>2025-11-24 06:00:16</t>
  </si>
  <si>
    <t>Genių g. 26, Vilniaus m., Vilniaus m. sav.</t>
  </si>
  <si>
    <t>Kelpių g. 18, Vilniaus m., Vilniaus m. sav.</t>
  </si>
  <si>
    <t>2025-11-24 06:11:57</t>
  </si>
  <si>
    <t>Stepono Batoro g. 52-2, Vilniaus m., Vilniaus m. sav.</t>
  </si>
  <si>
    <t>2025-11-24 06:00:20</t>
  </si>
  <si>
    <t>Tujų g. 17, Vilniaus m., Vilniaus m. sav.</t>
  </si>
  <si>
    <t>Viršuliškių g. 40, Vilniaus m., Vilniaus m. sav.</t>
  </si>
  <si>
    <t>S. Žukausko g. 20, Vilniaus m., Vilniaus m. sav.</t>
  </si>
  <si>
    <t>Kirtimų g. 47B, Vilniaus m., Vilniaus m. sav.</t>
  </si>
  <si>
    <t>2025-11-24 06:00:28</t>
  </si>
  <si>
    <t>Stepono Batoro g. 52-1, Vilniaus m., Vilniaus m. sav.</t>
  </si>
  <si>
    <t>Upės g. 9, Vilniaus m., Vilniaus m. sav.</t>
  </si>
  <si>
    <t>2025-11-24 06:00:31</t>
  </si>
  <si>
    <t>2025-11-24 06:00:33</t>
  </si>
  <si>
    <t>Baltosios Vokės Sodų g. 27, Vilniaus m., Vilniaus m. sav.</t>
  </si>
  <si>
    <t>Baltosios Vokės Sodų g. 68, Vilniaus m., Vilniaus m. sav.</t>
  </si>
  <si>
    <t>2025-11-24 06:00:49</t>
  </si>
  <si>
    <t>Jūratės g. 27, Vilniaus m., Vilniaus m. sav.</t>
  </si>
  <si>
    <t>2025-11-24 06:12:16</t>
  </si>
  <si>
    <t>2025-11-24 06:00:52</t>
  </si>
  <si>
    <t>2025-11-24 06:04:53</t>
  </si>
  <si>
    <t>Bajorų kelio 1-oji g. 11, Vilniaus m., Vilniaus m. sav.</t>
  </si>
  <si>
    <t>Baltosios Vokės Sodų g. 60, Vilniaus m., Vilniaus m. sav.</t>
  </si>
  <si>
    <t>2025-11-24 06:01:00</t>
  </si>
  <si>
    <t>V. Mačernio g. 24, Vilniaus m., Vilniaus m. sav.</t>
  </si>
  <si>
    <t>V. Mačernio g. 34, Vilniaus m., Vilniaus m. sav.</t>
  </si>
  <si>
    <t>V. Mačernio g. 18, Vilniaus m., Vilniaus m. sav.</t>
  </si>
  <si>
    <t>V. Mačernio g. 26, Vilniaus m., Vilniaus m. sav.</t>
  </si>
  <si>
    <t>V. Mačernio g. 22, Vilniaus m., Vilniaus m. sav.</t>
  </si>
  <si>
    <t>V. Mačernio g. 30, Vilniaus m., Vilniaus m. sav.</t>
  </si>
  <si>
    <t>V. Mačernio g. 32, Vilniaus m., Vilniaus m. sav.</t>
  </si>
  <si>
    <t>V. Mačernio g. 28, Vilniaus m., Vilniaus m. sav.</t>
  </si>
  <si>
    <t>V. Mačernio g. 30A, Vilniaus m., Vilniaus m. sav.</t>
  </si>
  <si>
    <t>2025-11-24 06:01:02</t>
  </si>
  <si>
    <t>Bajorų Kelio 1-oji g. 2, Vilniaus m., Vilniaus m. sav.</t>
  </si>
  <si>
    <t>2025-11-24 06:01:05</t>
  </si>
  <si>
    <t>Visorių g. 9, Vilniaus m., Vilniaus m. sav.</t>
  </si>
  <si>
    <t>2025-11-24 06:01:16</t>
  </si>
  <si>
    <t>V. Mačernio g. 20A, Vilniaus m., Vilniaus m. sav.</t>
  </si>
  <si>
    <t>Juozo Kamarausko g. 46, Vilniaus m., Vilniaus m. sav.</t>
  </si>
  <si>
    <t>2025-11-24 06:43:07</t>
  </si>
  <si>
    <t>2025-11-24 06:01:23</t>
  </si>
  <si>
    <t>Aukštaičių g. 5, Vilniaus m., Vilniaus m. sav.</t>
  </si>
  <si>
    <t>2025-11-24 06:01:26</t>
  </si>
  <si>
    <t>V. Mačernio g. 16, Vilniaus m., Vilniaus m. sav.</t>
  </si>
  <si>
    <t>2025-11-24 06:01:44</t>
  </si>
  <si>
    <t>Juozo Kamarausko g. 27, Vilniaus m., Vilniaus m. sav.</t>
  </si>
  <si>
    <t>2025-11-24 06:01:45</t>
  </si>
  <si>
    <t>2025-11-24 06:01:46</t>
  </si>
  <si>
    <t>Justiniškių g. 62A, Vilniaus m., Vilniaus m. sav.</t>
  </si>
  <si>
    <t>2025-11-24 06:01:47</t>
  </si>
  <si>
    <t>Vikingų g. 1, Vilniaus m., Vilniaus m. sav.</t>
  </si>
  <si>
    <t>2025-11-24 06:01:48</t>
  </si>
  <si>
    <t>Žirmūnų g. 67, Vilniaus m., Vilniaus m. sav.</t>
  </si>
  <si>
    <t>2025-11-24 06:01:50</t>
  </si>
  <si>
    <t>2025-11-24 06:01:51</t>
  </si>
  <si>
    <t>2025-11-24 06:01:54</t>
  </si>
  <si>
    <t>Stepono Batoro g. 48, Vilniaus m., Vilniaus m. sav.</t>
  </si>
  <si>
    <t>2025-11-24 06:01:56</t>
  </si>
  <si>
    <t>2025-11-24 06:02:03</t>
  </si>
  <si>
    <t>2025-11-24 06:02:09</t>
  </si>
  <si>
    <t>Ukmergės g. 204, Vilniaus m., Vilniaus m. sav.</t>
  </si>
  <si>
    <t>2025-11-24 06:02:24</t>
  </si>
  <si>
    <t>V. Mačernio g. 10, Vilniaus m., Vilniaus m. sav.</t>
  </si>
  <si>
    <t>2025-11-24 06:02:30</t>
  </si>
  <si>
    <t>Užpildytas netinkamomis atliekomis</t>
  </si>
  <si>
    <t>Stepono Batoro g. 42-1, Vilniaus m., Vilniaus m. sav.</t>
  </si>
  <si>
    <t>2025-11-24 06:12:05</t>
  </si>
  <si>
    <t>Fabijoniškių g.  2A, Vilniaus m., Vilniaus m. sav.</t>
  </si>
  <si>
    <t>2025-11-24 06:02:36</t>
  </si>
  <si>
    <t>V. Mačernio g. 12, Vilniaus m., Vilniaus m. sav.</t>
  </si>
  <si>
    <t>2025-11-24 06:02:42</t>
  </si>
  <si>
    <t>Jūratės g. 4, Vilniaus m., Vilniaus m. sav.</t>
  </si>
  <si>
    <t>2025-11-24 06:02:43</t>
  </si>
  <si>
    <t>2025-11-24 06:02:44</t>
  </si>
  <si>
    <t>Ukmergės g. 298, Vilniaus m., Vilniaus m. sav.</t>
  </si>
  <si>
    <t>2025-11-24 06:02:45</t>
  </si>
  <si>
    <t>Juozo Kamarausko g. 25, Vilniaus m., Vilniaus m. sav.</t>
  </si>
  <si>
    <t>2025-11-24 06:02:47</t>
  </si>
  <si>
    <t>2025-11-24 06:02:48</t>
  </si>
  <si>
    <t>Parodų g. 1A, Vilniaus m., Vilniaus m. sav.</t>
  </si>
  <si>
    <t>Stepono Batoro g. 44-2, Vilniaus m., Vilniaus m. sav.</t>
  </si>
  <si>
    <t>2025-11-24 06:12:12</t>
  </si>
  <si>
    <t>2025-11-24 06:02:50</t>
  </si>
  <si>
    <t>2025-11-24 06:02:56</t>
  </si>
  <si>
    <t>2025-11-24 06:02:57</t>
  </si>
  <si>
    <t>2025-11-24 06:02:58</t>
  </si>
  <si>
    <t>Baltosios Vokės Sodų g. 42, Vilniaus m., Vilniaus m. sav.</t>
  </si>
  <si>
    <t>Juozo Kamarausko g. 42, Vilniaus m., Vilniaus m. sav.</t>
  </si>
  <si>
    <t>2025-11-24 06:12:31</t>
  </si>
  <si>
    <t>2025-11-24 06:03:02</t>
  </si>
  <si>
    <t>Lakūnų g. 51, Vilniaus m., Vilniaus m. sav.</t>
  </si>
  <si>
    <t>Žygio g. 46, Vilniaus m., Vilniaus m. sav.</t>
  </si>
  <si>
    <t>2025-11-24 06:03:05</t>
  </si>
  <si>
    <t>2025-11-24 06:03:08</t>
  </si>
  <si>
    <t>Jūratės g. 4A, Vilniaus m., Vilniaus m. sav.</t>
  </si>
  <si>
    <t>2025-11-24 06:12:19</t>
  </si>
  <si>
    <t>2025-11-24 06:03:10</t>
  </si>
  <si>
    <t>2025-11-24 06:03:14</t>
  </si>
  <si>
    <t>2025-11-24 06:03:16</t>
  </si>
  <si>
    <t>Parko g. 48, Vilniaus m., Vilniaus m. sav.</t>
  </si>
  <si>
    <t>2025-11-24 06:03:20</t>
  </si>
  <si>
    <t>Stepono Batoro g. 38, Vilniaus m., Vilniaus m. sav.</t>
  </si>
  <si>
    <t>2025-11-24 06:12:18</t>
  </si>
  <si>
    <t>Kirtimų g. 47B, Vilnius, Vilniaus r. sav.</t>
  </si>
  <si>
    <t>2025-11-24 06:03:22</t>
  </si>
  <si>
    <t>2025-11-24 06:03:26</t>
  </si>
  <si>
    <t>2025-11-24 06:43:10</t>
  </si>
  <si>
    <t>Erfurto g. 19, Vilniaus m., Vilniaus m. sav.</t>
  </si>
  <si>
    <t>2025-11-24 06:10:56</t>
  </si>
  <si>
    <t>2025-11-24 06:03:27</t>
  </si>
  <si>
    <t>Juozo Kamarausko g. 40, Vilniaus m., Vilniaus m. sav.</t>
  </si>
  <si>
    <t>2025-11-24 06:12:44</t>
  </si>
  <si>
    <t>2025-11-24 06:03:28</t>
  </si>
  <si>
    <t>2025-11-24 06:12:25</t>
  </si>
  <si>
    <t>2025-11-24 06:03:31</t>
  </si>
  <si>
    <t>2025-11-24 06:03:35</t>
  </si>
  <si>
    <t>2025-11-24 06:03:37</t>
  </si>
  <si>
    <t>2025-11-24 06:03:44</t>
  </si>
  <si>
    <t>I. Kanto al. 3, Vilniaus m., Vilniaus m. sav.</t>
  </si>
  <si>
    <t>2025-11-24 06:14:08</t>
  </si>
  <si>
    <t>2025-11-24 06:03:46</t>
  </si>
  <si>
    <t>J. Basanavičiaus g. 19, Vilniaus m., Vilniaus m. sav.</t>
  </si>
  <si>
    <t>2025-11-24 06:03:58</t>
  </si>
  <si>
    <t>2025-11-24 06:04:00</t>
  </si>
  <si>
    <t>V. Mačernio g. 15, Vilniaus m., Vilniaus m. sav.</t>
  </si>
  <si>
    <t>V. Mačernio g. 17, Vilniaus m., Vilniaus m. sav.</t>
  </si>
  <si>
    <t>V. Mačernio g. 19, Vilniaus m., Vilniaus m. sav.</t>
  </si>
  <si>
    <t>V. Mačernio g. 48, Vilniaus m., Vilniaus m. sav.</t>
  </si>
  <si>
    <t>V. Mačernio g. 21, Vilniaus m., Vilniaus m. sav.</t>
  </si>
  <si>
    <t>V. Mačernio g. 50, Vilniaus m., Vilniaus m. sav.</t>
  </si>
  <si>
    <t>V. Mačernio g. 42, Vilniaus m., Vilniaus m. sav.</t>
  </si>
  <si>
    <t>2025-11-24 06:04:04</t>
  </si>
  <si>
    <t>2025-11-24 06:42:21</t>
  </si>
  <si>
    <t>2025-11-24 06:04:06</t>
  </si>
  <si>
    <t>2025-11-24 06:04:07</t>
  </si>
  <si>
    <t>Žirmūnų g. 135, Vilniaus m., Vilniaus m. sav.</t>
  </si>
  <si>
    <t>2025-11-24 06:04:08</t>
  </si>
  <si>
    <t>2025-11-24 06:04:10</t>
  </si>
  <si>
    <t>Žirmūnų g. 131A, Vilniaus m., Vilniaus m. sav.</t>
  </si>
  <si>
    <t>2025-11-24 06:04:11</t>
  </si>
  <si>
    <t>Ukmergės g. 212B, Vilniaus m., Vilniaus m. sav.</t>
  </si>
  <si>
    <t>2025-11-24 06:04:12</t>
  </si>
  <si>
    <t>J. Basanavičiaus g. 18, Vilniaus m., Vilniaus m. sav.</t>
  </si>
  <si>
    <t>2025-11-24 06:04:16</t>
  </si>
  <si>
    <t>2025-11-24 06:04:18</t>
  </si>
  <si>
    <t>2025-11-24 06:04:20</t>
  </si>
  <si>
    <t>2025-11-24 06:04:24</t>
  </si>
  <si>
    <t>Baltosios Vokės Sodų g. 7, Vilniaus m., Vilniaus m. sav.</t>
  </si>
  <si>
    <t>2025-11-24 06:04:26</t>
  </si>
  <si>
    <t>Laisvės pr. 3, Vilniaus m., Vilniaus m. sav.</t>
  </si>
  <si>
    <t>2025-11-24 06:04:28</t>
  </si>
  <si>
    <t>Rudens g. 41, Vilniaus m., Vilniaus m. sav.</t>
  </si>
  <si>
    <t>2025-11-24 06:04:32</t>
  </si>
  <si>
    <t>2025-11-24 06:04:33</t>
  </si>
  <si>
    <t>Juozo Kamarausko g. 21A, Vilniaus m., Vilniaus m. sav.</t>
  </si>
  <si>
    <t>2025-11-24 06:12:56</t>
  </si>
  <si>
    <t>2025-11-24 06:04:34</t>
  </si>
  <si>
    <t>2025-11-24 06:04:35</t>
  </si>
  <si>
    <t>Žirmūnų g. 104, Vilniaus m., Vilniaus m. sav.</t>
  </si>
  <si>
    <t>2025-11-24 06:04:36</t>
  </si>
  <si>
    <t>Baltosios Vokės Sodų g. 20, Vilniaus m., Vilniaus m. sav.</t>
  </si>
  <si>
    <t>2025-11-24 06:04:37</t>
  </si>
  <si>
    <t>Tverečiaus g. 4, Vilniaus m., Vilniaus m. sav.</t>
  </si>
  <si>
    <t>2025-11-24 06:04:40</t>
  </si>
  <si>
    <t>V. Mačernio g. 9, Vilniaus m., Vilniaus m. sav.</t>
  </si>
  <si>
    <t>2025-11-24 06:04:42</t>
  </si>
  <si>
    <t>2025-11-24 06:04:43</t>
  </si>
  <si>
    <t>Tverečiaus g. 8, Vilniaus m., Vilniaus m. sav.</t>
  </si>
  <si>
    <t>V. Mačernio g. 9B, Vilniaus m., Vilniaus m. sav.</t>
  </si>
  <si>
    <t>Juozo Kamarausko g. 21, Vilniaus m., Vilniaus m. sav.</t>
  </si>
  <si>
    <t>2025-11-24 06:04:54</t>
  </si>
  <si>
    <t>2025-11-24 06:04:55</t>
  </si>
  <si>
    <t>2025-11-24 06:43:12</t>
  </si>
  <si>
    <t>2025-11-24 06:04:57</t>
  </si>
  <si>
    <t>2025-11-24 06:13:08</t>
  </si>
  <si>
    <t>2025-11-24 06:04:58</t>
  </si>
  <si>
    <t>2025-11-24 06:04:59</t>
  </si>
  <si>
    <t>Tujų g. 3, Vilniaus m., Vilniaus m. sav.</t>
  </si>
  <si>
    <t>2025-11-24 06:05:02</t>
  </si>
  <si>
    <t>2025-11-24 06:05:06</t>
  </si>
  <si>
    <t>2025-11-24 06:15:47</t>
  </si>
  <si>
    <t>2025-11-24 06:05:12</t>
  </si>
  <si>
    <t>Išilginė g. 16, Vilniaus m., Vilniaus m. sav.</t>
  </si>
  <si>
    <t>2025-11-24 06:05:15</t>
  </si>
  <si>
    <t>Juozo Kamarausko g. 21B, Vilniaus m., Vilniaus m. sav.</t>
  </si>
  <si>
    <t>2025-11-24 06:05:17</t>
  </si>
  <si>
    <t>Juozo Kamarausko g. 38, Vilniaus m., Vilniaus m. sav.</t>
  </si>
  <si>
    <t>Gėlių g. 6, Vilniaus m., Vilniaus m. sav.</t>
  </si>
  <si>
    <t>2025-11-24 06:05:19</t>
  </si>
  <si>
    <t>2025-11-24 06:13:24</t>
  </si>
  <si>
    <t>2025-11-24 06:05:24</t>
  </si>
  <si>
    <t>Stepono Batoro g. 36, Vilniaus m., Vilniaus m. sav.</t>
  </si>
  <si>
    <t>2025-11-24 06:05:30</t>
  </si>
  <si>
    <t>2025-11-24 06:05:32</t>
  </si>
  <si>
    <t>2025-11-24 06:05:37</t>
  </si>
  <si>
    <t>Juozo Kamarausko g. 21C, Vilniaus m., Vilniaus m. sav.</t>
  </si>
  <si>
    <t>2025-11-24 06:13:36</t>
  </si>
  <si>
    <t>Gėlių g. 9, Vilniaus m., Vilniaus m. sav.</t>
  </si>
  <si>
    <t>2025-11-24 06:05:38</t>
  </si>
  <si>
    <t>Žirmūnų g. 1B, Vilniaus m., Vilniaus m. sav.</t>
  </si>
  <si>
    <t>2025-11-24 06:05:39</t>
  </si>
  <si>
    <t>2025-11-24 06:05:40</t>
  </si>
  <si>
    <t>2025-11-24 06:12:49</t>
  </si>
  <si>
    <t>2025-11-24 06:05:43</t>
  </si>
  <si>
    <t>Juozo Kamarausko g. 19, Vilniaus m., Vilniaus m. sav.</t>
  </si>
  <si>
    <t>2025-11-24 06:05:44</t>
  </si>
  <si>
    <t>Miškinių Sodų 1-oji g. 36, Vilniaus m., Vilniaus m. sav.</t>
  </si>
  <si>
    <t>2025-11-24 06:05:45</t>
  </si>
  <si>
    <t>2025-11-24 06:43:56</t>
  </si>
  <si>
    <t>2025-11-24 06:05:47</t>
  </si>
  <si>
    <t>2025-11-24 06:13:51</t>
  </si>
  <si>
    <t>2025-11-24 06:05:50</t>
  </si>
  <si>
    <t>Papilėnų g. 7, Vilniaus m., Vilniaus m. sav.</t>
  </si>
  <si>
    <t>2025-11-24 06:05:52</t>
  </si>
  <si>
    <t>2025-11-24 06:05:53</t>
  </si>
  <si>
    <t>Baltosios Vokės Sodų g. 49, Vilniaus m., Vilniaus m. sav.</t>
  </si>
  <si>
    <t>2025-11-24 06:05:54</t>
  </si>
  <si>
    <t>Parko g. 42, Vilniaus m., Vilniaus m. sav.</t>
  </si>
  <si>
    <t>V. Mačernio g. 36, Vilniaus m., Vilniaus m. sav.</t>
  </si>
  <si>
    <t>2025-11-24 06:05:56</t>
  </si>
  <si>
    <t>2025-11-24 06:05:57</t>
  </si>
  <si>
    <t>2025-11-24 06:05:58</t>
  </si>
  <si>
    <t>Miškinių Sodų 1-oji g. 40, Vilniaus m., Vilniaus m. sav.</t>
  </si>
  <si>
    <t>2025-11-24 06:06:02</t>
  </si>
  <si>
    <t>2025-11-24 06:06:03</t>
  </si>
  <si>
    <t>2025-11-24 06:06:04</t>
  </si>
  <si>
    <t>Vilniaus g. 59, Grigiškių m., Vilniaus m. sav.</t>
  </si>
  <si>
    <t>2025-11-24 06:06:08</t>
  </si>
  <si>
    <t>Taikos g. 34, Vilniaus m., Vilniaus m. sav.</t>
  </si>
  <si>
    <t>2025-11-24 06:06:10</t>
  </si>
  <si>
    <t>Taikos g. 55, Vilniaus m., Vilniaus m. sav.</t>
  </si>
  <si>
    <t>2025-11-24 06:06:15</t>
  </si>
  <si>
    <t>2025-11-24 06:06:18</t>
  </si>
  <si>
    <t>2025-11-24 06:06:20</t>
  </si>
  <si>
    <t>2025-11-24 06:06:21</t>
  </si>
  <si>
    <t>Juozo Kamarausko g. 36, Vilniaus m., Vilniaus m. sav.</t>
  </si>
  <si>
    <t>2025-11-24 06:13:55</t>
  </si>
  <si>
    <t>2025-11-24 06:06:22</t>
  </si>
  <si>
    <t>Minties g. 1A, Vilniaus m., Vilniaus m. sav.</t>
  </si>
  <si>
    <t>2025-11-24 06:06:24</t>
  </si>
  <si>
    <t>2025-11-24 06:06:26</t>
  </si>
  <si>
    <t>B. Krivicko g. 46, Vilniaus m., Vilniaus m. sav.</t>
  </si>
  <si>
    <t>Miškinių Sodų 1-oji g. 32, Vilniaus m., Vilniaus m. sav.</t>
  </si>
  <si>
    <t>2025-11-24 06:06:27</t>
  </si>
  <si>
    <t>2025-11-24 06:06:36</t>
  </si>
  <si>
    <t>Rudens g. 39, Vilniaus m., Vilniaus m. sav.</t>
  </si>
  <si>
    <t>2025-11-24 06:12:53</t>
  </si>
  <si>
    <t>2025-11-24 06:06:38</t>
  </si>
  <si>
    <t>2025-11-24 06:06:39</t>
  </si>
  <si>
    <t>2025-11-24 06:13:59</t>
  </si>
  <si>
    <t>2025-11-24 06:06:40</t>
  </si>
  <si>
    <t>Žiogų g. 13, Vilniaus m., Vilniaus m. sav.</t>
  </si>
  <si>
    <t>2025-11-24 06:06:41</t>
  </si>
  <si>
    <t>Juozo Kamarausko g. 17, Vilniaus m., Vilniaus m. sav.</t>
  </si>
  <si>
    <t>2025-11-24 06:06:47</t>
  </si>
  <si>
    <t>2025-11-24 06:43:57</t>
  </si>
  <si>
    <t>2025-11-24 06:06:49</t>
  </si>
  <si>
    <t>Šeškinės g. 30, Vilniaus m., Vilniaus m. sav.</t>
  </si>
  <si>
    <t>2025-11-24 06:06:52</t>
  </si>
  <si>
    <t>2025-11-24 06:06:53</t>
  </si>
  <si>
    <t>2025-11-24 06:06:54</t>
  </si>
  <si>
    <t>2025-11-24 06:06:55</t>
  </si>
  <si>
    <t>2025-11-24 06:16:14</t>
  </si>
  <si>
    <t>2025-11-24 06:06:56</t>
  </si>
  <si>
    <t>Miškinių Sodų 1-oji g. 24, Vilniaus m., Vilniaus m. sav.</t>
  </si>
  <si>
    <t>2025-11-24 06:07:04</t>
  </si>
  <si>
    <t>Č. Sugiharos g. 7, Vilniaus m., Vilniaus m. sav.</t>
  </si>
  <si>
    <t>2025-11-24 06:07:08</t>
  </si>
  <si>
    <t>Antakalnio g. 17, Vilniaus m., Vilniaus m. sav.</t>
  </si>
  <si>
    <t>2025-11-24 06:07:11</t>
  </si>
  <si>
    <t>2025-11-24 06:07:12</t>
  </si>
  <si>
    <t>2025-11-24 06:07:13</t>
  </si>
  <si>
    <t>Juozo Kamarausko g. 34, Vilniaus m., Vilniaus m. sav.</t>
  </si>
  <si>
    <t>2025-11-24 06:43:58</t>
  </si>
  <si>
    <t>2025-11-24 06:14:16</t>
  </si>
  <si>
    <t>2025-11-24 06:07:15</t>
  </si>
  <si>
    <t>2025-11-24 06:07:20</t>
  </si>
  <si>
    <t>Jeruzalės g. 17, Vilniaus m., Vilniaus m. sav.</t>
  </si>
  <si>
    <t>2025-11-24 06:07:22</t>
  </si>
  <si>
    <t>B. Krivicko g. 44, Vilniaus m., Vilniaus m. sav.</t>
  </si>
  <si>
    <t>2025-11-24 06:07:24</t>
  </si>
  <si>
    <t>2025-11-24 06:07:26</t>
  </si>
  <si>
    <t>Miškinių Sodų 1-oji g. 22, Vilniaus m., Vilniaus m. sav.</t>
  </si>
  <si>
    <t>2025-11-24 06:07:27</t>
  </si>
  <si>
    <t>2025-11-24 06:07:29</t>
  </si>
  <si>
    <t>Verkių g. 43, Vilniaus m., Vilniaus m. sav.</t>
  </si>
  <si>
    <t>2025-11-24 06:07:39</t>
  </si>
  <si>
    <t>2025-11-24 06:07:43</t>
  </si>
  <si>
    <t>Juozo Kamarausko g. 32, Vilniaus m., Vilniaus m. sav.</t>
  </si>
  <si>
    <t>Bajorų sodų g. 32, Vilniaus m., Vilniaus m. sav.</t>
  </si>
  <si>
    <t>2025-11-24 06:07:44</t>
  </si>
  <si>
    <t>2025-11-24 06:07:48</t>
  </si>
  <si>
    <t>B. Krivicko g. 15, Vilniaus m., Vilniaus m. sav.</t>
  </si>
  <si>
    <t>2025-11-24 06:07:49</t>
  </si>
  <si>
    <t>2025-11-24 09:21:49</t>
  </si>
  <si>
    <t>2025-11-24 06:14:32</t>
  </si>
  <si>
    <t>2025-11-24 06:07:52</t>
  </si>
  <si>
    <t>2025-11-24 06:07:58</t>
  </si>
  <si>
    <t>2025-11-24 06:13:07</t>
  </si>
  <si>
    <t>2025-11-24 06:08:00</t>
  </si>
  <si>
    <t>2025-11-24 06:14:05</t>
  </si>
  <si>
    <t>2025-11-24 06:08:02</t>
  </si>
  <si>
    <t>2025-11-24 06:08:09</t>
  </si>
  <si>
    <t>Baltosios Vokės Sodų g. 88, Vilniaus m., Vilniaus m. sav.</t>
  </si>
  <si>
    <t>2025-11-24 06:08:11</t>
  </si>
  <si>
    <t>Erfurto g. 15, Vilniaus m., Vilniaus m. sav.</t>
  </si>
  <si>
    <t>2025-11-24 06:08:12</t>
  </si>
  <si>
    <t>2025-11-24 06:08:15</t>
  </si>
  <si>
    <t>Juozo Kamarausko g. 13, Vilniaus m., Vilniaus m. sav.</t>
  </si>
  <si>
    <t>2025-11-24 06:08:19</t>
  </si>
  <si>
    <t>Baltosios Vokės Sodų g. 84, Vilniaus m., Vilniaus m. sav.</t>
  </si>
  <si>
    <t>2025-11-24 06:08:20</t>
  </si>
  <si>
    <t>2025-11-24 06:08:22</t>
  </si>
  <si>
    <t>2025-11-24 06:11:55</t>
  </si>
  <si>
    <t>2025-11-24 06:08:25</t>
  </si>
  <si>
    <t>2025-11-24 06:08:29</t>
  </si>
  <si>
    <t>2025-11-24 06:08:32</t>
  </si>
  <si>
    <t>Žirmūnų g. 54A, Vilniaus m., Vilniaus m. sav.</t>
  </si>
  <si>
    <t>2025-11-24 06:08:36</t>
  </si>
  <si>
    <t>Švitrigailos g. 3A, Vilniaus m., Vilniaus m. sav.</t>
  </si>
  <si>
    <t>Literatų g. 9, Vilniaus m., Vilniaus m. sav.</t>
  </si>
  <si>
    <t>2025-11-24 06:08:38</t>
  </si>
  <si>
    <t>Papilėnų g. 1, Vilniaus m., Vilniaus m. sav.</t>
  </si>
  <si>
    <t>Ukmergės g. 259A, Vilniaus m., Vilniaus m. sav.</t>
  </si>
  <si>
    <t>2025-11-24 06:08:39</t>
  </si>
  <si>
    <t>2025-11-24 06:08:42</t>
  </si>
  <si>
    <t>Miškinių Sodų g. 44, Vilniaus m., Vilniaus m. sav.</t>
  </si>
  <si>
    <t>2025-11-24 06:08:43</t>
  </si>
  <si>
    <t>Sodų g. 6, Vilniaus m., Vilniaus m. sav.</t>
  </si>
  <si>
    <t>2025-11-24 06:08:44</t>
  </si>
  <si>
    <t>2025-11-24 06:08:48</t>
  </si>
  <si>
    <t>Literatų g. 7, Vilniaus m., Vilniaus m. sav.</t>
  </si>
  <si>
    <t>2025-11-24 06:08:49</t>
  </si>
  <si>
    <t>Juozo Kamarausko g. 11, Vilniaus m., Vilniaus m. sav.</t>
  </si>
  <si>
    <t>2025-11-24 06:08:51</t>
  </si>
  <si>
    <t>2025-11-24 06:08:55</t>
  </si>
  <si>
    <t>2025-11-24 06:14:54</t>
  </si>
  <si>
    <t>2025-11-24 06:08:59</t>
  </si>
  <si>
    <t>2025-11-24 06:14:59</t>
  </si>
  <si>
    <t>2025-11-24 06:09:01</t>
  </si>
  <si>
    <t>2025-11-24 06:09:04</t>
  </si>
  <si>
    <t>Kovo 11-osios g. 38B, Grigiškių m., Vilniaus m. sav.</t>
  </si>
  <si>
    <t>Minties g. 1, Vilniaus m., Vilniaus m. sav.</t>
  </si>
  <si>
    <t>2025-11-24 06:09:06</t>
  </si>
  <si>
    <t>2025-11-24 06:09:13</t>
  </si>
  <si>
    <t>Broniaus Krivicko g. 42, Vilniaus m., Vilniaus m. sav.</t>
  </si>
  <si>
    <t>2025-11-24 06:09:14</t>
  </si>
  <si>
    <t>A. Volano g. 2, Vilniaus m., Vilniaus m. sav.</t>
  </si>
  <si>
    <t>2025-11-24 06:09:18</t>
  </si>
  <si>
    <t>2025-11-24 06:13:19</t>
  </si>
  <si>
    <t>Miškinių Sodų g. 41, Vilniaus m., Vilniaus m. sav.</t>
  </si>
  <si>
    <t>2025-11-24 06:09:20</t>
  </si>
  <si>
    <t>2025-11-24 06:09:22</t>
  </si>
  <si>
    <t>Kirtimų g. 49A, Vilniaus m., Vilniaus m. sav.</t>
  </si>
  <si>
    <t>2025-11-24 06:09:23</t>
  </si>
  <si>
    <t>Verkių g. 47, Vilniaus m., Vilniaus m. sav.</t>
  </si>
  <si>
    <t>2025-11-24 06:09:24</t>
  </si>
  <si>
    <t>2025-11-24 06:09:25</t>
  </si>
  <si>
    <t>Juozo Kamarausko g. 28-2, Vilniaus m., Vilniaus m. sav.</t>
  </si>
  <si>
    <t>2025-11-24 06:15:11</t>
  </si>
  <si>
    <t>2025-11-24 06:09:30</t>
  </si>
  <si>
    <t>2025-11-24 06:09:31</t>
  </si>
  <si>
    <t>2025-11-24 06:09:40</t>
  </si>
  <si>
    <t>Literatų g. 8, Vilniaus m., Vilniaus m. sav.</t>
  </si>
  <si>
    <t>2025-11-24 06:09:41</t>
  </si>
  <si>
    <t>Žėručio g. 1, Vilniaus m., Vilniaus m. sav.</t>
  </si>
  <si>
    <t>2025-11-24 06:09:43</t>
  </si>
  <si>
    <t>B. Krivicko g. 13, Vilniaus m., Vilniaus m. sav.</t>
  </si>
  <si>
    <t>2025-11-24 06:09:49</t>
  </si>
  <si>
    <t>Šeškinės g. 59A, Vilniaus m., Vilniaus m. sav.</t>
  </si>
  <si>
    <t>2025-11-24 06:11:17</t>
  </si>
  <si>
    <t>2025-11-24 06:09:54</t>
  </si>
  <si>
    <t>2025-11-24 06:09:56</t>
  </si>
  <si>
    <t>2025-11-24 06:10:04</t>
  </si>
  <si>
    <t>Miškinių Sodų g. 35, Vilniaus m., Vilniaus m. sav.</t>
  </si>
  <si>
    <t>2025-11-24 06:10:11</t>
  </si>
  <si>
    <t>Juozo Kamarausko g. 9, Vilniaus m., Vilniaus m. sav.</t>
  </si>
  <si>
    <t>2025-11-24 06:15:19</t>
  </si>
  <si>
    <t>2025-11-24 06:10:20</t>
  </si>
  <si>
    <t>Stepono Batoro g. 30, Vilniaus m., Vilniaus m. sav.</t>
  </si>
  <si>
    <t>2025-11-24 06:10:22</t>
  </si>
  <si>
    <t>Juozo Kamarausko g. 9A, Vilniaus m., Vilniaus m. sav.</t>
  </si>
  <si>
    <t>2025-11-24 06:10:25</t>
  </si>
  <si>
    <t>Č. Sugiharos g. 13, Vilniaus m., Vilniaus m. sav.</t>
  </si>
  <si>
    <t>2025-11-24 06:10:29</t>
  </si>
  <si>
    <t>2025-11-24 06:10:36</t>
  </si>
  <si>
    <t>Karklėnų g. 5, Vilniaus m., Vilniaus m. sav.</t>
  </si>
  <si>
    <t>2025-11-24 06:10:38</t>
  </si>
  <si>
    <t>Miškinių Sodų g. 38, Vilniaus m., Vilniaus m. sav.</t>
  </si>
  <si>
    <t>2025-11-24 06:10:43</t>
  </si>
  <si>
    <t>Bajorų Sodų 19-oji g. 9, Vilniaus m., Vilniaus m. sav.</t>
  </si>
  <si>
    <t>B. Krivicko g. 40, Vilniaus m., Vilniaus m. sav.</t>
  </si>
  <si>
    <t>2025-11-24 06:10:44</t>
  </si>
  <si>
    <t>J. Basanavičiaus g. 15, Vilniaus m., Vilniaus m. sav.</t>
  </si>
  <si>
    <t>2025-11-24 06:10:45</t>
  </si>
  <si>
    <t>Vikingų g. 5, Vilniaus m., Vilniaus m. sav.</t>
  </si>
  <si>
    <t>2025-11-24 06:10:46</t>
  </si>
  <si>
    <t>2025-11-24 06:23:07</t>
  </si>
  <si>
    <t>2025-11-24 06:10:47</t>
  </si>
  <si>
    <t>2025-11-24 06:10:48</t>
  </si>
  <si>
    <t>Kirtimų g. 49, Vilniaus m., Vilniaus m. sav.</t>
  </si>
  <si>
    <t>2025-11-24 06:10:54</t>
  </si>
  <si>
    <t>Latako g. 2, Vilniaus m., Vilniaus m. sav.</t>
  </si>
  <si>
    <t>2025-11-24 06:10:55</t>
  </si>
  <si>
    <t>2025-11-24 06:44:03</t>
  </si>
  <si>
    <t>2025-11-24 06:23:13</t>
  </si>
  <si>
    <t>2025-11-24 06:10:59</t>
  </si>
  <si>
    <t>2025-11-24 06:11:02</t>
  </si>
  <si>
    <t>2025-11-24 06:11:04</t>
  </si>
  <si>
    <t>Stepono Batoro g. 32, Vilniaus m., Vilniaus m. sav.</t>
  </si>
  <si>
    <t>2025-11-24 06:27:20</t>
  </si>
  <si>
    <t>2025-11-24 06:11:28</t>
  </si>
  <si>
    <t>2025-11-24 06:11:29</t>
  </si>
  <si>
    <t>Smalinės g. 5A, Vilniaus m., Vilniaus m. sav.</t>
  </si>
  <si>
    <t>Maumedžių g. 25A, Vilniaus m., Vilniaus m. sav.</t>
  </si>
  <si>
    <t>2025-11-24 06:11:49</t>
  </si>
  <si>
    <t>Juozo Kamarausko g. 28-1, Vilniaus m., Vilniaus m. sav.</t>
  </si>
  <si>
    <t>Juozo Kamarausko g. 6, Vilniaus m., Vilniaus m. sav.</t>
  </si>
  <si>
    <t>Bazilijonų g. 3, Vilniaus m., Vilniaus m. sav.</t>
  </si>
  <si>
    <t>2025-11-24 06:11:51</t>
  </si>
  <si>
    <t>Miškinių Sodų g. 30, Vilniaus m., Vilniaus m. sav.</t>
  </si>
  <si>
    <t>Miškinių Sodų g. 25, Vilniaus m., Vilniaus m. sav.</t>
  </si>
  <si>
    <t>2025-11-24 06:27:28</t>
  </si>
  <si>
    <t>2025-11-24 06:12:01</t>
  </si>
  <si>
    <t>Miškinių Sodų g. 36, Vilniaus m., Vilniaus m. sav.</t>
  </si>
  <si>
    <t>2025-11-24 06:12:04</t>
  </si>
  <si>
    <t>2025-11-24 06:44:04</t>
  </si>
  <si>
    <t>2025-11-24 06:27:32</t>
  </si>
  <si>
    <t>J. Kubiliaus g. 3, Vilniaus m., Vilniaus m. sav.</t>
  </si>
  <si>
    <t>2025-11-24 06:12:10</t>
  </si>
  <si>
    <t>A. Vienuolio g. 1, Vilniaus m., Vilniaus m. sav.</t>
  </si>
  <si>
    <t>Stepono Batoro g. 20-2, Vilniaus m., Vilniaus m. sav.</t>
  </si>
  <si>
    <t>Taikos g. 18, Vilniaus m., Vilniaus m. sav.</t>
  </si>
  <si>
    <t>2025-11-24 06:23:17</t>
  </si>
  <si>
    <t>Antakalnio g. 106, Vilniaus m., Vilniaus m. sav.</t>
  </si>
  <si>
    <t>Broniaus Krivicko g. 36, Vilniaus m., Vilniaus m. sav.</t>
  </si>
  <si>
    <t>2025-11-24 06:53:32</t>
  </si>
  <si>
    <t>Miškinių Sodų g. 28, Vilniaus m., Vilniaus m. sav.</t>
  </si>
  <si>
    <t>2025-11-24 06:12:41</t>
  </si>
  <si>
    <t>Juozo Kamarausko g. 7, Vilniaus m., Vilniaus m. sav.</t>
  </si>
  <si>
    <t>2025-11-24 06:27:36</t>
  </si>
  <si>
    <t>B. Krivicko g. 38, Vilniaus m., Vilniaus m. sav.</t>
  </si>
  <si>
    <t>2025-11-24 06:19:00</t>
  </si>
  <si>
    <t>Perkūnkiemio g. 6, Vilniaus m., Vilniaus m. sav.</t>
  </si>
  <si>
    <t>2025-11-24 06:12:45</t>
  </si>
  <si>
    <t>2025-11-24 06:19:01</t>
  </si>
  <si>
    <t>2025-11-24 06:12:50</t>
  </si>
  <si>
    <t>2025-11-24 06:12:55</t>
  </si>
  <si>
    <t>B. Krivicko g. 36, Vilniaus m., Vilniaus m. sav.</t>
  </si>
  <si>
    <t>2025-11-24 06:56:13</t>
  </si>
  <si>
    <t>Kovo 11-osios g. 39B, Grigiškių m., Vilniaus m. sav.</t>
  </si>
  <si>
    <t>2025-11-24 06:13:01</t>
  </si>
  <si>
    <t>B. Krivicko g. 9, Vilniaus m., Vilniaus m. sav.</t>
  </si>
  <si>
    <t>2025-11-24 06:19:02</t>
  </si>
  <si>
    <t>Stepono Batoro g. 20-1, Vilniaus m., Vilniaus m. sav.</t>
  </si>
  <si>
    <t>2025-11-24 06:13:11</t>
  </si>
  <si>
    <t>Miškinių Sodų g. 24, Vilniaus m., Vilniaus m. sav.</t>
  </si>
  <si>
    <t>2025-11-24 06:13:14</t>
  </si>
  <si>
    <t>2025-11-24 06:13:15</t>
  </si>
  <si>
    <t>2025-11-24 06:13:22</t>
  </si>
  <si>
    <t>Antakalnio g. 29, Vilniaus m., Vilniaus m. sav.</t>
  </si>
  <si>
    <t>2025-11-24 06:13:23</t>
  </si>
  <si>
    <t>2025-11-24 06:13:25</t>
  </si>
  <si>
    <t>2025-11-24 06:13:27</t>
  </si>
  <si>
    <t>T. Ševčenkos g. 16, Vilniaus m., Vilniaus m. sav.</t>
  </si>
  <si>
    <t>2025-11-24 06:13:29</t>
  </si>
  <si>
    <t>2025-11-24 06:44:05</t>
  </si>
  <si>
    <t>Žėručio g. 4, Vilniaus m., Vilniaus m. sav.</t>
  </si>
  <si>
    <t>2025-11-24 06:23:46</t>
  </si>
  <si>
    <t>2025-11-24 06:13:31</t>
  </si>
  <si>
    <t>Baltosios Vokės Sodų g. 23, Vilniaus m., Vilniaus m. sav.</t>
  </si>
  <si>
    <t>Juozo Kamarausko g. 5, Vilniaus m., Vilniaus m. sav.</t>
  </si>
  <si>
    <t>2025-11-24 06:13:33</t>
  </si>
  <si>
    <t>Miškinių Sodų 1-oji g. 6, Vilniaus m., Vilniaus m. sav.</t>
  </si>
  <si>
    <t>2025-11-24 06:13:34</t>
  </si>
  <si>
    <t>Latako g. 1, Vilniaus m., Vilniaus m. sav.</t>
  </si>
  <si>
    <t>2025-11-24 06:13:39</t>
  </si>
  <si>
    <t>2025-11-24 06:16:19</t>
  </si>
  <si>
    <t>2025-11-24 06:13:42</t>
  </si>
  <si>
    <t>2025-11-24 06:13:43</t>
  </si>
  <si>
    <t>2025-11-24 06:13:45</t>
  </si>
  <si>
    <t>2025-11-24 06:13:50</t>
  </si>
  <si>
    <t>Bokšto g. 3, Vilniaus m., Vilniaus m. sav.</t>
  </si>
  <si>
    <t>Miškinių Sodų g. 22, Vilniaus m., Vilniaus m. sav.</t>
  </si>
  <si>
    <t>B. Krivicko g. 32, Vilniaus m., Vilniaus m. sav.</t>
  </si>
  <si>
    <t>2025-11-24 06:13:57</t>
  </si>
  <si>
    <t>Viršuliškių g. 85, Vilniaus m., Vilniaus m. sav.</t>
  </si>
  <si>
    <t>2025-11-24 06:23:25</t>
  </si>
  <si>
    <t>Miškinių Sodų g. 14, Vilniaus m., Vilniaus m. sav.</t>
  </si>
  <si>
    <t>2025-11-24 06:13:58</t>
  </si>
  <si>
    <t>Šeškinės g. 22, Vilniaus m., Vilniaus m. sav.</t>
  </si>
  <si>
    <t>Bajorų Sodų 19-oji g. 5, Vilniaus m., Vilniaus m. sav.</t>
  </si>
  <si>
    <t>2025-11-24 06:14:00</t>
  </si>
  <si>
    <t>Stepono Batoro g. 18-2, Vilniaus m., Vilniaus m. sav.</t>
  </si>
  <si>
    <t>2025-11-24 06:14:01</t>
  </si>
  <si>
    <t>B. Krivicko g. 34, Vilniaus m., Vilniaus m. sav.</t>
  </si>
  <si>
    <t>2025-11-24 06:14:10</t>
  </si>
  <si>
    <t>2025-11-24 06:14:14</t>
  </si>
  <si>
    <t>Stepono Batoro g. 18-1, Vilniaus m., Vilniaus m. sav.</t>
  </si>
  <si>
    <t>2025-11-24 06:29:19</t>
  </si>
  <si>
    <t>2025-11-24 06:14:17</t>
  </si>
  <si>
    <t>Miškinių Sodų g. 20, Vilniaus m., Vilniaus m. sav.</t>
  </si>
  <si>
    <t>2025-11-24 06:14:18</t>
  </si>
  <si>
    <t>Bokšto g. 1, Vilniaus m., Vilniaus m. sav.</t>
  </si>
  <si>
    <t>2025-11-24 06:14:20</t>
  </si>
  <si>
    <t>2025-11-24 06:14:21</t>
  </si>
  <si>
    <t>2025-11-24 06:14:26</t>
  </si>
  <si>
    <t>2025-11-24 06:14:29</t>
  </si>
  <si>
    <t>Juozo Kamarausko g. 4, Vilniaus m., Vilniaus m. sav.</t>
  </si>
  <si>
    <t>2025-11-24 06:29:17</t>
  </si>
  <si>
    <t>2025-11-24 06:14:35</t>
  </si>
  <si>
    <t>2025-11-24 06:14:38</t>
  </si>
  <si>
    <t>Juodasis kel. 1A, Vilniaus m., Vilniaus m. sav.</t>
  </si>
  <si>
    <t>2025-11-24 06:14:39</t>
  </si>
  <si>
    <t>2025-11-24 06:14:40</t>
  </si>
  <si>
    <t>2025-11-24 06:14:41</t>
  </si>
  <si>
    <t>2025-11-24 06:14:42</t>
  </si>
  <si>
    <t>Suvalkų g. 6, Vilniaus m., Vilniaus m. sav.</t>
  </si>
  <si>
    <t>2025-11-24 06:14:47</t>
  </si>
  <si>
    <t>Broniaus Krivicko g. 3, Vilniaus m., Vilniaus m. sav.</t>
  </si>
  <si>
    <t>Miškinių Sodų g. 13B, Vilniaus m., Vilniaus m. sav.</t>
  </si>
  <si>
    <t>Miškinių Sodų g. 13A, Vilniaus m., Vilniaus m. sav.</t>
  </si>
  <si>
    <t>2025-11-24 06:14:50</t>
  </si>
  <si>
    <t>Įsruties g. 4, Vilniaus m., Vilniaus m. sav.</t>
  </si>
  <si>
    <t>2025-11-24 06:14:52</t>
  </si>
  <si>
    <t>Taikos g. 29, Vilniaus m., Vilniaus m. sav.</t>
  </si>
  <si>
    <t>2025-11-24 06:14:53</t>
  </si>
  <si>
    <t>Juozo Kamarausko g. 3, Vilniaus m., Vilniaus m. sav.</t>
  </si>
  <si>
    <t>2025-11-24 06:29:28</t>
  </si>
  <si>
    <t>2025-11-24 06:29:31</t>
  </si>
  <si>
    <t>Šiltnamių g. 29, Vilniaus m., Vilniaus m. sav.</t>
  </si>
  <si>
    <t>Geležinkelio g. 5, Vilniaus m., Vilniaus m. sav.</t>
  </si>
  <si>
    <t>2025-11-24 06:14:56</t>
  </si>
  <si>
    <t>2025-11-24 06:14:58</t>
  </si>
  <si>
    <t>Taikos g. 16A, Vilniaus m., Vilniaus m. sav.</t>
  </si>
  <si>
    <t>2025-11-24 06:15:02</t>
  </si>
  <si>
    <t>Taikos g. 23, Vilniaus m., Vilniaus m. sav.</t>
  </si>
  <si>
    <t>2025-11-24 06:15:06</t>
  </si>
  <si>
    <t>2025-11-24 09:32:53</t>
  </si>
  <si>
    <t>Parko g. 37A, Vilniaus m., Vilniaus m. sav.</t>
  </si>
  <si>
    <t>Miškinių Sodų g. 13, Vilniaus m., Vilniaus m. sav.</t>
  </si>
  <si>
    <t>2025-11-24 06:15:14</t>
  </si>
  <si>
    <t>Stepono Batoro g. 14-1, Vilniaus m., Vilniaus m. sav.</t>
  </si>
  <si>
    <t>2025-11-24 06:29:30</t>
  </si>
  <si>
    <t>2025-11-24 06:15:16</t>
  </si>
  <si>
    <t>J. Kubiliaus g. 2, Vilniaus m., Vilniaus m. sav.</t>
  </si>
  <si>
    <t>2025-11-24 06:15:39</t>
  </si>
  <si>
    <t>Juozo Kamarausko g. 2-1, Vilniaus m., Vilniaus m. sav.</t>
  </si>
  <si>
    <t>2025-11-24 06:29:34</t>
  </si>
  <si>
    <t>2025-11-24 06:44:08</t>
  </si>
  <si>
    <t>2025-11-24 06:29:46</t>
  </si>
  <si>
    <t>2025-11-24 06:15:46</t>
  </si>
  <si>
    <t>Šeškinės g. 22A, Vilniaus m., Vilniaus m. sav.</t>
  </si>
  <si>
    <t>M. Indriliūno g. 35, Vilniaus m., Vilniaus m. sav.</t>
  </si>
  <si>
    <t>2025-11-24 06:15:53</t>
  </si>
  <si>
    <t>2025-11-24 06:52:19</t>
  </si>
  <si>
    <t>Ateities g. 31, Vilniaus m., Vilniaus m. sav.</t>
  </si>
  <si>
    <t>2025-11-24 06:15:56</t>
  </si>
  <si>
    <t>Pilies g. 23, Vilniaus m., Vilniaus m. sav.</t>
  </si>
  <si>
    <t>Kirtimų g. 53, Vilniaus m., Vilniaus m. sav.</t>
  </si>
  <si>
    <t>2025-11-24 06:15:59</t>
  </si>
  <si>
    <t>2025-11-24 06:16:00</t>
  </si>
  <si>
    <t>2025-11-24 06:16:01</t>
  </si>
  <si>
    <t>Stepono Batoro g. 10A, Vilniaus m., Vilniaus m. sav.</t>
  </si>
  <si>
    <t>2025-11-24 06:29:35</t>
  </si>
  <si>
    <t>2025-11-24 06:16:02</t>
  </si>
  <si>
    <t>2025-11-24 06:16:03</t>
  </si>
  <si>
    <t>J. Kubiliaus g. 4, Vilniaus m., Vilniaus m. sav.</t>
  </si>
  <si>
    <t>2025-11-24 06:16:04</t>
  </si>
  <si>
    <t>Žirmūnų g. 1N, Vilniaus m., Vilniaus m. sav.</t>
  </si>
  <si>
    <t>2025-11-24 06:16:06</t>
  </si>
  <si>
    <t>2025-11-24 06:16:07</t>
  </si>
  <si>
    <t>Viršuliškių g. 30, Vilniaus m., Vilniaus m. sav.</t>
  </si>
  <si>
    <t>2025-11-24 06:29:45</t>
  </si>
  <si>
    <t>2025-11-24 06:16:09</t>
  </si>
  <si>
    <t>Geležinkelio g. 16, Vilniaus m., Vilniaus m. sav.</t>
  </si>
  <si>
    <t>2025-11-24 06:16:16</t>
  </si>
  <si>
    <t>2025-11-24 06:16:17</t>
  </si>
  <si>
    <t>Miškinių Sodų g. 12, Vilniaus m., Vilniaus m. sav.</t>
  </si>
  <si>
    <t>2025-11-24 06:16:18</t>
  </si>
  <si>
    <t>2025-11-24 06:16:20</t>
  </si>
  <si>
    <t>2025-11-24 06:16:22</t>
  </si>
  <si>
    <t>Švyturio g. 20, Vilniaus m., Vilniaus m. sav.</t>
  </si>
  <si>
    <t>2025-11-24 06:16:25</t>
  </si>
  <si>
    <t>2025-11-24 06:16:26</t>
  </si>
  <si>
    <t>2025-11-24 06:16:27</t>
  </si>
  <si>
    <t>2025-11-24 06:16:31</t>
  </si>
  <si>
    <t>M. Indriliūno g. 33, Vilniaus m., Vilniaus m. sav.</t>
  </si>
  <si>
    <t>2025-11-24 06:19:04</t>
  </si>
  <si>
    <t>Juozo Kamarausko g. 1, Vilniaus m., Vilniaus m. sav.</t>
  </si>
  <si>
    <t>2025-11-24 06:29:49</t>
  </si>
  <si>
    <t>2025-11-24 06:16:33</t>
  </si>
  <si>
    <t>M. Indriliūno g. 42, Vilniaus m., Vilniaus m. sav.</t>
  </si>
  <si>
    <t>2025-11-24 06:16:35</t>
  </si>
  <si>
    <t>2025-11-24 06:16:41</t>
  </si>
  <si>
    <t>J. Kubiliaus g. 4A, Vilniaus m., Vilniaus m. sav.</t>
  </si>
  <si>
    <t>2025-11-24 06:29:56</t>
  </si>
  <si>
    <t>2025-11-24 06:29:53</t>
  </si>
  <si>
    <t>2025-11-24 06:16:43</t>
  </si>
  <si>
    <t>Bajorų sodų 8-oji g. 6, Vilniaus m., Vilniaus m. sav.</t>
  </si>
  <si>
    <t>2025-11-24 06:16:52</t>
  </si>
  <si>
    <t>2025-11-24 06:16:46</t>
  </si>
  <si>
    <t>Stepono Batoro g. 8-2, Vilniaus m., Vilniaus m. sav.</t>
  </si>
  <si>
    <t>Juozo Kamarausko g. 1A, Vilniaus m., Vilniaus m. sav.</t>
  </si>
  <si>
    <t>2025-11-24 06:44:10</t>
  </si>
  <si>
    <t>2025-11-24 06:16:53</t>
  </si>
  <si>
    <t>M. Indriliūno g. 38, Vilniaus m., Vilniaus m. sav.</t>
  </si>
  <si>
    <t>Miškinių Sodų g. 10, Vilniaus m., Vilniaus m. sav.</t>
  </si>
  <si>
    <t>2025-11-24 06:16:55</t>
  </si>
  <si>
    <t>J. Kubiliaus g. 4B, Vilniaus m., Vilniaus m. sav.</t>
  </si>
  <si>
    <t>Subačiaus g. 126, Vilniaus m., Vilniaus m. sav.</t>
  </si>
  <si>
    <t>2025-11-24 06:16:57</t>
  </si>
  <si>
    <t>2025-11-24 06:17:02</t>
  </si>
  <si>
    <t>2025-11-24 06:17:06</t>
  </si>
  <si>
    <t>2025-11-24 06:17:07</t>
  </si>
  <si>
    <t>2025-11-24 06:17:08</t>
  </si>
  <si>
    <t>2025-11-24 06:17:10</t>
  </si>
  <si>
    <t>Įsruties g. 6A, Vilniaus m., Vilniaus m. sav.</t>
  </si>
  <si>
    <t>2025-11-24 06:17:12</t>
  </si>
  <si>
    <t>2025-11-24 06:30:38</t>
  </si>
  <si>
    <t>2025-11-24 06:17:14</t>
  </si>
  <si>
    <t>Viršuliškių g. 75A, Vilniaus m., Vilniaus m. sav.</t>
  </si>
  <si>
    <t>2025-11-24 06:17:15</t>
  </si>
  <si>
    <t>Ateities g. 31B, Vilniaus m., Vilniaus m. sav.</t>
  </si>
  <si>
    <t>2025-11-24 06:17:16</t>
  </si>
  <si>
    <t>Parko g. 33, Vilniaus m., Vilniaus m. sav.</t>
  </si>
  <si>
    <t>2025-11-24 06:17:17</t>
  </si>
  <si>
    <t>2025-11-24 06:17:18</t>
  </si>
  <si>
    <t>Geležinkelio g. 12, Vilniaus m., Vilniaus m. sav.</t>
  </si>
  <si>
    <t>2025-11-24 06:17:24</t>
  </si>
  <si>
    <t>Geležinkelio g. 2, Vilniaus m., Vilniaus m. sav.</t>
  </si>
  <si>
    <t>2025-11-24 06:17:25</t>
  </si>
  <si>
    <t>Bajorų Sodų 7-oji g. 1, Vilniaus m., Vilniaus m. sav.</t>
  </si>
  <si>
    <t>2025-11-24 06:17:29</t>
  </si>
  <si>
    <t>Žėručio g. 11, Vilniaus m., Vilniaus m. sav.</t>
  </si>
  <si>
    <t>2025-11-24 06:17:30</t>
  </si>
  <si>
    <t>2025-11-24 06:17:31</t>
  </si>
  <si>
    <t>2025-11-24 06:17:37</t>
  </si>
  <si>
    <t>2025-11-24 06:17:39</t>
  </si>
  <si>
    <t>2025-11-24 06:17:42</t>
  </si>
  <si>
    <t>Geležinkelio g. 8A, Vilniaus m., Vilniaus m. sav.</t>
  </si>
  <si>
    <t>2025-11-24 06:17:43</t>
  </si>
  <si>
    <t>Viršuliškių g. 75B, Vilniaus m., Vilniaus m. sav.</t>
  </si>
  <si>
    <t>M. Indriliūno g. 31, Vilniaus m., Vilniaus m. sav.</t>
  </si>
  <si>
    <t>2025-11-24 06:17:45</t>
  </si>
  <si>
    <t>Miškinių Sodų 2-oji g. 4, Vilniaus m., Vilniaus m. sav.</t>
  </si>
  <si>
    <t>2025-11-24 06:19:09</t>
  </si>
  <si>
    <t>2025-11-24 06:17:46</t>
  </si>
  <si>
    <t>Juodšilių g. 4, Vilniaus m., Vilniaus m. sav.</t>
  </si>
  <si>
    <t>2025-11-24 06:24:42</t>
  </si>
  <si>
    <t>Stepono Batoro g. 6B, Vilniaus m., Vilniaus m. sav.</t>
  </si>
  <si>
    <t>2025-11-24 06:17:49</t>
  </si>
  <si>
    <t>2025-11-24 06:17:55</t>
  </si>
  <si>
    <t>Žygio g. 95B, Vilniaus m., Vilniaus m. sav.</t>
  </si>
  <si>
    <t>2025-11-24 06:17:57</t>
  </si>
  <si>
    <t>Šv. Jono g. 3, Vilniaus m., Vilniaus m. sav.</t>
  </si>
  <si>
    <t>2025-11-24 06:19:06</t>
  </si>
  <si>
    <t>2025-11-24 06:17:59</t>
  </si>
  <si>
    <t>2025-11-24 06:18:01</t>
  </si>
  <si>
    <t>2025-11-24 06:18:02</t>
  </si>
  <si>
    <t>Kovo 11-osios g. 21, Grigiškių m., Vilniaus m. sav.</t>
  </si>
  <si>
    <t>2025-11-24 06:18:05</t>
  </si>
  <si>
    <t>Bajorų Sodų g. 80, Vilniaus m., Vilniaus m. sav.</t>
  </si>
  <si>
    <t>2025-11-24 06:18:08</t>
  </si>
  <si>
    <t>2025-11-24 06:18:11</t>
  </si>
  <si>
    <t>Žygio g. 95A, Vilniaus m., Vilniaus m. sav.</t>
  </si>
  <si>
    <t>2025-11-24 06:18:13</t>
  </si>
  <si>
    <t>Naugarduko g. 47, Vilniaus m., Vilniaus m. sav.</t>
  </si>
  <si>
    <t>2025-11-24 06:18:29</t>
  </si>
  <si>
    <t>2025-11-24 06:18:30</t>
  </si>
  <si>
    <t>2025-11-24 06:18:35</t>
  </si>
  <si>
    <t>Miškinių Sodų 2-oji g. 6, Vilniaus m., Vilniaus m. sav.</t>
  </si>
  <si>
    <t>2025-11-24 06:18:37</t>
  </si>
  <si>
    <t>2025-11-24 06:18:49</t>
  </si>
  <si>
    <t>2025-11-24 06:18:50</t>
  </si>
  <si>
    <t>2025-11-24 06:18:51</t>
  </si>
  <si>
    <t>Žygio g. 95, Vilniaus m., Vilniaus m. sav.</t>
  </si>
  <si>
    <t>2025-11-24 06:18:53</t>
  </si>
  <si>
    <t>2025-11-24 06:18:54</t>
  </si>
  <si>
    <t>2025-11-24 06:18:56</t>
  </si>
  <si>
    <t>2025-11-24 06:18:58</t>
  </si>
  <si>
    <t>Balio Karvelio g. 25, Vilniaus m., Vilniaus m. sav.</t>
  </si>
  <si>
    <t>2025-11-24 06:18:59</t>
  </si>
  <si>
    <t>Oreivių g. 32, Vilniaus m., Vilniaus m. sav.</t>
  </si>
  <si>
    <t>2025-11-24 06:30:42</t>
  </si>
  <si>
    <t>Mokyklos g. 86, Vilniaus m., Vilniaus m. sav.</t>
  </si>
  <si>
    <t>M. Indriliūno g. 15, Vilniaus m., Vilniaus m. sav.</t>
  </si>
  <si>
    <t>2025-11-24 06:19:10</t>
  </si>
  <si>
    <t>2025-11-24 06:19:12</t>
  </si>
  <si>
    <t>2025-11-24 06:19:14</t>
  </si>
  <si>
    <t>2025-11-24 06:19:15</t>
  </si>
  <si>
    <t>2025-11-24 06:19:16</t>
  </si>
  <si>
    <t>Ukmergės g. 364, Vilniaus m., Vilniaus m. sav.</t>
  </si>
  <si>
    <t>2025-11-24 06:19:19</t>
  </si>
  <si>
    <t>2025-11-24 06:19:20</t>
  </si>
  <si>
    <t>Kovo 11-osios g. 30, Grigiškių m., Vilniaus m. sav.</t>
  </si>
  <si>
    <t>2025-11-24 06:19:22</t>
  </si>
  <si>
    <t>2025-11-24 06:19:23</t>
  </si>
  <si>
    <t>2025-11-24 06:19:24</t>
  </si>
  <si>
    <t>Geležinkelio g. 14, Vilniaus m., Vilniaus m. sav.</t>
  </si>
  <si>
    <t>2025-11-24 06:19:25</t>
  </si>
  <si>
    <t>M. Indriliūno g. 17, Vilniaus m., Vilniaus m. sav.</t>
  </si>
  <si>
    <t>Miškinių Sodų 2-oji g. 10, Vilniaus m., Vilniaus m. sav.</t>
  </si>
  <si>
    <t>2025-11-24 06:19:29</t>
  </si>
  <si>
    <t>M. Indriliūno g. 27, Vilniaus m., Vilniaus m. sav.</t>
  </si>
  <si>
    <t>M. Indriliūno g. 19, Vilniaus m., Vilniaus m. sav.</t>
  </si>
  <si>
    <t>2025-11-24 06:19:35</t>
  </si>
  <si>
    <t>Žirmūnų g. 2, Vilniaus m., Vilniaus m. sav.</t>
  </si>
  <si>
    <t>2025-11-24 06:19:39</t>
  </si>
  <si>
    <t>Miškinių Sodų 2-oji g. 8, Vilniaus m., Vilniaus m. sav.</t>
  </si>
  <si>
    <t>2025-11-24 06:19:53</t>
  </si>
  <si>
    <t>Didžioji g. 4, Vilniaus m., Vilniaus m. sav.</t>
  </si>
  <si>
    <t>2025-11-24 06:19:55</t>
  </si>
  <si>
    <t>2025-11-24 06:19:56</t>
  </si>
  <si>
    <t>Čimbariškių g. 10, Vilniaus m., Vilniaus m. sav.</t>
  </si>
  <si>
    <t>2025-11-24 06:30:16</t>
  </si>
  <si>
    <t>Čimbariškių g. 7, Vilniaus m., Vilniaus m. sav.</t>
  </si>
  <si>
    <t>2025-11-24 06:19:57</t>
  </si>
  <si>
    <t>2025-11-24 06:19:58</t>
  </si>
  <si>
    <t>Taikos g. 12, Vilniaus m., Vilniaus m. sav.</t>
  </si>
  <si>
    <t>2025-11-24 06:20:00</t>
  </si>
  <si>
    <t>2025-11-24 06:25:06</t>
  </si>
  <si>
    <t>2025-11-24 06:20:01</t>
  </si>
  <si>
    <t>M. Indriliūno g. 29, Vilniaus m., Vilniaus m. sav.</t>
  </si>
  <si>
    <t>2025-11-24 06:20:05</t>
  </si>
  <si>
    <t>2025-11-24 06:20:08</t>
  </si>
  <si>
    <t>Įsruties g. 10, Vilniaus m., Vilniaus m. sav.</t>
  </si>
  <si>
    <t>2025-11-24 06:20:11</t>
  </si>
  <si>
    <t>Miškinių Sodų 2-oji g. 14, Vilniaus m., Vilniaus m. sav.</t>
  </si>
  <si>
    <t>2025-11-24 06:20:13</t>
  </si>
  <si>
    <t>2025-11-24 09:21:52</t>
  </si>
  <si>
    <t>Šeškinės g. 20, Vilniaus m., Vilniaus m. sav.</t>
  </si>
  <si>
    <t>2025-11-24 06:20:14</t>
  </si>
  <si>
    <t>2025-11-24 06:20:15</t>
  </si>
  <si>
    <t>Gedimino pr. 17, Vilniaus m., Vilniaus m. sav.</t>
  </si>
  <si>
    <t>2025-11-24 06:20:17</t>
  </si>
  <si>
    <t>M. Indriliūno g. 25, Vilniaus m., Vilniaus m. sav.</t>
  </si>
  <si>
    <t>2025-11-24 06:20:23</t>
  </si>
  <si>
    <t>2025-11-24 06:20:18</t>
  </si>
  <si>
    <t>2025-11-24 06:20:21</t>
  </si>
  <si>
    <t>Švyturio g. 27, Vilniaus m., Vilniaus m. sav.</t>
  </si>
  <si>
    <t>Erfurto g. 26, Vilniaus m., Vilniaus m. sav.</t>
  </si>
  <si>
    <t>2025-11-24 06:20:22</t>
  </si>
  <si>
    <t>Vytenio g. 39, Vilniaus m., Vilniaus m. sav.</t>
  </si>
  <si>
    <t>2025-11-24 06:20:27</t>
  </si>
  <si>
    <t>2025-11-24 06:20:28</t>
  </si>
  <si>
    <t>2025-11-24 07:07:11</t>
  </si>
  <si>
    <t>2025-11-24 06:20:32</t>
  </si>
  <si>
    <t>Čimbariškių g. 8A, Vilniaus m., Vilniaus m. sav.</t>
  </si>
  <si>
    <t>2025-11-24 06:44:12</t>
  </si>
  <si>
    <t>2025-11-24 06:20:33</t>
  </si>
  <si>
    <t>Parko g. 57, Vilniaus m., Vilniaus m. sav.</t>
  </si>
  <si>
    <t>2025-11-24 06:20:34</t>
  </si>
  <si>
    <t>Tuskulėnų g. 31, Vilniaus m., Vilniaus m. sav.</t>
  </si>
  <si>
    <t>2025-11-24 06:20:38</t>
  </si>
  <si>
    <t>2025-11-24 06:20:51</t>
  </si>
  <si>
    <t>2025-11-24 06:20:52</t>
  </si>
  <si>
    <t>Čimbariškių g. 8, Vilniaus m., Vilniaus m. sav.</t>
  </si>
  <si>
    <t>2025-11-24 06:39:07</t>
  </si>
  <si>
    <t>2025-11-24 06:20:53</t>
  </si>
  <si>
    <t>Miškinių Sodų 2-oji g. 20, Vilniaus m., Vilniaus m. sav.</t>
  </si>
  <si>
    <t>2025-11-24 06:20:58</t>
  </si>
  <si>
    <t>2025-11-24 06:39:21</t>
  </si>
  <si>
    <t>2025-11-24 06:20:59</t>
  </si>
  <si>
    <t>M. Indriliūno g. 34, Vilniaus m., Vilniaus m. sav.</t>
  </si>
  <si>
    <t>2025-11-24 06:21:09</t>
  </si>
  <si>
    <t>2025-11-24 06:21:10</t>
  </si>
  <si>
    <t>2025-11-24 06:21:12</t>
  </si>
  <si>
    <t>Algirdo g. 50, Vilniaus m., Vilniaus m. sav.</t>
  </si>
  <si>
    <t>2025-11-24 06:21:15</t>
  </si>
  <si>
    <t>2025-11-24 07:02:36</t>
  </si>
  <si>
    <t>2025-11-24 06:21:17</t>
  </si>
  <si>
    <t>2025-11-24 06:21:21</t>
  </si>
  <si>
    <t>2025-11-24 06:21:23</t>
  </si>
  <si>
    <t>2025-11-24 07:02:22</t>
  </si>
  <si>
    <t>2025-11-24 06:21:26</t>
  </si>
  <si>
    <t>2025-11-24 06:21:28</t>
  </si>
  <si>
    <t>2025-11-24 09:21:53</t>
  </si>
  <si>
    <t>Čimbariškių g. 6, Vilniaus m., Vilniaus m. sav.</t>
  </si>
  <si>
    <t>2025-11-24 06:40:11</t>
  </si>
  <si>
    <t>2025-11-24 06:21:32</t>
  </si>
  <si>
    <t>2025-11-24 06:41:20</t>
  </si>
  <si>
    <t>2025-11-24 06:21:33</t>
  </si>
  <si>
    <t>2025-11-24 06:25:59</t>
  </si>
  <si>
    <t>Miškinių Sodų 2-oji g. 30, Vilniaus m., Vilniaus m. sav.</t>
  </si>
  <si>
    <t>2025-11-24 06:21:34</t>
  </si>
  <si>
    <t>Miškinių Sodų 1-oji g. 8, Vilniaus m., Vilniaus m. sav.</t>
  </si>
  <si>
    <t>2025-11-24 06:21:35</t>
  </si>
  <si>
    <t>M. Indriliūno g. 11, Vilniaus m., Vilniaus m. sav.</t>
  </si>
  <si>
    <t>2025-11-24 06:21:39</t>
  </si>
  <si>
    <t>J. Lelevelio g. 4, Vilniaus m., Vilniaus m. sav.</t>
  </si>
  <si>
    <t>2025-11-24 06:21:45</t>
  </si>
  <si>
    <t>2025-11-24 06:21:55</t>
  </si>
  <si>
    <t>2025-11-24 06:22:01</t>
  </si>
  <si>
    <t>2025-11-24 07:02:23</t>
  </si>
  <si>
    <t>2025-11-24 06:22:02</t>
  </si>
  <si>
    <t>Volungės g. 10, Vilniaus m., Vilniaus m. sav.</t>
  </si>
  <si>
    <t>2025-11-24 06:40:09</t>
  </si>
  <si>
    <t>2025-11-24 06:22:07</t>
  </si>
  <si>
    <t>M. Indriliūno g. 13, Vilniaus m., Vilniaus m. sav.</t>
  </si>
  <si>
    <t>2025-11-24 06:22:08</t>
  </si>
  <si>
    <t>2025-11-24 06:22:12</t>
  </si>
  <si>
    <t>Pavilnionių g. 55, Vilniaus m., Vilniaus m. sav.</t>
  </si>
  <si>
    <t>2025-11-24 06:22:14</t>
  </si>
  <si>
    <t>Čimbariškių g. 3, Vilniaus m., Vilniaus m. sav.</t>
  </si>
  <si>
    <t>2025-11-24 06:22:15</t>
  </si>
  <si>
    <t>Šeškinės g. 2, Vilniaus m., Vilniaus m. sav.</t>
  </si>
  <si>
    <t>2025-11-24 06:22:17</t>
  </si>
  <si>
    <t>2025-11-24 06:22:18</t>
  </si>
  <si>
    <t>2025-11-24 06:41:05</t>
  </si>
  <si>
    <t>Įsruties g. 12, Vilniaus m., Vilniaus m. sav.</t>
  </si>
  <si>
    <t>2025-11-24 06:22:31</t>
  </si>
  <si>
    <t>2025-11-24 06:22:32</t>
  </si>
  <si>
    <t>Pilies g. 36, Vilniaus m., Vilniaus m. sav.</t>
  </si>
  <si>
    <t>2025-11-24 06:40:53</t>
  </si>
  <si>
    <t>2025-11-24 06:22:35</t>
  </si>
  <si>
    <t>2025-11-24 06:38:53</t>
  </si>
  <si>
    <t>Erfurto g. 20, Vilniaus m., Vilniaus m. sav.</t>
  </si>
  <si>
    <t>2025-11-24 06:38:54</t>
  </si>
  <si>
    <t>2025-11-24 06:22:37</t>
  </si>
  <si>
    <t>K. Kalinausko g. 16, Vilniaus m., Vilniaus m. sav.</t>
  </si>
  <si>
    <t>2025-11-24 06:22:42</t>
  </si>
  <si>
    <t>2025-11-24 06:39:05</t>
  </si>
  <si>
    <t>2025-11-24 06:22:48</t>
  </si>
  <si>
    <t>2025-11-24 06:39:10</t>
  </si>
  <si>
    <t>2025-11-24 06:22:57</t>
  </si>
  <si>
    <t>M. Indriliūno g. 18, Vilniaus m., Vilniaus m. sav.</t>
  </si>
  <si>
    <t>2025-11-24 06:23:00</t>
  </si>
  <si>
    <t>Čimbariškių g. 4, Vilniaus m., Vilniaus m. sav.</t>
  </si>
  <si>
    <t>2025-11-24 06:23:01</t>
  </si>
  <si>
    <t>M. Indriliūno g. 9, Vilniaus m., Vilniaus m. sav.</t>
  </si>
  <si>
    <t>2025-11-24 06:23:04</t>
  </si>
  <si>
    <t>Justiniškių g. 27, Vilniaus m., Vilniaus m. sav.</t>
  </si>
  <si>
    <t>Pilies g. 34, Vilniaus m., Vilniaus m. sav.</t>
  </si>
  <si>
    <t>2025-11-24 06:23:08</t>
  </si>
  <si>
    <t>Miškinių Sodų g. 39, Vilniaus m., Vilniaus m. sav.</t>
  </si>
  <si>
    <t>2025-11-24 06:23:21</t>
  </si>
  <si>
    <t>Ateities g. 33, Vilniaus m., Vilniaus m. sav.</t>
  </si>
  <si>
    <t>2025-11-24 06:26:14</t>
  </si>
  <si>
    <t>2025-11-24 06:23:40</t>
  </si>
  <si>
    <t>Algirdo g. 75, Vilniaus m., Vilniaus m. sav.</t>
  </si>
  <si>
    <t>2025-11-24 06:23:41</t>
  </si>
  <si>
    <t>Pilies g. 32, Vilniaus m., Vilniaus m. sav.</t>
  </si>
  <si>
    <t>Čimbariškių g. 1, Vilniaus m., Vilniaus m. sav.</t>
  </si>
  <si>
    <t>2025-11-24 06:23:57</t>
  </si>
  <si>
    <t>M. Indriliūno g. 16, Vilniaus m., Vilniaus m. sav.</t>
  </si>
  <si>
    <t>2025-11-24 06:24:11</t>
  </si>
  <si>
    <t>Mokslininkų g. 49, Vilniaus m., Vilniaus m. sav.</t>
  </si>
  <si>
    <t>2025-11-24 06:24:13</t>
  </si>
  <si>
    <t>Gedimino pr. 18, Vilniaus m., Vilniaus m. sav.</t>
  </si>
  <si>
    <t>2025-11-24 06:24:17</t>
  </si>
  <si>
    <t>2025-11-24 06:24:14</t>
  </si>
  <si>
    <t>2025-11-24 06:24:15</t>
  </si>
  <si>
    <t>Mokslininkų g. 47, Vilniaus m., Vilniaus m. sav.</t>
  </si>
  <si>
    <t>Gedimino pr. 15, Vilniaus m., Vilniaus m. sav.</t>
  </si>
  <si>
    <t>2025-11-24 06:24:22</t>
  </si>
  <si>
    <t>Juozo Kamarausko g. 2-2, Vilniaus m., Vilniaus m. sav.</t>
  </si>
  <si>
    <t>2025-11-24 06:40:27</t>
  </si>
  <si>
    <t>2025-11-24 06:24:28</t>
  </si>
  <si>
    <t>2025-11-24 06:24:31</t>
  </si>
  <si>
    <t>2025-11-24 06:24:32</t>
  </si>
  <si>
    <t>Čimbariškių g. 2D, Vilniaus m., Vilniaus m. sav.</t>
  </si>
  <si>
    <t>Tuskulėnų g. 33C, Vilniaus m., Vilniaus m. sav.</t>
  </si>
  <si>
    <t>2025-11-24 06:24:50</t>
  </si>
  <si>
    <t>2025-11-24 06:24:52</t>
  </si>
  <si>
    <t>Dariaus ir Girėno g. 49, Vilniaus m., Vilniaus m. sav.</t>
  </si>
  <si>
    <t>2025-11-24 06:24:53</t>
  </si>
  <si>
    <t>M. Indriliūno g. 7, Vilniaus m., Vilniaus m. sav.</t>
  </si>
  <si>
    <t>2025-11-24 06:24:56</t>
  </si>
  <si>
    <t>2025-11-24 06:24:58</t>
  </si>
  <si>
    <t>Čimbariškių g. 2B, Vilniaus m., Vilniaus m. sav.</t>
  </si>
  <si>
    <t>2025-11-24 06:39:30</t>
  </si>
  <si>
    <t>2025-11-24 06:47:01</t>
  </si>
  <si>
    <t>2025-11-24 06:25:01</t>
  </si>
  <si>
    <t>2025-11-24 09:31:36</t>
  </si>
  <si>
    <t>Gariūnų g. 57, Vilniaus m., Vilniaus m. sav.</t>
  </si>
  <si>
    <t>2025-11-24 06:25:02</t>
  </si>
  <si>
    <t>Įsruties g. 16, Vilniaus m., Vilniaus m. sav.</t>
  </si>
  <si>
    <t>2025-11-24 06:25:04</t>
  </si>
  <si>
    <t>Ulonų g. 3, Vilniaus m., Vilniaus m. sav.</t>
  </si>
  <si>
    <t>2025-11-24 06:25:07</t>
  </si>
  <si>
    <t>Žolyno g. 11A, Vilniaus m., Vilniaus m. sav.</t>
  </si>
  <si>
    <t>2025-11-24 06:25:14</t>
  </si>
  <si>
    <t>2025-11-24 06:25:19</t>
  </si>
  <si>
    <t>2025-11-24 06:25:23</t>
  </si>
  <si>
    <t>Parko g. 63A, Vilniaus m., Vilniaus m. sav.</t>
  </si>
  <si>
    <t>2025-11-24 06:25:24</t>
  </si>
  <si>
    <t>Čimbariškių g. 2C, Vilniaus m., Vilniaus m. sav.</t>
  </si>
  <si>
    <t>2025-11-24 06:25:27</t>
  </si>
  <si>
    <t>2025-11-24 06:25:28</t>
  </si>
  <si>
    <t>Čimbariškių g. 2A, Vilniaus m., Vilniaus m. sav.</t>
  </si>
  <si>
    <t>2025-11-24 06:25:29</t>
  </si>
  <si>
    <t>M. Indriliūno g. 14, Vilniaus m., Vilniaus m. sav.</t>
  </si>
  <si>
    <t>2025-11-24 06:25:30</t>
  </si>
  <si>
    <t>Švitrigailos g. 40C, Vilniaus m., Vilniaus m. sav.</t>
  </si>
  <si>
    <t>2025-11-24 06:25:34</t>
  </si>
  <si>
    <t>2025-11-24 06:25:38</t>
  </si>
  <si>
    <t>2025-11-24 06:25:40</t>
  </si>
  <si>
    <t>Miškinių Sodų g. 42, Vilniaus m., Vilniaus m. sav.</t>
  </si>
  <si>
    <t>2025-11-24 06:25:43</t>
  </si>
  <si>
    <t>2025-11-24 06:26:16</t>
  </si>
  <si>
    <t>2025-11-24 06:25:44</t>
  </si>
  <si>
    <t>Miškinių Sodų g. 8, Vilniaus m., Vilniaus m. sav.</t>
  </si>
  <si>
    <t>2025-11-24 06:31:56</t>
  </si>
  <si>
    <t>2025-11-24 06:25:50</t>
  </si>
  <si>
    <t>M. Katkaus g. 44, Vilniaus m., Vilniaus m. sav.</t>
  </si>
  <si>
    <t>2025-11-24 06:25:54</t>
  </si>
  <si>
    <t>Čimbariškių g. 2F, Vilniaus m., Vilniaus m. sav.</t>
  </si>
  <si>
    <t>2025-11-24 06:25:55</t>
  </si>
  <si>
    <t>Kovo 11-osios g. 54, Grigiškių m., Vilniaus m. sav.</t>
  </si>
  <si>
    <t>Literatų g. 5, Vilniaus m., Vilniaus m. sav.</t>
  </si>
  <si>
    <t>K. Kalinausko g. 13, Vilniaus m., Vilniaus m. sav.</t>
  </si>
  <si>
    <t>2025-11-24 06:26:00</t>
  </si>
  <si>
    <t>Rodūnios kel. 9, Vilniaus m., Vilniaus m. sav.</t>
  </si>
  <si>
    <t>2025-11-24 06:26:04</t>
  </si>
  <si>
    <t>2025-11-24 06:26:07</t>
  </si>
  <si>
    <t>2025-11-24 06:26:10</t>
  </si>
  <si>
    <t>Minties g. 58, Vilniaus m., Vilniaus m. sav.</t>
  </si>
  <si>
    <t>2025-11-24 06:26:20</t>
  </si>
  <si>
    <t>2025-11-24 06:26:23</t>
  </si>
  <si>
    <t>Kelmijos Sodų 37-oji g. 24, Vilniaus m., Vilniaus m. sav.</t>
  </si>
  <si>
    <t>2025-11-24 06:26:30</t>
  </si>
  <si>
    <t>Čimbariškių g. 2E, Vilniaus m., Vilniaus m. sav.</t>
  </si>
  <si>
    <t>2025-11-24 06:26:31</t>
  </si>
  <si>
    <t>Literatų g. 4, Vilniaus m., Vilniaus m. sav.</t>
  </si>
  <si>
    <t>Bajorų Sodų 33-ioji g. 5, Vilniaus m., Vilniaus m. sav.</t>
  </si>
  <si>
    <t>2025-11-24 06:26:36</t>
  </si>
  <si>
    <t>Mildos g. 19A, Vilniaus m., Vilniaus m. sav.</t>
  </si>
  <si>
    <t>2025-11-24 06:40:15</t>
  </si>
  <si>
    <t>2025-11-24 06:26:40</t>
  </si>
  <si>
    <t>2025-11-24 06:26:42</t>
  </si>
  <si>
    <t>Čimbariškių g. 2-1B, Vilniaus m., Vilniaus m. sav.</t>
  </si>
  <si>
    <t>2025-11-24 06:41:01</t>
  </si>
  <si>
    <t>Čimbariškių g. 2-1A, Vilniaus m., Vilniaus m. sav.</t>
  </si>
  <si>
    <t>2025-11-24 06:26:44</t>
  </si>
  <si>
    <t>Čimbariškių g. 2-2B, Vilniaus m., Vilniaus m. sav.</t>
  </si>
  <si>
    <t>2025-11-24 06:26:47</t>
  </si>
  <si>
    <t>2025-11-24 06:26:48</t>
  </si>
  <si>
    <t>Kauno g. 22, Vilniaus m., Vilniaus m. sav.</t>
  </si>
  <si>
    <t>2025-11-24 06:26:49</t>
  </si>
  <si>
    <t>M. Indriliūno g. 3, Vilniaus m., Vilniaus m. sav.</t>
  </si>
  <si>
    <t>Architektų g. 4, Vilniaus m., Vilniaus m. sav.</t>
  </si>
  <si>
    <t>2025-11-24 06:26:50</t>
  </si>
  <si>
    <t>2025-11-24 06:40:07</t>
  </si>
  <si>
    <t>2025-11-24 06:26:54</t>
  </si>
  <si>
    <t>2025-11-24 06:47:05</t>
  </si>
  <si>
    <t>2025-11-24 06:27:14</t>
  </si>
  <si>
    <t>Gurių g. 129, Vilniaus m., Vilniaus m. sav.</t>
  </si>
  <si>
    <t>2025-11-24 06:27:16</t>
  </si>
  <si>
    <t>Taikos g. 2A, Vilniaus m., Vilniaus m. sav.</t>
  </si>
  <si>
    <t>2025-11-24 06:27:17</t>
  </si>
  <si>
    <t>Linksmoji g. 47, Vilniaus m., Vilniaus m. sav.</t>
  </si>
  <si>
    <t>2025-11-24 06:30:44</t>
  </si>
  <si>
    <t>2025-11-24 06:27:19</t>
  </si>
  <si>
    <t>M. Indriliūno g. 4, Vilniaus m., Vilniaus m. sav.</t>
  </si>
  <si>
    <t>Taikos g. 7, Vilniaus m., Vilniaus m. sav.</t>
  </si>
  <si>
    <t>Algirdo g. 40C, Vilniaus m., Vilniaus m. sav.</t>
  </si>
  <si>
    <t>2025-11-24 06:27:30</t>
  </si>
  <si>
    <t>Ateities g. 89, Vilniaus m., Vilniaus m. sav.</t>
  </si>
  <si>
    <t>2025-11-24 09:21:54</t>
  </si>
  <si>
    <t>Čimbariškių g. 2-2C, Vilniaus m., Vilniaus m. sav.</t>
  </si>
  <si>
    <t>2025-11-24 06:44:19</t>
  </si>
  <si>
    <t>2025-11-24 06:42:01</t>
  </si>
  <si>
    <t>2025-11-24 06:27:42</t>
  </si>
  <si>
    <t>Laisvės pr. 54, Vilniaus m., Vilniaus m. sav.</t>
  </si>
  <si>
    <t>2025-11-24 06:27:44</t>
  </si>
  <si>
    <t>Kelmijos Sodų 37-oji g. 18, Vilniaus m., Vilniaus m. sav.</t>
  </si>
  <si>
    <t>2025-11-24 06:27:46</t>
  </si>
  <si>
    <t>2025-11-24 09:32:56</t>
  </si>
  <si>
    <t>Mildos g. 23, Vilniaus m., Vilniaus m. sav.</t>
  </si>
  <si>
    <t>2025-11-24 06:39:03</t>
  </si>
  <si>
    <t>Verkių g. 39, Vilniaus m., Vilniaus m. sav.</t>
  </si>
  <si>
    <t>2025-11-24 06:27:51</t>
  </si>
  <si>
    <t>Visorių g. 96-2, Vilniaus m., Vilniaus m. sav.</t>
  </si>
  <si>
    <t>2025-11-24 06:27:56</t>
  </si>
  <si>
    <t>Bistryčios g. 33, Vilniaus m., Vilniaus m. sav.</t>
  </si>
  <si>
    <t>2025-11-24 06:40:12</t>
  </si>
  <si>
    <t>2025-11-24 06:28:05</t>
  </si>
  <si>
    <t>Visorių g. 96-1, Vilniaus m., Vilniaus m. sav.</t>
  </si>
  <si>
    <t>2025-11-24 06:28:06</t>
  </si>
  <si>
    <t>2025-11-24 06:28:12</t>
  </si>
  <si>
    <t>Čimbariškių g. 2-2A, Vilniaus m., Vilniaus m. sav.</t>
  </si>
  <si>
    <t>2025-11-24 06:47:06</t>
  </si>
  <si>
    <t>2025-11-24 06:42:05</t>
  </si>
  <si>
    <t>2025-11-24 06:28:14</t>
  </si>
  <si>
    <t>Edinburgo g. 9, Vilniaus m., Vilniaus m. sav.</t>
  </si>
  <si>
    <t>2025-11-24 06:28:18</t>
  </si>
  <si>
    <t>2025-11-24 06:28:24</t>
  </si>
  <si>
    <t>2025-11-24 06:28:28</t>
  </si>
  <si>
    <t>2025-11-24 06:28:31</t>
  </si>
  <si>
    <t>Pilies g. 22, Vilniaus m., Vilniaus m. sav.</t>
  </si>
  <si>
    <t>2025-11-24 06:28:34</t>
  </si>
  <si>
    <t>2025-11-24 06:28:38</t>
  </si>
  <si>
    <t>Teatro g. 5, Vilniaus m., Vilniaus m. sav.</t>
  </si>
  <si>
    <t>2025-11-24 06:28:39</t>
  </si>
  <si>
    <t>2025-11-24 06:28:42</t>
  </si>
  <si>
    <t>2025-11-24 06:28:52</t>
  </si>
  <si>
    <t>Mildos g. 27, Vilniaus m., Vilniaus m. sav.</t>
  </si>
  <si>
    <t>2025-11-24 06:28:54</t>
  </si>
  <si>
    <t>2025-11-24 06:28:56</t>
  </si>
  <si>
    <t>2025-11-24 06:29:06</t>
  </si>
  <si>
    <t>2025-11-24 06:29:10</t>
  </si>
  <si>
    <t>Kelmijos Sodų 42-oji g. 12, Vilniaus m., Vilniaus m. sav.</t>
  </si>
  <si>
    <t>2025-11-24 06:29:12</t>
  </si>
  <si>
    <t>Alaušo g. 17, Vilniaus m., Vilniaus m. sav.</t>
  </si>
  <si>
    <t>2025-11-24 06:29:14</t>
  </si>
  <si>
    <t>Vydūno g. 18, Vilniaus m., Vilniaus m. sav.</t>
  </si>
  <si>
    <t>Miškinių Sodų 2-oji g. 22, Vilniaus m., Vilniaus m. sav.</t>
  </si>
  <si>
    <t>2025-11-24 06:31:58</t>
  </si>
  <si>
    <t>Antakalnio g. 57, Vilniaus m., Vilniaus m. sav.</t>
  </si>
  <si>
    <t>2025-11-24 06:29:18</t>
  </si>
  <si>
    <t>Dariaus ir Girėno g. 38A, Vilniaus m., Vilniaus m. sav.</t>
  </si>
  <si>
    <t>2025-11-24 06:30:22</t>
  </si>
  <si>
    <t>2025-11-24 06:29:32</t>
  </si>
  <si>
    <t>Miškinių Sodų g. 16, Vilniaus m., Vilniaus m. sav.</t>
  </si>
  <si>
    <t>Čimbariškių g. 2-1C, Vilniaus m., Vilniaus m. sav.</t>
  </si>
  <si>
    <t>2025-11-24 06:30:24</t>
  </si>
  <si>
    <t>2025-11-24 06:29:36</t>
  </si>
  <si>
    <t>2025-11-24 06:29:38</t>
  </si>
  <si>
    <t>Žolyno g. 31A, Vilniaus m., Vilniaus m. sav.</t>
  </si>
  <si>
    <t>2025-11-24 06:40:14</t>
  </si>
  <si>
    <t>Alaušo g. 13, Vilniaus m., Vilniaus m. sav.</t>
  </si>
  <si>
    <t>2025-11-24 06:29:41</t>
  </si>
  <si>
    <t>2025-11-24 06:29:43</t>
  </si>
  <si>
    <t>2025-11-24 06:30:27</t>
  </si>
  <si>
    <t>Architektų g. 3, Vilniaus m., Vilniaus m. sav.</t>
  </si>
  <si>
    <t>K. Kalinausko g. 8, Vilniaus m., Vilniaus m. sav.</t>
  </si>
  <si>
    <t>Pilies g. 24, Vilniaus m., Vilniaus m. sav.</t>
  </si>
  <si>
    <t>2025-11-24 06:29:50</t>
  </si>
  <si>
    <t>Kelmijos Sodų 42-oji g. 8, Vilniaus m., Vilniaus m. sav.</t>
  </si>
  <si>
    <t>Santariškių g. 2, Vilniaus m., Vilniaus m. sav.</t>
  </si>
  <si>
    <t>2025-11-24 06:29:54</t>
  </si>
  <si>
    <t>Žolyno g. 31, Vilniaus m., Vilniaus m. sav.</t>
  </si>
  <si>
    <t>Laisvės pr. 52, Vilniaus m., Vilniaus m. sav.</t>
  </si>
  <si>
    <t>Ateities g. 91, Vilniaus m., Vilniaus m. sav.</t>
  </si>
  <si>
    <t>2025-11-24 06:30:04</t>
  </si>
  <si>
    <t>Mildos g. 38, Vilniaus m., Vilniaus m. sav.</t>
  </si>
  <si>
    <t>2025-11-24 06:44:55</t>
  </si>
  <si>
    <t>2025-11-24 06:30:10</t>
  </si>
  <si>
    <t>Bendorių g. 30A-2, Vilniaus m., Vilniaus m. sav.</t>
  </si>
  <si>
    <t>Bendorių g. 30C-2, Vilniaus m., Vilniaus m. sav.</t>
  </si>
  <si>
    <t>2025-11-24 06:30:11</t>
  </si>
  <si>
    <t>Rodūnios kel. 11, Vilniaus m., Vilniaus m. sav.</t>
  </si>
  <si>
    <t>2025-11-24 06:30:14</t>
  </si>
  <si>
    <t>2025-11-24 06:30:15</t>
  </si>
  <si>
    <t>2025-11-24 06:43:54</t>
  </si>
  <si>
    <t>2025-11-24 06:30:21</t>
  </si>
  <si>
    <t>Laisvės pr. 85A, Vilniaus m., Vilniaus m. sav.</t>
  </si>
  <si>
    <t>Sietyno g. 3, Vilniaus m., Vilniaus m. sav.</t>
  </si>
  <si>
    <t>Pilies g. 17, Vilniaus m., Vilniaus m. sav.</t>
  </si>
  <si>
    <t>2025-11-24 06:30:33</t>
  </si>
  <si>
    <t>Mėnulio g. 2, Vilniaus m., Vilniaus m. sav.</t>
  </si>
  <si>
    <t>2025-11-24 06:30:36</t>
  </si>
  <si>
    <t>Bendorių g. 30B-1, Vilniaus m., Vilniaus m. sav.</t>
  </si>
  <si>
    <t>Alaušo g. 15, Vilniaus m., Vilniaus m. sav.</t>
  </si>
  <si>
    <t>2025-11-24 06:30:40</t>
  </si>
  <si>
    <t>Bendorių g. 30B-2, Vilniaus m., Vilniaus m. sav.</t>
  </si>
  <si>
    <t>Mildos g. 39, Vilniaus m., Vilniaus m. sav.</t>
  </si>
  <si>
    <t>Gabijos g. 30, Vilniaus m., Vilniaus m. sav.</t>
  </si>
  <si>
    <t>2025-11-24 06:30:47</t>
  </si>
  <si>
    <t>2025-11-24 06:30:48</t>
  </si>
  <si>
    <t>Miškinių Sodų g. 7, Vilniaus m., Vilniaus m. sav.</t>
  </si>
  <si>
    <t>2025-11-24 06:30:49</t>
  </si>
  <si>
    <t>2025-11-24 06:30:50</t>
  </si>
  <si>
    <t>Kelmijos Sodų 41-oji g. 18, Vilniaus m., Vilniaus m. sav.</t>
  </si>
  <si>
    <t>2025-11-24 06:30:52</t>
  </si>
  <si>
    <t>Mildos g. 40, Vilniaus m., Vilniaus m. sav.</t>
  </si>
  <si>
    <t>2025-11-24 06:30:56</t>
  </si>
  <si>
    <t>2025-11-24 06:30:57</t>
  </si>
  <si>
    <t>Kalvarijų g. 85, Vilniaus m., Vilniaus m. sav.</t>
  </si>
  <si>
    <t>2025-11-24 06:31:00</t>
  </si>
  <si>
    <t>Mildos g. 43, Vilniaus m., Vilniaus m. sav.</t>
  </si>
  <si>
    <t>2025-11-24 06:31:02</t>
  </si>
  <si>
    <t>2025-11-24 06:31:06</t>
  </si>
  <si>
    <t>2025-11-24 07:12:41</t>
  </si>
  <si>
    <t>K. Kalinausko g. 4, Vilniaus m., Vilniaus m. sav.</t>
  </si>
  <si>
    <t>2025-11-24 06:31:10</t>
  </si>
  <si>
    <t>Rygos g. 11, Vilniaus m., Vilniaus m. sav.</t>
  </si>
  <si>
    <t>2025-11-24 06:31:12</t>
  </si>
  <si>
    <t>2025-11-24 06:31:14</t>
  </si>
  <si>
    <t>Verkių g. 25C, Vilniaus m., Vilniaus m. sav.</t>
  </si>
  <si>
    <t>2025-11-24 06:31:16</t>
  </si>
  <si>
    <t>Linksmoji g. 53, Vilniaus m., Vilniaus m. sav.</t>
  </si>
  <si>
    <t>2025-11-24 06:31:18</t>
  </si>
  <si>
    <t>2025-11-24 06:31:20</t>
  </si>
  <si>
    <t>2025-11-24 06:31:22</t>
  </si>
  <si>
    <t>Bendorių g. 30A-1, Vilniaus m., Vilniaus m. sav.</t>
  </si>
  <si>
    <t>Dariaus ir Girėno g. 34F, Vilniaus m., Vilniaus m. sav.</t>
  </si>
  <si>
    <t>2025-11-24 06:31:24</t>
  </si>
  <si>
    <t>Estų g. 4, Vilniaus m., Vilniaus m. sav.</t>
  </si>
  <si>
    <t>2025-11-24 06:31:28</t>
  </si>
  <si>
    <t>2025-11-24 06:31:30</t>
  </si>
  <si>
    <t>2025-11-24 06:31:32</t>
  </si>
  <si>
    <t>Kelmijos Sodų 41-oji g. 54, Vilniaus m., Vilniaus m. sav.</t>
  </si>
  <si>
    <t>2025-11-24 06:31:34</t>
  </si>
  <si>
    <t>2025-11-24 07:13:33</t>
  </si>
  <si>
    <t>2025-11-24 06:31:40</t>
  </si>
  <si>
    <t>2025-11-24 06:31:41</t>
  </si>
  <si>
    <t>Kareivių g. 2B, Vilniaus m., Vilniaus m. sav.</t>
  </si>
  <si>
    <t>2025-11-24 06:31:48</t>
  </si>
  <si>
    <t>Bendorių g. 30-2, Vilniaus m., Vilniaus m. sav.</t>
  </si>
  <si>
    <t>2025-11-24 06:31:52</t>
  </si>
  <si>
    <t>2025-11-24 06:31:54</t>
  </si>
  <si>
    <t>2025-11-24 06:32:00</t>
  </si>
  <si>
    <t>Visorių g. 62, Vilniaus m., Vilniaus m. sav.</t>
  </si>
  <si>
    <t>2025-11-24 14:05:59</t>
  </si>
  <si>
    <t>Visorių g. 64, Vilniaus m., Vilniaus m. sav.</t>
  </si>
  <si>
    <t>Visorių g. 66, Vilniaus m., Vilniaus m. sav.</t>
  </si>
  <si>
    <t>Visorių g. 60, Vilniaus m., Vilniaus m. sav.</t>
  </si>
  <si>
    <t>Visorių g. 68, Vilniaus m., Vilniaus m. sav.</t>
  </si>
  <si>
    <t>Visorių g. 76A, Vilniaus m., Vilniaus m. sav.</t>
  </si>
  <si>
    <t>2025-11-24 06:32:04</t>
  </si>
  <si>
    <t>2025-11-24 06:32:23</t>
  </si>
  <si>
    <t>Mielagėnų g. 6, Vilniaus m., Vilniaus m. sav.</t>
  </si>
  <si>
    <t>2025-11-24 06:32:24</t>
  </si>
  <si>
    <t>Bendorių g. 30-1, Vilniaus m., Vilniaus m. sav.</t>
  </si>
  <si>
    <t>Bendorių g. 28-2, Vilniaus m., Vilniaus m. sav.</t>
  </si>
  <si>
    <t>2025-11-24 06:47:17</t>
  </si>
  <si>
    <t>Architektų g. 15, Vilniaus m., Vilniaus m. sav.</t>
  </si>
  <si>
    <t>Estų g. 16-1, Vilniaus m., Vilniaus m. sav.</t>
  </si>
  <si>
    <t>2025-11-24 06:32:28</t>
  </si>
  <si>
    <t>2025-11-24 06:32:30</t>
  </si>
  <si>
    <t>2025-11-24 06:32:34</t>
  </si>
  <si>
    <t>2025-11-24 06:32:38</t>
  </si>
  <si>
    <t>Visorių g. 56A, Vilniaus m., Vilniaus m. sav.</t>
  </si>
  <si>
    <t>2025-11-24 06:32:44</t>
  </si>
  <si>
    <t>2025-11-24 06:32:48</t>
  </si>
  <si>
    <t>Sietyno g. 5, Vilniaus m., Vilniaus m. sav.</t>
  </si>
  <si>
    <t>Visorių g. 58, Vilniaus m., Vilniaus m. sav.</t>
  </si>
  <si>
    <t>2025-11-24 06:32:49</t>
  </si>
  <si>
    <t>Ukmergės g. 256, Vilniaus m., Vilniaus m. sav.</t>
  </si>
  <si>
    <t>2025-11-24 06:32:52</t>
  </si>
  <si>
    <t>Karaliaučiaus g. 16C, Vilniaus m., Vilniaus m. sav.</t>
  </si>
  <si>
    <t>Kelmijos Sodų 41-oji g. 58, Vilniaus m., Vilniaus m. sav.</t>
  </si>
  <si>
    <t>2025-11-24 06:32:54</t>
  </si>
  <si>
    <t>Verkių g. 100, Vilniaus m., Vilniaus m. sav.</t>
  </si>
  <si>
    <t>2025-11-24 06:32:59</t>
  </si>
  <si>
    <t>2025-11-24 06:33:04</t>
  </si>
  <si>
    <t>2025-11-24 06:33:09</t>
  </si>
  <si>
    <t>2025-11-24 06:33:10</t>
  </si>
  <si>
    <t>2025-11-24 06:33:11</t>
  </si>
  <si>
    <t>Kauno g. 37, Vilniaus m., Vilniaus m. sav.</t>
  </si>
  <si>
    <t>2025-11-24 06:33:12</t>
  </si>
  <si>
    <t>2025-11-24 07:12:42</t>
  </si>
  <si>
    <t>Pilies g. 20, Vilniaus m., Vilniaus m. sav.</t>
  </si>
  <si>
    <t>2025-11-24 06:33:18</t>
  </si>
  <si>
    <t>Bistryčios g. 13, Vilniaus m., Vilniaus m. sav.</t>
  </si>
  <si>
    <t>2025-11-24 06:33:22</t>
  </si>
  <si>
    <t>2025-11-24 06:33:26</t>
  </si>
  <si>
    <t>2025-11-24 06:33:28</t>
  </si>
  <si>
    <t>2025-11-24 06:33:31</t>
  </si>
  <si>
    <t>2025-11-24 06:33:34</t>
  </si>
  <si>
    <t>2025-11-24 06:33:35</t>
  </si>
  <si>
    <t>2025-11-24 06:33:36</t>
  </si>
  <si>
    <t>Bendorių g. 28-1, Vilniaus m., Vilniaus m. sav.</t>
  </si>
  <si>
    <t>2025-11-24 06:33:38</t>
  </si>
  <si>
    <t>Visorių g. 76B, Vilniaus m., Vilniaus m. sav.</t>
  </si>
  <si>
    <t>Estų g. 20-2, Vilniaus m., Vilniaus m. sav.</t>
  </si>
  <si>
    <t>2025-11-24 06:33:46</t>
  </si>
  <si>
    <t>Eišiškių pl. 47, Vilniaus m., Vilniaus m. sav.</t>
  </si>
  <si>
    <t>2025-11-24 06:33:50</t>
  </si>
  <si>
    <t>Filaretų g. 103, Vilniaus m., Vilniaus m. sav.</t>
  </si>
  <si>
    <t>2025-11-24 06:33:58</t>
  </si>
  <si>
    <t>Kelmijos Sodų 42-oji g. 2, Vilniaus m., Vilniaus m. sav.</t>
  </si>
  <si>
    <t>2025-11-24 06:34:10</t>
  </si>
  <si>
    <t>2025-11-24 06:34:16</t>
  </si>
  <si>
    <t>2025-11-24 06:34:38</t>
  </si>
  <si>
    <t>2025-11-24 06:34:39</t>
  </si>
  <si>
    <t>Skroblų g. 12, Vilniaus m., Vilniaus m. sav.</t>
  </si>
  <si>
    <t>2025-11-24 06:34:40</t>
  </si>
  <si>
    <t>Kirtimų g. 55, Vilniaus m., Vilniaus m. sav.</t>
  </si>
  <si>
    <t>2025-11-24 06:34:41</t>
  </si>
  <si>
    <t>Mamoničių g. 3, Vilniaus m., Vilniaus m. sav.</t>
  </si>
  <si>
    <t>2025-11-24 06:34:50</t>
  </si>
  <si>
    <t>2025-11-24 06:34:52</t>
  </si>
  <si>
    <t>2025-11-24 06:34:53</t>
  </si>
  <si>
    <t>Šv. Mykolo g. 4, Vilniaus m., Vilniaus m. sav.</t>
  </si>
  <si>
    <t>2025-11-24 06:35:00</t>
  </si>
  <si>
    <t>Sietyno g. 14, Vilniaus m., Vilniaus m. sav.</t>
  </si>
  <si>
    <t>2025-11-24 06:39:16</t>
  </si>
  <si>
    <t>2025-11-24 06:35:03</t>
  </si>
  <si>
    <t>2025-11-24 06:35:04</t>
  </si>
  <si>
    <t>Ulonų g. 2, Vilniaus m., Vilniaus m. sav.</t>
  </si>
  <si>
    <t>2025-11-24 06:35:05</t>
  </si>
  <si>
    <t>Architektų g. 22, Vilniaus m., Vilniaus m. sav.</t>
  </si>
  <si>
    <t>2025-11-24 06:35:14</t>
  </si>
  <si>
    <t>2025-11-24 06:35:17</t>
  </si>
  <si>
    <t>A. P. Kavoliuko g. 6, Vilniaus m., Vilniaus m. sav.</t>
  </si>
  <si>
    <t>2025-11-24 06:35:20</t>
  </si>
  <si>
    <t>2025-11-24 06:52:20</t>
  </si>
  <si>
    <t>Visorių g. 78, Vilniaus m., Vilniaus m. sav.</t>
  </si>
  <si>
    <t>2025-11-24 06:35:21</t>
  </si>
  <si>
    <t>2025-11-24 06:35:22</t>
  </si>
  <si>
    <t>Filaretų g. 103-2, Vilniaus m., Vilniaus m. sav.</t>
  </si>
  <si>
    <t>2025-11-24 06:35:24</t>
  </si>
  <si>
    <t>Kelmijos Sodų 41-oji g. 42, Vilniaus m., Vilniaus m. sav.</t>
  </si>
  <si>
    <t>2025-11-24 06:35:25</t>
  </si>
  <si>
    <t>2025-11-24 06:35:27</t>
  </si>
  <si>
    <t>2025-11-24 06:35:30</t>
  </si>
  <si>
    <t>2025-11-24 06:35:36</t>
  </si>
  <si>
    <t>2025-11-24 06:35:37</t>
  </si>
  <si>
    <t>2025-11-24 06:35:39</t>
  </si>
  <si>
    <t>2025-11-24 06:35:40</t>
  </si>
  <si>
    <t>2025-11-24 06:35:42</t>
  </si>
  <si>
    <t>2025-11-24 06:40:22</t>
  </si>
  <si>
    <t>2025-11-24 06:35:46</t>
  </si>
  <si>
    <t>Visorių g. 78-1, Vilniaus m., Vilniaus m. sav.</t>
  </si>
  <si>
    <t>2025-11-24 06:35:47</t>
  </si>
  <si>
    <t>2025-11-24 06:35:48</t>
  </si>
  <si>
    <t>2025-11-24 06:35:50</t>
  </si>
  <si>
    <t>Kaminkelio g. 17, Vilniaus m., Vilniaus m. sav.</t>
  </si>
  <si>
    <t>2025-11-24 06:35:53</t>
  </si>
  <si>
    <t>2025-11-24 06:35:59</t>
  </si>
  <si>
    <t>Kauno g. 43, Vilniaus m., Vilniaus m. sav.</t>
  </si>
  <si>
    <t>2025-11-24 06:36:00</t>
  </si>
  <si>
    <t>Kelmijos Sodų 41-oji g. 44, Vilniaus m., Vilniaus m. sav.</t>
  </si>
  <si>
    <t>2025-11-24 06:36:05</t>
  </si>
  <si>
    <t>2025-11-24 06:36:08</t>
  </si>
  <si>
    <t>2025-11-24 06:36:16</t>
  </si>
  <si>
    <t>Žirmūnų g. 51, Vilniaus m., Vilniaus m. sav.</t>
  </si>
  <si>
    <t>2025-11-24 06:36:17</t>
  </si>
  <si>
    <t>Kauno g. 45, Vilniaus m., Vilniaus m. sav.</t>
  </si>
  <si>
    <t>Riterių g. 12, Vilniaus m., Vilniaus m. sav.</t>
  </si>
  <si>
    <t>2025-11-24 06:36:18</t>
  </si>
  <si>
    <t>Filaretų g. 101, Vilniaus m., Vilniaus m. sav.</t>
  </si>
  <si>
    <t>2025-11-24 06:36:20</t>
  </si>
  <si>
    <t>2025-11-24 06:36:22</t>
  </si>
  <si>
    <t>2025-11-24 09:21:56</t>
  </si>
  <si>
    <t>Rygos g. 10A, Vilniaus m., Vilniaus m. sav.</t>
  </si>
  <si>
    <t>2025-11-24 06:36:23</t>
  </si>
  <si>
    <t>2025-11-24 06:36:25</t>
  </si>
  <si>
    <t>Pilies g. 18, Vilniaus m., Vilniaus m. sav.</t>
  </si>
  <si>
    <t>2025-11-24 06:36:26</t>
  </si>
  <si>
    <t>Sietyno g. 9, Vilniaus m., Vilniaus m. sav.</t>
  </si>
  <si>
    <t>P. Žadeikos g. 1A, Vilniaus m., Vilniaus m. sav.</t>
  </si>
  <si>
    <t>2025-11-24 06:36:28</t>
  </si>
  <si>
    <t>2025-11-24 06:40:23</t>
  </si>
  <si>
    <t>2025-11-24 06:36:30</t>
  </si>
  <si>
    <t>Visorių g. 80, Vilniaus m., Vilniaus m. sav.</t>
  </si>
  <si>
    <t>2025-11-24 06:36:35</t>
  </si>
  <si>
    <t>Ukmergės g. 282, Vilniaus m., Vilniaus m. sav.</t>
  </si>
  <si>
    <t>2025-11-24 06:36:36</t>
  </si>
  <si>
    <t>Kirtimų g. 61B, Vilniaus m., Vilniaus m. sav.</t>
  </si>
  <si>
    <t>2025-11-24 06:36:44</t>
  </si>
  <si>
    <t>2025-11-24 06:36:46</t>
  </si>
  <si>
    <t>2025-11-24 06:36:48</t>
  </si>
  <si>
    <t>2025-11-24 06:40:25</t>
  </si>
  <si>
    <t>2025-11-24 06:36:51</t>
  </si>
  <si>
    <t>2025-11-24 06:36:52</t>
  </si>
  <si>
    <t>2025-11-24 06:36:53</t>
  </si>
  <si>
    <t>2025-11-24 06:36:54</t>
  </si>
  <si>
    <t>Žirgupės g. 9A, Vilniaus m., Vilniaus m. sav.</t>
  </si>
  <si>
    <t>2025-11-24 06:36:55</t>
  </si>
  <si>
    <t>2025-11-24 06:36:56</t>
  </si>
  <si>
    <t>2025-11-24 06:36:57</t>
  </si>
  <si>
    <t>Burbiškių g. 31, Vilniaus m., Vilniaus m. sav.</t>
  </si>
  <si>
    <t>2025-11-24 06:37:06</t>
  </si>
  <si>
    <t>Loretos Asanavičiūtės g. 6, Vilniaus m., Vilniaus m. sav.</t>
  </si>
  <si>
    <t>Visorių g. 82, Vilniaus m., Vilniaus m. sav.</t>
  </si>
  <si>
    <t>2025-11-24 06:37:14</t>
  </si>
  <si>
    <t>2025-11-24 06:37:15</t>
  </si>
  <si>
    <t>2025-11-24 06:37:28</t>
  </si>
  <si>
    <t>Pajautos g. 7, Vilniaus m., Vilniaus m. sav.</t>
  </si>
  <si>
    <t>2025-11-24 06:37:29</t>
  </si>
  <si>
    <t>2025-11-24 06:37:31</t>
  </si>
  <si>
    <t>2025-11-24 06:39:35</t>
  </si>
  <si>
    <t>2025-11-24 06:37:32</t>
  </si>
  <si>
    <t>2025-11-24 06:37:36</t>
  </si>
  <si>
    <t>Žirgupės g. 7B, Vilniaus m., Vilniaus m. sav.</t>
  </si>
  <si>
    <t>Bendorių g. 22, Vilniaus m., Vilniaus m. sav.</t>
  </si>
  <si>
    <t>2025-11-24 06:47:44</t>
  </si>
  <si>
    <t>2025-11-24 06:37:39</t>
  </si>
  <si>
    <t>Miškinių Sodų 2-oji g. 16, Vilniaus m., Vilniaus m. sav.</t>
  </si>
  <si>
    <t>2025-11-24 06:37:42</t>
  </si>
  <si>
    <t>Visorių g. 74, Vilniaus m., Vilniaus m. sav.</t>
  </si>
  <si>
    <t>2025-11-24 06:37:43</t>
  </si>
  <si>
    <t>Linksmoji g. 77, Vilniaus m., Vilniaus m. sav.</t>
  </si>
  <si>
    <t>Mokslininkų g. 15, Vilniaus m., Vilniaus m. sav.</t>
  </si>
  <si>
    <t>2025-11-24 06:37:45</t>
  </si>
  <si>
    <t>2025-11-24 06:37:51</t>
  </si>
  <si>
    <t>2025-11-24 06:37:55</t>
  </si>
  <si>
    <t>Architektų g. 19, Vilniaus m., Vilniaus m. sav.</t>
  </si>
  <si>
    <t>2025-11-24 06:38:08</t>
  </si>
  <si>
    <t>2025-11-24 06:38:11</t>
  </si>
  <si>
    <t>Ulonų g. 1, Vilniaus m., Vilniaus m. sav.</t>
  </si>
  <si>
    <t>2025-11-24 06:38:13</t>
  </si>
  <si>
    <t>Mokslininkų g. 15A, Vilniaus m., Vilniaus m. sav.</t>
  </si>
  <si>
    <t>2025-11-24 06:38:16</t>
  </si>
  <si>
    <t>Mildos g. 44, Vilniaus m., Vilniaus m. sav.</t>
  </si>
  <si>
    <t>2025-11-24 06:38:19</t>
  </si>
  <si>
    <t>2025-11-24 06:38:20</t>
  </si>
  <si>
    <t>2025-11-24 06:38:21</t>
  </si>
  <si>
    <t>2025-11-24 06:38:24</t>
  </si>
  <si>
    <t>2025-11-24 06:38:27</t>
  </si>
  <si>
    <t>Kauno g. 32, Vilniaus m., Vilniaus m. sav.</t>
  </si>
  <si>
    <t>2025-11-24 06:38:28</t>
  </si>
  <si>
    <t>2025-11-24 06:38:32</t>
  </si>
  <si>
    <t>P. Žadeikos g. 1B, Vilniaus m., Vilniaus m. sav.</t>
  </si>
  <si>
    <t>2025-11-24 06:38:34</t>
  </si>
  <si>
    <t>Visorių g. 76, Vilniaus m., Vilniaus m. sav.</t>
  </si>
  <si>
    <t>2025-11-24 06:38:40</t>
  </si>
  <si>
    <t>2025-11-24 06:38:43</t>
  </si>
  <si>
    <t>2025-11-24 06:38:44</t>
  </si>
  <si>
    <t>Savičiūnų g. 15, Vilniaus m., Vilniaus m. sav.</t>
  </si>
  <si>
    <t>Vilniaus g. 35, Vilniaus m., Vilniaus m. sav.</t>
  </si>
  <si>
    <t>2025-11-24 06:39:04</t>
  </si>
  <si>
    <t>Pilies g. 13, Vilniaus m., Vilniaus m. sav.</t>
  </si>
  <si>
    <t>Mokslininkų g. 25, Vilniaus m., Vilniaus m. sav.</t>
  </si>
  <si>
    <t>P. Baublio g. 31, Vilniaus m., Vilniaus m. sav.</t>
  </si>
  <si>
    <t>Bistryčios g. 9A, Vilniaus m., Vilniaus m. sav.</t>
  </si>
  <si>
    <t>Bendorių g. 24, Vilniaus m., Vilniaus m. sav.</t>
  </si>
  <si>
    <t>2025-11-24 06:39:33</t>
  </si>
  <si>
    <t>2025-11-24 06:53:01</t>
  </si>
  <si>
    <t>2025-11-24 06:39:37</t>
  </si>
  <si>
    <t>2025-11-24 06:39:53</t>
  </si>
  <si>
    <t>Mokslininkų g. 27, Vilniaus m., Vilniaus m. sav.</t>
  </si>
  <si>
    <t>2025-11-24 06:39:57</t>
  </si>
  <si>
    <t>Bendorių g. 18B, Vilniaus m., Vilniaus m. sav.</t>
  </si>
  <si>
    <t>2025-11-24 06:53:27</t>
  </si>
  <si>
    <t>2025-11-24 06:40:06</t>
  </si>
  <si>
    <t>Justiniškių g. 126, Vilniaus m., Vilniaus m. sav.</t>
  </si>
  <si>
    <t>Kirtimų g. 61A, Vilniaus m., Vilniaus m. sav.</t>
  </si>
  <si>
    <t>2025-11-24 06:40:13</t>
  </si>
  <si>
    <t>2025-11-24 07:23:52</t>
  </si>
  <si>
    <t>2025-11-24 06:40:10</t>
  </si>
  <si>
    <t>Vido Maciulevičiaus g. 53, Vilniaus m., Vilniaus m. sav.</t>
  </si>
  <si>
    <t>Rygos g. 6, Vilniaus m., Vilniaus m. sav.</t>
  </si>
  <si>
    <t>2025-11-24 06:40:17</t>
  </si>
  <si>
    <t>2025-11-24 06:40:21</t>
  </si>
  <si>
    <t>Žirmūnų g. 61, Vilniaus m., Vilniaus m. sav.</t>
  </si>
  <si>
    <t>Pajautos g. 3, Vilniaus m., Vilniaus m. sav.</t>
  </si>
  <si>
    <t>2025-11-24 07:23:58</t>
  </si>
  <si>
    <t>Linksmoji g. 129, Vilniaus m., Vilniaus m. sav.</t>
  </si>
  <si>
    <t>2025-11-24 06:40:28</t>
  </si>
  <si>
    <t>Visorių g. 56, Vilniaus m., Vilniaus m. sav.</t>
  </si>
  <si>
    <t>2025-11-24 06:40:29</t>
  </si>
  <si>
    <t>2025-11-24 06:55:25</t>
  </si>
  <si>
    <t>2025-11-24 06:40:30</t>
  </si>
  <si>
    <t>2025-11-24 06:40:38</t>
  </si>
  <si>
    <t>2025-11-24 06:40:43</t>
  </si>
  <si>
    <t>Mokslininkų g. 29, Vilniaus m., Vilniaus m. sav.</t>
  </si>
  <si>
    <t>2025-11-24 06:40:47</t>
  </si>
  <si>
    <t>Bendorių g. 26-1, Vilniaus m., Vilniaus m. sav.</t>
  </si>
  <si>
    <t>2025-11-24 06:40:49</t>
  </si>
  <si>
    <t>Pylimo g. 65, Vilniaus m., Vilniaus m. sav.</t>
  </si>
  <si>
    <t>2025-11-24 06:40:52</t>
  </si>
  <si>
    <t>Bendorių g. 26-2, Vilniaus m., Vilniaus m. sav.</t>
  </si>
  <si>
    <t>2025-11-24 06:40:58</t>
  </si>
  <si>
    <t>Žozefo Pusjė g. 52, Vilniaus m., Vilniaus m. sav.</t>
  </si>
  <si>
    <t>2025-11-24 06:53:17</t>
  </si>
  <si>
    <t>2025-11-24 06:41:00</t>
  </si>
  <si>
    <t>Architektų g. 58, Vilniaus m., Vilniaus m. sav.</t>
  </si>
  <si>
    <t>2025-11-24 06:41:18</t>
  </si>
  <si>
    <t>Žozefo Pusjė g. 50, Vilniaus m., Vilniaus m. sav.</t>
  </si>
  <si>
    <t>Visorių g. 54B, Vilniaus m., Vilniaus m. sav.</t>
  </si>
  <si>
    <t>2025-11-24 06:41:25</t>
  </si>
  <si>
    <t>Verkių g. 50, Vilniaus m., Vilniaus m. sav.</t>
  </si>
  <si>
    <t>2025-11-24 06:41:26</t>
  </si>
  <si>
    <t>Kaminkelio g. 10, Vilniaus m., Vilniaus m. sav.</t>
  </si>
  <si>
    <t>2025-11-24 06:41:31</t>
  </si>
  <si>
    <t>Vilniaus g. 33, Vilniaus m., Vilniaus m. sav.</t>
  </si>
  <si>
    <t>2025-11-24 06:41:36</t>
  </si>
  <si>
    <t>2025-11-24 06:41:43</t>
  </si>
  <si>
    <t>2025-11-24 06:55:32</t>
  </si>
  <si>
    <t>2025-11-24 06:41:46</t>
  </si>
  <si>
    <t>2025-11-24 06:41:47</t>
  </si>
  <si>
    <t>Kirtimų g. 61C, Vilniaus m., Vilniaus m. sav.</t>
  </si>
  <si>
    <t>2025-11-24 06:41:54</t>
  </si>
  <si>
    <t>2025-11-24 06:41:57</t>
  </si>
  <si>
    <t>Žirgupės g. 3D, Vilniaus m., Vilniaus m. sav.</t>
  </si>
  <si>
    <t>2025-11-24 06:41:59</t>
  </si>
  <si>
    <t>2025-11-24 06:55:30</t>
  </si>
  <si>
    <t>2025-11-24 06:42:03</t>
  </si>
  <si>
    <t>Mokslininkų g. 31, Vilniaus m., Vilniaus m. sav.</t>
  </si>
  <si>
    <t>S. Žukausko g. 18, Vilniaus m., Vilniaus m. sav.</t>
  </si>
  <si>
    <t>2025-11-24 06:55:34</t>
  </si>
  <si>
    <t>2025-11-24 06:42:09</t>
  </si>
  <si>
    <t>2025-11-24 06:42:13</t>
  </si>
  <si>
    <t>2025-11-24 06:42:24</t>
  </si>
  <si>
    <t>2025-11-24 06:42:25</t>
  </si>
  <si>
    <t>2025-11-24 06:42:27</t>
  </si>
  <si>
    <t>Miškinių Sodų 1-oji g. 48, Vilniaus m., Vilniaus m. sav.</t>
  </si>
  <si>
    <t>2025-11-24 06:42:34</t>
  </si>
  <si>
    <t>Vido Maciulevičiaus g. 51, Vilniaus m., Vilniaus m. sav.</t>
  </si>
  <si>
    <t>2025-11-24 06:42:45</t>
  </si>
  <si>
    <t>Bendorių g. 18, Vilniaus m., Vilniaus m. sav.</t>
  </si>
  <si>
    <t>2025-11-24 06:42:47</t>
  </si>
  <si>
    <t>Miškinių Sodų 1-oji g. 14, Vilniaus m., Vilniaus m. sav.</t>
  </si>
  <si>
    <t>2025-11-24 06:42:49</t>
  </si>
  <si>
    <t>2025-11-24 06:47:43</t>
  </si>
  <si>
    <t>Bendorių g. 30C-1, Vilniaus m., Vilniaus m. sav.</t>
  </si>
  <si>
    <t>2025-11-24 06:42:51</t>
  </si>
  <si>
    <t>2025-11-24 06:42:52</t>
  </si>
  <si>
    <t>Kirtimų g. 61, Vilniaus m., Vilniaus m. sav.</t>
  </si>
  <si>
    <t>Miškinių Sodų 1-oji g. 4, Vilniaus m., Vilniaus m. sav.</t>
  </si>
  <si>
    <t>Visorių g. 52-2, Vilniaus m., Vilniaus m. sav.</t>
  </si>
  <si>
    <t>Skroblų g. 14, Vilniaus m., Vilniaus m. sav.</t>
  </si>
  <si>
    <t>2025-11-24 06:53:12</t>
  </si>
  <si>
    <t>2025-11-24 07:02:25</t>
  </si>
  <si>
    <t>Kelmijos Sodų 41-oji g. 33, Vilniaus m., Vilniaus m. sav.</t>
  </si>
  <si>
    <t>2025-11-24 06:43:20</t>
  </si>
  <si>
    <t>2025-11-24 06:52:33</t>
  </si>
  <si>
    <t>2025-11-24 06:43:21</t>
  </si>
  <si>
    <t>Bendorių g. 55, Vilniaus m., Vilniaus m. sav.</t>
  </si>
  <si>
    <t>2025-11-24 06:43:22</t>
  </si>
  <si>
    <t>Tolminkiemio g. 17, Vilniaus m., Vilniaus m. sav.</t>
  </si>
  <si>
    <t>Pilies g. 14, Vilniaus m., Vilniaus m. sav.</t>
  </si>
  <si>
    <t>V. Grybo g. 32A, Vilniaus m., Vilniaus m. sav.</t>
  </si>
  <si>
    <t>Kelmijos Sodų 41-oji g. 34, Vilniaus m., Vilniaus m. sav.</t>
  </si>
  <si>
    <t>2025-11-24 06:43:24</t>
  </si>
  <si>
    <t>Visorių g. 54, Vilniaus m., Vilniaus m. sav.</t>
  </si>
  <si>
    <t>2025-11-24 06:43:25</t>
  </si>
  <si>
    <t>2025-11-24 06:43:27</t>
  </si>
  <si>
    <t>Bendorių g. 59, Vilniaus m., Vilniaus m. sav.</t>
  </si>
  <si>
    <t>2025-11-24 06:55:42</t>
  </si>
  <si>
    <t>Bendorių g. 57, Vilniaus m., Vilniaus m. sav.</t>
  </si>
  <si>
    <t>2025-11-24 06:43:28</t>
  </si>
  <si>
    <t>2025-11-24 06:44:53</t>
  </si>
  <si>
    <t>2025-11-24 06:43:30</t>
  </si>
  <si>
    <t>Žozefo Pusjė g. 28, Vilniaus m., Vilniaus m. sav.</t>
  </si>
  <si>
    <t>Juodasis kel. 75, Vilniaus m., Vilniaus m. sav.</t>
  </si>
  <si>
    <t>2025-11-24 06:43:31</t>
  </si>
  <si>
    <t>2025-11-24 06:43:33</t>
  </si>
  <si>
    <t>Mokslininkų g. 53, Vilniaus m., Vilniaus m. sav.</t>
  </si>
  <si>
    <t>2025-11-24 06:43:42</t>
  </si>
  <si>
    <t>2025-11-24 06:54:30</t>
  </si>
  <si>
    <t>2025-11-24 06:43:45</t>
  </si>
  <si>
    <t>Linksmoji g. 89, Vilniaus m., Vilniaus m. sav.</t>
  </si>
  <si>
    <t>2025-11-24 06:43:47</t>
  </si>
  <si>
    <t>2025-11-24 06:43:48</t>
  </si>
  <si>
    <t>2025-11-24 06:43:51</t>
  </si>
  <si>
    <t>2025-11-24 06:43:53</t>
  </si>
  <si>
    <t>Burbiškių g. 6B, Vilniaus m., Vilniaus m. sav.</t>
  </si>
  <si>
    <t>Visorių g. 50, Vilniaus m., Vilniaus m. sav.</t>
  </si>
  <si>
    <t>Architektų g. 42, Vilniaus m., Vilniaus m. sav.</t>
  </si>
  <si>
    <t>2025-11-24 06:53:18</t>
  </si>
  <si>
    <t>2025-11-24 06:59:51</t>
  </si>
  <si>
    <t>2025-11-24 06:56:20</t>
  </si>
  <si>
    <t>Pilies g. 16, Vilniaus m., Vilniaus m. sav.</t>
  </si>
  <si>
    <t>Bendorių g. 63, Vilniaus m., Vilniaus m. sav.</t>
  </si>
  <si>
    <t>2025-11-24 07:26:24</t>
  </si>
  <si>
    <t>Visorių g. 52-1, Vilniaus m., Vilniaus m. sav.</t>
  </si>
  <si>
    <t>2025-11-24 06:44:54</t>
  </si>
  <si>
    <t>2025-11-24 06:44:16</t>
  </si>
  <si>
    <t>Gelvonų g. 35, Vilniaus m., Vilniaus m. sav.</t>
  </si>
  <si>
    <t>2025-11-24 06:44:17</t>
  </si>
  <si>
    <t>Bendorių g. 55A, Vilniaus m., Vilniaus m. sav.</t>
  </si>
  <si>
    <t>2025-11-24 06:55:57</t>
  </si>
  <si>
    <t>Kelmijos Sodų 41-oji g. 31, Vilniaus m., Vilniaus m. sav.</t>
  </si>
  <si>
    <t>2025-11-24 06:44:20</t>
  </si>
  <si>
    <t>2025-11-24 06:44:32</t>
  </si>
  <si>
    <t>Kapsų g. 1, Vilnius, Vilniaus r. sav.</t>
  </si>
  <si>
    <t>Kaminkelio g. 30, Vilniaus m., Vilniaus m. sav.</t>
  </si>
  <si>
    <t>2025-11-24 06:44:33</t>
  </si>
  <si>
    <t>2025-11-24 06:44:35</t>
  </si>
  <si>
    <t>2025-11-24 06:44:37</t>
  </si>
  <si>
    <t>2025-11-24 06:44:39</t>
  </si>
  <si>
    <t>Bendorių g. 65, Vilniaus m., Vilniaus m. sav.</t>
  </si>
  <si>
    <t>Antakalnio g. 63, Vilniaus m., Vilniaus m. sav.</t>
  </si>
  <si>
    <t>Filaretų g. 111, Vilniaus m., Vilniaus m. sav.</t>
  </si>
  <si>
    <t>Pilies g. 10, Vilniaus m., Vilniaus m. sav.</t>
  </si>
  <si>
    <t>2025-11-24 06:45:01</t>
  </si>
  <si>
    <t>Gabijos g. 21, Vilniaus m., Vilniaus m. sav.</t>
  </si>
  <si>
    <t>2025-11-24 06:45:02</t>
  </si>
  <si>
    <t>Kapsų g. 1, Vilniaus m., Vilniaus m. sav.</t>
  </si>
  <si>
    <t>2025-11-24 06:45:03</t>
  </si>
  <si>
    <t>Žirgupės g. 1-2, Vilniaus m., Vilniaus m. sav.</t>
  </si>
  <si>
    <t>2025-11-24 06:57:55</t>
  </si>
  <si>
    <t>2025-11-24 09:39:18</t>
  </si>
  <si>
    <t>2025-11-24 06:45:11</t>
  </si>
  <si>
    <t>2025-11-24 06:45:13</t>
  </si>
  <si>
    <t>Žirgupės g. 1-1, Vilniaus m., Vilniaus m. sav.</t>
  </si>
  <si>
    <t>2025-11-24 06:45:17</t>
  </si>
  <si>
    <t>Žirmūnų g. 73, Vilniaus m., Vilniaus m. sav.</t>
  </si>
  <si>
    <t>2025-11-24 06:45:21</t>
  </si>
  <si>
    <t>2025-11-24 06:45:23</t>
  </si>
  <si>
    <t>2025-11-24 06:55:44</t>
  </si>
  <si>
    <t>2025-11-24 06:45:28</t>
  </si>
  <si>
    <t>Visorių g. 44, Vilniaus m., Vilniaus m. sav.</t>
  </si>
  <si>
    <t>2025-11-24 06:45:45</t>
  </si>
  <si>
    <t>2025-11-24 06:56:23</t>
  </si>
  <si>
    <t>2025-11-24 06:45:49</t>
  </si>
  <si>
    <t>Kelmijos Sodų 41-oji g. 24, Vilniaus m., Vilniaus m. sav.</t>
  </si>
  <si>
    <t>Panerių g. 43, Vilniaus m., Vilniaus m. sav.</t>
  </si>
  <si>
    <t>2025-11-24 06:45:55</t>
  </si>
  <si>
    <t>Mokslininkų g. 57, Vilniaus m., Vilniaus m. sav.</t>
  </si>
  <si>
    <t>2025-11-24 06:45:56</t>
  </si>
  <si>
    <t>Tolminkiemio g. 15, Vilniaus m., Vilniaus m. sav.</t>
  </si>
  <si>
    <t>2025-11-24 07:11:08</t>
  </si>
  <si>
    <t>2025-11-24 06:46:02</t>
  </si>
  <si>
    <t>Kirtimų g. 63, Vilniaus m., Vilniaus m. sav.</t>
  </si>
  <si>
    <t>2025-11-24 06:46:08</t>
  </si>
  <si>
    <t>Visorių g. 51-1, Vilniaus m., Vilniaus m. sav.</t>
  </si>
  <si>
    <t>2025-11-24 06:46:09</t>
  </si>
  <si>
    <t>Bendorių g. 41-2, Vilniaus m., Vilniaus m. sav.</t>
  </si>
  <si>
    <t>2025-11-24 06:46:11</t>
  </si>
  <si>
    <t>Pilies g. 7, Vilniaus m., Vilniaus m. sav.</t>
  </si>
  <si>
    <t>2025-11-24 06:46:15</t>
  </si>
  <si>
    <t>Bendorių g. 41-1, Vilniaus m., Vilniaus m. sav.</t>
  </si>
  <si>
    <t>2025-11-24 06:55:47</t>
  </si>
  <si>
    <t>Burbiškių g. 6A, Vilniaus m., Vilniaus m. sav.</t>
  </si>
  <si>
    <t>2025-11-24 06:46:29</t>
  </si>
  <si>
    <t>Kelmijos Sodų 41-oji g. 15, Vilniaus m., Vilniaus m. sav.</t>
  </si>
  <si>
    <t>2025-11-24 06:46:33</t>
  </si>
  <si>
    <t>Kelmijos Sodų 41-oji g. 50, Vilniaus m., Vilniaus m. sav.</t>
  </si>
  <si>
    <t>2025-11-24 06:57:47</t>
  </si>
  <si>
    <t>2025-11-24 06:46:34</t>
  </si>
  <si>
    <t>Visorių g. 47, Vilniaus m., Vilniaus m. sav.</t>
  </si>
  <si>
    <t>2025-11-24 06:46:35</t>
  </si>
  <si>
    <t>Panerių g. 54, Vilniaus m., Vilniaus m. sav.</t>
  </si>
  <si>
    <t>2025-11-24 06:46:45</t>
  </si>
  <si>
    <t>P. Lukšio g. 32, Vilniaus m., Vilniaus m. sav.</t>
  </si>
  <si>
    <t>2025-11-24 06:46:46</t>
  </si>
  <si>
    <t>Laisvės pr. 65A, Vilniaus m., Vilniaus m. sav.</t>
  </si>
  <si>
    <t>2025-11-24 06:46:50</t>
  </si>
  <si>
    <t>Skroblų g. 17, Vilniaus m., Vilniaus m. sav.</t>
  </si>
  <si>
    <t>2025-11-24 06:46:51</t>
  </si>
  <si>
    <t>2025-11-24 06:56:04</t>
  </si>
  <si>
    <t>2025-11-24 06:46:53</t>
  </si>
  <si>
    <t>Architektų g. 34A, Vilniaus m., Vilniaus m. sav.</t>
  </si>
  <si>
    <t>Visorių g. 51, Vilniaus m., Vilniaus m. sav.</t>
  </si>
  <si>
    <t>2025-11-24 06:57:40</t>
  </si>
  <si>
    <t>2025-11-24 06:47:11</t>
  </si>
  <si>
    <t>2025-11-24 06:47:18</t>
  </si>
  <si>
    <t>Antakalnio g. 59, Vilniaus m., Vilniaus m. sav.</t>
  </si>
  <si>
    <t>2025-11-24 06:47:21</t>
  </si>
  <si>
    <t>Bendorių g. 37, Vilniaus m., Vilniaus m. sav.</t>
  </si>
  <si>
    <t>2025-11-24 06:47:26</t>
  </si>
  <si>
    <t>Kaminkelio g. 37, Vilniaus m., Vilniaus m. sav.</t>
  </si>
  <si>
    <t>2025-11-24 06:47:27</t>
  </si>
  <si>
    <t>2025-11-24 06:59:59</t>
  </si>
  <si>
    <t>2025-11-24 06:47:39</t>
  </si>
  <si>
    <t>Kaštonų g. 7, Vilniaus m., Vilniaus m. sav.</t>
  </si>
  <si>
    <t>2025-11-24 06:47:41</t>
  </si>
  <si>
    <t>Bendorių g. 12, Vilniaus m., Vilniaus m. sav.</t>
  </si>
  <si>
    <t>Pilies g. 4, Vilniaus m., Vilniaus m. sav.</t>
  </si>
  <si>
    <t>2025-11-24 07:00:36</t>
  </si>
  <si>
    <t>Ateities g. 44, Vilniaus m., Vilniaus m. sav.</t>
  </si>
  <si>
    <t>2025-11-24 06:54:38</t>
  </si>
  <si>
    <t>Pirklių g. 8, Vilniaus m., Vilniaus m. sav.</t>
  </si>
  <si>
    <t>2025-11-24 06:47:48</t>
  </si>
  <si>
    <t>Dariaus ir Girėno g. 18, Vilniaus m., Vilniaus m. sav.</t>
  </si>
  <si>
    <t>2025-11-24 06:47:52</t>
  </si>
  <si>
    <t>Senasalio g. 22, Vilniaus m., Vilniaus m. sav.</t>
  </si>
  <si>
    <t>2025-11-24 06:47:53</t>
  </si>
  <si>
    <t>Kęsgailių g. 2A-1, Vilniaus m., Vilniaus m. sav.</t>
  </si>
  <si>
    <t>2025-11-24 06:47:56</t>
  </si>
  <si>
    <t>J. Franko g. 2A, Vilniaus m., Vilniaus m. sav.</t>
  </si>
  <si>
    <t>2025-11-24 06:48:03</t>
  </si>
  <si>
    <t>Raistelių g. 3, Vilniaus m., Vilniaus m. sav.</t>
  </si>
  <si>
    <t>2025-11-24 06:48:07</t>
  </si>
  <si>
    <t>Žirmūnų g. 93, Vilniaus m., Vilniaus m. sav.</t>
  </si>
  <si>
    <t>2025-11-24 06:48:13</t>
  </si>
  <si>
    <t>Bendorių g. 35, Vilniaus m., Vilniaus m. sav.</t>
  </si>
  <si>
    <t>2025-11-24 07:00:07</t>
  </si>
  <si>
    <t>2025-11-24 07:00:03</t>
  </si>
  <si>
    <t>2025-11-24 06:48:15</t>
  </si>
  <si>
    <t>Kelmijos Sodų 41-oji g. 62, Vilniaus m., Vilniaus m. sav.</t>
  </si>
  <si>
    <t xml:space="preserve"> </t>
  </si>
  <si>
    <t>2025-11-24 06:48:17</t>
  </si>
  <si>
    <t>Bendorių g. 10, Vilniaus m., Vilniaus m. sav.</t>
  </si>
  <si>
    <t>2025-11-24 07:00:41</t>
  </si>
  <si>
    <t>2025-11-24 06:48:20</t>
  </si>
  <si>
    <t>Visorių g. 49-2, Vilniaus m., Vilniaus m. sav.</t>
  </si>
  <si>
    <t>2025-11-24 06:48:21</t>
  </si>
  <si>
    <t>2025-11-24 06:48:24</t>
  </si>
  <si>
    <t>2025-11-24 06:56:16</t>
  </si>
  <si>
    <t>2025-11-24 06:48:25</t>
  </si>
  <si>
    <t>2025-11-24 06:48:29</t>
  </si>
  <si>
    <t>Linksmoji g. 73, Vilniaus m., Vilniaus m. sav.</t>
  </si>
  <si>
    <t>2025-11-24 06:48:32</t>
  </si>
  <si>
    <t>Pilaitės pr. 16, Vilniaus m., Vilniaus m. sav.</t>
  </si>
  <si>
    <t>2025-11-24 06:48:34</t>
  </si>
  <si>
    <t>Visorių g. 49, Vilniaus m., Vilniaus m. sav.</t>
  </si>
  <si>
    <t>2025-11-24 06:48:40</t>
  </si>
  <si>
    <t>2025-11-24 06:48:44</t>
  </si>
  <si>
    <t>2025-11-24 06:48:46</t>
  </si>
  <si>
    <t>2025-11-24 06:48:49</t>
  </si>
  <si>
    <t>2025-11-24 06:48:52</t>
  </si>
  <si>
    <t>2025-11-24 06:48:53</t>
  </si>
  <si>
    <t>2025-11-24 07:22:52</t>
  </si>
  <si>
    <t>Pilies g. 6, Vilniaus m., Vilniaus m. sav.</t>
  </si>
  <si>
    <t>2025-11-24 06:48:54</t>
  </si>
  <si>
    <t>Loretos Asanavičiūtės g. 29, Vilniaus m., Vilniaus m. sav.</t>
  </si>
  <si>
    <t>2025-11-24 06:48:56</t>
  </si>
  <si>
    <t>Visorių g. 44A-1, Vilniaus m., Vilniaus m. sav.</t>
  </si>
  <si>
    <t>2025-11-24 06:48:58</t>
  </si>
  <si>
    <t>Kirtimų g. 69, Vilniaus m., Vilniaus m. sav.</t>
  </si>
  <si>
    <t>2025-11-24 06:48:59</t>
  </si>
  <si>
    <t>2025-11-24 06:49:04</t>
  </si>
  <si>
    <t>2025-11-24 06:49:06</t>
  </si>
  <si>
    <t>2025-11-24 06:49:10</t>
  </si>
  <si>
    <t>2025-11-24 06:49:11</t>
  </si>
  <si>
    <t>L. Asanavičiūtės g. 20, Vilniaus m., Vilniaus m. sav.</t>
  </si>
  <si>
    <t>2025-11-24 06:49:25</t>
  </si>
  <si>
    <t>Sidabro Kalno g. 17A, Vilniaus m., Vilniaus m. sav.</t>
  </si>
  <si>
    <t>2025-11-24 06:49:27</t>
  </si>
  <si>
    <t>Antakalnio g. 55, Vilniaus m., Vilniaus m. sav.</t>
  </si>
  <si>
    <t>2025-11-24 06:49:31</t>
  </si>
  <si>
    <t>Kelmijos Sodų 41-oji g. 9, Vilniaus m., Vilniaus m. sav.</t>
  </si>
  <si>
    <t>2025-11-24 06:49:36</t>
  </si>
  <si>
    <t>Gabijos g. 83, Vilniaus m., Vilniaus m. sav.</t>
  </si>
  <si>
    <t>2025-11-24 06:49:39</t>
  </si>
  <si>
    <t>Pilies g. 12, Vilniaus m., Vilniaus m. sav.</t>
  </si>
  <si>
    <t>2025-11-24 06:49:40</t>
  </si>
  <si>
    <t>Filaretų g. 115-1, Vilniaus m., Vilniaus m. sav.</t>
  </si>
  <si>
    <t>2025-11-24 06:53:19</t>
  </si>
  <si>
    <t>2025-11-24 06:49:46</t>
  </si>
  <si>
    <t>Skroblų g. 25, Vilniaus m., Vilniaus m. sav.</t>
  </si>
  <si>
    <t>2025-11-24 06:49:56</t>
  </si>
  <si>
    <t>2025-11-24 06:50:08</t>
  </si>
  <si>
    <t>Bendorių g. 25, Vilniaus m., Vilniaus m. sav.</t>
  </si>
  <si>
    <t>Filaretų g. 115-2, Vilniaus m., Vilniaus m. sav.</t>
  </si>
  <si>
    <t>Visorių g. 36C, Vilniaus m., Vilniaus m. sav.</t>
  </si>
  <si>
    <t>2025-11-24 06:50:22</t>
  </si>
  <si>
    <t>2025-11-24 06:50:25</t>
  </si>
  <si>
    <t>2025-11-24 07:32:36</t>
  </si>
  <si>
    <t>Šv. Jono g. 11, Vilniaus m., Vilniaus m. sav.</t>
  </si>
  <si>
    <t>Kelmijos Sodų 40-oji g. 13, Vilniaus m., Vilniaus m. sav.</t>
  </si>
  <si>
    <t>2025-11-24 06:50:28</t>
  </si>
  <si>
    <t>2025-11-24 07:33:59</t>
  </si>
  <si>
    <t>Kapsų g. 36, Vilniaus m., Vilniaus m. sav.</t>
  </si>
  <si>
    <t>2025-11-24 06:50:31</t>
  </si>
  <si>
    <t>Pamėnkalnio g. 18, Vilniaus m., Vilniaus m. sav.</t>
  </si>
  <si>
    <t>Architektų g. 50, Vilniaus m., Vilniaus m. sav.</t>
  </si>
  <si>
    <t>2025-11-24 06:50:41</t>
  </si>
  <si>
    <t>Bendorių g. 29, Vilniaus m., Vilniaus m. sav.</t>
  </si>
  <si>
    <t>2025-11-24 07:00:58</t>
  </si>
  <si>
    <t>2025-11-24 06:50:43</t>
  </si>
  <si>
    <t>2025-11-24 06:50:45</t>
  </si>
  <si>
    <t>2025-11-24 07:01:02</t>
  </si>
  <si>
    <t>2025-11-24 06:50:48</t>
  </si>
  <si>
    <t>Kirtimų g. 23A, Vilniaus m., Vilniaus m. sav.</t>
  </si>
  <si>
    <t>Tolminkiemio g. 11A, Vilniaus m., Vilniaus m. sav.</t>
  </si>
  <si>
    <t>Nepravažiuojamas keliasNukopijuota į maršrutą nr. 304786 vartotojo Valytė Dremeikienė.</t>
  </si>
  <si>
    <t>2025-11-24 06:51:05</t>
  </si>
  <si>
    <t>Visorių g. 36B, Vilniaus m., Vilniaus m. sav.</t>
  </si>
  <si>
    <t>2025-11-24 06:51:07</t>
  </si>
  <si>
    <t>Šv. Jono g. 5, Vilniaus m., Vilniaus m. sav.</t>
  </si>
  <si>
    <t>2025-11-24 06:51:09</t>
  </si>
  <si>
    <t>Ukmergės g. 328A, Vilniaus m., Vilniaus m. sav.</t>
  </si>
  <si>
    <t>2025-11-24 06:51:11</t>
  </si>
  <si>
    <t>Bendorių g. 21, Vilniaus m., Vilniaus m. sav.</t>
  </si>
  <si>
    <t>2025-11-24 07:01:11</t>
  </si>
  <si>
    <t>2025-11-24 06:51:13</t>
  </si>
  <si>
    <t>2025-11-24 06:51:21</t>
  </si>
  <si>
    <t>Visorių g. 36A, Vilniaus m., Vilniaus m. sav.</t>
  </si>
  <si>
    <t>2025-11-24 06:57:44</t>
  </si>
  <si>
    <t>2025-11-24 06:51:23</t>
  </si>
  <si>
    <t>2025-11-24 06:51:27</t>
  </si>
  <si>
    <t>Bendorių g. 31, Vilniaus m., Vilniaus m. sav.</t>
  </si>
  <si>
    <t>2025-11-24 07:01:20</t>
  </si>
  <si>
    <t>2025-11-24 06:51:31</t>
  </si>
  <si>
    <t>2025-11-24 06:51:32</t>
  </si>
  <si>
    <t>P. Lukšio g. 22, Vilniaus m., Vilniaus m. sav.</t>
  </si>
  <si>
    <t>2025-11-24 06:51:37</t>
  </si>
  <si>
    <t>Šv. Jono g. 9, Vilniaus m., Vilniaus m. sav.</t>
  </si>
  <si>
    <t>2025-11-24 06:51:38</t>
  </si>
  <si>
    <t>Filaretų g. 115A, Vilniaus m., Vilniaus m. sav.</t>
  </si>
  <si>
    <t>2025-11-24 06:51:39</t>
  </si>
  <si>
    <t>2025-11-24 09:39:20</t>
  </si>
  <si>
    <t>2025-11-24 06:51:42</t>
  </si>
  <si>
    <t>2025-11-24 09:44:52</t>
  </si>
  <si>
    <t>2025-11-24 06:51:44</t>
  </si>
  <si>
    <t>2025-11-24 06:51:49</t>
  </si>
  <si>
    <t>Jono Karolio Chodkevičiaus g. 60, Vilniaus m., Vilniaus m. sav.</t>
  </si>
  <si>
    <t>2025-11-24 06:51:58</t>
  </si>
  <si>
    <t>Medeinos g. 39, Vilniaus m., Vilniaus m. sav.</t>
  </si>
  <si>
    <t>2025-11-24 06:52:02</t>
  </si>
  <si>
    <t>2025-11-24 06:52:03</t>
  </si>
  <si>
    <t>Kirtimų g. 59B, Vilniaus m., Vilniaus m. sav.</t>
  </si>
  <si>
    <t>2025-11-24 06:52:04</t>
  </si>
  <si>
    <t>2025-11-24 06:52:09</t>
  </si>
  <si>
    <t>Gerovės g. 59, Vilniaus m., Vilniaus m. sav.</t>
  </si>
  <si>
    <t>2025-11-24 06:52:11</t>
  </si>
  <si>
    <t>Bendorių g. 19, Vilniaus m., Vilniaus m. sav.</t>
  </si>
  <si>
    <t>2025-11-24 06:52:12</t>
  </si>
  <si>
    <t>2025-11-24 06:52:16</t>
  </si>
  <si>
    <t>Žirmūnų g. 101, Vilniaus m., Vilniaus m. sav.</t>
  </si>
  <si>
    <t>Ukmergės g. 326, Vilniaus m., Vilniaus m. sav.</t>
  </si>
  <si>
    <t>2025-11-24 06:52:17</t>
  </si>
  <si>
    <t>Šv. Jono g. 8, Vilniaus m., Vilniaus m. sav.</t>
  </si>
  <si>
    <t>Kelmijos Sodų 40-oji g. 17, Vilniaus m., Vilniaus m. sav.</t>
  </si>
  <si>
    <t>2025-11-24 06:52:24</t>
  </si>
  <si>
    <t>P. Vaičaičio g. 33-1, Vilniaus m., Vilniaus m. sav.</t>
  </si>
  <si>
    <t>Kelmijos Sodų 40-oji g. 27, Vilniaus m., Vilniaus m. sav.</t>
  </si>
  <si>
    <t>2025-11-24 06:52:36</t>
  </si>
  <si>
    <t>2025-11-24 06:54:51</t>
  </si>
  <si>
    <t>2025-11-24 06:52:43</t>
  </si>
  <si>
    <t>Bendorių g. 17, Vilniaus m., Vilniaus m. sav.</t>
  </si>
  <si>
    <t>2025-11-24 07:01:54</t>
  </si>
  <si>
    <t>2025-11-24 06:52:45</t>
  </si>
  <si>
    <t>2025-11-24 06:52:47</t>
  </si>
  <si>
    <t>P. Vaičaičio g. 45-2, Vilniaus m., Vilniaus m. sav.</t>
  </si>
  <si>
    <t>P. Vaičaičio g. 45, Vilniaus m., Vilniaus m. sav.</t>
  </si>
  <si>
    <t>2025-11-24 06:52:49</t>
  </si>
  <si>
    <t>Kelmijos Sodų 40-oji g. 34, Vilniaus m., Vilniaus m. sav.</t>
  </si>
  <si>
    <t>2025-11-24 06:52:56</t>
  </si>
  <si>
    <t>2025-11-24 06:52:53</t>
  </si>
  <si>
    <t>Bendorių g. 11, Vilniaus m., Vilniaus m. sav.</t>
  </si>
  <si>
    <t>2025-11-24 07:30:30</t>
  </si>
  <si>
    <t>2025-11-24 06:52:57</t>
  </si>
  <si>
    <t>I. Kanto al. 18, Vilniaus m., Vilniaus m. sav.</t>
  </si>
  <si>
    <t>2025-11-24 06:52:59</t>
  </si>
  <si>
    <t>Kapsų g. 15D, Vilniaus m., Vilniaus m. sav.</t>
  </si>
  <si>
    <t>Gabijos g. 2C, Vilniaus m., Vilniaus m. sav.</t>
  </si>
  <si>
    <t>Bartų g. 16, Vilniaus m., Vilniaus m. sav.</t>
  </si>
  <si>
    <t>2025-11-24 07:33:43</t>
  </si>
  <si>
    <t>Kapsų g. 32, Vilniaus m., Vilniaus m. sav.</t>
  </si>
  <si>
    <t>Kelmijos Sodų 40-oji g. 36, Vilniaus m., Vilniaus m. sav.</t>
  </si>
  <si>
    <t>2025-11-24 07:30:05</t>
  </si>
  <si>
    <t>2025-11-24 06:53:31</t>
  </si>
  <si>
    <t>P. Vaičaičio g. 41, Vilniaus m., Vilniaus m. sav.</t>
  </si>
  <si>
    <t>2025-11-24 07:31:25</t>
  </si>
  <si>
    <t>2025-11-24 06:53:33</t>
  </si>
  <si>
    <t>2025-11-24 06:53:35</t>
  </si>
  <si>
    <t>Raistelių g. 1A, Vilniaus m., Vilniaus m. sav.</t>
  </si>
  <si>
    <t>2025-11-24 06:53:39</t>
  </si>
  <si>
    <t>Klinikų g. 9, Vilniaus m., Vilniaus m. sav.</t>
  </si>
  <si>
    <t>2025-11-24 06:53:41</t>
  </si>
  <si>
    <t>2025-11-24 06:53:45</t>
  </si>
  <si>
    <t>Bendorių g. 7, Vilniaus m., Vilniaus m. sav.</t>
  </si>
  <si>
    <t>2025-11-24 06:53:46</t>
  </si>
  <si>
    <t>Laisvės pr. 70, Vilniaus m., Vilniaus m. sav.</t>
  </si>
  <si>
    <t>2025-11-24 06:53:58</t>
  </si>
  <si>
    <t>2025-11-24 09:32:59</t>
  </si>
  <si>
    <t>2025-11-24 06:54:01</t>
  </si>
  <si>
    <t>2025-11-24 07:33:44</t>
  </si>
  <si>
    <t>Skersinės Sodų 7-oji g. 32, Vilniaus m., Vilniaus m. sav.</t>
  </si>
  <si>
    <t>2025-11-24 06:54:09</t>
  </si>
  <si>
    <t>Bartų g. 4, Vilniaus m., Vilniaus m. sav.</t>
  </si>
  <si>
    <t>2025-11-24 06:54:23</t>
  </si>
  <si>
    <t>Gerosios Vilties g. 44, Vilniaus m., Vilniaus m. sav.</t>
  </si>
  <si>
    <t>2025-11-24 06:54:24</t>
  </si>
  <si>
    <t>2025-11-24 06:54:26</t>
  </si>
  <si>
    <t>Vilniaus m. MA3</t>
  </si>
  <si>
    <t>Mechanikų g. 39A, Vilniaus m., Vilniaus m. sav.</t>
  </si>
  <si>
    <t>2025-11-24 06:54:29</t>
  </si>
  <si>
    <t>Šv. Ignoto g. 16, Vilniaus m., Vilniaus m. sav.</t>
  </si>
  <si>
    <t>Sakalaičių g. 53, Vilniaus m., Vilniaus m. sav.</t>
  </si>
  <si>
    <t>2025-11-24 06:54:31</t>
  </si>
  <si>
    <t>Svarstyklių g. 4-1, Vilniaus m., Vilniaus m. sav.</t>
  </si>
  <si>
    <t>Prano Vaičaičio g. 53, Vilniaus m., Vilniaus m. sav.</t>
  </si>
  <si>
    <t>P. Lukšio g. 34, Vilniaus m., Vilniaus m. sav.</t>
  </si>
  <si>
    <t>2025-11-24 06:54:41</t>
  </si>
  <si>
    <t>Raistelių g. 1, Vilniaus m., Vilniaus m. sav.</t>
  </si>
  <si>
    <t>Prano Vaičaičio g. 51, Vilniaus m., Vilniaus m. sav.</t>
  </si>
  <si>
    <t>2025-11-24 06:54:42</t>
  </si>
  <si>
    <t>Šilo g. 92B, Vilniaus m., Vilniaus m. sav.</t>
  </si>
  <si>
    <t>Bendorių g. 3A, Vilniaus m., Vilniaus m. sav.</t>
  </si>
  <si>
    <t>Bendorių g. 3B, Vilniaus m., Vilniaus m. sav.</t>
  </si>
  <si>
    <t>2025-11-24 07:30:37</t>
  </si>
  <si>
    <t>2025-11-24 06:54:54</t>
  </si>
  <si>
    <t>Pulko g. 3, Vilniaus m., Vilniaus m. sav.</t>
  </si>
  <si>
    <t>2025-11-24 06:54:56</t>
  </si>
  <si>
    <t>2025-11-24 06:54:57</t>
  </si>
  <si>
    <t>Bendorių g. 3, Vilniaus m., Vilniaus m. sav.</t>
  </si>
  <si>
    <t>2025-11-24 06:54:58</t>
  </si>
  <si>
    <t>V. Mykolaičio-Putino g. 5, Vilniaus m., Vilniaus m. sav.</t>
  </si>
  <si>
    <t>2025-11-24 06:54:59</t>
  </si>
  <si>
    <t>I. Kanto al. 20A, Vilniaus m., Vilniaus m. sav.</t>
  </si>
  <si>
    <t>2025-11-24 06:55:06</t>
  </si>
  <si>
    <t>Grūdų Sodų 4-oji g. 20, Vilniaus m., Vilniaus m. sav.</t>
  </si>
  <si>
    <t>2025-11-24 06:55:07</t>
  </si>
  <si>
    <t>A. Goštauto g. 8, Vilniaus m., Vilniaus m. sav.</t>
  </si>
  <si>
    <t>2025-11-24 06:55:14</t>
  </si>
  <si>
    <t>2025-11-24 06:55:17</t>
  </si>
  <si>
    <t>2025-11-24 07:30:45</t>
  </si>
  <si>
    <t>2025-11-24 06:55:20</t>
  </si>
  <si>
    <t>Eitminų g. 15, Vilniaus m., Vilniaus m. sav.</t>
  </si>
  <si>
    <t>2025-11-24 07:30:32</t>
  </si>
  <si>
    <t>2025-11-24 07:33:45</t>
  </si>
  <si>
    <t>Žėručio g. 21, Vilniaus m., Vilniaus m. sav.</t>
  </si>
  <si>
    <t>2025-11-24 06:55:41</t>
  </si>
  <si>
    <t>Kelmijos Sodų 39-oji g. 29, Vilniaus m., Vilniaus m. sav.</t>
  </si>
  <si>
    <t>Bendorių g. 3C, Vilniaus m., Vilniaus m. sav.</t>
  </si>
  <si>
    <t>2025-11-24 06:55:43</t>
  </si>
  <si>
    <t>Gabijos g. 52, Vilniaus m., Vilniaus m. sav.</t>
  </si>
  <si>
    <t>2025-11-24 06:55:46</t>
  </si>
  <si>
    <t>Kareivių g. 4, Vilniaus m., Vilniaus m. sav.</t>
  </si>
  <si>
    <t>2025-11-24 06:55:52</t>
  </si>
  <si>
    <t>2025-11-24 07:31:01</t>
  </si>
  <si>
    <t>2025-11-24 06:55:55</t>
  </si>
  <si>
    <t>2025-11-24 07:31:28</t>
  </si>
  <si>
    <t>Kelmijos Sodų 39-oji g. 30, Vilniaus m., Vilniaus m. sav.</t>
  </si>
  <si>
    <t>Kirtimų g. 67, Vilniaus m., Vilniaus m. sav.</t>
  </si>
  <si>
    <t>2025-11-24 06:56:12</t>
  </si>
  <si>
    <t>Gedimino pr. 40, Vilniaus m., Vilniaus m. sav.</t>
  </si>
  <si>
    <t>Bendorių g. 1, Vilniaus m., Vilniaus m. sav.</t>
  </si>
  <si>
    <t>2025-11-24 06:56:19</t>
  </si>
  <si>
    <t>2025-11-24 07:31:07</t>
  </si>
  <si>
    <t>Gabijos g. 44, Vilniaus m., Vilniaus m. sav.</t>
  </si>
  <si>
    <t>2025-11-24 06:56:25</t>
  </si>
  <si>
    <t>Kelmijos Sodų 39-oji g. 19, Vilniaus m., Vilniaus m. sav.</t>
  </si>
  <si>
    <t>2025-11-24 06:56:28</t>
  </si>
  <si>
    <t>2025-11-24 06:56:37</t>
  </si>
  <si>
    <t>Kelmijos Sodų 39-oji g. 20, Vilniaus m., Vilniaus m. sav.</t>
  </si>
  <si>
    <t>2025-11-24 06:56:42</t>
  </si>
  <si>
    <t>Viršupio g. 14, Vilniaus m., Vilniaus m. sav.</t>
  </si>
  <si>
    <t>2025-11-24 07:30:13</t>
  </si>
  <si>
    <t>2025-11-24 06:56:46</t>
  </si>
  <si>
    <t>Loretos Asanavičiūtės g. 20, Vilniaus m., Vilniaus m. sav.</t>
  </si>
  <si>
    <t>2025-11-24 06:56:47</t>
  </si>
  <si>
    <t>2025-11-24 06:56:52</t>
  </si>
  <si>
    <t>Telšių g. 6, Vilniaus m., Vilniaus m. sav.</t>
  </si>
  <si>
    <t>2025-11-24 06:56:54</t>
  </si>
  <si>
    <t>Žirmūnų g. 105, Vilniaus m., Vilniaus m. sav.</t>
  </si>
  <si>
    <t>2025-11-24 06:56:57</t>
  </si>
  <si>
    <t>Algimanto Mackaus g. 15, Vilniaus m., Vilniaus m. sav.</t>
  </si>
  <si>
    <t>2025-11-24 06:57:01</t>
  </si>
  <si>
    <t>Raistelių g. 68, Vilniaus m., Vilniaus m. sav.</t>
  </si>
  <si>
    <t>2025-11-24 06:57:04</t>
  </si>
  <si>
    <t>Šv. Brunono Bonifaco g. 1, Vilniaus m., Vilniaus m. sav.</t>
  </si>
  <si>
    <t>2025-11-24 06:57:05</t>
  </si>
  <si>
    <t>Svarstyklių g. 23, Vilniaus m., Vilniaus m. sav.</t>
  </si>
  <si>
    <t>2025-11-24 06:57:07</t>
  </si>
  <si>
    <t>Gerovės g. 25, Vilniaus m., Vilniaus m. sav.</t>
  </si>
  <si>
    <t>2025-11-24 07:30:34</t>
  </si>
  <si>
    <t>2025-11-24 06:57:09</t>
  </si>
  <si>
    <t>Kapsų g. 24, Vilniaus m., Vilniaus m. sav.</t>
  </si>
  <si>
    <t>2025-11-24 06:57:19</t>
  </si>
  <si>
    <t>Laidagalvių g. 3A, Vilniaus m., Vilniaus m. sav.</t>
  </si>
  <si>
    <t>2025-11-24 07:31:09</t>
  </si>
  <si>
    <t>2025-11-24 07:31:10</t>
  </si>
  <si>
    <t>2025-11-24 06:57:21</t>
  </si>
  <si>
    <t>V. Grybo g. 39, Vilniaus m., Vilniaus m. sav.</t>
  </si>
  <si>
    <t>Kelmijos Sodų 39-oji g. 17, Vilniaus m., Vilniaus m. sav.</t>
  </si>
  <si>
    <t>2025-11-24 06:57:22</t>
  </si>
  <si>
    <t>Eitminų g. 21, Vilniaus m., Vilniaus m. sav.</t>
  </si>
  <si>
    <t>2025-11-24 06:57:24</t>
  </si>
  <si>
    <t>2025-11-24 06:57:26</t>
  </si>
  <si>
    <t>2025-11-24 06:57:31</t>
  </si>
  <si>
    <t>2025-11-24 06:57:53</t>
  </si>
  <si>
    <t>2025-11-24 06:57:34</t>
  </si>
  <si>
    <t>Šilo g. 121A, Vilniaus m., Vilniaus m. sav.</t>
  </si>
  <si>
    <t>2025-11-24 06:57:39</t>
  </si>
  <si>
    <t>Fabijoniškių g. 99, Vilniaus m., Vilniaus m. sav.</t>
  </si>
  <si>
    <t>Gerosios Vilties g. 27, Vilniaus m., Vilniaus m. sav.</t>
  </si>
  <si>
    <t>Kelmijos Sodų 39-oji g. 15, Vilniaus m., Vilniaus m. sav.</t>
  </si>
  <si>
    <t>2025-11-24 06:57:48</t>
  </si>
  <si>
    <t>Šilo g. 123, Vilniaus m., Vilniaus m. sav.</t>
  </si>
  <si>
    <t>Lentvario g. 22, Vilniaus m., Vilniaus m. sav.</t>
  </si>
  <si>
    <t>2025-11-24 06:57:49</t>
  </si>
  <si>
    <t>Sakalaičių g. 43, Vilniaus m., Vilniaus m. sav.</t>
  </si>
  <si>
    <t>Žėručio g. 24, Vilniaus m., Vilniaus m. sav.</t>
  </si>
  <si>
    <t>2025-11-24 06:57:54</t>
  </si>
  <si>
    <t>Pamėnkalnio g. 10, Vilniaus m., Vilniaus m. sav.</t>
  </si>
  <si>
    <t>Laidagalvių g. 3B, Vilniaus m., Vilniaus m. sav.</t>
  </si>
  <si>
    <t>I. Kanto al. 19B, Vilniaus m., Vilniaus m. sav.</t>
  </si>
  <si>
    <t>2025-11-24 06:58:00</t>
  </si>
  <si>
    <t>2025-11-24 06:58:14</t>
  </si>
  <si>
    <t>Dariaus ir Girėno g. 12, Vilniaus m., Vilniaus m. sav.</t>
  </si>
  <si>
    <t>2025-11-24 06:58:21</t>
  </si>
  <si>
    <t>Kalvarijų g. 135, Vilniaus m., Vilniaus m. sav.</t>
  </si>
  <si>
    <t>2025-11-24 06:58:24</t>
  </si>
  <si>
    <t>2025-11-24 06:58:37</t>
  </si>
  <si>
    <t>Laidagalvių g. 7-2, Vilniaus m., Vilniaus m. sav.</t>
  </si>
  <si>
    <t>2025-11-24 07:33:02</t>
  </si>
  <si>
    <t>2025-11-24 06:58:40</t>
  </si>
  <si>
    <t>2025-11-24 06:58:41</t>
  </si>
  <si>
    <t>2025-11-24 07:33:06</t>
  </si>
  <si>
    <t>2025-11-24 06:58:43</t>
  </si>
  <si>
    <t>Kelmijos Sodų 39-oji g. 16, Vilniaus m., Vilniaus m. sav.</t>
  </si>
  <si>
    <t>2025-11-24 06:58:45</t>
  </si>
  <si>
    <t>2025-11-24 06:58:52</t>
  </si>
  <si>
    <t>Pamėnkalnio g. 13, Vilniaus m., Vilniaus m. sav.</t>
  </si>
  <si>
    <t>2025-11-24 06:58:53</t>
  </si>
  <si>
    <t>Laidagalvių g. 7-1, Vilniaus m., Vilniaus m. sav.</t>
  </si>
  <si>
    <t>2025-11-24 07:33:11</t>
  </si>
  <si>
    <t>Sakalaičių g. 41-1, Vilniaus m., Vilniaus m. sav.</t>
  </si>
  <si>
    <t>2025-11-24 06:59:01</t>
  </si>
  <si>
    <t>Paukščių Tako g. 49, Vilniaus m., Vilniaus m. sav.</t>
  </si>
  <si>
    <t>2025-11-24 06:59:03</t>
  </si>
  <si>
    <t>2025-11-24 07:07:38</t>
  </si>
  <si>
    <t>Sakalaičių g. 45, Vilniaus m., Vilniaus m. sav.</t>
  </si>
  <si>
    <t>2025-11-24 07:01:14</t>
  </si>
  <si>
    <t>2025-11-24 06:59:07</t>
  </si>
  <si>
    <t>2025-11-24 07:33:19</t>
  </si>
  <si>
    <t>2025-11-24 06:59:09</t>
  </si>
  <si>
    <t>Kelmijos Sodų 39-oji g. 13, Vilniaus m., Vilniaus m. sav.</t>
  </si>
  <si>
    <t>2025-11-24 06:59:10</t>
  </si>
  <si>
    <t>Gabijos g. 36, Vilniaus m., Vilniaus m. sav.</t>
  </si>
  <si>
    <t>2025-11-24 06:59:14</t>
  </si>
  <si>
    <t>2025-11-24 07:31:30</t>
  </si>
  <si>
    <t>2025-11-24 06:59:15</t>
  </si>
  <si>
    <t>Eglių g. 35, Vilniaus m., Vilniaus m. sav.</t>
  </si>
  <si>
    <t>2025-11-24 06:59:17</t>
  </si>
  <si>
    <t>Laidagalvių g. 9, Vilniaus m., Vilniaus m. sav.</t>
  </si>
  <si>
    <t>2025-11-24 06:59:18</t>
  </si>
  <si>
    <t>2025-11-24 06:59:20</t>
  </si>
  <si>
    <t>2025-11-24 06:59:23</t>
  </si>
  <si>
    <t>2025-11-24 06:59:24</t>
  </si>
  <si>
    <t>2025-11-24 06:59:30</t>
  </si>
  <si>
    <t>2025-11-24 06:59:33</t>
  </si>
  <si>
    <t>Sakalaičių g. 47-1, Vilniaus m., Vilniaus m. sav.</t>
  </si>
  <si>
    <t>2025-11-24 06:59:34</t>
  </si>
  <si>
    <t>2025-11-24 06:59:35</t>
  </si>
  <si>
    <t>Kelmijos Sodų 39-oji g. 9, Vilniaus m., Vilniaus m. sav.</t>
  </si>
  <si>
    <t>2025-11-24 06:59:39</t>
  </si>
  <si>
    <t>2025-11-24 06:59:42</t>
  </si>
  <si>
    <t>Dominikonų g. 11, Vilniaus m., Vilniaus m. sav.</t>
  </si>
  <si>
    <t>2025-11-24 06:59:50</t>
  </si>
  <si>
    <t>2025-11-24 06:59:54</t>
  </si>
  <si>
    <t>Laidagalvių g. 11, Vilniaus m., Vilniaus m. sav.</t>
  </si>
  <si>
    <t>2025-11-24 07:33:31</t>
  </si>
  <si>
    <t>A. Mackaus g. 2, Vilniaus m., Vilniaus m. sav.</t>
  </si>
  <si>
    <t>Kelmijos Sodų 39-oji g. 3, Vilniaus m., Vilniaus m. sav.</t>
  </si>
  <si>
    <t>Kelmijos Sodų 39-oji g. 1, Vilniaus m., Vilniaus m. sav.</t>
  </si>
  <si>
    <t>2025-11-24 07:00:01</t>
  </si>
  <si>
    <t>A. Mackaus g. 1, Vilniaus m., Vilniaus m. sav.</t>
  </si>
  <si>
    <t>Sakalaičių g. 37, Vilniaus m., Vilniaus m. sav.</t>
  </si>
  <si>
    <t>A. Mackaus g. 4, Vilniaus m., Vilniaus m. sav.</t>
  </si>
  <si>
    <t>2025-11-24 07:00:05</t>
  </si>
  <si>
    <t>Kelmijos Sodų 39-oji g. 4, Vilniaus m., Vilniaus m. sav.</t>
  </si>
  <si>
    <t>2025-11-24 07:00:25</t>
  </si>
  <si>
    <t>2025-11-24 07:49:35</t>
  </si>
  <si>
    <t>Telšių g. 2, Vilniaus m., Vilniaus m. sav.</t>
  </si>
  <si>
    <t>2025-11-24 07:00:26</t>
  </si>
  <si>
    <t>2025-11-24 07:00:35</t>
  </si>
  <si>
    <t>Laidagalvių g. 13, Vilniaus m., Vilniaus m. sav.</t>
  </si>
  <si>
    <t>2025-11-24 07:32:16</t>
  </si>
  <si>
    <t>2025-11-24 07:00:37</t>
  </si>
  <si>
    <t>2025-11-24 07:00:39</t>
  </si>
  <si>
    <t>Žarijų g. 8, Vilniaus m., Vilniaus m. sav.</t>
  </si>
  <si>
    <t>2025-11-24 07:00:40</t>
  </si>
  <si>
    <t>2025-11-24 07:00:51</t>
  </si>
  <si>
    <t>2025-11-24 07:33:54</t>
  </si>
  <si>
    <t>2025-11-24 07:00:53</t>
  </si>
  <si>
    <t>A. Mackaus g. 6, Vilniaus m., Vilniaus m. sav.</t>
  </si>
  <si>
    <t>Stepono Batoro g. 94, Vilniaus m., Vilniaus m. sav.</t>
  </si>
  <si>
    <t>2025-11-24 07:01:00</t>
  </si>
  <si>
    <t>2025-11-24 07:01:01</t>
  </si>
  <si>
    <t>V. Grybo g. 38, Vilniaus m., Vilniaus m. sav.</t>
  </si>
  <si>
    <t>Fabijoniškių g. 24A, Vilniaus m., Vilniaus m. sav.</t>
  </si>
  <si>
    <t>2025-11-24 07:01:18</t>
  </si>
  <si>
    <t>2025-11-24 07:32:20</t>
  </si>
  <si>
    <t>Vėtrungių g.  24, Vilniaus m., Vilniaus m. sav.</t>
  </si>
  <si>
    <t>2025-11-24 07:01:21</t>
  </si>
  <si>
    <t>Laidagalvių g. 15, Vilniaus m., Vilniaus m. sav.</t>
  </si>
  <si>
    <t>2025-11-24 07:34:01</t>
  </si>
  <si>
    <t>2025-11-24 07:01:25</t>
  </si>
  <si>
    <t>Eglių g. 36, Vilniaus m., Vilniaus m. sav.</t>
  </si>
  <si>
    <t>Raistelių g. 40-1, Vilniaus m., Vilniaus m. sav.</t>
  </si>
  <si>
    <t>2025-11-24 07:11:28</t>
  </si>
  <si>
    <t>2025-11-24 07:01:35</t>
  </si>
  <si>
    <t>Raistelių g. 40-2, Vilniaus m., Vilniaus m. sav.</t>
  </si>
  <si>
    <t>2025-11-24 07:11:31</t>
  </si>
  <si>
    <t>2025-11-24 07:01:40</t>
  </si>
  <si>
    <t>Fabijoniškių g. 60C, Vilniaus m., Vilniaus m. sav.</t>
  </si>
  <si>
    <t>2025-11-24 07:01:42</t>
  </si>
  <si>
    <t>2025-11-24 07:01:46</t>
  </si>
  <si>
    <t>2025-11-24 07:01:47</t>
  </si>
  <si>
    <t>Architektų g. 66, Vilniaus m., Vilniaus m. sav.</t>
  </si>
  <si>
    <t>2025-11-24 07:01:51</t>
  </si>
  <si>
    <t>Laidagalvių g. 19, Vilniaus m., Vilniaus m. sav.</t>
  </si>
  <si>
    <t>2025-11-24 07:01:53</t>
  </si>
  <si>
    <t>Dominikonų g. 15, Vilniaus m., Vilniaus m. sav.</t>
  </si>
  <si>
    <t>2025-11-24 07:01:57</t>
  </si>
  <si>
    <t>Laidagalvių g. 17, Vilniaus m., Vilniaus m. sav.</t>
  </si>
  <si>
    <t>2025-11-24 07:34:08</t>
  </si>
  <si>
    <t>2025-11-24 07:02:00</t>
  </si>
  <si>
    <t>2025-11-24 07:02:05</t>
  </si>
  <si>
    <t>2025-11-24 07:02:08</t>
  </si>
  <si>
    <t>2025-11-24 07:02:15</t>
  </si>
  <si>
    <t>2025-11-24 07:02:18</t>
  </si>
  <si>
    <t>Gynėjų g. 14, Vilniaus m., Vilniaus m. sav.</t>
  </si>
  <si>
    <t>Eitminų g. 18, Vilniaus m., Vilniaus m. sav.</t>
  </si>
  <si>
    <t>2025-11-24 07:02:19</t>
  </si>
  <si>
    <t>A. Mackaus g. 3, Vilniaus m., Vilniaus m. sav.</t>
  </si>
  <si>
    <t>2025-11-24 07:02:26</t>
  </si>
  <si>
    <t>A. Mackaus g. 5, Vilniaus m., Vilniaus m. sav.</t>
  </si>
  <si>
    <t>Tolimosios Sodų 4-oji g. 23A, Vilniaus m., Vilniaus m. sav.</t>
  </si>
  <si>
    <t>Fabijoniškių g. 96, Vilniaus m., Vilniaus m. sav.</t>
  </si>
  <si>
    <t>2025-11-24 07:02:28</t>
  </si>
  <si>
    <t>2025-11-24 07:02:30</t>
  </si>
  <si>
    <t>Laisvės pr. 77F, Vilniaus m., Vilniaus m. sav.</t>
  </si>
  <si>
    <t>2025-11-24 07:02:38</t>
  </si>
  <si>
    <t>2025-11-24 07:47:20</t>
  </si>
  <si>
    <t>Kareivių g. 2A, Vilniaus m., Vilniaus m. sav.</t>
  </si>
  <si>
    <t>2025-11-24 07:02:39</t>
  </si>
  <si>
    <t>A. Paškevič-Ciotkos g. 20, Vilniaus m., Vilniaus m. sav.</t>
  </si>
  <si>
    <t>A. Mackaus g. 10, Vilniaus m., Vilniaus m. sav.</t>
  </si>
  <si>
    <t>2025-11-24 07:02:40</t>
  </si>
  <si>
    <t>2025-11-24 07:02:43</t>
  </si>
  <si>
    <t>Laidagalvių g. 21, Vilniaus m., Vilniaus m. sav.</t>
  </si>
  <si>
    <t>2025-11-24 07:02:48</t>
  </si>
  <si>
    <t>2025-11-24 07:02:51</t>
  </si>
  <si>
    <t>2025-11-24 07:07:13</t>
  </si>
  <si>
    <t>Kirtimų g. 59-6, Vilniaus m., Vilniaus m. sav.</t>
  </si>
  <si>
    <t>2025-11-24 07:02:56</t>
  </si>
  <si>
    <t>Stepono Batoro g. 92, Vilniaus m., Vilniaus m. sav.</t>
  </si>
  <si>
    <t>2025-11-24 07:03:01</t>
  </si>
  <si>
    <t>Balio Karvelio g. 14, Vilniaus m., Vilniaus m. sav.</t>
  </si>
  <si>
    <t>2025-11-24 07:03:06</t>
  </si>
  <si>
    <t>2025-11-24 07:03:07</t>
  </si>
  <si>
    <t>2025-11-24 07:03:11</t>
  </si>
  <si>
    <t>A. Mackaus g. 12, Vilniaus m., Vilniaus m. sav.</t>
  </si>
  <si>
    <t>2025-11-24 07:03:12</t>
  </si>
  <si>
    <t>2025-11-24 07:03:19</t>
  </si>
  <si>
    <t>A. Mackaus g. 8, Vilniaus m., Vilniaus m. sav.</t>
  </si>
  <si>
    <t>2025-11-24 07:04:50</t>
  </si>
  <si>
    <t>2025-11-24 07:03:23</t>
  </si>
  <si>
    <t>2025-11-24 07:03:31</t>
  </si>
  <si>
    <t>Žirmūnų g. 64, Vilniaus m., Vilniaus m. sav.</t>
  </si>
  <si>
    <t>2025-11-24 07:03:42</t>
  </si>
  <si>
    <t>2025-11-24 07:30:48</t>
  </si>
  <si>
    <t>Daujoto g. 8, Vilniaus m., Vilniaus m. sav.</t>
  </si>
  <si>
    <t>2025-11-24 07:03:49</t>
  </si>
  <si>
    <t>Gerosios Vilties g. 26, Vilniaus m., Vilniaus m. sav.</t>
  </si>
  <si>
    <t>2025-11-24 07:03:51</t>
  </si>
  <si>
    <t>Šventeliškių g. 18, Vilniaus m., Vilniaus m. sav.</t>
  </si>
  <si>
    <t>M. Pretorijaus g. 5, Vilniaus m., Vilniaus m. sav.</t>
  </si>
  <si>
    <t>2025-11-24 07:03:55</t>
  </si>
  <si>
    <t>2025-11-24 07:04:00</t>
  </si>
  <si>
    <t>2025-11-24 07:04:06</t>
  </si>
  <si>
    <t>Mindaugo g. 16, Vilniaus m., Vilniaus m. sav.</t>
  </si>
  <si>
    <t>2025-11-24 07:04:10</t>
  </si>
  <si>
    <t>Gedimino pr. 38, Vilniaus m., Vilniaus m. sav.</t>
  </si>
  <si>
    <t>2025-11-24 07:04:11</t>
  </si>
  <si>
    <t>Algimanto Mackaus g. 14, Vilniaus m., Vilniaus m. sav.</t>
  </si>
  <si>
    <t>2025-11-24 07:04:12</t>
  </si>
  <si>
    <t>2025-11-24 07:04:18</t>
  </si>
  <si>
    <t>Žirmūnų g. 83, Vilniaus m., Vilniaus m. sav.</t>
  </si>
  <si>
    <t>2025-11-24 07:04:19</t>
  </si>
  <si>
    <t>Trinapolio g. 11C, Vilniaus m., Vilniaus m. sav.</t>
  </si>
  <si>
    <t>2025-11-24 07:04:20</t>
  </si>
  <si>
    <t>S. Daukanto a. 2, Vilniaus m., Vilniaus m. sav.</t>
  </si>
  <si>
    <t>2025-11-24 07:04:21</t>
  </si>
  <si>
    <t>2025-11-24 07:04:26</t>
  </si>
  <si>
    <t>2025-11-24 07:04:28</t>
  </si>
  <si>
    <t>Gedimino pr. 36, Vilniaus m., Vilniaus m. sav.</t>
  </si>
  <si>
    <t>2025-11-24 07:04:37</t>
  </si>
  <si>
    <t>Algimanto Mackaus g. 13, Vilniaus m., Vilniaus m. sav.</t>
  </si>
  <si>
    <t>2025-11-24 07:04:40</t>
  </si>
  <si>
    <t>2025-11-24 07:47:41</t>
  </si>
  <si>
    <t>Dzūkų g. 17, Vilniaus m., Vilniaus m. sav.</t>
  </si>
  <si>
    <t>2025-11-24 07:04:43</t>
  </si>
  <si>
    <t>Salininkų g.  212, Vilniaus m., Vilniaus m. sav.</t>
  </si>
  <si>
    <t>2025-11-24 07:04:44</t>
  </si>
  <si>
    <t>Kelmijos Sodų 38-oji g. 13, Vilniaus m., Vilniaus m. sav.</t>
  </si>
  <si>
    <t>2025-11-24 07:04:47</t>
  </si>
  <si>
    <t>Gedimino pr. 34, Vilniaus m., Vilniaus m. sav.</t>
  </si>
  <si>
    <t>2025-11-24 07:05:01</t>
  </si>
  <si>
    <t>Ryliškių g. 2E-1, Vilniaus m., Vilniaus m. sav.</t>
  </si>
  <si>
    <t>2025-11-24 07:05:03</t>
  </si>
  <si>
    <t>Salininkų g. 214, Vilniaus m., Vilniaus m. sav.</t>
  </si>
  <si>
    <t>2025-11-24 07:05:09</t>
  </si>
  <si>
    <t>Architektų g. 33, Vilniaus m., Vilniaus m. sav.</t>
  </si>
  <si>
    <t>2025-11-24 07:05:13</t>
  </si>
  <si>
    <t>2025-11-24 07:05:20</t>
  </si>
  <si>
    <t>Kelmijos Sodų 38-oji g. 9, Vilniaus m., Vilniaus m. sav.</t>
  </si>
  <si>
    <t>2025-11-24 07:05:25</t>
  </si>
  <si>
    <t>Ryliškių g. 2E-2, Vilniaus m., Vilniaus m. sav.</t>
  </si>
  <si>
    <t>2025-11-24 07:34:18</t>
  </si>
  <si>
    <t>2025-11-24 07:05:35</t>
  </si>
  <si>
    <t>Salininkų Sodų 5-oji g. 32, Vilniaus m., Vilniaus m. sav.</t>
  </si>
  <si>
    <t>2025-11-24 07:05:47</t>
  </si>
  <si>
    <t>Ryliškių g. 2D-1, Vilniaus m., Vilniaus m. sav.</t>
  </si>
  <si>
    <t>2025-11-24 07:36:24</t>
  </si>
  <si>
    <t>Ryliškių g. 2D-2, Vilniaus m., Vilniaus m. sav.</t>
  </si>
  <si>
    <t>2025-11-24 07:05:50</t>
  </si>
  <si>
    <t>Vėtrungių g.  95, Vilniaus m., Vilniaus m. sav.</t>
  </si>
  <si>
    <t>2025-11-24 07:05:51</t>
  </si>
  <si>
    <t>2025-11-24 07:05:55</t>
  </si>
  <si>
    <t>Notiškių g. 5, Vilniaus m., Vilniaus m. sav.</t>
  </si>
  <si>
    <t>2025-11-24 07:06:00</t>
  </si>
  <si>
    <t>Kelmijos Sodų 38-oji g. 12, Vilniaus m., Vilniaus m. sav.</t>
  </si>
  <si>
    <t>2025-11-24 07:06:04</t>
  </si>
  <si>
    <t>Pavilnionių g. 31, Vilniaus m., Vilniaus m. sav.</t>
  </si>
  <si>
    <t>2025-11-24 07:06:07</t>
  </si>
  <si>
    <t>2025-11-24 09:39:23</t>
  </si>
  <si>
    <t>2025-11-24 07:34:20</t>
  </si>
  <si>
    <t>2025-11-24 07:06:08</t>
  </si>
  <si>
    <t>2025-11-24 07:06:11</t>
  </si>
  <si>
    <t>2025-11-24 07:06:12</t>
  </si>
  <si>
    <t>Riterių g. 10, Vilniaus m., Vilniaus m. sav.</t>
  </si>
  <si>
    <t>2025-11-24 07:06:13</t>
  </si>
  <si>
    <t>Fabijoniškių g. 23, Vilniaus m., Vilniaus m. sav.</t>
  </si>
  <si>
    <t>2025-11-24 07:06:17</t>
  </si>
  <si>
    <t>2025-11-24 07:06:23</t>
  </si>
  <si>
    <t>Šilo g. 7, Vilniaus m., Vilniaus m. sav.</t>
  </si>
  <si>
    <t>2025-11-24 07:06:24</t>
  </si>
  <si>
    <t>2025-11-24 07:06:34</t>
  </si>
  <si>
    <t>Kelmijos Sodų 38-oji g. 14, Vilniaus m., Vilniaus m. sav.</t>
  </si>
  <si>
    <t>2025-11-24 07:06:37</t>
  </si>
  <si>
    <t>Ryliškių g. 2G-2, Vilniaus m., Vilniaus m. sav.</t>
  </si>
  <si>
    <t>Ryliškių g. 2C-1, Vilniaus m., Vilniaus m. sav.</t>
  </si>
  <si>
    <t>2025-11-24 07:36:05</t>
  </si>
  <si>
    <t>2025-11-24 07:06:38</t>
  </si>
  <si>
    <t>2025-11-24 07:06:40</t>
  </si>
  <si>
    <t>2025-11-24 07:06:47</t>
  </si>
  <si>
    <t>J. Kubiliaus g. 21, Vilniaus m., Vilniaus m. sav.</t>
  </si>
  <si>
    <t>P. Vaičaičio g. 62, Vilniaus m., Vilniaus m. sav.</t>
  </si>
  <si>
    <t>2025-11-24 07:06:48</t>
  </si>
  <si>
    <t>Žemaitės g. 5, Vilniaus m., Vilniaus m. sav.</t>
  </si>
  <si>
    <t>2025-11-24 07:06:55</t>
  </si>
  <si>
    <t>2025-11-24 07:06:58</t>
  </si>
  <si>
    <t>Daujoto g. 20, Vilniaus m., Vilniaus m. sav.</t>
  </si>
  <si>
    <t>2025-11-24 07:07:00</t>
  </si>
  <si>
    <t>Perkūnkiemio g. 17, Vilniaus m., Vilniaus m. sav.</t>
  </si>
  <si>
    <t>2025-11-24 07:07:01</t>
  </si>
  <si>
    <t>Tolimoji g. 68, Vilniaus m., Vilniaus m. sav.</t>
  </si>
  <si>
    <t>2025-11-24 07:07:02</t>
  </si>
  <si>
    <t>Vėtrungių g.  71, Vilniaus m., Vilniaus m. sav.</t>
  </si>
  <si>
    <t>2025-11-24 07:07:09</t>
  </si>
  <si>
    <t>Kirtimų g. 59D, Vilniaus m., Vilniaus m. sav.</t>
  </si>
  <si>
    <t>2025-11-24 07:07:10</t>
  </si>
  <si>
    <t>P. Vaičaičio g. 60, Vilniaus m., Vilniaus m. sav.</t>
  </si>
  <si>
    <t>P. Vaičaičio g. 64, Vilniaus m., Vilniaus m. sav.</t>
  </si>
  <si>
    <t>2025-11-24 09:33:02</t>
  </si>
  <si>
    <t>Antakalnio g. 77, Vilniaus m., Vilniaus m. sav.</t>
  </si>
  <si>
    <t>2025-11-24 07:31:36</t>
  </si>
  <si>
    <t>2025-11-24 07:07:14</t>
  </si>
  <si>
    <t>2025-11-24 07:07:19</t>
  </si>
  <si>
    <t>Ryliškių g. 2C-2, Vilniaus m., Vilniaus m. sav.</t>
  </si>
  <si>
    <t>2025-11-24 07:35:53</t>
  </si>
  <si>
    <t>2025-11-24 07:07:20</t>
  </si>
  <si>
    <t>Kelmijos Sodų 38-oji g. 18, Vilniaus m., Vilniaus m. sav.</t>
  </si>
  <si>
    <t>2025-11-24 07:07:23</t>
  </si>
  <si>
    <t>2025-11-24 07:07:25</t>
  </si>
  <si>
    <t>Trinapolio g. 9, Vilniaus m., Vilniaus m. sav.</t>
  </si>
  <si>
    <t>2025-11-24 07:07:26</t>
  </si>
  <si>
    <t>Gedimino pr. 27, Vilniaus m., Vilniaus m. sav.</t>
  </si>
  <si>
    <t>2025-11-24 07:07:29</t>
  </si>
  <si>
    <t>Salininkų g. 196, Vilniaus m., Vilniaus m. sav.</t>
  </si>
  <si>
    <t>2025-11-24 07:07:30</t>
  </si>
  <si>
    <t>2025-11-24 07:07:34</t>
  </si>
  <si>
    <t>Loretos Asanavičiūtės g. 1H, Vilniaus m., Vilniaus m. sav.</t>
  </si>
  <si>
    <t>2025-11-24 07:07:35</t>
  </si>
  <si>
    <t>Salininkų g. 198, Vilniaus m., Vilniaus m. sav.</t>
  </si>
  <si>
    <t>Vilniaus g. 23, Vilniaus m., Vilniaus m. sav.</t>
  </si>
  <si>
    <t>2025-11-24 07:07:40</t>
  </si>
  <si>
    <t>Šaltkalvių g. 13, Vilniaus m., Vilniaus m. sav.</t>
  </si>
  <si>
    <t>2025-11-24 07:07:42</t>
  </si>
  <si>
    <t>2025-11-24 07:07:46</t>
  </si>
  <si>
    <t>Dzūkų g. 29, Vilniaus m., Vilniaus m. sav.</t>
  </si>
  <si>
    <t>2025-11-24 07:07:47</t>
  </si>
  <si>
    <t>Aguonų g. 4, Vilniaus m., Vilniaus m. sav.</t>
  </si>
  <si>
    <t>2025-11-24 07:07:49</t>
  </si>
  <si>
    <t>Ryliškių g. 2H, Vilniaus m., Vilniaus m. sav.</t>
  </si>
  <si>
    <t>2025-11-24 07:36:42</t>
  </si>
  <si>
    <t>2025-11-24 07:07:52</t>
  </si>
  <si>
    <t>2025-11-24 07:07:57</t>
  </si>
  <si>
    <t>Aguonų g. 8, Vilniaus m., Vilniaus m. sav.</t>
  </si>
  <si>
    <t>2025-11-24 07:07:59</t>
  </si>
  <si>
    <t>Žarijų g. 6, Vilniaus m., Vilniaus m. sav.</t>
  </si>
  <si>
    <t>2025-11-24 07:08:05</t>
  </si>
  <si>
    <t>Ryliškių g. 2B, Vilniaus m., Vilniaus m. sav.</t>
  </si>
  <si>
    <t>2025-11-24 07:08:09</t>
  </si>
  <si>
    <t>Architektų g. 76, Vilniaus m., Vilniaus m. sav.</t>
  </si>
  <si>
    <t>2025-11-24 07:08:12</t>
  </si>
  <si>
    <t>2025-11-24 07:08:14</t>
  </si>
  <si>
    <t>Kalvos g. 19, Vilniaus m., Vilniaus m. sav.</t>
  </si>
  <si>
    <t>2025-11-24 07:08:15</t>
  </si>
  <si>
    <t>Sekantis aptarnavimas</t>
  </si>
  <si>
    <t>2025-11-24 07:08:18</t>
  </si>
  <si>
    <t>2025-11-24 07:08:20</t>
  </si>
  <si>
    <t>Kelmijos Sodų 38-oji g. 15, Vilniaus m., Vilniaus m. sav.</t>
  </si>
  <si>
    <t>2025-11-24 07:08:21</t>
  </si>
  <si>
    <t>Ryliškių g. 2G-1, Vilniaus m., Vilniaus m. sav.</t>
  </si>
  <si>
    <t>2025-11-24 07:08:30</t>
  </si>
  <si>
    <t>A. Jakšto g. 4, Vilniaus m., Vilniaus m. sav.</t>
  </si>
  <si>
    <t>2025-11-24 07:08:33</t>
  </si>
  <si>
    <t>2025-11-24 07:08:37</t>
  </si>
  <si>
    <t>2025-11-24 07:08:38</t>
  </si>
  <si>
    <t>Žemaitės g. 5C, Vilniaus m., Vilniaus m. sav.</t>
  </si>
  <si>
    <t>2025-11-24 07:08:39</t>
  </si>
  <si>
    <t>Lakūnų g. 30, Vilniaus m., Vilniaus m. sav.</t>
  </si>
  <si>
    <t>P. Vaičaičio g. 36, Vilniaus m., Vilniaus m. sav.</t>
  </si>
  <si>
    <t>2025-11-24 07:47:21</t>
  </si>
  <si>
    <t>2025-11-24 07:08:50</t>
  </si>
  <si>
    <t>2025-11-24 07:08:57</t>
  </si>
  <si>
    <t>2025-11-24 07:08:58</t>
  </si>
  <si>
    <t>2025-11-24 07:08:59</t>
  </si>
  <si>
    <t>Salininkų g. 180, Vilniaus m., Vilniaus m. sav.</t>
  </si>
  <si>
    <t>2025-11-24 07:09:00</t>
  </si>
  <si>
    <t>2025-11-24 07:09:02</t>
  </si>
  <si>
    <t>Kelmijos Sodų 38-oji g. 19, Vilniaus m., Vilniaus m. sav.</t>
  </si>
  <si>
    <t>2025-11-24 07:11:58</t>
  </si>
  <si>
    <t>2025-11-24 07:09:04</t>
  </si>
  <si>
    <t>2025-11-24 07:09:09</t>
  </si>
  <si>
    <t>O. Miciūtės g. 23A, Vilniaus m., Vilniaus m. sav.</t>
  </si>
  <si>
    <t>2025-11-24 07:09:10</t>
  </si>
  <si>
    <t>2025-11-24 07:09:15</t>
  </si>
  <si>
    <t>P. Vaičaičio g. 40, Vilniaus m., Vilniaus m. sav.</t>
  </si>
  <si>
    <t>2025-11-24 07:09:21</t>
  </si>
  <si>
    <t>2025-11-24 07:09:33</t>
  </si>
  <si>
    <t>Kalvarijų g. 159, Vilniaus m., Vilniaus m. sav.</t>
  </si>
  <si>
    <t>2025-11-24 07:09:35</t>
  </si>
  <si>
    <t>Kelmijos Sodų 1-oji g. 8, Vilniaus m., Vilniaus m. sav.</t>
  </si>
  <si>
    <t>2025-11-24 07:09:46</t>
  </si>
  <si>
    <t>Mykolo Lietuvio g. 27, Vilniaus m., Vilniaus m. sav.</t>
  </si>
  <si>
    <t>2025-11-24 07:09:50</t>
  </si>
  <si>
    <t>Kalvos g. 15, Vilniaus m., Vilniaus m. sav.</t>
  </si>
  <si>
    <t>2025-11-24 07:31:03</t>
  </si>
  <si>
    <t>2025-11-24 07:09:51</t>
  </si>
  <si>
    <t>Karaliaučiaus g. 5, Vilniaus m., Vilniaus m. sav.</t>
  </si>
  <si>
    <t>2025-11-24 07:09:52</t>
  </si>
  <si>
    <t>Dzūkų g. 27, Vilniaus m., Vilniaus m. sav.</t>
  </si>
  <si>
    <t>2025-11-24 07:09:54</t>
  </si>
  <si>
    <t>Gabijos g. 32, Vilniaus m., Vilniaus m. sav.</t>
  </si>
  <si>
    <t>2025-11-24 07:09:55</t>
  </si>
  <si>
    <t>Karaliaučiaus g. 6, Vilniaus m., Vilniaus m. sav.</t>
  </si>
  <si>
    <t>2025-11-24 07:34:46</t>
  </si>
  <si>
    <t>2025-11-24 07:31:37</t>
  </si>
  <si>
    <t>2025-11-24 07:09:56</t>
  </si>
  <si>
    <t>P. Vaičaičio g. 44, Vilniaus m., Vilniaus m. sav.</t>
  </si>
  <si>
    <t>2025-11-24 07:09:59</t>
  </si>
  <si>
    <t>2025-11-24 07:10:00</t>
  </si>
  <si>
    <t>Kalvos g. 17, Vilniaus m., Vilniaus m. sav.</t>
  </si>
  <si>
    <t>2025-11-24 07:10:06</t>
  </si>
  <si>
    <t>2025-11-24 07:31:05</t>
  </si>
  <si>
    <t>2025-11-24 07:10:07</t>
  </si>
  <si>
    <t>Ryliškių g. 4C-1, Vilniaus m., Vilniaus m. sav.</t>
  </si>
  <si>
    <t>2025-11-24 07:10:11</t>
  </si>
  <si>
    <t>Ukmergės g. 308, Vilniaus m., Vilniaus m. sav.</t>
  </si>
  <si>
    <t>2025-11-24 07:30:51</t>
  </si>
  <si>
    <t>2025-11-24 07:10:13</t>
  </si>
  <si>
    <t>Ryliškių g. 4C-2, Vilniaus m., Vilniaus m. sav.</t>
  </si>
  <si>
    <t>2025-11-24 07:36:56</t>
  </si>
  <si>
    <t>2025-11-24 07:10:14</t>
  </si>
  <si>
    <t>2025-11-24 09:22:06</t>
  </si>
  <si>
    <t>Laisvės pr. 87, Vilniaus m., Vilniaus m. sav.</t>
  </si>
  <si>
    <t>2025-11-24 07:10:15</t>
  </si>
  <si>
    <t>2025-11-24 07:10:18</t>
  </si>
  <si>
    <t>2025-11-24 07:10:22</t>
  </si>
  <si>
    <t>2025-11-24 07:10:26</t>
  </si>
  <si>
    <t>Kelmijos Sodų 36-oji g. 20, Vilniaus m., Vilniaus m. sav.</t>
  </si>
  <si>
    <t>2025-11-24 07:10:27</t>
  </si>
  <si>
    <t>2025-11-24 07:10:31</t>
  </si>
  <si>
    <t>2025-11-24 07:10:32</t>
  </si>
  <si>
    <t>Kelmijos Sodų 36-oji g. 22, Vilniaus m., Vilniaus m. sav.</t>
  </si>
  <si>
    <t>2025-11-24 07:10:33</t>
  </si>
  <si>
    <t>Fabijoniškių g. 7, Vilniaus m., Vilniaus m. sav.</t>
  </si>
  <si>
    <t>2025-11-24 07:10:35</t>
  </si>
  <si>
    <t>Tolimoji g. 2B, Vilniaus m., Vilniaus m. sav.</t>
  </si>
  <si>
    <t>2025-11-24 07:24:52</t>
  </si>
  <si>
    <t>2025-11-24 07:10:45</t>
  </si>
  <si>
    <t>2025-11-24 07:10:46</t>
  </si>
  <si>
    <t>P. Vaičaičio g. 46, Vilniaus m., Vilniaus m. sav.</t>
  </si>
  <si>
    <t>2025-11-24 07:10:54</t>
  </si>
  <si>
    <t>2025-11-24 07:10:58</t>
  </si>
  <si>
    <t>Vytauto Pociūno g. 8, Vilniaus m., Vilniaus m. sav.</t>
  </si>
  <si>
    <t>2025-11-24 07:30:56</t>
  </si>
  <si>
    <t>2025-11-24 07:31:11</t>
  </si>
  <si>
    <t>2025-11-24 07:10:59</t>
  </si>
  <si>
    <t>Ryliškių g. 4B, Vilniaus m., Vilniaus m. sav.</t>
  </si>
  <si>
    <t>2025-11-24 07:11:00</t>
  </si>
  <si>
    <t>Liudviko Zamenhofo g. 5, Vilniaus m., Vilniaus m. sav.</t>
  </si>
  <si>
    <t>2025-11-24 07:11:02</t>
  </si>
  <si>
    <t>Mykolo Lietuvio g. 35, Vilniaus m., Vilniaus m. sav.</t>
  </si>
  <si>
    <t>2025-11-24 07:11:03</t>
  </si>
  <si>
    <t>2025-11-24 07:11:07</t>
  </si>
  <si>
    <t>Salininkų g. 174, Vilniaus m., Vilniaus m. sav.</t>
  </si>
  <si>
    <t>Kalvos g. 9A, Vilniaus m., Vilniaus m. sav.</t>
  </si>
  <si>
    <t>2025-11-24 07:11:12</t>
  </si>
  <si>
    <t>2025-11-24 07:11:16</t>
  </si>
  <si>
    <t>2025-11-24 07:53:31</t>
  </si>
  <si>
    <t>Kelmijos Sodų 36-oji g. 2, Vilniaus m., Vilniaus m. sav.</t>
  </si>
  <si>
    <t>2025-11-24 07:11:23</t>
  </si>
  <si>
    <t>2025-11-24 07:52:35</t>
  </si>
  <si>
    <t>Panevėžio g. 24, Vilniaus m., Vilniaus m. sav.</t>
  </si>
  <si>
    <t>Smėlio g. 31, Vilniaus m., Vilniaus m. sav.</t>
  </si>
  <si>
    <t>Užstatyti automobiliųNukopijuota į maršrutą nr. 300597 vartotojo Valytė Dremeikienė.</t>
  </si>
  <si>
    <t>2025-11-24 07:11:42</t>
  </si>
  <si>
    <t>2025-11-24 07:11:32</t>
  </si>
  <si>
    <t>2025-11-24 07:11:39</t>
  </si>
  <si>
    <t>Ryliškių g. 4A, Vilniaus m., Vilniaus m. sav.</t>
  </si>
  <si>
    <t>Brolių g. 18, Vilniaus m., Vilniaus m. sav.</t>
  </si>
  <si>
    <t>Kelmijos Sodų 36-oji g. 25, Vilniaus m., Vilniaus m. sav.</t>
  </si>
  <si>
    <t>2025-11-24 07:11:45</t>
  </si>
  <si>
    <t>Ryliškių g. 4, Vilniaus m., Vilniaus m. sav.</t>
  </si>
  <si>
    <t>2025-11-24 07:11:48</t>
  </si>
  <si>
    <t>P. Vaičaičio g. 16, Vilniaus m., Vilniaus m. sav.</t>
  </si>
  <si>
    <t>2025-11-24 07:11:51</t>
  </si>
  <si>
    <t>Salininkų g. 170, Vilniaus m., Vilniaus m. sav.</t>
  </si>
  <si>
    <t>2025-11-24 07:11:52</t>
  </si>
  <si>
    <t>Kelmijos Sodų 36-oji g. 31, Vilniaus m., Vilniaus m. sav.</t>
  </si>
  <si>
    <t>2025-11-24 07:11:54</t>
  </si>
  <si>
    <t>Kalvos g. 2, Vilniaus m., Vilniaus m. sav.</t>
  </si>
  <si>
    <t>Kelmijos Sodų 36-oji g. 57, Vilniaus m., Vilniaus m. sav.</t>
  </si>
  <si>
    <t>2025-11-24 07:12:01</t>
  </si>
  <si>
    <t>2025-11-24 07:12:03</t>
  </si>
  <si>
    <t>Rodūnios kel. 12, Vilniaus m., Vilniaus m. sav.</t>
  </si>
  <si>
    <t>2025-11-24 07:12:05</t>
  </si>
  <si>
    <t>Kelmijos Sodų 7-oji g. 26, Vilniaus m., Vilniaus m. sav.</t>
  </si>
  <si>
    <t>2025-11-24 07:12:17</t>
  </si>
  <si>
    <t>Totorių g. 7, Vilniaus m., Vilniaus m. sav.</t>
  </si>
  <si>
    <t>2025-11-24 07:12:19</t>
  </si>
  <si>
    <t>Sakalaičių Sodų 12-oji g. 8, Vilniaus m., Vilniaus m. sav.</t>
  </si>
  <si>
    <t>2025-11-24 07:12:31</t>
  </si>
  <si>
    <t>2025-11-24 07:12:33</t>
  </si>
  <si>
    <t>Karaliaučiaus g. 8, Vilniaus m., Vilniaus m. sav.</t>
  </si>
  <si>
    <t>2025-11-24 07:34:50</t>
  </si>
  <si>
    <t>2025-11-24 07:12:35</t>
  </si>
  <si>
    <t>Sakalaičių Sodų 12-oji g. 13, Vilniaus m., Vilniaus m. sav.</t>
  </si>
  <si>
    <t>2025-11-24 07:22:10</t>
  </si>
  <si>
    <t>2025-11-24 07:12:37</t>
  </si>
  <si>
    <t>Vydūno g. 27, Vilniaus m., Vilniaus m. sav.</t>
  </si>
  <si>
    <t>Sakalaičių Sodų 12-oji g. 10, Vilniaus m., Vilniaus m. sav.</t>
  </si>
  <si>
    <t>2025-11-24 07:22:11</t>
  </si>
  <si>
    <t>Kelmijos Sodų 36-oji g. 38, Vilniaus m., Vilniaus m. sav.</t>
  </si>
  <si>
    <t>2025-11-24 07:12:47</t>
  </si>
  <si>
    <t>2025-11-24 07:12:51</t>
  </si>
  <si>
    <t>2025-11-24 07:12:54</t>
  </si>
  <si>
    <t>Kelmijos Sodų 36-oji g. 8, Vilniaus m., Vilniaus m. sav.</t>
  </si>
  <si>
    <t>2025-11-24 07:12:55</t>
  </si>
  <si>
    <t>2025-11-24 07:12:57</t>
  </si>
  <si>
    <t>Sakalaičių Sodų 12-oji g. 5, Vilniaus m., Vilniaus m. sav.</t>
  </si>
  <si>
    <t>2025-11-24 07:13:01</t>
  </si>
  <si>
    <t>Raisteniškių g. 1, Vilniaus m., Vilniaus m. sav.</t>
  </si>
  <si>
    <t>2025-11-24 07:26:29</t>
  </si>
  <si>
    <t>Dusinėnų g. 164, Vilniaus m., Vilniaus m. sav.</t>
  </si>
  <si>
    <t>2025-11-24 07:13:05</t>
  </si>
  <si>
    <t>2025-11-24 07:13:09</t>
  </si>
  <si>
    <t>Aguonų g. 7, Vilniaus m., Vilniaus m. sav.</t>
  </si>
  <si>
    <t>2025-11-24 07:13:13</t>
  </si>
  <si>
    <t>2025-11-24 07:13:16</t>
  </si>
  <si>
    <t>Kalvos g. 7, Vilniaus m., Vilniaus m. sav.</t>
  </si>
  <si>
    <t>Zanavykų g. 4, Vilniaus m., Vilniaus m. sav.</t>
  </si>
  <si>
    <t>2025-11-24 07:13:23</t>
  </si>
  <si>
    <t>Sakalaičių Sodų 12-oji g. 1, Vilniaus m., Vilniaus m. sav.</t>
  </si>
  <si>
    <t>2025-11-24 07:13:24</t>
  </si>
  <si>
    <t>Kalvarijų g. 147, Vilniaus m., Vilniaus m. sav.</t>
  </si>
  <si>
    <t>2025-11-24 07:13:26</t>
  </si>
  <si>
    <t>Mykolo Lietuvio g. 55-2, Vilniaus m., Vilniaus m. sav.</t>
  </si>
  <si>
    <t>2025-11-24 07:19:04</t>
  </si>
  <si>
    <t>2025-11-24 07:13:27</t>
  </si>
  <si>
    <t>Raisteniškių g. 3, Vilniaus m., Vilniaus m. sav.</t>
  </si>
  <si>
    <t>2025-11-24 07:36:51</t>
  </si>
  <si>
    <t>Totorių g. 12, Vilniaus m., Vilniaus m. sav.</t>
  </si>
  <si>
    <t>2025-11-24 07:13:28</t>
  </si>
  <si>
    <t>Savanorių pr. 64, Vilniaus m., Vilniaus m. sav.</t>
  </si>
  <si>
    <t>2025-11-24 07:13:29</t>
  </si>
  <si>
    <t>Ukmergės g. 300E, Vilniaus m., Vilniaus m. sav.</t>
  </si>
  <si>
    <t>2025-11-24 07:13:31</t>
  </si>
  <si>
    <t>Smėlio g. 23, Vilniaus m., Vilniaus m. sav.</t>
  </si>
  <si>
    <t>2025-11-24 07:13:35</t>
  </si>
  <si>
    <t>2025-11-24 07:13:37</t>
  </si>
  <si>
    <t>J. Kubiliaus g. 18, Vilniaus m., Vilniaus m. sav.</t>
  </si>
  <si>
    <t>2025-11-24 07:13:39</t>
  </si>
  <si>
    <t>Architektų g. 37, Vilniaus m., Vilniaus m. sav.</t>
  </si>
  <si>
    <t>2025-11-24 07:13:55</t>
  </si>
  <si>
    <t>S. Stanevičiaus g. 2A, Vilniaus m., Vilniaus m. sav.</t>
  </si>
  <si>
    <t>2025-11-24 07:13:57</t>
  </si>
  <si>
    <t>Raisteniškių g. 8B, Vilniaus m., Vilniaus m. sav.</t>
  </si>
  <si>
    <t>Raisteniškių g. 8C, Vilniaus m., Vilniaus m. sav.</t>
  </si>
  <si>
    <t>2025-11-24 07:14:03</t>
  </si>
  <si>
    <t>Raisteniškių g. 8, Vilniaus m., Vilniaus m. sav.</t>
  </si>
  <si>
    <t>2025-11-24 07:38:29</t>
  </si>
  <si>
    <t>2025-11-24 07:14:05</t>
  </si>
  <si>
    <t>Aguonų g. 9A, Vilniaus m., Vilniaus m. sav.</t>
  </si>
  <si>
    <t>2025-11-24 07:14:06</t>
  </si>
  <si>
    <t>2025-11-24 07:14:08</t>
  </si>
  <si>
    <t>H. Radausko g. 5, Vilniaus m., Vilniaus m. sav.</t>
  </si>
  <si>
    <t>2025-11-24 07:14:13</t>
  </si>
  <si>
    <t>2025-11-24 07:14:19</t>
  </si>
  <si>
    <t>Totorių g. 5, Vilniaus m., Vilniaus m. sav.</t>
  </si>
  <si>
    <t>Raisteniškių g. 8A, Vilniaus m., Vilniaus m. sav.</t>
  </si>
  <si>
    <t>2025-11-24 07:14:21</t>
  </si>
  <si>
    <t>2025-11-24 09:44:53</t>
  </si>
  <si>
    <t>J. Kolaso g. 28, Vilniaus m., Vilniaus m. sav.</t>
  </si>
  <si>
    <t>2025-11-24 07:14:23</t>
  </si>
  <si>
    <t>2025-11-24 07:38:26</t>
  </si>
  <si>
    <t>2025-11-24 07:37:58</t>
  </si>
  <si>
    <t>2025-11-24 07:14:26</t>
  </si>
  <si>
    <t>2025-11-24 07:14:27</t>
  </si>
  <si>
    <t>Geležinio Vilko g. 2A, Vilniaus m., Vilniaus m. sav.</t>
  </si>
  <si>
    <t>2025-11-24 07:14:42</t>
  </si>
  <si>
    <t>H. Radausko g. 2, Vilniaus m., Vilniaus m. sav.</t>
  </si>
  <si>
    <t>2025-11-24 07:14:43</t>
  </si>
  <si>
    <t>2025-11-24 09:22:08</t>
  </si>
  <si>
    <t>2025-11-24 07:14:45</t>
  </si>
  <si>
    <t>2025-11-24 07:52:36</t>
  </si>
  <si>
    <t>2025-11-24 07:14:54</t>
  </si>
  <si>
    <t>H. Radausko g. 4, Vilniaus m., Vilniaus m. sav.</t>
  </si>
  <si>
    <t>H. Radausko g. 3, Vilniaus m., Vilniaus m. sav.</t>
  </si>
  <si>
    <t>2025-11-24 07:14:57</t>
  </si>
  <si>
    <t>Kelmijos Sodų 16-oji g. 3, Vilniaus m., Vilniaus m. sav.</t>
  </si>
  <si>
    <t>2025-11-24 07:15:00</t>
  </si>
  <si>
    <t>2025-11-24 07:15:01</t>
  </si>
  <si>
    <t>Savanorių pr. 74, Vilniaus m., Vilniaus m. sav.</t>
  </si>
  <si>
    <t>2025-11-24 07:15:05</t>
  </si>
  <si>
    <t>Gedimino pr. 29, Vilniaus m., Vilniaus m. sav.</t>
  </si>
  <si>
    <t>2025-11-24 07:15:06</t>
  </si>
  <si>
    <t>Eitminų g. 20, Vilniaus m., Vilniaus m. sav.</t>
  </si>
  <si>
    <t>2025-11-24 07:15:12</t>
  </si>
  <si>
    <t>Ozo g. 41, Vilniaus m., Vilniaus m. sav.</t>
  </si>
  <si>
    <t>2025-11-24 07:15:18</t>
  </si>
  <si>
    <t>Kelmijos Sodų 35-oji g. 9, Vilniaus m., Vilniaus m. sav.</t>
  </si>
  <si>
    <t>2025-11-24 07:15:23</t>
  </si>
  <si>
    <t>Kelmijos Sodų 16-oji g. 1, Vilniaus m., Vilniaus m. sav.</t>
  </si>
  <si>
    <t>2025-11-24 07:15:24</t>
  </si>
  <si>
    <t>Jurgio Baltrušaičio g. 9, Vilniaus m., Vilniaus m. sav.</t>
  </si>
  <si>
    <t>2025-11-24 07:15:26</t>
  </si>
  <si>
    <t>2025-11-24 07:15:31</t>
  </si>
  <si>
    <t>Aguonų g. 14, Vilniaus m., Vilniaus m. sav.</t>
  </si>
  <si>
    <t>2025-11-24 07:15:35</t>
  </si>
  <si>
    <t>Raisteniškių g. 5, Vilniaus m., Vilniaus m. sav.</t>
  </si>
  <si>
    <t>2025-11-24 07:38:11</t>
  </si>
  <si>
    <t>2025-11-24 07:15:40</t>
  </si>
  <si>
    <t>H. Radausko g. 6, Vilniaus m., Vilniaus m. sav.</t>
  </si>
  <si>
    <t>2025-11-24 07:15:42</t>
  </si>
  <si>
    <t>V. A. Graičiūno g. 36, Vilniaus m., Vilniaus m. sav.</t>
  </si>
  <si>
    <t>2025-11-24 07:15:48</t>
  </si>
  <si>
    <t>V. A. Graičiūno g. 36A, Vilniaus m., Vilniaus m. sav.</t>
  </si>
  <si>
    <t>2025-11-24 07:15:58</t>
  </si>
  <si>
    <t>Broniaus Krivicko g. 8, Vilniaus m., Vilniaus m. sav.</t>
  </si>
  <si>
    <t>Erfurto g. 1, Vilniaus m., Vilniaus m. sav.</t>
  </si>
  <si>
    <t>Zanavykų g. 7, Vilniaus m., Vilniaus m. sav.</t>
  </si>
  <si>
    <t>2025-11-24 07:16:00</t>
  </si>
  <si>
    <t>2025-11-24 07:16:03</t>
  </si>
  <si>
    <t>Kelmijos Sodų 17-oji g. 35, Vilniaus m., Vilniaus m. sav.</t>
  </si>
  <si>
    <t>2025-11-24 07:16:10</t>
  </si>
  <si>
    <t>P. Smuglevičiaus g. 1, Vilniaus m., Vilniaus m. sav.</t>
  </si>
  <si>
    <t>2025-11-24 07:16:11</t>
  </si>
  <si>
    <t>Raisteniškių g. 7, Vilniaus m., Vilniaus m. sav.</t>
  </si>
  <si>
    <t>2025-11-24 07:38:43</t>
  </si>
  <si>
    <t>V. A. Graičiūno g. 32, Vilniaus m., Vilniaus m. sav.</t>
  </si>
  <si>
    <t>2025-11-24 07:16:12</t>
  </si>
  <si>
    <t>2025-11-24 08:11:52</t>
  </si>
  <si>
    <t>Šaltkalvių g. 32, Vilniaus m., Vilniaus m. sav.</t>
  </si>
  <si>
    <t>2025-11-24 07:16:18</t>
  </si>
  <si>
    <t>Broniaus Krivicko g. 6, Vilniaus m., Vilniaus m. sav.</t>
  </si>
  <si>
    <t>2025-11-24 07:16:22</t>
  </si>
  <si>
    <t>2025-11-24 07:34:40</t>
  </si>
  <si>
    <t>2025-11-24 07:16:28</t>
  </si>
  <si>
    <t>Fabijoniškių g. 4, Vilniaus m., Vilniaus m. sav.</t>
  </si>
  <si>
    <t>2025-11-24 07:16:30</t>
  </si>
  <si>
    <t>H. Radausko g. 7, Vilniaus m., Vilniaus m. sav.</t>
  </si>
  <si>
    <t>2025-11-24 07:16:37</t>
  </si>
  <si>
    <t>Raisteniškių g. 14, Vilniaus m., Vilniaus m. sav.</t>
  </si>
  <si>
    <t>2025-11-24 07:16:39</t>
  </si>
  <si>
    <t>Salininkų g. 139-1, Vilniaus m., Vilniaus m. sav.</t>
  </si>
  <si>
    <t>2025-11-24 07:16:40</t>
  </si>
  <si>
    <t>H. Radausko g. 7-1, Vilniaus m., Vilniaus m. sav.</t>
  </si>
  <si>
    <t>2025-11-24 07:16:44</t>
  </si>
  <si>
    <t>2025-11-24 07:16:50</t>
  </si>
  <si>
    <t>Filaretų g. 82, Vilniaus m., Vilniaus m. sav.</t>
  </si>
  <si>
    <t>2025-11-24 07:31:40</t>
  </si>
  <si>
    <t>2025-11-24 07:16:56</t>
  </si>
  <si>
    <t>H. Radausko g. 8, Vilniaus m., Vilniaus m. sav.</t>
  </si>
  <si>
    <t>2025-11-24 07:16:58</t>
  </si>
  <si>
    <t>2025-11-24 07:17:02</t>
  </si>
  <si>
    <t>2025-11-24 07:17:07</t>
  </si>
  <si>
    <t>Raisteniškių g. 16, Vilniaus m., Vilniaus m. sav.</t>
  </si>
  <si>
    <t>2025-11-24 07:17:08</t>
  </si>
  <si>
    <t>2025-11-24 07:26:59</t>
  </si>
  <si>
    <t>Sakalaičių Sodų 11-oji g. 10, Vilniaus m., Vilniaus m. sav.</t>
  </si>
  <si>
    <t>2025-11-24 07:17:09</t>
  </si>
  <si>
    <t>Karaliaučiaus g. 7, Vilniaus m., Vilniaus m. sav.</t>
  </si>
  <si>
    <t>2025-11-24 07:17:12</t>
  </si>
  <si>
    <t>Gedvydžių g. 2, Vilniaus m., Vilniaus m. sav.</t>
  </si>
  <si>
    <t>2025-11-24 07:17:13</t>
  </si>
  <si>
    <t>2025-11-24 07:37:54</t>
  </si>
  <si>
    <t>Salininkų g. 156, Vilniaus m., Vilniaus m. sav.</t>
  </si>
  <si>
    <t>2025-11-24 07:17:15</t>
  </si>
  <si>
    <t>Vandentiekio g. 42, Vilniaus m., Vilniaus m. sav.</t>
  </si>
  <si>
    <t>2025-11-24 07:17:17</t>
  </si>
  <si>
    <t>Salininkų g. 158, Vilniaus m., Vilniaus m. sav.</t>
  </si>
  <si>
    <t>2025-11-24 07:17:18</t>
  </si>
  <si>
    <t>2025-11-24 07:17:20</t>
  </si>
  <si>
    <t>2025-11-24 07:18:09</t>
  </si>
  <si>
    <t>Sakalaičių Sodų 11-oji g. 9, Vilniaus m., Vilniaus m. sav.</t>
  </si>
  <si>
    <t>2025-11-24 07:17:28</t>
  </si>
  <si>
    <t>2025-11-24 07:17:30</t>
  </si>
  <si>
    <t>2025-11-24 07:17:33</t>
  </si>
  <si>
    <t>2025-11-24 07:26:30</t>
  </si>
  <si>
    <t>Salininkų g. 154, Vilniaus m., Vilniaus m. sav.</t>
  </si>
  <si>
    <t>2025-11-24 07:17:36</t>
  </si>
  <si>
    <t>Sakalaičių Sodų 11-oji g. 8, Vilniaus m., Vilniaus m. sav.</t>
  </si>
  <si>
    <t>2025-11-24 07:22:15</t>
  </si>
  <si>
    <t>2025-11-24 07:17:38</t>
  </si>
  <si>
    <t>H. Radausko g. 10, Vilniaus m., Vilniaus m. sav.</t>
  </si>
  <si>
    <t>2025-11-24 07:17:52</t>
  </si>
  <si>
    <t>H. Radausko g. 12, Vilniaus m., Vilniaus m. sav.</t>
  </si>
  <si>
    <t>Filaretų g. 80B, Vilniaus m., Vilniaus m. sav.</t>
  </si>
  <si>
    <t>2025-11-24 07:17:53</t>
  </si>
  <si>
    <t>Raisteniškių g. 18, Vilniaus m., Vilniaus m. sav.</t>
  </si>
  <si>
    <t>2025-11-24 07:38:46</t>
  </si>
  <si>
    <t>2025-11-24 07:18:03</t>
  </si>
  <si>
    <t>2025-11-24 07:18:04</t>
  </si>
  <si>
    <t>Sakalaičių Sodų 11-oji g. 5, Vilniaus m., Vilniaus m. sav.</t>
  </si>
  <si>
    <t>Kelmijos Sodų 36-oji g. 80, Vilniaus m., Vilniaus m. sav.</t>
  </si>
  <si>
    <t>2025-11-24 07:18:10</t>
  </si>
  <si>
    <t>Kalvarijų g. 294, Vilniaus m., Vilniaus m. sav.</t>
  </si>
  <si>
    <t>2025-11-24 07:18:11</t>
  </si>
  <si>
    <t>Salininkų g. 142, Vilniaus m., Vilniaus m. sav.</t>
  </si>
  <si>
    <t>2025-11-24 07:18:13</t>
  </si>
  <si>
    <t>2025-11-24 07:18:14</t>
  </si>
  <si>
    <t>2025-11-24 07:18:17</t>
  </si>
  <si>
    <t>Salininkų g. 146, Vilniaus m., Vilniaus m. sav.</t>
  </si>
  <si>
    <t>2025-11-24 07:18:23</t>
  </si>
  <si>
    <t>2025-11-24 07:18:33</t>
  </si>
  <si>
    <t>Raisteniškių g. 13, Vilniaus m., Vilniaus m. sav.</t>
  </si>
  <si>
    <t>2025-11-24 07:39:04</t>
  </si>
  <si>
    <t>2025-11-24 07:40:48</t>
  </si>
  <si>
    <t>2025-11-24 07:18:37</t>
  </si>
  <si>
    <t>2025-11-24 07:18:38</t>
  </si>
  <si>
    <t>Filaretų g. 80, Vilniaus m., Vilniaus m. sav.</t>
  </si>
  <si>
    <t>2025-11-24 07:31:43</t>
  </si>
  <si>
    <t>2025-11-24 07:18:49</t>
  </si>
  <si>
    <t>2025-11-24 07:18:50</t>
  </si>
  <si>
    <t>V. A. Graičiūno g. 38, Vilniaus m., Vilniaus m. sav.</t>
  </si>
  <si>
    <t>2025-11-24 07:20:44</t>
  </si>
  <si>
    <t>2025-11-24 07:50:13</t>
  </si>
  <si>
    <t>Sakalaičių Sodų 11-oji g. 3, Vilniaus m., Vilniaus m. sav.</t>
  </si>
  <si>
    <t>2025-11-24 07:18:52</t>
  </si>
  <si>
    <t>2025-11-24 07:18:57</t>
  </si>
  <si>
    <t>2025-11-24 07:18:58</t>
  </si>
  <si>
    <t>Šaltkalvių g. 30, Vilniaus m., Vilniaus m. sav.</t>
  </si>
  <si>
    <t>Broniaus Krivicko g. 10, Vilniaus m., Vilniaus m. sav.</t>
  </si>
  <si>
    <t>2025-11-24 07:19:00</t>
  </si>
  <si>
    <t>Filaretų g. 80-2, Vilniaus m., Vilniaus m. sav.</t>
  </si>
  <si>
    <t>2025-11-24 07:19:02</t>
  </si>
  <si>
    <t>2025-11-24 07:31:48</t>
  </si>
  <si>
    <t>2025-11-24 07:19:09</t>
  </si>
  <si>
    <t>Raisteniškių g. 20A, Vilniaus m., Vilniaus m. sav.</t>
  </si>
  <si>
    <t>2025-11-24 07:19:10</t>
  </si>
  <si>
    <t>2025-11-24 07:19:11</t>
  </si>
  <si>
    <t>Architektų g. 98, Vilniaus m., Vilniaus m. sav.</t>
  </si>
  <si>
    <t>2025-11-24 07:19:12</t>
  </si>
  <si>
    <t>O. Miciūtės g. 14, Vilniaus m., Vilniaus m. sav.</t>
  </si>
  <si>
    <t>2025-11-24 07:19:15</t>
  </si>
  <si>
    <t>Raisteniškių g. 20C, Vilniaus m., Vilniaus m. sav.</t>
  </si>
  <si>
    <t>2025-11-24 07:19:16</t>
  </si>
  <si>
    <t>2025-11-24 07:19:24</t>
  </si>
  <si>
    <t>Aukštaičių g. 10, Vilniaus m., Vilniaus m. sav.</t>
  </si>
  <si>
    <t>2025-11-24 07:19:25</t>
  </si>
  <si>
    <t>2025-11-24 07:19:27</t>
  </si>
  <si>
    <t>2025-11-24 07:19:28</t>
  </si>
  <si>
    <t>2025-11-24 07:53:20</t>
  </si>
  <si>
    <t>O. Miciūtės g. 18, Vilniaus m., Vilniaus m. sav.</t>
  </si>
  <si>
    <t>2025-11-24 07:19:29</t>
  </si>
  <si>
    <t>Kelmijos Sodų 43-ioji g. 3, Vilniaus m., Vilniaus m. sav.</t>
  </si>
  <si>
    <t>Gedimino pr. 15A, Vilniaus m., Vilniaus m. sav.</t>
  </si>
  <si>
    <t>2025-11-24 07:19:31</t>
  </si>
  <si>
    <t>Kelmijos Sodų 36-oji g. 60, Vilniaus m., Vilniaus m. sav.</t>
  </si>
  <si>
    <t>2025-11-24 07:19:35</t>
  </si>
  <si>
    <t>Kelmijos Sodų 43-ioji g. 1, Vilniaus m., Vilniaus m. sav.</t>
  </si>
  <si>
    <t>2025-11-24 07:19:38</t>
  </si>
  <si>
    <t>Filaretų g. 76, Vilniaus m., Vilniaus m. sav.</t>
  </si>
  <si>
    <t>Eitminų g. 3, Vilniaus m., Vilniaus m. sav.</t>
  </si>
  <si>
    <t>2025-11-24 07:34:52</t>
  </si>
  <si>
    <t>O. Miciūtės g. 20, Vilniaus m., Vilniaus m. sav.</t>
  </si>
  <si>
    <t>2025-11-24 07:19:41</t>
  </si>
  <si>
    <t>Raisteniškių g. 20D, Vilniaus m., Vilniaus m. sav.</t>
  </si>
  <si>
    <t>2025-11-24 07:40:50</t>
  </si>
  <si>
    <t>2025-11-24 07:19:44</t>
  </si>
  <si>
    <t>Deltuvos g. 31, Vilniaus m., Vilniaus m. sav.</t>
  </si>
  <si>
    <t>2025-11-24 07:19:45</t>
  </si>
  <si>
    <t>Raisteniškių g. 20B, Vilniaus m., Vilniaus m. sav.</t>
  </si>
  <si>
    <t>2025-11-24 07:19:47</t>
  </si>
  <si>
    <t>Gerosios Vilties g. 25, Vilniaus m., Vilniaus m. sav.</t>
  </si>
  <si>
    <t>2025-11-24 07:19:50</t>
  </si>
  <si>
    <t>Ukmergės g. 239, Vilniaus m., Vilniaus m. sav.</t>
  </si>
  <si>
    <t>2025-11-24 07:20:05</t>
  </si>
  <si>
    <t>Kelmijos Sodų 43-ioji g. 7, Vilniaus m., Vilniaus m. sav.</t>
  </si>
  <si>
    <t>2025-11-24 07:20:08</t>
  </si>
  <si>
    <t>O. Miciūtės g. 21, Vilniaus m., Vilniaus m. sav.</t>
  </si>
  <si>
    <t>2025-11-24 07:20:12</t>
  </si>
  <si>
    <t>Kruopų g. 11, Vilniaus m., Vilniaus m. sav.</t>
  </si>
  <si>
    <t>2025-11-24 07:20:14</t>
  </si>
  <si>
    <t>Filaretų g. 78-2, Vilniaus m., Vilniaus m. sav.</t>
  </si>
  <si>
    <t>2025-11-24 07:20:15</t>
  </si>
  <si>
    <t>Šilo g. 5A, Vilniaus m., Vilniaus m. sav.</t>
  </si>
  <si>
    <t>2025-11-24 07:20:16</t>
  </si>
  <si>
    <t>2025-11-24 07:20:17</t>
  </si>
  <si>
    <t>2025-11-24 07:20:18</t>
  </si>
  <si>
    <t>2025-11-24 08:02:43</t>
  </si>
  <si>
    <t>2025-11-24 07:20:19</t>
  </si>
  <si>
    <t>2025-11-24 07:20:20</t>
  </si>
  <si>
    <t>2025-11-24 07:31:57</t>
  </si>
  <si>
    <t>2025-11-24 07:20:21</t>
  </si>
  <si>
    <t>Kelmijos Sodų 36-oji g. 54, Vilniaus m., Vilniaus m. sav.</t>
  </si>
  <si>
    <t>2025-11-24 07:20:22</t>
  </si>
  <si>
    <t>2025-11-24 07:32:02</t>
  </si>
  <si>
    <t>2025-11-24 07:20:24</t>
  </si>
  <si>
    <t>2025-11-24 07:20:25</t>
  </si>
  <si>
    <t>Kelmijos Sodų 43-ioji g. 11A, Vilniaus m., Vilniaus m. sav.</t>
  </si>
  <si>
    <t>2025-11-24 07:20:27</t>
  </si>
  <si>
    <t>Raisteniškių g. 20, Vilniaus m., Vilniaus m. sav.</t>
  </si>
  <si>
    <t>2025-11-24 07:41:42</t>
  </si>
  <si>
    <t>2025-11-24 07:20:28</t>
  </si>
  <si>
    <t>2025-11-24 07:20:29</t>
  </si>
  <si>
    <t>Jogailos g. 3, Vilniaus m., Vilniaus m. sav.</t>
  </si>
  <si>
    <t>2025-11-24 07:20:31</t>
  </si>
  <si>
    <t>Raisteniškių g. 20E, Vilniaus m., Vilniaus m. sav.</t>
  </si>
  <si>
    <t>2025-11-24 07:41:15</t>
  </si>
  <si>
    <t>2025-11-24 07:20:37</t>
  </si>
  <si>
    <t>V. A. Graičiūno g. 38A, Vilniaus m., Vilniaus m. sav.</t>
  </si>
  <si>
    <t>2025-11-24 07:20:58</t>
  </si>
  <si>
    <t>O. Miciūtės g. 19, Vilniaus m., Vilniaus m. sav.</t>
  </si>
  <si>
    <t>2025-11-24 07:21:00</t>
  </si>
  <si>
    <t>2025-11-24 08:03:25</t>
  </si>
  <si>
    <t>Kalvarijų g. 290, Vilniaus m., Vilniaus m. sav.</t>
  </si>
  <si>
    <t>2025-11-24 07:21:01</t>
  </si>
  <si>
    <t>Kelmijos Sodų 38-oji g. 4, Vilniaus m., Vilniaus m. sav.</t>
  </si>
  <si>
    <t>2025-11-24 07:21:03</t>
  </si>
  <si>
    <t>Gabijos g. 4, Vilniaus m., Vilniaus m. sav.</t>
  </si>
  <si>
    <t>2025-11-24 07:21:04</t>
  </si>
  <si>
    <t>O. Miciūtės g. 16, Vilniaus m., Vilniaus m. sav.</t>
  </si>
  <si>
    <t>2025-11-24 07:21:06</t>
  </si>
  <si>
    <t>Filaretų g. 87B, Vilniaus m., Vilniaus m. sav.</t>
  </si>
  <si>
    <t>2025-11-24 07:32:11</t>
  </si>
  <si>
    <t>2025-11-24 07:21:07</t>
  </si>
  <si>
    <t>2025-11-24 07:41:46</t>
  </si>
  <si>
    <t>2025-11-24 07:41:28</t>
  </si>
  <si>
    <t>2025-11-24 07:21:10</t>
  </si>
  <si>
    <t>2025-11-24 07:32:15</t>
  </si>
  <si>
    <t>2025-11-24 07:21:13</t>
  </si>
  <si>
    <t>2025-11-24 07:21:17</t>
  </si>
  <si>
    <t>Kelmijos Sodų 38-oji g. 1, Vilniaus m., Vilniaus m. sav.</t>
  </si>
  <si>
    <t>2025-11-24 07:28:03</t>
  </si>
  <si>
    <t>2025-11-24 07:21:18</t>
  </si>
  <si>
    <t>2025-11-24 07:21:22</t>
  </si>
  <si>
    <t>2025-11-24 07:21:24</t>
  </si>
  <si>
    <t>2025-11-24 07:21:34</t>
  </si>
  <si>
    <t>Broniaus Krivicko g. 18A, Vilniaus m., Vilniaus m. sav.</t>
  </si>
  <si>
    <t>Broniaus Krivicko g. 18, Vilniaus m., Vilniaus m. sav.</t>
  </si>
  <si>
    <t>2025-11-24 07:21:36</t>
  </si>
  <si>
    <t>2025-11-24 07:21:37</t>
  </si>
  <si>
    <t>Šaltkalvių g. 2, Vilniaus m., Vilniaus m. sav.</t>
  </si>
  <si>
    <t>2025-11-24 07:21:41</t>
  </si>
  <si>
    <t>Kelmijos Sodų 34-oji g. 1, Vilniaus m., Vilniaus m. sav.</t>
  </si>
  <si>
    <t>2025-11-24 07:21:44</t>
  </si>
  <si>
    <t>Perkūnkiemio g. 18, Vilniaus m., Vilniaus m. sav.</t>
  </si>
  <si>
    <t>2025-11-24 07:21:46</t>
  </si>
  <si>
    <t>2025-11-24 07:21:50</t>
  </si>
  <si>
    <t>O. Miciūtės g. 17, Vilniaus m., Vilniaus m. sav.</t>
  </si>
  <si>
    <t>2025-11-24 07:21:51</t>
  </si>
  <si>
    <t>Garsioji g. 29A, Vilniaus m., Vilniaus m. sav.</t>
  </si>
  <si>
    <t>2025-11-24 07:21:56</t>
  </si>
  <si>
    <t>Filaretų g. 87, Vilniaus m., Vilniaus m. sav.</t>
  </si>
  <si>
    <t>2025-11-24 07:21:57</t>
  </si>
  <si>
    <t>Kelmijos Sodų 43-ioji g. 17, Vilniaus m., Vilniaus m. sav.</t>
  </si>
  <si>
    <t>2025-11-24 07:21:58</t>
  </si>
  <si>
    <t>Pelesos g. 15, Vilniaus m., Vilniaus m. sav.</t>
  </si>
  <si>
    <t>2025-11-24 07:22:02</t>
  </si>
  <si>
    <t>M. K. Oginskio g. 24, Vilniaus m., Vilniaus m. sav.</t>
  </si>
  <si>
    <t>2025-11-24 07:22:03</t>
  </si>
  <si>
    <t>2025-11-24 07:22:05</t>
  </si>
  <si>
    <t>Raisteniškių g. 22, Vilniaus m., Vilniaus m. sav.</t>
  </si>
  <si>
    <t>Jogailos g. 9A, Vilniaus m., Vilniaus m. sav.</t>
  </si>
  <si>
    <t>2025-11-24 07:22:06</t>
  </si>
  <si>
    <t>Kelmijos Sodų 43-ioji g. 15, Vilniaus m., Vilniaus m. sav.</t>
  </si>
  <si>
    <t>Karaliaučiaus g. 3, Vilniaus m., Vilniaus m. sav.</t>
  </si>
  <si>
    <t>2025-11-24 07:22:17</t>
  </si>
  <si>
    <t>2025-11-24 09:22:10</t>
  </si>
  <si>
    <t>2025-11-24 07:35:05</t>
  </si>
  <si>
    <t>2025-11-24 07:22:21</t>
  </si>
  <si>
    <t>Jogailos g. 7, Vilniaus m., Vilniaus m. sav.</t>
  </si>
  <si>
    <t>2025-11-24 07:22:24</t>
  </si>
  <si>
    <t>Broniaus Krivicko g. 16, Vilniaus m., Vilniaus m. sav.</t>
  </si>
  <si>
    <t>O. Miciūtės g. 2-1, Vilniaus m., Vilniaus m. sav.</t>
  </si>
  <si>
    <t>2025-11-24 07:22:27</t>
  </si>
  <si>
    <t>Kelmijos Sodų 33-ioji g. 43, Vilniaus m., Vilniaus m. sav.</t>
  </si>
  <si>
    <t>2025-11-24 07:22:29</t>
  </si>
  <si>
    <t>Raisteniškių g. 15, Vilniaus m., Vilniaus m. sav.</t>
  </si>
  <si>
    <t>2025-11-24 07:22:35</t>
  </si>
  <si>
    <t>Architektų g. 49, Vilniaus m., Vilniaus m. sav.</t>
  </si>
  <si>
    <t>2025-11-24 07:22:42</t>
  </si>
  <si>
    <t>Filaretų g. 74-1, Vilniaus m., Vilniaus m. sav.</t>
  </si>
  <si>
    <t>2025-11-24 07:32:27</t>
  </si>
  <si>
    <t>2025-11-24 07:22:47</t>
  </si>
  <si>
    <t>V. A. Graičiūno g. 20B, Vilniaus m., Vilniaus m. sav.</t>
  </si>
  <si>
    <t>2025-11-24 07:22:48</t>
  </si>
  <si>
    <t>Filaretų g. 87A, Vilniaus m., Vilniaus m. sav.</t>
  </si>
  <si>
    <t>2025-11-24 07:22:50</t>
  </si>
  <si>
    <t>O. Miciūtės g. 12, Vilniaus m., Vilniaus m. sav.</t>
  </si>
  <si>
    <t>2025-11-24 07:23:00</t>
  </si>
  <si>
    <t>Broniaus Krivickio g. 14, Vilniaus m., Vilniaus m. sav.</t>
  </si>
  <si>
    <t>2025-11-24 07:23:02</t>
  </si>
  <si>
    <t>2025-11-24 07:23:04</t>
  </si>
  <si>
    <t>2025-11-24 07:23:08</t>
  </si>
  <si>
    <t>O. Miciūtės g. 23, Vilniaus m., Vilniaus m. sav.</t>
  </si>
  <si>
    <t>2025-11-24 07:23:11</t>
  </si>
  <si>
    <t>Raisteniškių g. 24, Vilniaus m., Vilniaus m. sav.</t>
  </si>
  <si>
    <t>2025-11-24 07:23:17</t>
  </si>
  <si>
    <t>2025-11-24 07:37:12</t>
  </si>
  <si>
    <t>Kelmijos Sodų 44-oji g. 1, Vilniaus m., Vilniaus m. sav.</t>
  </si>
  <si>
    <t>Gerosios Vilties g. 18, Vilniaus m., Vilniaus m. sav.</t>
  </si>
  <si>
    <t>2025-11-24 07:23:20</t>
  </si>
  <si>
    <t>O. Miciūtės g. 13, Vilniaus m., Vilniaus m. sav.</t>
  </si>
  <si>
    <t>2025-11-24 07:23:22</t>
  </si>
  <si>
    <t>Sakalaičių Sodų 10-oji g. 12, Vilniaus m., Vilniaus m. sav.</t>
  </si>
  <si>
    <t>2025-11-24 07:32:51</t>
  </si>
  <si>
    <t>2025-11-24 07:23:23</t>
  </si>
  <si>
    <t>Kelmijos Sodų 34-oji g. 3A, Vilniaus m., Vilniaus m. sav.</t>
  </si>
  <si>
    <t>2025-11-24 07:23:28</t>
  </si>
  <si>
    <t>V. A. Graičiūno g. 34, Vilniaus m., Vilniaus m. sav.</t>
  </si>
  <si>
    <t>O. Miciūtės g. 15, Vilniaus m., Vilniaus m. sav.</t>
  </si>
  <si>
    <t>2025-11-24 07:27:58</t>
  </si>
  <si>
    <t>2025-11-24 07:23:31</t>
  </si>
  <si>
    <t>Gabijos g. 2B, Vilniaus m., Vilniaus m. sav.</t>
  </si>
  <si>
    <t>2025-11-24 07:23:32</t>
  </si>
  <si>
    <t>O. Miciūtės g. 11, Vilniaus m., Vilniaus m. sav.</t>
  </si>
  <si>
    <t>2025-11-24 07:23:34</t>
  </si>
  <si>
    <t>Broniaus Krivicko g. 12, Vilniaus m., Vilniaus m. sav.</t>
  </si>
  <si>
    <t>2025-11-24 07:23:36</t>
  </si>
  <si>
    <t>Kalvarijų g. 282B, Vilniaus m., Vilniaus m. sav.</t>
  </si>
  <si>
    <t>2025-11-24 07:23:38</t>
  </si>
  <si>
    <t>2025-11-24 07:23:40</t>
  </si>
  <si>
    <t>Ukmergės g. 233, Vilniaus m., Vilniaus m. sav.</t>
  </si>
  <si>
    <t>2025-11-24 07:23:44</t>
  </si>
  <si>
    <t>2025-11-24 07:23:48</t>
  </si>
  <si>
    <t>2025-11-24 07:23:49</t>
  </si>
  <si>
    <t>Kelmijos Sodų 34-oji g. 5, Vilniaus m., Vilniaus m. sav.</t>
  </si>
  <si>
    <t>2025-11-24 07:28:04</t>
  </si>
  <si>
    <t>2025-11-24 07:23:50</t>
  </si>
  <si>
    <t>Sakalaičių Sodų 10-oji g. 11, Vilniaus m., Vilniaus m. sav.</t>
  </si>
  <si>
    <t>2025-11-24 07:32:52</t>
  </si>
  <si>
    <t>Perkūnkiemio g. 12, Vilniaus m., Vilniaus m. sav.</t>
  </si>
  <si>
    <t>2025-11-24 07:23:54</t>
  </si>
  <si>
    <t>Žarijų g. 4A, Vilniaus m., Vilniaus m. sav.</t>
  </si>
  <si>
    <t>2025-11-24 07:23:56</t>
  </si>
  <si>
    <t>Sakalaičių Sodų 10-oji g. 8, Vilniaus m., Vilniaus m. sav.</t>
  </si>
  <si>
    <t>2025-11-24 07:32:53</t>
  </si>
  <si>
    <t>2025-11-24 07:24:01</t>
  </si>
  <si>
    <t>Kelmijos Sodų 44-oji g. 3, Vilniaus m., Vilniaus m. sav.</t>
  </si>
  <si>
    <t>2025-11-24 07:24:04</t>
  </si>
  <si>
    <t>Sakalaičių Sodų 10-oji g. 5, Vilniaus m., Vilniaus m. sav.</t>
  </si>
  <si>
    <t>2025-11-24 07:24:05</t>
  </si>
  <si>
    <t>Kelmijos Sodų 34-oji g. 11, Vilniaus m., Vilniaus m. sav.</t>
  </si>
  <si>
    <t>2025-11-24 07:24:08</t>
  </si>
  <si>
    <t>2025-11-24 07:24:10</t>
  </si>
  <si>
    <t>Sakalaičių Sodų 10-oji g. 4, Vilniaus m., Vilniaus m. sav.</t>
  </si>
  <si>
    <t>2025-11-24 07:24:12</t>
  </si>
  <si>
    <t>Raisteniškių g. 24A, Vilniaus m., Vilniaus m. sav.</t>
  </si>
  <si>
    <t>2025-11-24 07:24:13</t>
  </si>
  <si>
    <t>2025-11-24 07:24:17</t>
  </si>
  <si>
    <t>Kelmijos Sodų 34-oji g. 19, Vilniaus m., Vilniaus m. sav.</t>
  </si>
  <si>
    <t>2025-11-24 07:24:18</t>
  </si>
  <si>
    <t>2025-11-24 07:24:20</t>
  </si>
  <si>
    <t>O. Miciūtės g. 5, Vilniaus m., Vilniaus m. sav.</t>
  </si>
  <si>
    <t>2025-11-24 07:24:24</t>
  </si>
  <si>
    <t>Broniaus Krivicko g. 10A, Vilniaus m., Vilniaus m. sav.</t>
  </si>
  <si>
    <t>Sakalaičių Sodų 10-oji g. 1, Vilniaus m., Vilniaus m. sav.</t>
  </si>
  <si>
    <t>2025-11-24 07:24:30</t>
  </si>
  <si>
    <t>2025-11-24 07:24:32</t>
  </si>
  <si>
    <t>O. Miciūtės g. 10-1, Vilniaus m., Vilniaus m. sav.</t>
  </si>
  <si>
    <t>2025-11-24 07:24:36</t>
  </si>
  <si>
    <t>2025-11-24 09:33:03</t>
  </si>
  <si>
    <t>Filaretų g. 85A, Vilniaus m., Vilniaus m. sav.</t>
  </si>
  <si>
    <t>2025-11-24 07:24:41</t>
  </si>
  <si>
    <t>Gražinos g. 8, Vilniaus m., Vilniaus m. sav.</t>
  </si>
  <si>
    <t>2025-11-24 07:31:39</t>
  </si>
  <si>
    <t>2025-11-24 07:24:44</t>
  </si>
  <si>
    <t>2025-11-24 07:24:46</t>
  </si>
  <si>
    <t>Laisvės pr. 111, Vilniaus m., Vilniaus m. sav.</t>
  </si>
  <si>
    <t>2025-11-24 07:24:54</t>
  </si>
  <si>
    <t>2025-11-24 07:24:55</t>
  </si>
  <si>
    <t>Laisvės pr. 99, Vilniaus m., Vilniaus m. sav.</t>
  </si>
  <si>
    <t>2025-11-24 07:24:56</t>
  </si>
  <si>
    <t>2025-11-24 07:25:00</t>
  </si>
  <si>
    <t>2025-11-24 07:32:38</t>
  </si>
  <si>
    <t>Aguonų g. 24, Vilniaus m., Vilniaus m. sav.</t>
  </si>
  <si>
    <t>2025-11-24 07:25:01</t>
  </si>
  <si>
    <t>Sakalaičių Sodų 9-oji g. 2, Vilniaus m., Vilniaus m. sav.</t>
  </si>
  <si>
    <t>Pilaitės pr. 20, Vilniaus m., Vilniaus m. sav.</t>
  </si>
  <si>
    <t>2025-11-24 07:25:04</t>
  </si>
  <si>
    <t>2025-11-24 07:25:07</t>
  </si>
  <si>
    <t>Kelmijos Sodų 44-oji g. 7, Vilniaus m., Vilniaus m. sav.</t>
  </si>
  <si>
    <t>2025-11-24 07:25:09</t>
  </si>
  <si>
    <t>Raisteniškių g. 19, Vilniaus m., Vilniaus m. sav.</t>
  </si>
  <si>
    <t>2025-11-24 07:25:13</t>
  </si>
  <si>
    <t>Kelmijos Sodų 44-oji g. 6, Vilniaus m., Vilniaus m. sav.</t>
  </si>
  <si>
    <t>2025-11-24 07:25:15</t>
  </si>
  <si>
    <t>Architektų g. 102, Vilniaus m., Vilniaus m. sav.</t>
  </si>
  <si>
    <t>2025-11-24 07:25:17</t>
  </si>
  <si>
    <t>Kelmijos Sodų 44-oji g. 8, Vilniaus m., Vilniaus m. sav.</t>
  </si>
  <si>
    <t>2025-11-24 07:25:19</t>
  </si>
  <si>
    <t>Kelmijos Sodų 34-oji g. 46, Vilniaus m., Vilniaus m. sav.</t>
  </si>
  <si>
    <t>2025-11-24 07:25:20</t>
  </si>
  <si>
    <t>2025-11-24 07:25:23</t>
  </si>
  <si>
    <t>2025-11-24 07:42:11</t>
  </si>
  <si>
    <t>2025-11-24 07:25:26</t>
  </si>
  <si>
    <t>2025-11-24 07:35:25</t>
  </si>
  <si>
    <t>Raugyklos g. 25, Vilniaus m., Vilniaus m. sav.</t>
  </si>
  <si>
    <t>2025-11-24 07:25:27</t>
  </si>
  <si>
    <t>Sakalaičių Sodų 9-oji g. 5, Vilniaus m., Vilniaus m. sav.</t>
  </si>
  <si>
    <t>2025-11-24 07:25:30</t>
  </si>
  <si>
    <t>Zanavykų g. 3, Vilniaus m., Vilniaus m. sav.</t>
  </si>
  <si>
    <t>2025-11-24 07:25:32</t>
  </si>
  <si>
    <t>2025-11-24 07:31:17</t>
  </si>
  <si>
    <t>2025-11-24 07:25:33</t>
  </si>
  <si>
    <t>Sakalaičių Sodų 9-oji g. 6, Vilniaus m., Vilniaus m. sav.</t>
  </si>
  <si>
    <t>2025-11-24 07:25:36</t>
  </si>
  <si>
    <t>O. Miciūtės g. 3, Vilniaus m., Vilniaus m. sav.</t>
  </si>
  <si>
    <t>2025-11-24 07:25:39</t>
  </si>
  <si>
    <t>Sakalaičių Sodų 9-oji g. 7, Vilniaus m., Vilniaus m. sav.</t>
  </si>
  <si>
    <t>2025-11-24 07:25:40</t>
  </si>
  <si>
    <t>2025-11-24 07:35:28</t>
  </si>
  <si>
    <t>2025-11-24 07:25:48</t>
  </si>
  <si>
    <t>O. Miciūtės g. 8, Vilniaus m., Vilniaus m. sav.</t>
  </si>
  <si>
    <t>Sakalaičių Sodų 9-oji g. 9A, Vilniaus m., Vilniaus m. sav.</t>
  </si>
  <si>
    <t>2025-11-24 07:25:49</t>
  </si>
  <si>
    <t>2025-11-24 07:25:52</t>
  </si>
  <si>
    <t>Filaretų g. 74-3, Vilniaus m., Vilniaus m. sav.</t>
  </si>
  <si>
    <t>2025-11-24 07:32:47</t>
  </si>
  <si>
    <t>2025-11-24 07:25:58</t>
  </si>
  <si>
    <t>2025-11-24 07:26:00</t>
  </si>
  <si>
    <t>Kauno g. 3, Vilniaus m., Vilniaus m. sav.</t>
  </si>
  <si>
    <t>2025-11-24 07:26:02</t>
  </si>
  <si>
    <t>Filaretų g. 74C, Vilniaus m., Vilniaus m. sav.</t>
  </si>
  <si>
    <t>2025-11-24 07:32:50</t>
  </si>
  <si>
    <t>Filaretų g. 74D, Vilniaus m., Vilniaus m. sav.</t>
  </si>
  <si>
    <t>2025-11-24 07:26:04</t>
  </si>
  <si>
    <t>2025-11-24 07:26:08</t>
  </si>
  <si>
    <t>2025-11-24 07:33:01</t>
  </si>
  <si>
    <t>2025-11-24 07:26:16</t>
  </si>
  <si>
    <t>Gedvydžių g. 18, Vilniaus m., Vilniaus m. sav.</t>
  </si>
  <si>
    <t>A. Strazdelio g. 3, Vilniaus m., Vilniaus m. sav.</t>
  </si>
  <si>
    <t>2025-11-24 07:26:19</t>
  </si>
  <si>
    <t>Elbingo g. 19, Vilniaus m., Vilniaus m. sav.</t>
  </si>
  <si>
    <t>2025-11-24 07:26:20</t>
  </si>
  <si>
    <t>Broniaus Krivicko g. 26-2, Vilniaus m., Vilniaus m. sav.</t>
  </si>
  <si>
    <t>Broniaus Krivicko g. 26-1, Vilniaus m., Vilniaus m. sav.</t>
  </si>
  <si>
    <t>2025-11-24 07:26:22</t>
  </si>
  <si>
    <t>2025-11-24 07:33:46</t>
  </si>
  <si>
    <t>O. Miciūtės g. 1, Vilniaus m., Vilniaus m. sav.</t>
  </si>
  <si>
    <t>2025-11-24 07:26:23</t>
  </si>
  <si>
    <t>2025-11-24 07:26:28</t>
  </si>
  <si>
    <t>V. Daunio g. 12, Vilniaus m., Vilniaus m. sav.</t>
  </si>
  <si>
    <t>Kelmijos Sodų 44-oji g. 11, Vilniaus m., Vilniaus m. sav.</t>
  </si>
  <si>
    <t>Jogailos g. 11, Vilniaus m., Vilniaus m. sav.</t>
  </si>
  <si>
    <t>2025-11-24 07:37:47</t>
  </si>
  <si>
    <t>Sakalaičių Sodų 9-oji g. 11, Vilniaus m., Vilniaus m. sav.</t>
  </si>
  <si>
    <t>2025-11-24 07:26:31</t>
  </si>
  <si>
    <t>Kalvarijų g. 276, Vilniaus m., Vilniaus m. sav.</t>
  </si>
  <si>
    <t>2025-11-24 07:26:36</t>
  </si>
  <si>
    <t>Aguonų g. 26, Vilniaus m., Vilniaus m. sav.</t>
  </si>
  <si>
    <t>2025-11-24 07:26:38</t>
  </si>
  <si>
    <t>O. Miciūtės g. 6-1, Vilniaus m., Vilniaus m. sav.</t>
  </si>
  <si>
    <t>2025-11-24 07:26:41</t>
  </si>
  <si>
    <t>Fabijoniškių g. 5D, Vilniaus m., Vilniaus m. sav.</t>
  </si>
  <si>
    <t>2025-11-24 07:26:44</t>
  </si>
  <si>
    <t>Siesikų g. 14, Vilniaus m., Vilniaus m. sav.</t>
  </si>
  <si>
    <t>2025-11-24 07:26:49</t>
  </si>
  <si>
    <t>Kelmijos Sodų 34-oji g. 54, Vilniaus m., Vilniaus m. sav.</t>
  </si>
  <si>
    <t>2025-11-24 07:26:57</t>
  </si>
  <si>
    <t>2025-11-24 07:26:58</t>
  </si>
  <si>
    <t>Bieliūnų g. 1, Vilniaus m., Vilniaus m. sav.</t>
  </si>
  <si>
    <t>Kelmijos Sodų 34-oji g. 58, Vilniaus m., Vilniaus m. sav.</t>
  </si>
  <si>
    <t>2025-11-24 07:27:05</t>
  </si>
  <si>
    <t>Kelmijos Sodų 34-oji g. 62, Vilniaus m., Vilniaus m. sav.</t>
  </si>
  <si>
    <t>Jogailos g. 14, Vilniaus m., Vilniaus m. sav.</t>
  </si>
  <si>
    <t>2025-11-24 07:27:06</t>
  </si>
  <si>
    <t>Broniaus Krivicko g. 22, Vilniaus m., Vilniaus m. sav.</t>
  </si>
  <si>
    <t>2025-11-24 07:27:08</t>
  </si>
  <si>
    <t>2025-11-24 07:27:18</t>
  </si>
  <si>
    <t>2025-11-24 07:35:34</t>
  </si>
  <si>
    <t>2025-11-24 07:27:30</t>
  </si>
  <si>
    <t>2025-11-24 08:13:01</t>
  </si>
  <si>
    <t>Sakalaičių Sodų 9-oji g. 15, Vilniaus m., Vilniaus m. sav.</t>
  </si>
  <si>
    <t>2025-11-24 07:27:33</t>
  </si>
  <si>
    <t>2025-11-24 07:28:06</t>
  </si>
  <si>
    <t>2025-11-24 07:27:38</t>
  </si>
  <si>
    <t>2025-11-24 07:27:45</t>
  </si>
  <si>
    <t>Architektų g. 53, Vilniaus m., Vilniaus m. sav.</t>
  </si>
  <si>
    <t>2025-11-24 07:27:48</t>
  </si>
  <si>
    <t>2025-11-24 07:27:50</t>
  </si>
  <si>
    <t>Filaretų g. 72, Vilniaus m., Vilniaus m. sav.</t>
  </si>
  <si>
    <t>2025-11-24 07:33:05</t>
  </si>
  <si>
    <t>2025-11-24 07:27:53</t>
  </si>
  <si>
    <t>Ryliškių g. 5-1, Vilniaus m., Vilniaus m. sav.</t>
  </si>
  <si>
    <t>2025-11-24 07:42:19</t>
  </si>
  <si>
    <t>Paeglinės Sodų 10-oji g. 33, Vilniaus m., Vilniaus m. sav.</t>
  </si>
  <si>
    <t>2025-11-24 07:27:54</t>
  </si>
  <si>
    <t>Sakalaičių Sodų 9-oji g. 17, Vilniaus m., Vilniaus m. sav.</t>
  </si>
  <si>
    <t>2025-11-24 07:27:56</t>
  </si>
  <si>
    <t>Filaretų g. 74A, Vilniaus m., Vilniaus m. sav.</t>
  </si>
  <si>
    <t>P. Vaičaičio g. 3, Vilniaus m., Vilniaus m. sav.</t>
  </si>
  <si>
    <t>Gražinos g. 21, Vilniaus m., Vilniaus m. sav.</t>
  </si>
  <si>
    <t>Ryliškių g. 5-2, Vilniaus m., Vilniaus m. sav.</t>
  </si>
  <si>
    <t>2025-11-24 07:42:23</t>
  </si>
  <si>
    <t>2025-11-24 07:33:16</t>
  </si>
  <si>
    <t>Sakalaičių Sodų 9-oji g. 20, Vilniaus m., Vilniaus m. sav.</t>
  </si>
  <si>
    <t>2025-11-24 07:28:07</t>
  </si>
  <si>
    <t>2025-11-24 07:28:13</t>
  </si>
  <si>
    <t>Kelmijos Sodų 34-oji g. 64, Vilniaus m., Vilniaus m. sav.</t>
  </si>
  <si>
    <t>2025-11-24 07:35:10</t>
  </si>
  <si>
    <t>2025-11-24 07:28:17</t>
  </si>
  <si>
    <t>Ryliškių g. 5A-2, Vilniaus m., Vilniaus m. sav.</t>
  </si>
  <si>
    <t>2025-11-24 07:42:26</t>
  </si>
  <si>
    <t>2025-11-24 07:42:30</t>
  </si>
  <si>
    <t>2025-11-24 07:28:21</t>
  </si>
  <si>
    <t>2025-11-24 07:28:22</t>
  </si>
  <si>
    <t>V. A. Graičiūno g. 20A, Vilniaus m., Vilniaus m. sav.</t>
  </si>
  <si>
    <t>2025-11-24 07:28:26</t>
  </si>
  <si>
    <t>2025-11-24 07:28:28</t>
  </si>
  <si>
    <t>2025-11-24 07:28:30</t>
  </si>
  <si>
    <t>Savanorių pr. 56, Vilniaus m., Vilniaus m. sav.</t>
  </si>
  <si>
    <t>2025-11-24 07:28:35</t>
  </si>
  <si>
    <t>Kelmijos Sodų 34-oji g. 59, Vilniaus m., Vilniaus m. sav.</t>
  </si>
  <si>
    <t>2025-11-24 07:28:36</t>
  </si>
  <si>
    <t>Sakalaičių Sodų 9-oji g. 21, Vilniaus m., Vilniaus m. sav.</t>
  </si>
  <si>
    <t>2025-11-24 07:28:37</t>
  </si>
  <si>
    <t>2025-11-24 07:28:40</t>
  </si>
  <si>
    <t>Filaretų g. 70A-2, Vilniaus m., Vilniaus m. sav.</t>
  </si>
  <si>
    <t>2025-11-24 07:33:24</t>
  </si>
  <si>
    <t>Sakalaičių Sodų 9-oji g. 22, Vilniaus m., Vilniaus m. sav.</t>
  </si>
  <si>
    <t>2025-11-24 07:28:43</t>
  </si>
  <si>
    <t>Ryliškių g. 5A-1, Vilniaus m., Vilniaus m. sav.</t>
  </si>
  <si>
    <t>2025-11-24 07:42:41</t>
  </si>
  <si>
    <t>2025-11-24 07:28:44</t>
  </si>
  <si>
    <t>2025-11-24 07:28:49</t>
  </si>
  <si>
    <t>2025-11-24 07:42:44</t>
  </si>
  <si>
    <t>2025-11-24 07:28:50</t>
  </si>
  <si>
    <t>Pelesos g. 47, Vilniaus m., Vilniaus m. sav.</t>
  </si>
  <si>
    <t>2025-11-24 07:28:57</t>
  </si>
  <si>
    <t>Kelmijos Sodų 44-oji g. 32, Vilniaus m., Vilniaus m. sav.</t>
  </si>
  <si>
    <t>2025-11-24 07:31:29</t>
  </si>
  <si>
    <t>2025-11-24 07:29:03</t>
  </si>
  <si>
    <t>Kelmijos Sodų 45-oji g. 16, Vilniaus m., Vilniaus m. sav.</t>
  </si>
  <si>
    <t>2025-11-24 07:29:06</t>
  </si>
  <si>
    <t>Sakalaičių Sodų 9-oji g. 24A, Vilniaus m., Vilniaus m. sav.</t>
  </si>
  <si>
    <t>2025-11-24 07:29:09</t>
  </si>
  <si>
    <t>Kelmijos Sodų 34-oji g. 69, Vilniaus m., Vilniaus m. sav.</t>
  </si>
  <si>
    <t>2025-11-24 07:29:12</t>
  </si>
  <si>
    <t>Sakalaičių Sodų 9-oji g. 23, Vilniaus m., Vilniaus m. sav.</t>
  </si>
  <si>
    <t>2025-11-24 07:29:14</t>
  </si>
  <si>
    <t>V. Daunio g. 33-1, Vilniaus m., Vilniaus m. sav.</t>
  </si>
  <si>
    <t>2025-11-24 07:29:16</t>
  </si>
  <si>
    <t>Broniaus Krivicko g. 28, Vilniaus m., Vilniaus m. sav.</t>
  </si>
  <si>
    <t>2025-11-24 07:29:17</t>
  </si>
  <si>
    <t>Ukmergės g. 229, Vilniaus m., Vilniaus m. sav.</t>
  </si>
  <si>
    <t>2025-11-24 07:29:18</t>
  </si>
  <si>
    <t>2025-11-24 07:29:21</t>
  </si>
  <si>
    <t>2025-11-24 07:29:23</t>
  </si>
  <si>
    <t>2025-11-24 07:29:24</t>
  </si>
  <si>
    <t>Ryliškių g. 3-1, Vilniaus m., Vilniaus m. sav.</t>
  </si>
  <si>
    <t>2025-11-24 07:29:26</t>
  </si>
  <si>
    <t>Filaretų g. 70A-1, Vilniaus m., Vilniaus m. sav.</t>
  </si>
  <si>
    <t>2025-11-24 07:33:30</t>
  </si>
  <si>
    <t>2025-11-24 07:29:29</t>
  </si>
  <si>
    <t>Ryliškių g. 3A-2, Vilniaus m., Vilniaus m. sav.</t>
  </si>
  <si>
    <t>2025-11-24 09:39:26</t>
  </si>
  <si>
    <t>2025-11-24 07:29:32</t>
  </si>
  <si>
    <t>2025-11-24 07:33:33</t>
  </si>
  <si>
    <t>2025-11-24 07:29:36</t>
  </si>
  <si>
    <t>2025-11-24 07:29:37</t>
  </si>
  <si>
    <t>2025-11-24 07:29:38</t>
  </si>
  <si>
    <t>Ukmergės g. 298E, Vilniaus m., Vilniaus m. sav.</t>
  </si>
  <si>
    <t>2025-11-24 07:29:40</t>
  </si>
  <si>
    <t>Filaretų g. 70A-3, Vilniaus m., Vilniaus m. sav.</t>
  </si>
  <si>
    <t>2025-11-24 07:33:37</t>
  </si>
  <si>
    <t>Sakalaičių Sodų 9-oji g. 27, Vilniaus m., Vilniaus m. sav.</t>
  </si>
  <si>
    <t>2025-11-24 07:29:42</t>
  </si>
  <si>
    <t>J. Jablonskio g. 3, Vilniaus m., Vilniaus m. sav.</t>
  </si>
  <si>
    <t>2025-11-24 07:29:43</t>
  </si>
  <si>
    <t>2025-11-24 07:29:44</t>
  </si>
  <si>
    <t>Sakalaičių Sodų 9-oji g. 29, Vilniaus m., Vilniaus m. sav.</t>
  </si>
  <si>
    <t>2025-11-24 07:29:45</t>
  </si>
  <si>
    <t>2025-11-24 07:29:51</t>
  </si>
  <si>
    <t>Ryliškių g. 3-2, Vilniaus m., Vilniaus m. sav.</t>
  </si>
  <si>
    <t>2025-11-24 07:42:58</t>
  </si>
  <si>
    <t>2025-11-24 07:29:55</t>
  </si>
  <si>
    <t>Kalvarijų g. 272A, Vilniaus m., Vilniaus m. sav.</t>
  </si>
  <si>
    <t>2025-11-24 07:29:56</t>
  </si>
  <si>
    <t>Sakalaičių Sodų 9-oji g. 29A, Vilniaus m., Vilniaus m. sav.</t>
  </si>
  <si>
    <t>2025-11-24 07:30:00</t>
  </si>
  <si>
    <t>Elbingo g. 29, Vilniaus m., Vilniaus m. sav.</t>
  </si>
  <si>
    <t>Kelmijos Sodų 34-oji g. 93, Vilniaus m., Vilniaus m. sav.</t>
  </si>
  <si>
    <t>2025-11-24 07:30:08</t>
  </si>
  <si>
    <t>Sietyno g. 21, Vilniaus m., Vilniaus m. sav.</t>
  </si>
  <si>
    <t>2025-11-24 07:30:11</t>
  </si>
  <si>
    <t>Ryliškių g. 3A-1, Vilniaus m., Vilniaus m. sav.</t>
  </si>
  <si>
    <t>Architektų g. 106, Vilniaus m., Vilniaus m. sav.</t>
  </si>
  <si>
    <t>2025-11-24 07:30:14</t>
  </si>
  <si>
    <t>Kauno g. 5, Vilniaus m., Vilniaus m. sav.</t>
  </si>
  <si>
    <t>2025-11-24 07:30:16</t>
  </si>
  <si>
    <t>Broniaus Krivicko g. 30, Vilniaus m., Vilniaus m. sav.</t>
  </si>
  <si>
    <t>2025-11-24 07:30:21</t>
  </si>
  <si>
    <t>Kelmijos Sodų 34-oji g. 89, Vilniaus m., Vilniaus m. sav.</t>
  </si>
  <si>
    <t>2025-11-24 07:30:22</t>
  </si>
  <si>
    <t>Sakalaičių Sodų 9-oji g. 33, Vilniaus m., Vilniaus m. sav.</t>
  </si>
  <si>
    <t>2025-11-24 07:30:26</t>
  </si>
  <si>
    <t>Sakalaičių Sodų 9-oji g. 34, Vilniaus m., Vilniaus m. sav.</t>
  </si>
  <si>
    <t>Laisvės pr. 115A, Vilniaus m., Vilniaus m. sav.</t>
  </si>
  <si>
    <t>Liudvinavo g. 128, Vilniaus m., Vilniaus m. sav.</t>
  </si>
  <si>
    <t>Ukmergės g. 300B, Vilniaus m., Vilniaus m. sav.</t>
  </si>
  <si>
    <t>Ryliškių g. 8-1, Vilniaus m., Vilniaus m. sav.</t>
  </si>
  <si>
    <t>2025-11-24 07:30:40</t>
  </si>
  <si>
    <t>Sakalaičių Sodų 9-oji g. 35, Vilniaus m., Vilniaus m. sav.</t>
  </si>
  <si>
    <t>Kelmijos Sodų 34-oji g. 95, Vilniaus m., Vilniaus m. sav.</t>
  </si>
  <si>
    <t>2025-11-24 07:53:51</t>
  </si>
  <si>
    <t>Sakalaičių Sodų 9-oji g. 38, Vilniaus m., Vilniaus m. sav.</t>
  </si>
  <si>
    <t>2025-11-24 07:30:52</t>
  </si>
  <si>
    <t>Ryliškių g. 8-2, Vilniaus m., Vilniaus m. sav.</t>
  </si>
  <si>
    <t>2025-11-24 07:54:01</t>
  </si>
  <si>
    <t>Visorių Sodų 20-oji g. 13, Vilniaus m., Vilniaus m. sav.</t>
  </si>
  <si>
    <t>2025-11-24 08:21:24</t>
  </si>
  <si>
    <t>Jono Kairiūkščio g. 3G, Vilniaus m., Vilniaus m. sav.</t>
  </si>
  <si>
    <t>Sakalaičių Sodų 9-oji g. 37, Vilniaus m., Vilniaus m. sav.</t>
  </si>
  <si>
    <t>Kelmijos Sodų 34-oji g. 94, Vilniaus m., Vilniaus m. sav.</t>
  </si>
  <si>
    <t>2025-11-24 07:35:14</t>
  </si>
  <si>
    <t>2025-11-24 07:31:13</t>
  </si>
  <si>
    <t>Kelmijos Sodų 44-oji g. 27, Vilniaus m., Vilniaus m. sav.</t>
  </si>
  <si>
    <t>2025-11-24 07:31:16</t>
  </si>
  <si>
    <t>Visorių Sodų 18-oji g. 9, Vilniaus m., Vilniaus m. sav.</t>
  </si>
  <si>
    <t>Taugotiškių g. 71A-2, Vilniaus m., Vilniaus m. sav.</t>
  </si>
  <si>
    <t>Savanorių pr. 37, Vilniaus m., Vilniaus m. sav.</t>
  </si>
  <si>
    <t>2025-11-24 07:33:47</t>
  </si>
  <si>
    <t>Visorių Sodų 18-oji g. 8, Vilniaus m., Vilniaus m. sav.</t>
  </si>
  <si>
    <t>Rudens g. 28, Vilniaus m., Vilniaus m. sav.</t>
  </si>
  <si>
    <t>Sakalaičių Sodų 9-oji g. 39, Vilniaus m., Vilniaus m. sav.</t>
  </si>
  <si>
    <t>Ryliškių g. 1A-2, Vilniaus m., Vilniaus m. sav.</t>
  </si>
  <si>
    <t>2025-11-24 07:54:04</t>
  </si>
  <si>
    <t>Gudų g. 9, Vilniaus m., Vilniaus m. sav.</t>
  </si>
  <si>
    <t>Kelmijos Sodų 44-oji g. 48, Vilniaus m., Vilniaus m. sav.</t>
  </si>
  <si>
    <t>Ozo g. 22A, Vilniaus m., Vilniaus m. sav.</t>
  </si>
  <si>
    <t>2025-11-24 07:31:52</t>
  </si>
  <si>
    <t>2025-11-24 07:31:54</t>
  </si>
  <si>
    <t>Rudens g. 26B-2, Vilniaus m., Vilniaus m. sav.</t>
  </si>
  <si>
    <t>2025-11-24 07:31:56</t>
  </si>
  <si>
    <t>Sakalaičių Sodų 9-oji g. 41, Vilniaus m., Vilniaus m. sav.</t>
  </si>
  <si>
    <t>2025-11-24 07:41:33</t>
  </si>
  <si>
    <t>2025-11-24 07:32:05</t>
  </si>
  <si>
    <t>2025-11-24 07:32:14</t>
  </si>
  <si>
    <t>Sakalaičių Sodų 9-oji g. 45, Vilniaus m., Vilniaus m. sav.</t>
  </si>
  <si>
    <t>2025-11-24 07:41:34</t>
  </si>
  <si>
    <t>Rudens g. 26C-1, Vilniaus m., Vilniaus m. sav.</t>
  </si>
  <si>
    <t>2025-11-24 07:32:17</t>
  </si>
  <si>
    <t>Ukmergės g. 231, Vilniaus m., Vilniaus m. sav.</t>
  </si>
  <si>
    <t>Rudens g. 26B-1, Vilniaus m., Vilniaus m. sav.</t>
  </si>
  <si>
    <t>Sakalaičių Sodų 9-oji g. 46, Vilniaus m., Vilniaus m. sav.</t>
  </si>
  <si>
    <t>2025-11-24 07:41:36</t>
  </si>
  <si>
    <t>2025-11-24 07:32:21</t>
  </si>
  <si>
    <t>Ryliškių g. 6, Vilniaus m., Vilniaus m. sav.</t>
  </si>
  <si>
    <t>2025-11-24 07:32:22</t>
  </si>
  <si>
    <t>J. Degutytės g. 6, Vilniaus m., Vilniaus m. sav.</t>
  </si>
  <si>
    <t>Kelmijos Sodų 44-oji g. 42, Vilniaus m., Vilniaus m. sav.</t>
  </si>
  <si>
    <t>2025-11-24 07:32:29</t>
  </si>
  <si>
    <t>J. Kairiūkščio g. 5, Vilniaus m., Vilniaus m. sav.</t>
  </si>
  <si>
    <t>2025-11-24 07:32:33</t>
  </si>
  <si>
    <t>Vėtrungių g.  89, Vilniaus m., Vilniaus m. sav.</t>
  </si>
  <si>
    <t>2025-11-24 07:32:42</t>
  </si>
  <si>
    <t>Rudens g. 26A-1, Vilniaus m., Vilniaus m. sav.</t>
  </si>
  <si>
    <t>2025-11-24 07:32:45</t>
  </si>
  <si>
    <t>Ryliškių g. 1-2, Vilniaus m., Vilniaus m. sav.</t>
  </si>
  <si>
    <t>Kelmijos Sodų 44-oji g. 21, Vilniaus m., Vilniaus m. sav.</t>
  </si>
  <si>
    <t>Naujakurių g. 29, Vilniaus m., Vilniaus m. sav.</t>
  </si>
  <si>
    <t>Ryliškių g. 1-1, Vilniaus m., Vilniaus m. sav.</t>
  </si>
  <si>
    <t>Rudens g. 26A-2, Vilniaus m., Vilniaus m. sav.</t>
  </si>
  <si>
    <t>Architektų g. 118, Vilniaus m., Vilniaus m. sav.</t>
  </si>
  <si>
    <t>2025-11-24 07:53:39</t>
  </si>
  <si>
    <t>Sakalaičių Sodų 8-oji g. 52, Vilniaus m., Vilniaus m. sav.</t>
  </si>
  <si>
    <t>V. Daunio g. 37, Vilniaus m., Vilniaus m. sav.</t>
  </si>
  <si>
    <t>2025-11-24 07:33:13</t>
  </si>
  <si>
    <t>V. Daunio g. 42, Vilniaus m., Vilniaus m. sav.</t>
  </si>
  <si>
    <t>Sakalaičių Sodų 8-oji g. 48, Vilniaus m., Vilniaus m. sav.</t>
  </si>
  <si>
    <t>2025-11-24 07:33:17</t>
  </si>
  <si>
    <t>Kelmijos Sodų 44-oji g. 18, Vilniaus m., Vilniaus m. sav.</t>
  </si>
  <si>
    <t>Kelmijos Sodų 34-oji g. 2, Vilniaus m., Vilniaus m. sav.</t>
  </si>
  <si>
    <t>Elbingo g. 12, Vilniaus m., Vilniaus m. sav.</t>
  </si>
  <si>
    <t>2025-11-24 07:33:21</t>
  </si>
  <si>
    <t>Sakalaičių Sodų 8-oji g. 44, Vilniaus m., Vilniaus m. sav.</t>
  </si>
  <si>
    <t>Raisteniškių g. 1A, Vilniaus m., Vilniaus m. sav.</t>
  </si>
  <si>
    <t>2025-11-24 07:33:34</t>
  </si>
  <si>
    <t>Gedimino pr. 11, Vilniaus m., Vilniaus m. sav.</t>
  </si>
  <si>
    <t>2025-11-24 07:33:40</t>
  </si>
  <si>
    <t>2025-11-24 07:33:41</t>
  </si>
  <si>
    <t>2025-11-24 07:33:42</t>
  </si>
  <si>
    <t>Rudens g. 26C-2, Vilniaus m., Vilniaus m. sav.</t>
  </si>
  <si>
    <t>Telšių g. 17, Vilniaus m., Vilniaus m. sav.</t>
  </si>
  <si>
    <t>Vito Gerulaičio g. 1, Vilniaus m., Vilniaus m. sav.</t>
  </si>
  <si>
    <t>2025-11-24 07:33:48</t>
  </si>
  <si>
    <t>2025-11-24 07:33:50</t>
  </si>
  <si>
    <t>Sakalaičių Sodų 8-oji g. 42, Vilniaus m., Vilniaus m. sav.</t>
  </si>
  <si>
    <t>2025-11-24 07:33:53</t>
  </si>
  <si>
    <t>Kelmijos Sodų 33-ioji g. 23, Vilniaus m., Vilniaus m. sav.</t>
  </si>
  <si>
    <t>Kelmijos Sodų 33-ioji g. 27, Vilniaus m., Vilniaus m. sav.</t>
  </si>
  <si>
    <t>2025-11-24 07:36:55</t>
  </si>
  <si>
    <t>Vaidoto Daunio g. 38, Vilniaus m., Vilniaus m. sav.</t>
  </si>
  <si>
    <t>Giesvės g. 13, Vilniaus m., Vilniaus m. sav.</t>
  </si>
  <si>
    <t>2025-11-24 07:54:18</t>
  </si>
  <si>
    <t>Rolando Jankausko g. 2, Vilniaus m., Vilniaus m. sav.</t>
  </si>
  <si>
    <t>2025-11-24 07:34:14</t>
  </si>
  <si>
    <t>Sakalaičių Sodų 8-oji g. 40, Vilniaus m., Vilniaus m. sav.</t>
  </si>
  <si>
    <t>J. Kairiūkščio g. 9A, Vilniaus m., Vilniaus m. sav.</t>
  </si>
  <si>
    <t>Sakalaičių Sodų 8-oji g. 38, Vilniaus m., Vilniaus m. sav.</t>
  </si>
  <si>
    <t>2025-11-24 07:34:23</t>
  </si>
  <si>
    <t>Raisteniškių g. 6A, Vilniaus m., Vilniaus m. sav.</t>
  </si>
  <si>
    <t>V. Daunio g. 46, Vilniaus m., Vilniaus m. sav.</t>
  </si>
  <si>
    <t>2025-11-24 07:34:26</t>
  </si>
  <si>
    <t>2025-11-24 07:34:31</t>
  </si>
  <si>
    <t>Šaltinių g. 16, Vilniaus m., Vilniaus m. sav.</t>
  </si>
  <si>
    <t>2025-11-24 07:34:32</t>
  </si>
  <si>
    <t>Žemynos g. 5, Vilniaus m., Vilniaus m. sav.</t>
  </si>
  <si>
    <t>Gražinos g. 10, Vilniaus m., Vilniaus m. sav.</t>
  </si>
  <si>
    <t>2025-11-24 07:34:35</t>
  </si>
  <si>
    <t>Sakalaičių Sodų 8-oji g. 37, Vilniaus m., Vilniaus m. sav.</t>
  </si>
  <si>
    <t>2025-11-24 07:41:44</t>
  </si>
  <si>
    <t>2025-11-24 07:34:41</t>
  </si>
  <si>
    <t>Šeškinės g. 3A, Vilniaus m., Vilniaus m. sav.</t>
  </si>
  <si>
    <t>2025-11-24 07:34:42</t>
  </si>
  <si>
    <t>Perkūnkiemio g. 9, Vilniaus m., Vilniaus m. sav.</t>
  </si>
  <si>
    <t>Kelmijos Sodų 32-oji g. 53, Vilniaus m., Vilniaus m. sav.</t>
  </si>
  <si>
    <t>Sakalaičių Sodų 8-oji g. 39, Vilniaus m., Vilniaus m. sav.</t>
  </si>
  <si>
    <t>2025-11-24 07:34:49</t>
  </si>
  <si>
    <t>Sakalaičių Sodų 8-oji g. 35, Vilniaus m., Vilniaus m. sav.</t>
  </si>
  <si>
    <t>Liongino Baliukevičiaus-Dzūko g. 102, Vilniaus m., Vilniaus m. sav.</t>
  </si>
  <si>
    <t>Pavilnionių g. 10, Vilniaus m., Vilniaus m. sav.</t>
  </si>
  <si>
    <t>2025-11-24 07:34:54</t>
  </si>
  <si>
    <t>Sakalaičių Sodų 8-oji g. 30, Vilniaus m., Vilniaus m. sav.</t>
  </si>
  <si>
    <t>2025-11-24 07:41:48</t>
  </si>
  <si>
    <t>2025-11-24 07:34:58</t>
  </si>
  <si>
    <t>2025-11-24 07:35:00</t>
  </si>
  <si>
    <t>V. Daunio g. 52, Vilniaus m., Vilniaus m. sav.</t>
  </si>
  <si>
    <t>2025-11-24 14:04:20</t>
  </si>
  <si>
    <t>V. Daunio g. 56, Vilniaus m., Vilniaus m. sav.</t>
  </si>
  <si>
    <t>V. Daunio g. 62, Vilniaus m., Vilniaus m. sav.</t>
  </si>
  <si>
    <t>V. Daunio g. 66, Vilniaus m., Vilniaus m. sav.</t>
  </si>
  <si>
    <t>V. Daunio g. 68, Vilniaus m., Vilniaus m. sav.</t>
  </si>
  <si>
    <t>V. Daunio g. 54, Vilniaus m., Vilniaus m. sav.</t>
  </si>
  <si>
    <t>Gvazdikų g. 193, Vilniaus m., Vilniaus m. sav.</t>
  </si>
  <si>
    <t>Rudens g. 22A, Vilniaus m., Vilniaus m. sav.</t>
  </si>
  <si>
    <t>2025-11-24 07:54:09</t>
  </si>
  <si>
    <t>2025-11-24 09:22:14</t>
  </si>
  <si>
    <t>Sakalaičių Sodų 8-oji g. 30A, Vilniaus m., Vilniaus m. sav.</t>
  </si>
  <si>
    <t>2025-11-24 07:41:49</t>
  </si>
  <si>
    <t>2025-11-24 07:35:20</t>
  </si>
  <si>
    <t>Sakalaičių Sodų 8-oji g. 27, Vilniaus m., Vilniaus m. sav.</t>
  </si>
  <si>
    <t>2025-11-24 07:35:24</t>
  </si>
  <si>
    <t>V. Daunio g. 78, Vilniaus m., Vilniaus m. sav.</t>
  </si>
  <si>
    <t>2025-11-24 07:35:26</t>
  </si>
  <si>
    <t>Sakalaičių Sodų 8-oji g. 31, Vilniaus m., Vilniaus m. sav.</t>
  </si>
  <si>
    <t>2025-11-24 07:41:52</t>
  </si>
  <si>
    <t>Naujakurių g. 15, Vilniaus m., Vilniaus m. sav.</t>
  </si>
  <si>
    <t>2025-11-24 07:35:32</t>
  </si>
  <si>
    <t>Kelmijos Sodų 32-oji g. 51, Vilniaus m., Vilniaus m. sav.</t>
  </si>
  <si>
    <t>2025-11-24 07:35:43</t>
  </si>
  <si>
    <t>Giesvės g. 11, Vilniaus m., Vilniaus m. sav.</t>
  </si>
  <si>
    <t>2025-11-24 07:54:21</t>
  </si>
  <si>
    <t>2025-11-24 07:35:50</t>
  </si>
  <si>
    <t>Sakalaičių Sodų 8-oji g. 25, Vilniaus m., Vilniaus m. sav.</t>
  </si>
  <si>
    <t>Šaltinių g. 12, Vilniaus m., Vilniaus m. sav.</t>
  </si>
  <si>
    <t>Architektų g. 55A, Vilniaus m., Vilniaus m. sav.</t>
  </si>
  <si>
    <t>2025-11-24 07:36:00</t>
  </si>
  <si>
    <t>Rudens g. 22, Vilniaus m., Vilniaus m. sav.</t>
  </si>
  <si>
    <t>2025-11-24 07:36:04</t>
  </si>
  <si>
    <t>Žarijų g. 4, Vilniaus m., Vilniaus m. sav.</t>
  </si>
  <si>
    <t>Visorių Sodų 23-ioji g. 17, Vilniaus m., Vilniaus m. sav.</t>
  </si>
  <si>
    <t>2025-11-24 07:36:09</t>
  </si>
  <si>
    <t>Giesvės g. 9, Vilniaus m., Vilniaus m. sav.</t>
  </si>
  <si>
    <t>2025-11-24 07:36:12</t>
  </si>
  <si>
    <t>2025-11-24 07:36:17</t>
  </si>
  <si>
    <t>V. Gerulaičio g. 1, Vilniaus m., Vilniaus m. sav.</t>
  </si>
  <si>
    <t>Visorių Sodų 23-ioji g. 19, Vilniaus m., Vilniaus m. sav.</t>
  </si>
  <si>
    <t>2025-11-24 07:36:19</t>
  </si>
  <si>
    <t>S. Stanevičiaus g. 3A, Vilniaus m., Vilniaus m. sav.</t>
  </si>
  <si>
    <t>2025-11-24 07:36:26</t>
  </si>
  <si>
    <t>Rudens g. 20, Vilniaus m., Vilniaus m. sav.</t>
  </si>
  <si>
    <t>2025-11-24 07:36:30</t>
  </si>
  <si>
    <t>Loretos Asanavičiūtės g. 17, Vilniaus m., Vilniaus m. sav.</t>
  </si>
  <si>
    <t>J. Kairiūkščio g. 11A, Vilniaus m., Vilniaus m. sav.</t>
  </si>
  <si>
    <t>2025-11-24 07:36:32</t>
  </si>
  <si>
    <t>2025-11-24 07:36:36</t>
  </si>
  <si>
    <t>Kelmijos Sodų 32-oji g. 47, Vilniaus m., Vilniaus m. sav.</t>
  </si>
  <si>
    <t>Sakalaičių Sodų 8-oji g. 23, Vilniaus m., Vilniaus m. sav.</t>
  </si>
  <si>
    <t>2025-11-24 07:36:41</t>
  </si>
  <si>
    <t>Visorių Sodų 23-ioji g. 15, Vilniaus m., Vilniaus m. sav.</t>
  </si>
  <si>
    <t>Ugniagesių g. 1, Vilniaus m., Vilniaus m. sav.</t>
  </si>
  <si>
    <t>Sakalaičių Sodų 8-oji g. 24, Vilniaus m., Vilniaus m. sav.</t>
  </si>
  <si>
    <t>2025-11-24 07:41:54</t>
  </si>
  <si>
    <t>2025-11-24 07:36:45</t>
  </si>
  <si>
    <t>Giesvės g. 7-1, Vilniaus m., Vilniaus m. sav.</t>
  </si>
  <si>
    <t>2025-11-24 07:36:52</t>
  </si>
  <si>
    <t>Paeglinės Sodų 3-ioji g. 17, Vilniaus m., Vilniaus m. sav.</t>
  </si>
  <si>
    <t>2025-11-24 07:36:59</t>
  </si>
  <si>
    <t>2025-11-24 07:37:02</t>
  </si>
  <si>
    <t>Žemynos g. 9, Vilniaus m., Vilniaus m. sav.</t>
  </si>
  <si>
    <t>2025-11-24 07:37:10</t>
  </si>
  <si>
    <t>Sakalaičių Sodų 8-oji g. 19, Vilniaus m., Vilniaus m. sav.</t>
  </si>
  <si>
    <t>Rudens g. 18-1, Vilniaus m., Vilniaus m. sav.</t>
  </si>
  <si>
    <t>2025-11-24 07:37:16</t>
  </si>
  <si>
    <t>Perkūnkiemio g. 13, Vilniaus m., Vilniaus m. sav.</t>
  </si>
  <si>
    <t>Šeškinės g. 17, Vilniaus m., Vilniaus m. sav.</t>
  </si>
  <si>
    <t>Gedimino pr. 12A, Vilniaus m., Vilniaus m. sav.</t>
  </si>
  <si>
    <t>2025-11-24 07:37:18</t>
  </si>
  <si>
    <t>2025-11-24 07:56:09</t>
  </si>
  <si>
    <t>2025-11-24 07:37:26</t>
  </si>
  <si>
    <t>Sakalaičių Sodų 8-oji g. 17, Vilniaus m., Vilniaus m. sav.</t>
  </si>
  <si>
    <t>2025-11-24 07:37:29</t>
  </si>
  <si>
    <t>Savanorių pr. 50, Vilniaus m., Vilniaus m. sav.</t>
  </si>
  <si>
    <t>2025-11-24 07:37:30</t>
  </si>
  <si>
    <t>Sakalaičių Sodų 8-oji g. 16, Vilniaus m., Vilniaus m. sav.</t>
  </si>
  <si>
    <t>2025-11-24 07:37:32</t>
  </si>
  <si>
    <t>2025-11-24 07:37:34</t>
  </si>
  <si>
    <t>Sakalaičių Sodų 8-oji g. 15, Vilniaus m., Vilniaus m. sav.</t>
  </si>
  <si>
    <t>2025-11-24 07:37:35</t>
  </si>
  <si>
    <t>Visorių Sodų 23-ioji g. 14, Vilniaus m., Vilniaus m. sav.</t>
  </si>
  <si>
    <t>2025-11-24 07:37:38</t>
  </si>
  <si>
    <t>Sakalaičių Sodų 8-oji g. 13, Vilniaus m., Vilniaus m. sav.</t>
  </si>
  <si>
    <t>2025-11-24 07:37:40</t>
  </si>
  <si>
    <t>2025-11-24 07:37:46</t>
  </si>
  <si>
    <t>Liongino Baliukevičiaus-Dzūko g. 123, Vilniaus m., Vilniaus m. sav.</t>
  </si>
  <si>
    <t>Visorių Sodų 23-ioji g. 11, Vilniaus m., Vilniaus m. sav.</t>
  </si>
  <si>
    <t>2025-11-24 07:37:51</t>
  </si>
  <si>
    <t>Elbingo g. 32, Vilniaus m., Vilniaus m. sav.</t>
  </si>
  <si>
    <t>2025-11-24 07:37:52</t>
  </si>
  <si>
    <t>Ukmergės g. 306, Vilniaus m., Vilniaus m. sav.</t>
  </si>
  <si>
    <t>2025-11-24 07:37:55</t>
  </si>
  <si>
    <t>Šilo g. 27, Vilniaus m., Vilniaus m. sav.</t>
  </si>
  <si>
    <t>2025-11-24 07:37:56</t>
  </si>
  <si>
    <t>Sakalaičių Sodų 8-oji g. 14, Vilniaus m., Vilniaus m. sav.</t>
  </si>
  <si>
    <t>Rudens g. 18-2, Vilniaus m., Vilniaus m. sav.</t>
  </si>
  <si>
    <t>2025-11-24 07:56:13</t>
  </si>
  <si>
    <t>Rudens g. 16-3, Vilniaus m., Vilniaus m. sav.</t>
  </si>
  <si>
    <t>2025-11-24 07:37:59</t>
  </si>
  <si>
    <t>Žarijų g. 4A, Vilnius, Vilniaus r. sav.</t>
  </si>
  <si>
    <t>2025-11-24 07:38:00</t>
  </si>
  <si>
    <t>Medžiotojų g. 12, Vilniaus m., Vilniaus m. sav.</t>
  </si>
  <si>
    <t>2025-11-24 07:38:06</t>
  </si>
  <si>
    <t>Šeškinės g. 20A, Vilniaus m., Vilniaus m. sav.</t>
  </si>
  <si>
    <t>V. A. Graičiūno g. 36, Vilnius, Vilniaus r. sav.</t>
  </si>
  <si>
    <t>2025-11-24 07:38:08</t>
  </si>
  <si>
    <t>Loretos Asanavičiūtės g. 15, Vilniaus m., Vilniaus m. sav.</t>
  </si>
  <si>
    <t>Kelmijos Sodų 32-oji g. 36, Vilniaus m., Vilniaus m. sav.</t>
  </si>
  <si>
    <t>2025-11-24 07:38:10</t>
  </si>
  <si>
    <t>Sakalaičių Sodų 8-oji g. 11, Vilniaus m., Vilniaus m. sav.</t>
  </si>
  <si>
    <t>2025-11-24 07:43:26</t>
  </si>
  <si>
    <t>Raisteniškių g. 4-1, Vilniaus m., Vilniaus m. sav.</t>
  </si>
  <si>
    <t>Raisteniškių g. 4-2, Vilniaus m., Vilniaus m. sav.</t>
  </si>
  <si>
    <t>2025-11-24 07:38:21</t>
  </si>
  <si>
    <t>Sakalaičių Sodų 8-oji g. 9, Vilniaus m., Vilniaus m. sav.</t>
  </si>
  <si>
    <t>2025-11-24 07:43:27</t>
  </si>
  <si>
    <t>2025-11-24 07:38:24</t>
  </si>
  <si>
    <t>2025-11-24 07:56:21</t>
  </si>
  <si>
    <t>2025-11-24 07:38:25</t>
  </si>
  <si>
    <t>Sakalaičių Sodų 8-oji g. 12, Vilniaus m., Vilniaus m. sav.</t>
  </si>
  <si>
    <t>2025-11-24 07:38:28</t>
  </si>
  <si>
    <t>2025-11-24 07:38:31</t>
  </si>
  <si>
    <t>Visorių Sodų 23-ioji g. 10, Vilniaus m., Vilniaus m. sav.</t>
  </si>
  <si>
    <t>2025-11-24 07:38:55</t>
  </si>
  <si>
    <t>2025-11-24 07:39:02</t>
  </si>
  <si>
    <t>Liongino Baliukevičiaus-Dzūko g. 121, Vilniaus m., Vilniaus m. sav.</t>
  </si>
  <si>
    <t>Panevėžio g. 36, Vilniaus m., Vilniaus m. sav.</t>
  </si>
  <si>
    <t>2025-11-24 07:50:14</t>
  </si>
  <si>
    <t>Sakalaičių Sodų 8-oji g. 5, Vilniaus m., Vilniaus m. sav.</t>
  </si>
  <si>
    <t>Kelmijos Sodų 32-oji g. 39, Vilniaus m., Vilniaus m. sav.</t>
  </si>
  <si>
    <t>2025-11-24 07:39:06</t>
  </si>
  <si>
    <t>Sakalaičių Sodų 8-oji g. 7, Vilniaus m., Vilniaus m. sav.</t>
  </si>
  <si>
    <t>2025-11-24 07:39:08</t>
  </si>
  <si>
    <t>2025-11-24 07:47:42</t>
  </si>
  <si>
    <t>Kelmijos Sodų 32-oji g. 35, Vilniaus m., Vilniaus m. sav.</t>
  </si>
  <si>
    <t>2025-11-24 07:39:09</t>
  </si>
  <si>
    <t>Raisteniškių g. 6, Vilniaus m., Vilniaus m. sav.</t>
  </si>
  <si>
    <t>2025-11-24 07:54:37</t>
  </si>
  <si>
    <t>2025-11-24 07:39:13</t>
  </si>
  <si>
    <t>Architektų g. 126, Vilniaus m., Vilniaus m. sav.</t>
  </si>
  <si>
    <t>2025-11-24 07:39:19</t>
  </si>
  <si>
    <t>J. Balčikonio g. 3B, Vilniaus m., Vilniaus m. sav.</t>
  </si>
  <si>
    <t>2025-11-24 07:39:20</t>
  </si>
  <si>
    <t>Žemynos g. 11, Vilniaus m., Vilniaus m. sav.</t>
  </si>
  <si>
    <t>2025-11-24 07:39:22</t>
  </si>
  <si>
    <t>Sakalaičių Sodų 8-oji g. 6, Vilniaus m., Vilniaus m. sav.</t>
  </si>
  <si>
    <t>2025-11-24 07:39:23</t>
  </si>
  <si>
    <t>Kelmijos Sodų 43-ioji g. 63, Vilniaus m., Vilniaus m. sav.</t>
  </si>
  <si>
    <t>2025-11-24 07:39:25</t>
  </si>
  <si>
    <t>Savanorių pr. 46, Vilniaus m., Vilniaus m. sav.</t>
  </si>
  <si>
    <t>2025-11-24 07:39:27</t>
  </si>
  <si>
    <t>Algirdo g. 36, Vilniaus m., Vilniaus m. sav.</t>
  </si>
  <si>
    <t>2025-11-24 07:39:28</t>
  </si>
  <si>
    <t>Liongino Baliukevičiaus-Dzūko g. 98, Vilniaus m., Vilniaus m. sav.</t>
  </si>
  <si>
    <t>2025-11-24 07:39:29</t>
  </si>
  <si>
    <t>Kelmijos Sodų 43-ioji g. 38, Vilniaus m., Vilniaus m. sav.</t>
  </si>
  <si>
    <t>2025-11-24 07:39:30</t>
  </si>
  <si>
    <t>Rudens g. 16-2, Vilniaus m., Vilniaus m. sav.</t>
  </si>
  <si>
    <t>2025-11-24 07:56:25</t>
  </si>
  <si>
    <t>2025-11-24 07:39:36</t>
  </si>
  <si>
    <t>2025-11-24 07:39:42</t>
  </si>
  <si>
    <t>Juozo Balčikonio g. 3, Vilniaus m., Vilniaus m. sav.</t>
  </si>
  <si>
    <t>2025-11-24 07:39:44</t>
  </si>
  <si>
    <t>2025-11-24 07:39:45</t>
  </si>
  <si>
    <t>Raisteniškių g. 2, Vilniaus m., Vilniaus m. sav.</t>
  </si>
  <si>
    <t>2025-11-24 07:39:46</t>
  </si>
  <si>
    <t>2025-11-24 07:56:33</t>
  </si>
  <si>
    <t>2025-11-24 07:39:47</t>
  </si>
  <si>
    <t>Verkių g. 52, Vilniaus m., Vilniaus m. sav.</t>
  </si>
  <si>
    <t>2025-11-24 07:39:48</t>
  </si>
  <si>
    <t>2025-11-24 07:39:49</t>
  </si>
  <si>
    <t>2025-11-24 07:54:43</t>
  </si>
  <si>
    <t>2025-11-24 07:39:50</t>
  </si>
  <si>
    <t>Kelmijos Sodų 32-oji g. 33, Vilniaus m., Vilniaus m. sav.</t>
  </si>
  <si>
    <t>2025-11-24 07:39:51</t>
  </si>
  <si>
    <t>Ateities g. 10, Vilniaus m., Vilniaus m. sav.</t>
  </si>
  <si>
    <t>2025-11-24 07:39:52</t>
  </si>
  <si>
    <t>Sakalaičių g. 40, Vilniaus m., Vilniaus m. sav.</t>
  </si>
  <si>
    <t>2025-11-24 07:39:56</t>
  </si>
  <si>
    <t>2025-11-24 08:12:28</t>
  </si>
  <si>
    <t>2025-11-24 07:40:04</t>
  </si>
  <si>
    <t>Kelmijos Sodų 32-oji g. 32C, Vilniaus m., Vilniaus m. sav.</t>
  </si>
  <si>
    <t>2025-11-24 07:40:08</t>
  </si>
  <si>
    <t>2025-11-24 07:40:09</t>
  </si>
  <si>
    <t>2025-11-24 07:40:10</t>
  </si>
  <si>
    <t>Kelmijos Sodų 32-oji g. 32B, Vilniaus m., Vilniaus m. sav.</t>
  </si>
  <si>
    <t>2025-11-24 07:40:13</t>
  </si>
  <si>
    <t>2025-11-24 07:40:16</t>
  </si>
  <si>
    <t>Laisvės pr. 26, Vilniaus m., Vilniaus m. sav.</t>
  </si>
  <si>
    <t>2025-11-24 07:40:19</t>
  </si>
  <si>
    <t>2025-11-24 07:49:36</t>
  </si>
  <si>
    <t>Kelmijos Sodų 43-ioji g. 32, Vilniaus m., Vilniaus m. sav.</t>
  </si>
  <si>
    <t>Plačioji g. 6, Vilniaus m., Vilniaus m. sav.</t>
  </si>
  <si>
    <t>2025-11-24 07:40:20</t>
  </si>
  <si>
    <t>Sakalaičių Sodų 7-oji g. 1, Vilniaus m., Vilniaus m. sav.</t>
  </si>
  <si>
    <t>2025-11-24 07:40:21</t>
  </si>
  <si>
    <t>2025-11-24 07:40:23</t>
  </si>
  <si>
    <t>2025-11-24 08:21:15</t>
  </si>
  <si>
    <t>2025-11-24 07:40:45</t>
  </si>
  <si>
    <t>Giesvės g. 7-2, Vilniaus m., Vilniaus m. sav.</t>
  </si>
  <si>
    <t>2025-11-24 07:54:50</t>
  </si>
  <si>
    <t>Rudens g. 14A, Vilniaus m., Vilniaus m. sav.</t>
  </si>
  <si>
    <t>Sakalaičių Sodų 7-oji g. 5, Vilniaus m., Vilniaus m. sav.</t>
  </si>
  <si>
    <t>2025-11-24 07:40:52</t>
  </si>
  <si>
    <t>Kelmijos Sodų 32-oji g. 32A, Vilniaus m., Vilniaus m. sav.</t>
  </si>
  <si>
    <t>2025-11-24 07:40:58</t>
  </si>
  <si>
    <t>Kelmijos Sodų 32-oji g. 32D, Vilniaus m., Vilniaus m. sav.</t>
  </si>
  <si>
    <t>2025-11-24 07:40:59</t>
  </si>
  <si>
    <t>Kelmijos Sodų 43-ioji g. 28, Vilniaus m., Vilniaus m. sav.</t>
  </si>
  <si>
    <t>Kelmijos Sodų 43-ioji g. 51, Vilniaus m., Vilniaus m. sav.</t>
  </si>
  <si>
    <t>Visorių Sodų 23-ioji g. 3, Vilniaus m., Vilniaus m. sav.</t>
  </si>
  <si>
    <t>2025-11-24 07:41:01</t>
  </si>
  <si>
    <t>Balčikonio g. 3A, Vilniaus m., Vilniaus m. sav.</t>
  </si>
  <si>
    <t>2025-11-24 07:41:05</t>
  </si>
  <si>
    <t>Džiaugsmo g. 44, Vilniaus m., Vilniaus m. sav.</t>
  </si>
  <si>
    <t>2025-11-24 07:41:06</t>
  </si>
  <si>
    <t>B. Sruogos g. 6, Vilniaus m., Vilniaus m. sav.</t>
  </si>
  <si>
    <t>2025-11-24 07:41:07</t>
  </si>
  <si>
    <t>2025-11-24 07:41:12</t>
  </si>
  <si>
    <t>Kelmijos Sodų 32-oji g. 28, Vilniaus m., Vilniaus m. sav.</t>
  </si>
  <si>
    <t>Giesvės g. 3-2, Vilniaus m., Vilniaus m. sav.</t>
  </si>
  <si>
    <t>Fizikų g. 4, Vilniaus m., Vilniaus m. sav.</t>
  </si>
  <si>
    <t>2025-11-24 07:41:21</t>
  </si>
  <si>
    <t>2025-11-24 09:22:18</t>
  </si>
  <si>
    <t>Giesvės g. 5-2, Vilniaus m., Vilniaus m. sav.</t>
  </si>
  <si>
    <t>2025-11-24 07:41:22</t>
  </si>
  <si>
    <t>Sakalaičių Sodų 7-oji g. 12, Vilniaus m., Vilniaus m. sav.</t>
  </si>
  <si>
    <t>2025-11-24 07:41:23</t>
  </si>
  <si>
    <t>2025-11-24 07:41:27</t>
  </si>
  <si>
    <t>Giesvės g. 5-1, Vilniaus m., Vilniaus m. sav.</t>
  </si>
  <si>
    <t>Rudens g. 12A, Vilniaus m., Vilniaus m. sav.</t>
  </si>
  <si>
    <t>Visorių Sodų 23-ioji g. 1, Vilniaus m., Vilniaus m. sav.</t>
  </si>
  <si>
    <t>2025-11-24 07:41:35</t>
  </si>
  <si>
    <t>Pelesos g. 3, Vilniaus m., Vilniaus m. sav.</t>
  </si>
  <si>
    <t>Sakalaičių Sodų 7-oji g. 14, Vilniaus m., Vilniaus m. sav.</t>
  </si>
  <si>
    <t>2025-11-24 07:41:39</t>
  </si>
  <si>
    <t>Kelmijos sodų 43-oji g. 26, Vilniaus m., Vilniaus m. sav.</t>
  </si>
  <si>
    <t>Sakalaičių Sodų 7-oji g. 13, Vilniaus m., Vilniaus m. sav.</t>
  </si>
  <si>
    <t>2025-11-24 07:50:25</t>
  </si>
  <si>
    <t>Liongino Baliukevičiaus-Dzūko g. 88, Vilniaus m., Vilniaus m. sav.</t>
  </si>
  <si>
    <t>2025-11-24 07:41:47</t>
  </si>
  <si>
    <t>Giesvės g. 3-1, Vilniaus m., Vilniaus m. sav.</t>
  </si>
  <si>
    <t>Kelmijos Sodų 32-oji g. 27, Vilniaus m., Vilniaus m. sav.</t>
  </si>
  <si>
    <t>Sakalaičių Sodų 7-oji g. 15, Vilniaus m., Vilniaus m. sav.</t>
  </si>
  <si>
    <t>2025-11-24 07:50:27</t>
  </si>
  <si>
    <t>Kelmijos Sodų 43-ioji g. 47, Vilniaus m., Vilniaus m. sav.</t>
  </si>
  <si>
    <t>2025-11-24 07:41:51</t>
  </si>
  <si>
    <t>Šilo g. 61, Vilniaus m., Vilniaus m. sav.</t>
  </si>
  <si>
    <t>Žemynos g. 15, Vilniaus m., Vilniaus m. sav.</t>
  </si>
  <si>
    <t>2025-11-24 07:41:53</t>
  </si>
  <si>
    <t>Sakalaičių Sodų 7-oji g. 16, Vilniaus m., Vilniaus m. sav.</t>
  </si>
  <si>
    <t>2025-11-24 07:42:01</t>
  </si>
  <si>
    <t>Kelmijos Sodų 43-ioji g. 49, Vilniaus m., Vilniaus m. sav.</t>
  </si>
  <si>
    <t>2025-11-24 07:42:02</t>
  </si>
  <si>
    <t>Sakalaičių Sodų 7-oji g. 15-1, Vilniaus m., Vilniaus m. sav.</t>
  </si>
  <si>
    <t>2025-11-24 07:42:07</t>
  </si>
  <si>
    <t>Sakalaičių Sodų 7-oji g. 17, Vilniaus m., Vilniaus m. sav.</t>
  </si>
  <si>
    <t>Kelmijos Sodų 43-ioji g. 45, Vilniaus m., Vilniaus m. sav.</t>
  </si>
  <si>
    <t>2025-11-24 07:42:12</t>
  </si>
  <si>
    <t>Savanorių pr. 32, Vilniaus m., Vilniaus m. sav.</t>
  </si>
  <si>
    <t>2025-11-24 07:42:20</t>
  </si>
  <si>
    <t>Rudens g. 12, Vilniaus m., Vilniaus m. sav.</t>
  </si>
  <si>
    <t>2025-11-24 07:56:53</t>
  </si>
  <si>
    <t>Kelmijos Sodų 43-ioji g. 41, Vilniaus m., Vilniaus m. sav.</t>
  </si>
  <si>
    <t>Gvazdikų Sodų 9-oji g. 27, Vilniaus m., Vilniaus m. sav.</t>
  </si>
  <si>
    <t>2025-11-24 07:42:24</t>
  </si>
  <si>
    <t>2025-11-24 07:42:25</t>
  </si>
  <si>
    <t>O. Lukauskaitės-Poškienės g. 26, Vilniaus m., Vilniaus m. sav.</t>
  </si>
  <si>
    <t>Paberžės g. 6, Vilniaus m., Vilniaus m. sav.</t>
  </si>
  <si>
    <t>2025-11-24 07:42:27</t>
  </si>
  <si>
    <t>Architektų g. 65, Vilniaus m., Vilniaus m. sav.</t>
  </si>
  <si>
    <t>2025-11-24 07:42:28</t>
  </si>
  <si>
    <t>Kelmijos Sodų 32-oji g. 23, Vilniaus m., Vilniaus m. sav.</t>
  </si>
  <si>
    <t>2025-11-24 07:42:29</t>
  </si>
  <si>
    <t>Giesvės g. 1-1, Vilniaus m., Vilniaus m. sav.</t>
  </si>
  <si>
    <t>J. Balčikonio g. 15, Vilniaus m., Vilniaus m. sav.</t>
  </si>
  <si>
    <t>2025-11-24 07:42:38</t>
  </si>
  <si>
    <t>Kelmijos Sodų 43-ioji g. 43, Vilniaus m., Vilniaus m. sav.</t>
  </si>
  <si>
    <t>2025-11-24 07:50:24</t>
  </si>
  <si>
    <t>2025-11-24 07:42:42</t>
  </si>
  <si>
    <t>V. A. Graičiūno g. 32B, Vilniaus m., Vilniaus m. sav.</t>
  </si>
  <si>
    <t>2025-11-24 07:42:43</t>
  </si>
  <si>
    <t>Kelmijos Sodų 32-oji g. 24, Vilniaus m., Vilniaus m. sav.</t>
  </si>
  <si>
    <t>2025-11-24 07:42:45</t>
  </si>
  <si>
    <t>Kelmijos Sodų 43-ioji g. 18, Vilniaus m., Vilniaus m. sav.</t>
  </si>
  <si>
    <t>2025-11-24 07:42:56</t>
  </si>
  <si>
    <t>Fizikų g. 8, Vilniaus m., Vilniaus m. sav.</t>
  </si>
  <si>
    <t>2025-11-24 07:49:23</t>
  </si>
  <si>
    <t>2025-11-24 07:42:59</t>
  </si>
  <si>
    <t>2025-11-24 07:43:02</t>
  </si>
  <si>
    <t>Elbingo g. 40, Vilniaus m., Vilniaus m. sav.</t>
  </si>
  <si>
    <t>2025-11-24 07:43:08</t>
  </si>
  <si>
    <t>Sakalaičių sodų 7-oji g. 19-1, Vilniaus m., Vilniaus m. sav.</t>
  </si>
  <si>
    <t>2025-11-24 07:43:10</t>
  </si>
  <si>
    <t>Rudens g. 8, Vilniaus m., Vilniaus m. sav.</t>
  </si>
  <si>
    <t>2025-11-24 07:43:14</t>
  </si>
  <si>
    <t>Sakalaičių sodų 7-oji g. 19-2, Vilniaus m., Vilniaus m. sav.</t>
  </si>
  <si>
    <t>2025-11-24 07:50:32</t>
  </si>
  <si>
    <t>Giesvės g. 1, Vilniaus m., Vilniaus m. sav.</t>
  </si>
  <si>
    <t>2025-11-24 07:43:15</t>
  </si>
  <si>
    <t>2025-11-24 07:43:21</t>
  </si>
  <si>
    <t>O. Lukauskaitės-Poškienės g. 24-2, Vilniaus m., Vilniaus m. sav.</t>
  </si>
  <si>
    <t>2025-11-24 07:43:24</t>
  </si>
  <si>
    <t>Plungės g. 4, Vilniaus m., Vilniaus m. sav.</t>
  </si>
  <si>
    <t>2025-11-24 07:43:40</t>
  </si>
  <si>
    <t>Kelmijos Sodų 32-oji g. 21, Vilniaus m., Vilniaus m. sav.</t>
  </si>
  <si>
    <t>Kelmijos Sodų 32-oji g. 22, Vilniaus m., Vilniaus m. sav.</t>
  </si>
  <si>
    <t>2025-11-24 07:43:41</t>
  </si>
  <si>
    <t>Kelmijos Sodų 43-ioji g. 33, Vilniaus m., Vilniaus m. sav.</t>
  </si>
  <si>
    <t>2025-11-24 07:43:42</t>
  </si>
  <si>
    <t>2025-11-24 07:43:48</t>
  </si>
  <si>
    <t>2025-11-24 07:43:50</t>
  </si>
  <si>
    <t>Leičių g. 9, Vilniaus m., Vilniaus m. sav.</t>
  </si>
  <si>
    <t>2025-11-24 07:43:51</t>
  </si>
  <si>
    <t>2025-11-24 07:43:55</t>
  </si>
  <si>
    <t>2025-11-24 08:32:39</t>
  </si>
  <si>
    <t>J. Balčikonio g. 3E, Vilniaus m., Vilniaus m. sav.</t>
  </si>
  <si>
    <t>2025-11-24 07:43:56</t>
  </si>
  <si>
    <t>Kelmijos Sodų 32-oji g. 20, Vilniaus m., Vilniaus m. sav.</t>
  </si>
  <si>
    <t>Rudens g. 8A-2, Vilniaus m., Vilniaus m. sav.</t>
  </si>
  <si>
    <t>2025-11-24 07:43:57</t>
  </si>
  <si>
    <t>2025-11-24 07:43:59</t>
  </si>
  <si>
    <t>2025-11-24 07:44:01</t>
  </si>
  <si>
    <t>Putiniškių g. 6C, Vilniaus m., Vilniaus m. sav.</t>
  </si>
  <si>
    <t>2025-11-24 07:57:03</t>
  </si>
  <si>
    <t>Putiniškių g. 6A, Vilniaus m., Vilniaus m. sav.</t>
  </si>
  <si>
    <t>2025-11-24 07:57:07</t>
  </si>
  <si>
    <t>O. Lukauskaitės-Poškienės g. 24-1, Vilniaus m., Vilniaus m. sav.</t>
  </si>
  <si>
    <t>2025-11-24 07:44:02</t>
  </si>
  <si>
    <t>Sakalaičių Sodų 7-oji g. 26, Vilniaus m., Vilniaus m. sav.</t>
  </si>
  <si>
    <t>2025-11-24 07:44:03</t>
  </si>
  <si>
    <t>2025-11-24 07:44:11</t>
  </si>
  <si>
    <t>Kelmijos Sodų 43-ioji g. 31, Vilniaus m., Vilniaus m. sav.</t>
  </si>
  <si>
    <t>2025-11-24 07:44:12</t>
  </si>
  <si>
    <t>Sakalaičių Sodų 7-oji g. 23, Vilniaus m., Vilniaus m. sav.</t>
  </si>
  <si>
    <t>2025-11-24 07:44:19</t>
  </si>
  <si>
    <t>Kelmijos Sodų 43-ioji g. 35, Vilniaus m., Vilniaus m. sav.</t>
  </si>
  <si>
    <t>2025-11-24 07:44:27</t>
  </si>
  <si>
    <t>Putiniškių g. 6, Vilniaus m., Vilniaus m. sav.</t>
  </si>
  <si>
    <t>O. Lukauskaitės-Poškienės g. 22-1, Vilniaus m., Vilniaus m. sav.</t>
  </si>
  <si>
    <t>2025-11-24 07:44:30</t>
  </si>
  <si>
    <t>2025-11-24 07:44:31</t>
  </si>
  <si>
    <t>2025-11-24 07:57:25</t>
  </si>
  <si>
    <t>2025-11-24 07:44:33</t>
  </si>
  <si>
    <t>Žarijų g. 2D, Vilniaus m., Vilniaus m. sav.</t>
  </si>
  <si>
    <t>2025-11-24 07:44:34</t>
  </si>
  <si>
    <t>2025-11-24 07:44:39</t>
  </si>
  <si>
    <t>Savanorių pr. 38, Vilniaus m., Vilniaus m. sav.</t>
  </si>
  <si>
    <t>2025-11-24 07:44:44</t>
  </si>
  <si>
    <t>J. Lebedžio g. 9D, Vilniaus m., Vilniaus m. sav.</t>
  </si>
  <si>
    <t>2025-11-24 07:44:47</t>
  </si>
  <si>
    <t>Putiniškių g. 6B, Vilniaus m., Vilniaus m. sav.</t>
  </si>
  <si>
    <t>2025-11-24 07:57:21</t>
  </si>
  <si>
    <t>2025-11-24 07:44:48</t>
  </si>
  <si>
    <t>2025-11-24 07:44:50</t>
  </si>
  <si>
    <t>Kelmijos Sodų 32-oji g. 19, Vilniaus m., Vilniaus m. sav.</t>
  </si>
  <si>
    <t>2025-11-24 07:44:56</t>
  </si>
  <si>
    <t>Perkūnkiemio g. 45, Vilniaus m., Vilniaus m. sav.</t>
  </si>
  <si>
    <t>2025-11-24 07:44:58</t>
  </si>
  <si>
    <t>Žemynos g. 17, Vilniaus m., Vilniaus m. sav.</t>
  </si>
  <si>
    <t>2025-11-24 07:45:00</t>
  </si>
  <si>
    <t>2025-11-24 07:45:02</t>
  </si>
  <si>
    <t>Žemynos g. 21, Vilniaus m., Vilniaus m. sav.</t>
  </si>
  <si>
    <t>2025-11-24 07:45:07</t>
  </si>
  <si>
    <t>Kelmijos Sodų 28-oji g. 6, Vilniaus m., Vilniaus m. sav.</t>
  </si>
  <si>
    <t>2025-11-24 07:45:08</t>
  </si>
  <si>
    <t>Kelmijos Sodų 32-oji g. 18, Vilniaus m., Vilniaus m. sav.</t>
  </si>
  <si>
    <t>2025-11-24 07:45:10</t>
  </si>
  <si>
    <t>Labdarių g. 7, Vilniaus m., Vilniaus m. sav.</t>
  </si>
  <si>
    <t>2025-11-24 07:45:11</t>
  </si>
  <si>
    <t>Onos Lukauskaitės-Poškienės g. 20-1, Vilniaus m., Vilniaus m. sav.</t>
  </si>
  <si>
    <t>2025-11-24 07:45:17</t>
  </si>
  <si>
    <t>2025-11-24 07:49:37</t>
  </si>
  <si>
    <t>V. A. Graičiūno g. 32D, Vilniaus m., Vilniaus m. sav.</t>
  </si>
  <si>
    <t>2025-11-24 07:45:18</t>
  </si>
  <si>
    <t>2025-11-24 07:45:21</t>
  </si>
  <si>
    <t>Architektų g. 43, Vilniaus m., Vilniaus m. sav.</t>
  </si>
  <si>
    <t>2025-11-24 07:45:22</t>
  </si>
  <si>
    <t>Sakalaičių Sodų 7-oji g. 33A, Vilniaus m., Vilniaus m. sav.</t>
  </si>
  <si>
    <t>2025-11-24 07:45:27</t>
  </si>
  <si>
    <t>Putiniškių g. 4, Vilniaus m., Vilniaus m. sav.</t>
  </si>
  <si>
    <t>2025-11-24 07:45:33</t>
  </si>
  <si>
    <t>2025-11-24 07:45:36</t>
  </si>
  <si>
    <t>Ateities g. 4A, Vilniaus m., Vilniaus m. sav.</t>
  </si>
  <si>
    <t>2025-11-24 07:45:38</t>
  </si>
  <si>
    <t>Liongino Baliukevičiaus-Dzūko g. 84, Vilniaus m., Vilniaus m. sav.</t>
  </si>
  <si>
    <t>2025-11-24 07:45:40</t>
  </si>
  <si>
    <t>B. Sruogos g. 36, Vilniaus m., Vilniaus m. sav.</t>
  </si>
  <si>
    <t>2025-11-24 07:45:41</t>
  </si>
  <si>
    <t>Fizikų g. 63, Vilniaus m., Vilniaus m. sav.</t>
  </si>
  <si>
    <t>2025-11-24 07:45:42</t>
  </si>
  <si>
    <t>2025-11-24 09:22:20</t>
  </si>
  <si>
    <t>Loretos Asanavičiūtės g. 27A, Vilniaus m., Vilniaus m. sav.</t>
  </si>
  <si>
    <t>2025-11-24 07:45:48</t>
  </si>
  <si>
    <t>2025-11-24 07:45:52</t>
  </si>
  <si>
    <t>Ateities g. 4B, Vilniaus m., Vilniaus m. sav.</t>
  </si>
  <si>
    <t>Pylimo g. 29, Vilniaus m., Vilniaus m. sav.</t>
  </si>
  <si>
    <t>2025-11-24 07:45:53</t>
  </si>
  <si>
    <t>Paberžės g. 8, Vilniaus m., Vilniaus m. sav.</t>
  </si>
  <si>
    <t>2025-11-24 07:45:56</t>
  </si>
  <si>
    <t>2025-11-24 08:22:00</t>
  </si>
  <si>
    <t>2025-11-24 07:46:04</t>
  </si>
  <si>
    <t>2025-11-24 07:46:08</t>
  </si>
  <si>
    <t>Sakalaičių Sodų 7-oji g. 35, Vilniaus m., Vilniaus m. sav.</t>
  </si>
  <si>
    <t>2025-11-24 07:46:18</t>
  </si>
  <si>
    <t>2025-11-24 07:46:21</t>
  </si>
  <si>
    <t>V. A. Graičiūno g. 32E, Vilniaus m., Vilniaus m. sav.</t>
  </si>
  <si>
    <t>2025-11-24 07:46:25</t>
  </si>
  <si>
    <t>Elbingo g. 48, Vilniaus m., Vilniaus m. sav.</t>
  </si>
  <si>
    <t>Putiniškių g. 1F-1, Vilniaus m., Vilniaus m. sav.</t>
  </si>
  <si>
    <t>2025-11-24 07:46:26</t>
  </si>
  <si>
    <t>2025-11-24 07:46:29</t>
  </si>
  <si>
    <t>Putiniškių g. 1D-1, Vilniaus m., Vilniaus m. sav.</t>
  </si>
  <si>
    <t>Putiniškių g. 1F-2, Vilniaus m., Vilniaus m. sav.</t>
  </si>
  <si>
    <t>2025-11-24 07:46:32</t>
  </si>
  <si>
    <t>Mindaugo g. 23A, Vilniaus m., Vilniaus m. sav.</t>
  </si>
  <si>
    <t>2025-11-24 07:46:37</t>
  </si>
  <si>
    <t>O. Lukauskaitės-Poškienės g. 16-1, Vilniaus m., Vilniaus m. sav.</t>
  </si>
  <si>
    <t>2025-11-24 07:46:47</t>
  </si>
  <si>
    <t>Onos Lukauskaitės-Poškienės g. 14-1, Vilniaus m., Vilniaus m. sav.</t>
  </si>
  <si>
    <t>2025-11-24 07:46:49</t>
  </si>
  <si>
    <t>Putiniškių g. 1D-2, Vilniaus m., Vilniaus m. sav.</t>
  </si>
  <si>
    <t>2025-11-24 08:02:06</t>
  </si>
  <si>
    <t>2025-11-24 08:00:22</t>
  </si>
  <si>
    <t>2025-11-24 07:46:51</t>
  </si>
  <si>
    <t>2025-11-24 07:46:54</t>
  </si>
  <si>
    <t>J. Lebedžio g. 9A, Vilniaus m., Vilniaus m. sav.</t>
  </si>
  <si>
    <t>2025-11-24 07:46:55</t>
  </si>
  <si>
    <t>Žarijų g. 2A, Vilniaus m., Vilniaus m. sav.</t>
  </si>
  <si>
    <t>Putiniškių g. 1E-2, Vilniaus m., Vilniaus m. sav.</t>
  </si>
  <si>
    <t>2025-11-24 07:47:01</t>
  </si>
  <si>
    <t>Kelmijos Sodų 29-oji g. 17A, Vilniaus m., Vilniaus m. sav.</t>
  </si>
  <si>
    <t>2025-11-24 07:47:02</t>
  </si>
  <si>
    <t>2025-11-24 07:47:03</t>
  </si>
  <si>
    <t>Onos Lukauskaitės-Poškienės g. 16-2, Vilniaus m., Vilniaus m. sav.</t>
  </si>
  <si>
    <t>2025-11-24 07:47:07</t>
  </si>
  <si>
    <t>2025-11-24 07:47:14</t>
  </si>
  <si>
    <t>2025-11-24 07:47:17</t>
  </si>
  <si>
    <t>2025-11-24 07:47:18</t>
  </si>
  <si>
    <t>Liongino Baliukevičiaus-Dzūko g. 82, Vilniaus m., Vilniaus m. sav.</t>
  </si>
  <si>
    <t>2025-11-24 07:47:19</t>
  </si>
  <si>
    <t>Džiaugsmo g. 58C, Vilniaus m., Vilniaus m. sav.</t>
  </si>
  <si>
    <t>Kelmijos Sodų 25-oji g. 26, Vilniaus m., Vilniaus m. sav.</t>
  </si>
  <si>
    <t>2025-11-24 07:47:23</t>
  </si>
  <si>
    <t>Rūtų g. 8A, Vilniaus m., Vilniaus m. sav.</t>
  </si>
  <si>
    <t>Kelmijos Sodų 29-oji g. 15A, Vilniaus m., Vilniaus m. sav.</t>
  </si>
  <si>
    <t>2025-11-24 07:47:25</t>
  </si>
  <si>
    <t>2025-11-24 07:47:26</t>
  </si>
  <si>
    <t>Kelmijos Sodų 25-oji g. 19, Vilniaus m., Vilniaus m. sav.</t>
  </si>
  <si>
    <t>2025-11-24 07:47:31</t>
  </si>
  <si>
    <t>Jurgio Lebedžio g. 1, Vilniaus m., Vilniaus m. sav.</t>
  </si>
  <si>
    <t>2025-11-24 07:47:35</t>
  </si>
  <si>
    <t>Rūtų g. 8, Vilniaus m., Vilniaus m. sav.</t>
  </si>
  <si>
    <t>2025-11-24 07:47:51</t>
  </si>
  <si>
    <t>2025-11-24 07:47:36</t>
  </si>
  <si>
    <t>Kelmijos Sodų 25-oji g. 28, Vilniaus m., Vilniaus m. sav.</t>
  </si>
  <si>
    <t>2025-11-24 07:49:29</t>
  </si>
  <si>
    <t>Putiniškių g. 1E-1, Vilniaus m., Vilniaus m. sav.</t>
  </si>
  <si>
    <t>2025-11-24 07:47:47</t>
  </si>
  <si>
    <t>2025-11-24 07:47:53</t>
  </si>
  <si>
    <t>2025-11-24 07:47:57</t>
  </si>
  <si>
    <t>Kelmijos Sodų 29-oji g. 21A, Vilniaus m., Vilniaus m. sav.</t>
  </si>
  <si>
    <t>2025-11-24 07:47:59</t>
  </si>
  <si>
    <t>Prano Ancevičiaus g. 13-2, Vilniaus m., Vilniaus m. sav.</t>
  </si>
  <si>
    <t>2025-11-24 07:48:02</t>
  </si>
  <si>
    <t>2025-11-24 07:48:06</t>
  </si>
  <si>
    <t>2025-11-24 07:48:07</t>
  </si>
  <si>
    <t>2025-11-24 07:48:12</t>
  </si>
  <si>
    <t>Kelmijos Sodų 25-oji g. 13, Vilniaus m., Vilniaus m. sav.</t>
  </si>
  <si>
    <t>2025-11-24 07:48:19</t>
  </si>
  <si>
    <t>Prano Ancevičiaus g. 13-1, Vilniaus m., Vilniaus m. sav.</t>
  </si>
  <si>
    <t>2025-11-24 07:48:23</t>
  </si>
  <si>
    <t>2025-11-24 07:48:31</t>
  </si>
  <si>
    <t>2025-11-24 07:48:32</t>
  </si>
  <si>
    <t>2025-11-24 07:48:33</t>
  </si>
  <si>
    <t>2025-11-24 07:48:35</t>
  </si>
  <si>
    <t>Paberžės g. 18, Vilniaus m., Vilniaus m. sav.</t>
  </si>
  <si>
    <t>2025-11-24 07:48:36</t>
  </si>
  <si>
    <t>Kelmijos Sodų 25-oji g. 20, Vilniaus m., Vilniaus m. sav.</t>
  </si>
  <si>
    <t>2025-11-24 07:48:38</t>
  </si>
  <si>
    <t>Liongino Baliukevičiaus-Dzūko g. 78, Vilniaus m., Vilniaus m. sav.</t>
  </si>
  <si>
    <t>Sakalaičių Sodų 7-oji g. 37, Vilniaus m., Vilniaus m. sav.</t>
  </si>
  <si>
    <t>2025-11-24 07:48:39</t>
  </si>
  <si>
    <t>2025-11-24 07:48:46</t>
  </si>
  <si>
    <t>Sakalaičių Sodų 7-oji g. 40, Vilniaus m., Vilniaus m. sav.</t>
  </si>
  <si>
    <t>2025-11-24 07:48:50</t>
  </si>
  <si>
    <t>Sakalaičių Sodų 7-oji g. 42, Vilniaus m., Vilniaus m. sav.</t>
  </si>
  <si>
    <t>2025-11-24 07:50:39</t>
  </si>
  <si>
    <t>2025-11-24 07:48:51</t>
  </si>
  <si>
    <t>Kelmijos Sodų 29-oji g. 26, Vilniaus m., Vilniaus m. sav.</t>
  </si>
  <si>
    <t>2025-11-24 07:48:55</t>
  </si>
  <si>
    <t>Vilniaus g. 27, Vilniaus m., Vilniaus m. sav.</t>
  </si>
  <si>
    <t>2025-11-24 07:48:56</t>
  </si>
  <si>
    <t>Sakalaičių Sodų 7-oji g. 42A, Vilniaus m., Vilniaus m. sav.</t>
  </si>
  <si>
    <t>2025-11-24 07:48:57</t>
  </si>
  <si>
    <t>Kelmijos Sodų 29-oji g. 29, Vilniaus m., Vilniaus m. sav.</t>
  </si>
  <si>
    <t>2025-11-24 07:49:01</t>
  </si>
  <si>
    <t>Prano Ancevičiaus g. 15-2, Vilniaus m., Vilniaus m. sav.</t>
  </si>
  <si>
    <t>2025-11-24 07:49:04</t>
  </si>
  <si>
    <t>Sakalaičių Sodų 7-oji g. 41, Vilniaus m., Vilniaus m. sav.</t>
  </si>
  <si>
    <t>2025-11-24 07:49:08</t>
  </si>
  <si>
    <t>2025-11-24 07:49:10</t>
  </si>
  <si>
    <t>Elbingo g. 87, Vilniaus m., Vilniaus m. sav.</t>
  </si>
  <si>
    <t>2025-11-24 07:49:15</t>
  </si>
  <si>
    <t>Prano Ancevičiaus g. 17-2, Vilniaus m., Vilniaus m. sav.</t>
  </si>
  <si>
    <t>2025-11-24 07:49:17</t>
  </si>
  <si>
    <t>V. A. Graičiūno g. 32H, Vilniaus m., Vilniaus m. sav.</t>
  </si>
  <si>
    <t>2025-11-24 07:49:20</t>
  </si>
  <si>
    <t>Saulėtekio al. 9, Vilniaus m., Vilniaus m. sav.</t>
  </si>
  <si>
    <t>2025-11-24 07:52:14</t>
  </si>
  <si>
    <t>Vilniaus m. DGA4</t>
  </si>
  <si>
    <t>Medeinos g. 31, Vilniaus m., Vilniaus m. sav.</t>
  </si>
  <si>
    <t>Žalvaris, UAB</t>
  </si>
  <si>
    <t>2025-11-24 07:49:22</t>
  </si>
  <si>
    <t>Kelmijos Sodų 33-ioji g. 17, Vilniaus m., Vilniaus m. sav.</t>
  </si>
  <si>
    <t>Putiniškių g. 1A-1, Vilniaus m., Vilniaus m. sav.</t>
  </si>
  <si>
    <t>2025-11-24 08:04:14</t>
  </si>
  <si>
    <t>Putiniškių g. 1B-1, Vilniaus m., Vilniaus m. sav.</t>
  </si>
  <si>
    <t>2025-11-24 07:49:31</t>
  </si>
  <si>
    <t>Rūtų g. 13, Vilniaus m., Vilniaus m. sav.</t>
  </si>
  <si>
    <t>2025-11-24 07:57:35</t>
  </si>
  <si>
    <t>Kelmijos Sodų 29-oji g. 28, Vilniaus m., Vilniaus m. sav.</t>
  </si>
  <si>
    <t>2025-11-24 07:49:34</t>
  </si>
  <si>
    <t>Sakalaičių Sodų 7-oji g. 43, Vilniaus m., Vilniaus m. sav.</t>
  </si>
  <si>
    <t>2025-11-24 07:57:40</t>
  </si>
  <si>
    <t>Savanorių pr. 25B, Vilniaus m., Vilniaus m. sav.</t>
  </si>
  <si>
    <t>Jurgio Lebedžio g. 1A, Vilniaus m., Vilniaus m. sav.</t>
  </si>
  <si>
    <t>2025-11-24 07:49:38</t>
  </si>
  <si>
    <t>Sakalaičių Sodų 7-oji g. 48, Vilniaus m., Vilniaus m. sav.</t>
  </si>
  <si>
    <t>2025-11-24 07:49:41</t>
  </si>
  <si>
    <t>Prano Ancevičiaus g. 15-1, Vilniaus m., Vilniaus m. sav.</t>
  </si>
  <si>
    <t>2025-11-24 07:49:44</t>
  </si>
  <si>
    <t>2025-11-24 08:21:28</t>
  </si>
  <si>
    <t>Mokslininkų g. 3, Vilniaus m., Vilniaus m. sav.</t>
  </si>
  <si>
    <t>2025-11-24 07:49:48</t>
  </si>
  <si>
    <t>K. Ulvydo g. 5, Vilniaus m., Vilniaus m. sav.</t>
  </si>
  <si>
    <t>2025-11-24 07:49:49</t>
  </si>
  <si>
    <t>Putiniškių g. 1B-2, Vilniaus m., Vilniaus m. sav.</t>
  </si>
  <si>
    <t>2025-11-24 08:04:18</t>
  </si>
  <si>
    <t>2025-11-24 07:49:52</t>
  </si>
  <si>
    <t>2025-11-24 07:49:59</t>
  </si>
  <si>
    <t>Dzūkų g. 43, Vilniaus m., Vilniaus m. sav.</t>
  </si>
  <si>
    <t>2025-11-24 07:50:01</t>
  </si>
  <si>
    <t>Rūtų g. 15, Vilniaus m., Vilniaus m. sav.</t>
  </si>
  <si>
    <t>2025-11-24 07:57:44</t>
  </si>
  <si>
    <t>2025-11-24 07:50:05</t>
  </si>
  <si>
    <t>V. A. Graičiūno g. 32F, Vilniaus m., Vilniaus m. sav.</t>
  </si>
  <si>
    <t>2025-11-24 07:50:11</t>
  </si>
  <si>
    <t>Architektų g. 77, Vilniaus m., Vilniaus m. sav.</t>
  </si>
  <si>
    <t>2025-11-24 07:50:16</t>
  </si>
  <si>
    <t>Putiniškių g. 1A-2, Vilniaus m., Vilniaus m. sav.</t>
  </si>
  <si>
    <t>2025-11-24 08:04:21</t>
  </si>
  <si>
    <t>Kelmijos Sodų 31-oji g. 102, Vilniaus m., Vilniaus m. sav.</t>
  </si>
  <si>
    <t>2025-11-24 07:50:41</t>
  </si>
  <si>
    <t>Kelmijos Sodų 30-oji g. 33, Vilniaus m., Vilniaus m. sav.</t>
  </si>
  <si>
    <t>2025-11-24 07:57:33</t>
  </si>
  <si>
    <t>2025-11-24 07:50:44</t>
  </si>
  <si>
    <t>Laisvės pr. 36, Vilniaus m., Vilniaus m. sav.</t>
  </si>
  <si>
    <t>Pavilnionių g. 69, Vilniaus m., Vilniaus m. sav.</t>
  </si>
  <si>
    <t>2025-11-24 07:50:45</t>
  </si>
  <si>
    <t>Putiniškių g. 1-1, Vilniaus m., Vilniaus m. sav.</t>
  </si>
  <si>
    <t>2025-11-24 08:04:23</t>
  </si>
  <si>
    <t>2025-11-24 07:50:47</t>
  </si>
  <si>
    <t>2025-11-24 07:50:50</t>
  </si>
  <si>
    <t>2025-11-24 07:50:52</t>
  </si>
  <si>
    <t>Smėlynės Sodų 3-ioji g. 6, Vilniaus m., Vilniaus m. sav.</t>
  </si>
  <si>
    <t>2025-11-24 07:50:57</t>
  </si>
  <si>
    <t>Prano Ancevičiaus g. 11-2, Vilniaus m., Vilniaus m. sav.</t>
  </si>
  <si>
    <t>2025-11-24 07:51:01</t>
  </si>
  <si>
    <t>Prano Ancevičiaus g. 11-1, Vilniaus m., Vilniaus m. sav.</t>
  </si>
  <si>
    <t>2025-11-24 07:51:04</t>
  </si>
  <si>
    <t>2025-11-24 07:51:08</t>
  </si>
  <si>
    <t>2025-11-24 07:51:10</t>
  </si>
  <si>
    <t>V. A. Graičiūno g. 32A, Vilniaus m., Vilniaus m. sav.</t>
  </si>
  <si>
    <t>2025-11-24 07:59:14</t>
  </si>
  <si>
    <t>2025-11-24 07:51:12</t>
  </si>
  <si>
    <t>2025-11-24 08:13:02</t>
  </si>
  <si>
    <t>Sakalaičių Sodų 7-oji g. 50, Vilniaus m., Vilniaus m. sav.</t>
  </si>
  <si>
    <t>Rūtų g. 17-1, Vilniaus m., Vilniaus m. sav.</t>
  </si>
  <si>
    <t>2025-11-24 07:51:14</t>
  </si>
  <si>
    <t>2025-11-24 07:51:15</t>
  </si>
  <si>
    <t>Putiniškių g. 1-2, Vilniaus m., Vilniaus m. sav.</t>
  </si>
  <si>
    <t>2025-11-24 08:04:26</t>
  </si>
  <si>
    <t>Kelmijos Sodų 31-oji g. 64, Vilniaus m., Vilniaus m. sav.</t>
  </si>
  <si>
    <t>2025-11-24 07:51:17</t>
  </si>
  <si>
    <t>Rūtų g. 17, Vilniaus m., Vilniaus m. sav.</t>
  </si>
  <si>
    <t>Prano Ancevičiaus g. 9, Vilniaus m., Vilniaus m. sav.</t>
  </si>
  <si>
    <t>2025-11-24 09:53:11</t>
  </si>
  <si>
    <t>2025-11-24 07:51:19</t>
  </si>
  <si>
    <t>Prano Ancevičiaus g. 7-1, Vilniaus m., Vilniaus m. sav.</t>
  </si>
  <si>
    <t>2025-11-24 09:53:12</t>
  </si>
  <si>
    <t>2025-11-24 07:51:27</t>
  </si>
  <si>
    <t>2025-11-24 07:58:01</t>
  </si>
  <si>
    <t>2025-11-24 07:51:34</t>
  </si>
  <si>
    <t>2025-11-24 07:51:38</t>
  </si>
  <si>
    <t>2025-11-24 07:51:40</t>
  </si>
  <si>
    <t>Sakalaičių Sodų 7-oji g. 56, Vilniaus m., Vilniaus m. sav.</t>
  </si>
  <si>
    <t>2025-11-24 07:51:45</t>
  </si>
  <si>
    <t>Kelmijos Sodų 31-oji g. 60, Vilniaus m., Vilniaus m. sav.</t>
  </si>
  <si>
    <t>2025-11-24 07:51:50</t>
  </si>
  <si>
    <t>Pylimo g. 21B, Vilniaus m., Vilniaus m. sav.</t>
  </si>
  <si>
    <t>2025-11-24 07:51:51</t>
  </si>
  <si>
    <t>2025-11-24 07:51:57</t>
  </si>
  <si>
    <t>Kelmijos Sodų 31-oji g. 96, Vilniaus m., Vilniaus m. sav.</t>
  </si>
  <si>
    <t>2025-11-24 07:52:05</t>
  </si>
  <si>
    <t>Elbingo g. 63, Vilniaus m., Vilniaus m. sav.</t>
  </si>
  <si>
    <t>2025-11-24 07:52:06</t>
  </si>
  <si>
    <t>Jeruzalės g. 4, Vilniaus m., Vilniaus m. sav.</t>
  </si>
  <si>
    <t>2025-11-24 07:52:07</t>
  </si>
  <si>
    <t>Pagrandos g. 2, Vilniaus m., Vilniaus m. sav.</t>
  </si>
  <si>
    <t>2025-11-24 08:04:29</t>
  </si>
  <si>
    <t>2025-11-24 07:52:10</t>
  </si>
  <si>
    <t>Sakalaičių Sodų 7-oji g. 51, Vilniaus m., Vilniaus m. sav.</t>
  </si>
  <si>
    <t>Sakalaičių Sodų 7-oji g. 58, Vilniaus m., Vilniaus m. sav.</t>
  </si>
  <si>
    <t>2025-11-24 07:52:19</t>
  </si>
  <si>
    <t>2025-11-24 07:52:29</t>
  </si>
  <si>
    <t>Kalvarijų g. 323, Vilniaus m., Vilniaus m. sav.</t>
  </si>
  <si>
    <t>2025-11-24 07:52:33</t>
  </si>
  <si>
    <t>Kelmijos Sodų 30-oji g. 11, Vilniaus m., Vilniaus m. sav.</t>
  </si>
  <si>
    <t>Džiaugsmo g. 116, Vilniaus m., Vilniaus m. sav.</t>
  </si>
  <si>
    <t>Savanorių pr. 33, Vilniaus m., Vilniaus m. sav.</t>
  </si>
  <si>
    <t>2025-11-24 07:52:37</t>
  </si>
  <si>
    <t>Putiniškių g. 2, Vilniaus m., Vilniaus m. sav.</t>
  </si>
  <si>
    <t>2025-11-24 08:04:31</t>
  </si>
  <si>
    <t>2025-11-24 07:52:42</t>
  </si>
  <si>
    <t>Sakalaičių Sodų 7-oji g. 60, Vilniaus m., Vilniaus m. sav.</t>
  </si>
  <si>
    <t>2025-11-24 07:52:43</t>
  </si>
  <si>
    <t>2025-11-24 08:04:34</t>
  </si>
  <si>
    <t>Kelmijos Sodų 31-oji g. 14, Vilniaus m., Vilniaus m. sav.</t>
  </si>
  <si>
    <t>2025-11-24 07:52:44</t>
  </si>
  <si>
    <t>Jurgio Lebedžio g. 1B, Vilniaus m., Vilniaus m. sav.</t>
  </si>
  <si>
    <t>2025-11-24 07:52:48</t>
  </si>
  <si>
    <t>Sakalaičių Sodų 7-oji g. 53, Vilniaus m., Vilniaus m. sav.</t>
  </si>
  <si>
    <t>2025-11-24 07:59:20</t>
  </si>
  <si>
    <t>2025-11-24 07:52:51</t>
  </si>
  <si>
    <t>Kelmijos Sodų 31-oji g. 54, Vilniaus m., Vilniaus m. sav.</t>
  </si>
  <si>
    <t>2025-11-24 07:52:58</t>
  </si>
  <si>
    <t>2025-11-24 08:04:35</t>
  </si>
  <si>
    <t>2025-11-24 07:53:02</t>
  </si>
  <si>
    <t>Jurgio Lebedžio g. 9, Vilniaus m., Vilniaus m. sav.</t>
  </si>
  <si>
    <t>2025-11-24 07:53:03</t>
  </si>
  <si>
    <t>2025-11-24 07:53:07</t>
  </si>
  <si>
    <t>S. Stanevičiaus g. 14, Vilniaus m., Vilniaus m. sav.</t>
  </si>
  <si>
    <t>2025-11-24 07:53:08</t>
  </si>
  <si>
    <t>2025-11-24 07:53:21</t>
  </si>
  <si>
    <t>Prano Ancevičiaus g. 5-1, Vilniaus m., Vilniaus m. sav.</t>
  </si>
  <si>
    <t>2025-11-24 07:53:11</t>
  </si>
  <si>
    <t>Architektų g. 136, Vilniaus m., Vilniaus m. sav.</t>
  </si>
  <si>
    <t>2025-11-24 07:53:54</t>
  </si>
  <si>
    <t>2025-11-24 07:53:12</t>
  </si>
  <si>
    <t>Medeinos g. 35, Vilniaus m., Vilniaus m. sav.</t>
  </si>
  <si>
    <t>2025-11-24 07:53:18</t>
  </si>
  <si>
    <t>Prano Ancevičiaus g. 18-2, Vilniaus m., Vilniaus m. sav.</t>
  </si>
  <si>
    <t>Prano Ancevičiaus g. 18-1, Vilniaus m., Vilniaus m. sav.</t>
  </si>
  <si>
    <t>2025-11-24 07:53:22</t>
  </si>
  <si>
    <t>Gabijos g. 57, Vilniaus m., Vilniaus m. sav.</t>
  </si>
  <si>
    <t>2025-11-24 07:53:25</t>
  </si>
  <si>
    <t>Kelmijos Sodų 31-oji g. 52, Vilniaus m., Vilniaus m. sav.</t>
  </si>
  <si>
    <t>2025-11-24 07:53:29</t>
  </si>
  <si>
    <t>V. A. Graičiūno g. 33, Vilniaus m., Vilniaus m. sav.</t>
  </si>
  <si>
    <t>2025-11-24 07:53:30</t>
  </si>
  <si>
    <t>Rūtų g. 19A, Vilniaus m., Vilniaus m. sav.</t>
  </si>
  <si>
    <t>2025-11-24 07:58:09</t>
  </si>
  <si>
    <t>2025-11-24 07:58:12</t>
  </si>
  <si>
    <t>Pagrandos g. 4, Vilniaus m., Vilniaus m. sav.</t>
  </si>
  <si>
    <t>Kelmijos Sodų 31-oji g. 90, Vilniaus m., Vilniaus m. sav.</t>
  </si>
  <si>
    <t>2025-11-24 07:53:43</t>
  </si>
  <si>
    <t>Kelmijos Sodų 25-oji g. 4A, Vilniaus m., Vilniaus m. sav.</t>
  </si>
  <si>
    <t>2025-11-24 07:53:49</t>
  </si>
  <si>
    <t>P. Ancevičiaus g. 6-2, Vilniaus m., Vilniaus m. sav.</t>
  </si>
  <si>
    <t>Prano Ancevičiaus g. 6A, Vilniaus m., Vilniaus m. sav.</t>
  </si>
  <si>
    <t>Kelmijos Sodų 25-oji g. 4, Vilniaus m., Vilniaus m. sav.</t>
  </si>
  <si>
    <t>Nemenčinės pl. 112C, Vilniaus m., Vilniaus m. sav.</t>
  </si>
  <si>
    <t>Pagrandos g. 1-2, Vilniaus m., Vilniaus m. sav.</t>
  </si>
  <si>
    <t>2025-11-24 08:09:56</t>
  </si>
  <si>
    <t>2025-11-24 08:09:58</t>
  </si>
  <si>
    <t>2025-11-24 07:54:16</t>
  </si>
  <si>
    <t>Fabijoniškių g. 92, Vilniaus m., Vilniaus m. sav.</t>
  </si>
  <si>
    <t>2025-11-24 07:54:22</t>
  </si>
  <si>
    <t>Elbingo g. 59, Vilniaus m., Vilniaus m. sav.</t>
  </si>
  <si>
    <t>2025-11-24 08:10:02</t>
  </si>
  <si>
    <t>2025-11-24 07:54:27</t>
  </si>
  <si>
    <t>Paberžės g. 7, Vilniaus m., Vilniaus m. sav.</t>
  </si>
  <si>
    <t>2025-11-24 07:54:31</t>
  </si>
  <si>
    <t>Kelmijos Sodų 31-oji g. 44, Vilniaus m., Vilniaus m. sav.</t>
  </si>
  <si>
    <t>S. Stanevičiaus g. 32A, Vilniaus m., Vilniaus m. sav.</t>
  </si>
  <si>
    <t>2025-11-24 07:54:40</t>
  </si>
  <si>
    <t>Pagrandos g. 8, Vilniaus m., Vilniaus m. sav.</t>
  </si>
  <si>
    <t>K. Ulvydo g. 11, Vilniaus m., Vilniaus m. sav.</t>
  </si>
  <si>
    <t>2025-11-24 07:54:45</t>
  </si>
  <si>
    <t>2025-11-24 07:54:48</t>
  </si>
  <si>
    <t>Savanorių pr. 47, Vilniaus m., Vilniaus m. sav.</t>
  </si>
  <si>
    <t>2025-11-24 07:55:00</t>
  </si>
  <si>
    <t>O. Lukauskaitės-Poškienės g. 2-2, Vilniaus m., Vilniaus m. sav.</t>
  </si>
  <si>
    <t>2025-11-24 07:55:11</t>
  </si>
  <si>
    <t>2025-11-24 07:55:27</t>
  </si>
  <si>
    <t>Žarijų g. 4B, Vilniaus m., Vilniaus m. sav.</t>
  </si>
  <si>
    <t>2025-11-24 07:55:31</t>
  </si>
  <si>
    <t>Pagrandos g. 7D, Vilniaus m., Vilniaus m. sav.</t>
  </si>
  <si>
    <t>2025-11-24 08:10:08</t>
  </si>
  <si>
    <t>2025-11-24 07:55:32</t>
  </si>
  <si>
    <t>2025-11-24 07:55:34</t>
  </si>
  <si>
    <t>2025-11-24 07:55:37</t>
  </si>
  <si>
    <t>Kelmijos Sodų 31-oji g. 36, Vilniaus m., Vilniaus m. sav.</t>
  </si>
  <si>
    <t>2025-11-24 07:55:40</t>
  </si>
  <si>
    <t>Kazio Ulvydo g. 11F, Vilniaus m., Vilniaus m. sav.</t>
  </si>
  <si>
    <t>2025-11-24 07:55:43</t>
  </si>
  <si>
    <t>Kelmijos Sodų 31-oji g. 34A, Vilniaus m., Vilniaus m. sav.</t>
  </si>
  <si>
    <t>2025-11-24 07:55:44</t>
  </si>
  <si>
    <t>2025-11-24 07:55:45</t>
  </si>
  <si>
    <t>Architektų g. 140, Vilniaus m., Vilniaus m. sav.</t>
  </si>
  <si>
    <t>2025-11-24 07:55:46</t>
  </si>
  <si>
    <t>2025-11-24 07:55:48</t>
  </si>
  <si>
    <t>Kazio Ulvydo g. 11, Vilniaus m., Vilniaus m. sav.</t>
  </si>
  <si>
    <t>2025-11-24 07:55:49</t>
  </si>
  <si>
    <t>Gedimino pr. 4, Vilniaus m., Vilniaus m. sav.</t>
  </si>
  <si>
    <t>2025-11-24 07:55:51</t>
  </si>
  <si>
    <t>2025-11-24 07:55:53</t>
  </si>
  <si>
    <t>Rūtų g. 18-1, Vilniaus m., Vilniaus m. sav.</t>
  </si>
  <si>
    <t>2025-11-24 07:55:55</t>
  </si>
  <si>
    <t>2025-11-24 07:55:59</t>
  </si>
  <si>
    <t>2025-11-24 08:11:36</t>
  </si>
  <si>
    <t>2025-11-24 07:56:03</t>
  </si>
  <si>
    <t>2025-11-24 07:56:15</t>
  </si>
  <si>
    <t>2025-11-24 07:56:32</t>
  </si>
  <si>
    <t>Sakalaičių Sodų 6-oji g. 4, Vilniaus m., Vilniaus m. sav.</t>
  </si>
  <si>
    <t>Kelmijos Sodų 31-oji g. 25, Vilniaus m., Vilniaus m. sav.</t>
  </si>
  <si>
    <t>2025-11-24 07:56:34</t>
  </si>
  <si>
    <t>2025-11-24 07:56:39</t>
  </si>
  <si>
    <t>Rūtų g. 18, Vilniaus m., Vilniaus m. sav.</t>
  </si>
  <si>
    <t>2025-11-24 08:13:45</t>
  </si>
  <si>
    <t>2025-11-24 07:56:41</t>
  </si>
  <si>
    <t>Lazdynėlių g. 23, Vilniaus m., Vilniaus m. sav.</t>
  </si>
  <si>
    <t>2025-11-24 07:56:46</t>
  </si>
  <si>
    <t>P. Ancevičiaus g. 1, Vilniaus m., Vilniaus m. sav.</t>
  </si>
  <si>
    <t>Sakalaičių Sodų 6-oji g. 11, Vilniaus m., Vilniaus m. sav.</t>
  </si>
  <si>
    <t>2025-11-24 07:56:48</t>
  </si>
  <si>
    <t>2025-11-24 07:56:52</t>
  </si>
  <si>
    <t>Sakalaičių Sodų 6-oji g. 6, Vilniaus m., Vilniaus m. sav.</t>
  </si>
  <si>
    <t>Pagrandos g. 14, Vilniaus m., Vilniaus m. sav.</t>
  </si>
  <si>
    <t>2025-11-24 08:10:17</t>
  </si>
  <si>
    <t>2025-11-24 07:56:56</t>
  </si>
  <si>
    <t>Sakalaičių Sodų 6-oji g. 13, Vilniaus m., Vilniaus m. sav.</t>
  </si>
  <si>
    <t>2025-11-24 07:59:27</t>
  </si>
  <si>
    <t>Paberžės g. 22, Vilniaus m., Vilniaus m. sav.</t>
  </si>
  <si>
    <t>2025-11-24 07:57:04</t>
  </si>
  <si>
    <t>2025-11-24 07:57:06</t>
  </si>
  <si>
    <t>Kelmijos Sodų 31-oji g. 66, Vilniaus m., Vilniaus m. sav.</t>
  </si>
  <si>
    <t>2025-11-24 07:57:08</t>
  </si>
  <si>
    <t>Sakalaičių Sodų 6-oji g. 8, Vilniaus m., Vilniaus m. sav.</t>
  </si>
  <si>
    <t>2025-11-24 07:57:11</t>
  </si>
  <si>
    <t>Gelvadiškių Sodų 2-oji g. 2, Vilniaus m., Vilniaus m. sav.</t>
  </si>
  <si>
    <t>2025-11-24 07:57:12</t>
  </si>
  <si>
    <t>Sakalaičių Sodų 6-oji g. 19, Vilniaus m., Vilniaus m. sav.</t>
  </si>
  <si>
    <t>2025-11-24 07:57:20</t>
  </si>
  <si>
    <t>2025-11-24 08:21:29</t>
  </si>
  <si>
    <t>O. Lukauskaitės-Poškienės g. 6-1, Vilniaus m., Vilniaus m. sav.</t>
  </si>
  <si>
    <t>Rūtų g. 18A, Vilniaus m., Vilniaus m. sav.</t>
  </si>
  <si>
    <t>2025-11-24 07:57:22</t>
  </si>
  <si>
    <t>2025-11-24 07:57:23</t>
  </si>
  <si>
    <t>Kelmijos Sodų 31-oji g. 26, Vilniaus m., Vilniaus m. sav.</t>
  </si>
  <si>
    <t>Pagrandos g. 9-2, Vilniaus m., Vilniaus m. sav.</t>
  </si>
  <si>
    <t>2025-11-24 08:10:18</t>
  </si>
  <si>
    <t>2025-11-24 07:57:26</t>
  </si>
  <si>
    <t>O. Lukauskaitės-Poškienės g. 6-2, Vilniaus m., Vilniaus m. sav.</t>
  </si>
  <si>
    <t>Gabijos g. 61, Vilniaus m., Vilniaus m. sav.</t>
  </si>
  <si>
    <t>2025-11-24 08:10:19</t>
  </si>
  <si>
    <t>2025-11-24 07:57:31</t>
  </si>
  <si>
    <t>Rūtų g. 16, Vilniaus m., Vilniaus m. sav.</t>
  </si>
  <si>
    <t>Kelmijos Sodų 31-oji g. 33, Vilniaus m., Vilniaus m. sav.</t>
  </si>
  <si>
    <t>Gailestingųjų Seserų g. 2, Vilniaus m., Vilniaus m. sav.</t>
  </si>
  <si>
    <t>2025-11-24 08:13:57</t>
  </si>
  <si>
    <t>2025-11-24 07:57:39</t>
  </si>
  <si>
    <t>2025-11-24 07:57:52</t>
  </si>
  <si>
    <t>2025-11-24 07:57:43</t>
  </si>
  <si>
    <t>2025-11-24 08:35:12</t>
  </si>
  <si>
    <t>Kelmijos Sodų 31-oji g. 70, Vilniaus m., Vilniaus m. sav.</t>
  </si>
  <si>
    <t>Sakalaičių Sodų 6-oji g. 29, Vilniaus m., Vilniaus m. sav.</t>
  </si>
  <si>
    <t>2025-11-24 07:57:49</t>
  </si>
  <si>
    <t>Odminių g. 1, Vilniaus m., Vilniaus m. sav.</t>
  </si>
  <si>
    <t>2025-11-24 07:57:51</t>
  </si>
  <si>
    <t>Pagrandos g. 9-1, Vilniaus m., Vilniaus m. sav.</t>
  </si>
  <si>
    <t>2025-11-24 08:10:24</t>
  </si>
  <si>
    <t>Sakalaičių Sodų 6-oji g. 31, Vilniaus m., Vilniaus m. sav.</t>
  </si>
  <si>
    <t>2025-11-24 07:59:31</t>
  </si>
  <si>
    <t>2025-11-24 07:57:56</t>
  </si>
  <si>
    <t>V. A. Graičiūno g. 30, Vilniaus m., Vilniaus m. sav.</t>
  </si>
  <si>
    <t>2025-11-24 07:57:58</t>
  </si>
  <si>
    <t>Pikutiškių g. 11-1B, Vilniaus m., Vilniaus m. sav.</t>
  </si>
  <si>
    <t>Tvankstos g. 16, Vilniaus m., Vilniaus m. sav.</t>
  </si>
  <si>
    <t>2025-11-24 07:58:00</t>
  </si>
  <si>
    <t>V. Mačernio g. 40A, Vilniaus m., Vilniaus m. sav.</t>
  </si>
  <si>
    <t>2025-11-24 08:03:19</t>
  </si>
  <si>
    <t>2025-11-24 07:58:04</t>
  </si>
  <si>
    <t>Juozo Rutkausko g. 2, Vilniaus m., Vilniaus m. sav.</t>
  </si>
  <si>
    <t>Kelmijos Sodų 31-oji g. 19, Vilniaus m., Vilniaus m. sav.</t>
  </si>
  <si>
    <t>Onos Lukauskaitės-Poškienės g. 10-2, Vilniaus m., Vilniaus m. sav.</t>
  </si>
  <si>
    <t>2025-11-24 07:58:13</t>
  </si>
  <si>
    <t>2025-11-24 07:58:18</t>
  </si>
  <si>
    <t>2025-11-24 07:58:19</t>
  </si>
  <si>
    <t>2025-11-24 07:58:20</t>
  </si>
  <si>
    <t>O. Lukauskaitės-Poškienės g. 10-1, Vilniaus m., Vilniaus m. sav.</t>
  </si>
  <si>
    <t>Sakalaičių Sodų 6-oji g. 33, Vilniaus m., Vilniaus m. sav.</t>
  </si>
  <si>
    <t>2025-11-24 07:58:21</t>
  </si>
  <si>
    <t>2025-11-24 07:58:24</t>
  </si>
  <si>
    <t>2025-11-24 07:58:26</t>
  </si>
  <si>
    <t>2025-11-24 07:58:31</t>
  </si>
  <si>
    <t>Pagrandos g. 11, Vilniaus m., Vilniaus m. sav.</t>
  </si>
  <si>
    <t>Kelmijos Sodų 31-oji g. 37, Vilniaus m., Vilniaus m. sav.</t>
  </si>
  <si>
    <t>2025-11-24 07:58:32</t>
  </si>
  <si>
    <t>J.Balčikonio g. 15, Vilniaus m., Vilniaus m. sav.</t>
  </si>
  <si>
    <t>2025-11-24 07:58:35</t>
  </si>
  <si>
    <t>Kelmijos Sodų 31-oji g. 76, Vilniaus m., Vilniaus m. sav.</t>
  </si>
  <si>
    <t>2025-11-24 07:58:38</t>
  </si>
  <si>
    <t>Sakalaičių Sodų 6-oji g. 14, Vilniaus m., Vilniaus m. sav.</t>
  </si>
  <si>
    <t>2025-11-24 07:59:32</t>
  </si>
  <si>
    <t>2025-11-24 07:58:41</t>
  </si>
  <si>
    <t>Šaltinių g. 1, Vilniaus m., Vilniaus m. sav.</t>
  </si>
  <si>
    <t>2025-11-24 07:58:43</t>
  </si>
  <si>
    <t>Architektų g. 87, Vilniaus m., Vilniaus m. sav.</t>
  </si>
  <si>
    <t>2025-11-24 07:58:44</t>
  </si>
  <si>
    <t>V. Mačernio g. 11-2, Vilniaus m., Vilniaus m. sav.</t>
  </si>
  <si>
    <t>2025-11-24 07:58:46</t>
  </si>
  <si>
    <t>Sakalaičių Sodų 6-oji g. 16, Vilniaus m., Vilniaus m. sav.</t>
  </si>
  <si>
    <t>2025-11-24 07:59:34</t>
  </si>
  <si>
    <t>2025-11-24 07:58:47</t>
  </si>
  <si>
    <t>Žarijų g. 2C, Vilniaus m., Vilniaus m. sav.</t>
  </si>
  <si>
    <t>2025-11-24 07:58:48</t>
  </si>
  <si>
    <t>2025-11-24 07:58:49</t>
  </si>
  <si>
    <t>V. Mačernio g. 40, Vilniaus m., Vilniaus m. sav.</t>
  </si>
  <si>
    <t>2025-11-24 07:58:52</t>
  </si>
  <si>
    <t>Sakalaičių Sodų 6-oji g. 41, Vilniaus m., Vilniaus m. sav.</t>
  </si>
  <si>
    <t>2025-11-24 07:59:35</t>
  </si>
  <si>
    <t>2025-11-24 07:58:55</t>
  </si>
  <si>
    <t>Ozo g. 8A, Vilniaus m., Vilniaus m. sav.</t>
  </si>
  <si>
    <t>2025-11-24 07:58:58</t>
  </si>
  <si>
    <t>Nemenčinės pl. 2, Vilniaus m., Vilniaus m. sav.</t>
  </si>
  <si>
    <t>2025-11-24 07:58:59</t>
  </si>
  <si>
    <t>2025-11-24 07:59:01</t>
  </si>
  <si>
    <t>Dzūkų g. 75, Vilniaus m., Vilniaus m. sav.</t>
  </si>
  <si>
    <t>2025-11-24 07:59:05</t>
  </si>
  <si>
    <t>2025-11-24 08:10:13</t>
  </si>
  <si>
    <t>2025-11-24 07:59:11</t>
  </si>
  <si>
    <t>Kelmijos Sodų 31-oji g. 39, Vilniaus m., Vilniaus m. sav.</t>
  </si>
  <si>
    <t>2025-11-24 07:59:13</t>
  </si>
  <si>
    <t>2025-11-24 07:59:30</t>
  </si>
  <si>
    <t>Sakalaičių Sodų 6-oji g. 43, Vilniaus m., Vilniaus m. sav.</t>
  </si>
  <si>
    <t>2025-11-24 07:59:23</t>
  </si>
  <si>
    <t>2025-11-24 07:59:26</t>
  </si>
  <si>
    <t>Sakalaičių Sodų 6-oji g. 45, Vilniaus m., Vilniaus m. sav.</t>
  </si>
  <si>
    <t>Vilniaus g. 65, Grigiškių m., Vilniaus m. sav.</t>
  </si>
  <si>
    <t>V. Mačernio g. 9b, Vilniaus m., Vilniaus m. sav.</t>
  </si>
  <si>
    <t>2025-11-24 07:59:43</t>
  </si>
  <si>
    <t>Paberžės g. 28, Vilniaus m., Vilniaus m. sav.</t>
  </si>
  <si>
    <t>2025-11-24 08:09:51</t>
  </si>
  <si>
    <t>2025-11-24 08:04:44</t>
  </si>
  <si>
    <t>2025-11-24 07:59:40</t>
  </si>
  <si>
    <t>2025-11-24 08:11:15</t>
  </si>
  <si>
    <t>Dzūkų g. 77A, Vilniaus m., Vilniaus m. sav.</t>
  </si>
  <si>
    <t>2025-11-24 08:04:46</t>
  </si>
  <si>
    <t>2025-11-24 07:59:46</t>
  </si>
  <si>
    <t>Sakalaičių Sodų 6-oji g. 18, Vilniaus m., Vilniaus m. sav.</t>
  </si>
  <si>
    <t>2025-11-24 07:59:53</t>
  </si>
  <si>
    <t>2025-11-24 07:59:56</t>
  </si>
  <si>
    <t>2025-11-24 08:02:26</t>
  </si>
  <si>
    <t>2025-11-24 08:00:08</t>
  </si>
  <si>
    <t>2025-11-24 07:59:57</t>
  </si>
  <si>
    <t>2025-11-24 08:12:00</t>
  </si>
  <si>
    <t>Kelmijos Sodų 31-oji g. 1, Vilniaus m., Vilniaus m. sav.</t>
  </si>
  <si>
    <t>2025-11-24 08:00:00</t>
  </si>
  <si>
    <t>Juozo Balčikonio g. 7, Vilniaus m., Vilniaus m. sav.</t>
  </si>
  <si>
    <t>2025-11-24 08:00:03</t>
  </si>
  <si>
    <t>2025-11-24 08:35:13</t>
  </si>
  <si>
    <t>Kelmijos Sodų 31-oji g. 41, Vilniaus m., Vilniaus m. sav.</t>
  </si>
  <si>
    <t>2025-11-24 08:00:06</t>
  </si>
  <si>
    <t>2025-11-24 08:00:07</t>
  </si>
  <si>
    <t>Sakalaičių Sodų 6-oji g. 22, Vilniaus m., Vilniaus m. sav.</t>
  </si>
  <si>
    <t>2025-11-24 08:00:21</t>
  </si>
  <si>
    <t>2025-11-24 08:00:24</t>
  </si>
  <si>
    <t>Ugniagesių g. 6, Vilniaus m., Vilniaus m. sav.</t>
  </si>
  <si>
    <t>2025-11-24 08:00:25</t>
  </si>
  <si>
    <t>Kelmijos Sodų 31-oji g. 55, Vilniaus m., Vilniaus m. sav.</t>
  </si>
  <si>
    <t>2025-11-24 08:00:27</t>
  </si>
  <si>
    <t>2025-11-24 08:46:22</t>
  </si>
  <si>
    <t>Kelmijos Sodų 31-oji g. 84, Vilniaus m., Vilniaus m. sav.</t>
  </si>
  <si>
    <t>2025-11-24 08:00:30</t>
  </si>
  <si>
    <t>2025-11-24 08:00:33</t>
  </si>
  <si>
    <t>2025-11-24 08:00:35</t>
  </si>
  <si>
    <t>2025-11-24 08:00:42</t>
  </si>
  <si>
    <t>Žirmūnų g. 89, Vilniaus m., Vilniaus m. sav.</t>
  </si>
  <si>
    <t>2025-11-24 08:00:43</t>
  </si>
  <si>
    <t>Jeruzalės g. 21, Vilniaus m., Vilniaus m. sav.</t>
  </si>
  <si>
    <t>2025-11-24 08:00:45</t>
  </si>
  <si>
    <t>Mykolo Krupavičiaus g. 32, Vilniaus m., Vilniaus m. sav.</t>
  </si>
  <si>
    <t>2025-11-24 08:00:59</t>
  </si>
  <si>
    <t>Kelmijos Sodų 31-oji g. 45, Vilniaus m., Vilniaus m. sav.</t>
  </si>
  <si>
    <t>2025-11-24 08:01:03</t>
  </si>
  <si>
    <t>2025-11-24 08:01:06</t>
  </si>
  <si>
    <t>Sakalaičių Sodų 6-oji g. 51, Vilniaus m., Vilniaus m. sav.</t>
  </si>
  <si>
    <t>2025-11-24 08:01:08</t>
  </si>
  <si>
    <t>Visorių g. 19, Vilniaus m., Vilniaus m. sav.</t>
  </si>
  <si>
    <t>2025-11-24 08:01:15</t>
  </si>
  <si>
    <t>2025-11-24 08:01:19</t>
  </si>
  <si>
    <t>2025-11-24 08:01:24</t>
  </si>
  <si>
    <t>Lazdakiemio g. 9-2, Vilniaus m., Vilniaus m. sav.</t>
  </si>
  <si>
    <t>2025-11-24 08:01:33</t>
  </si>
  <si>
    <t>2025-11-24 08:01:40</t>
  </si>
  <si>
    <t>Tvankstos g. 12, Vilniaus m., Vilniaus m. sav.</t>
  </si>
  <si>
    <t>2025-11-24 08:01:43</t>
  </si>
  <si>
    <t>2025-11-24 08:01:44</t>
  </si>
  <si>
    <t>2025-11-24 08:01:46</t>
  </si>
  <si>
    <t>Gelvonų g. 27, Vilniaus m., Vilniaus m. sav.</t>
  </si>
  <si>
    <t>2025-11-24 08:01:47</t>
  </si>
  <si>
    <t>Gelvadiškių g. 72, Vilniaus m., Vilniaus m. sav.</t>
  </si>
  <si>
    <t>2025-11-24 08:01:48</t>
  </si>
  <si>
    <t>Sakalaičių Sodų 6-oji g. 26, Vilniaus m., Vilniaus m. sav.</t>
  </si>
  <si>
    <t>2025-11-24 08:06:30</t>
  </si>
  <si>
    <t>2025-11-24 08:01:50</t>
  </si>
  <si>
    <t>2025-11-24 08:01:55</t>
  </si>
  <si>
    <t>Dagiliškių g. 10, Vilniaus m., Vilniaus m. sav.</t>
  </si>
  <si>
    <t>2025-11-24 08:10:35</t>
  </si>
  <si>
    <t>2025-11-24 08:01:56</t>
  </si>
  <si>
    <t>2025-11-24 08:01:57</t>
  </si>
  <si>
    <t>2025-11-24 08:02:01</t>
  </si>
  <si>
    <t>2025-11-24 08:02:11</t>
  </si>
  <si>
    <t>2025-11-24 08:02:12</t>
  </si>
  <si>
    <t>Sakalaičių Sodų 6-oji g. 53, Vilniaus m., Vilniaus m. sav.</t>
  </si>
  <si>
    <t>2025-11-24 08:02:15</t>
  </si>
  <si>
    <t>Broniaus Krivicko g. 46, Vilniaus m., Vilniaus m. sav.</t>
  </si>
  <si>
    <t>2025-11-24 08:02:16</t>
  </si>
  <si>
    <t>Sakalaičių Sodų 6-oji g. 28, Vilniaus m., Vilniaus m. sav.</t>
  </si>
  <si>
    <t>2025-11-24 08:02:32</t>
  </si>
  <si>
    <t>2025-11-24 08:02:37</t>
  </si>
  <si>
    <t>Dagiliškių g. 3, Vilniaus m., Vilniaus m. sav.</t>
  </si>
  <si>
    <t>2025-11-24 08:02:40</t>
  </si>
  <si>
    <t>Gabijos g. 67, Vilniaus m., Vilniaus m. sav.</t>
  </si>
  <si>
    <t>Kelmijos Sodų 31-oji g. 88, Vilniaus m., Vilniaus m. sav.</t>
  </si>
  <si>
    <t>2025-11-24 08:02:58</t>
  </si>
  <si>
    <t>2025-11-24 08:03:04</t>
  </si>
  <si>
    <t>Žarijų g. 2, Vilniaus m., Vilniaus m. sav.</t>
  </si>
  <si>
    <t>S. Stanevičiaus g. 42, Vilniaus m., Vilniaus m. sav.</t>
  </si>
  <si>
    <t>2025-11-24 08:03:06</t>
  </si>
  <si>
    <t>Sakalaičių Sodų 6-oji g. 34, Vilniaus m., Vilniaus m. sav.</t>
  </si>
  <si>
    <t>2025-11-24 08:03:07</t>
  </si>
  <si>
    <t>Dagiliškių g. 2-2, Vilniaus m., Vilniaus m. sav.</t>
  </si>
  <si>
    <t>2025-11-24 08:03:10</t>
  </si>
  <si>
    <t>2025-11-24 08:03:13</t>
  </si>
  <si>
    <t>Dagiliškių g. 1-1, Vilniaus m., Vilniaus m. sav.</t>
  </si>
  <si>
    <t>2025-11-24 08:13:48</t>
  </si>
  <si>
    <t>2025-11-24 08:03:14</t>
  </si>
  <si>
    <t>Sakalaičių Sodų 6-oji g. 30, Vilniaus m., Vilniaus m. sav.</t>
  </si>
  <si>
    <t>2025-11-24 08:03:16</t>
  </si>
  <si>
    <t>Medeinos g. 1, Vilniaus m., Vilniaus m. sav.</t>
  </si>
  <si>
    <t>Sakalaičių Sodų 6-oji g. 55, Vilniaus m., Vilniaus m. sav.</t>
  </si>
  <si>
    <t>Gailestingųjų Seserų g. 5, Vilniaus m., Vilniaus m. sav.</t>
  </si>
  <si>
    <t>Architektų g. 91, Vilniaus m., Vilniaus m. sav.</t>
  </si>
  <si>
    <t>2025-11-24 08:03:22</t>
  </si>
  <si>
    <t>Medeinos g. 7, Vilniaus m., Vilniaus m. sav.</t>
  </si>
  <si>
    <t>2025-11-24 08:10:06</t>
  </si>
  <si>
    <t>2025-11-24 08:03:24</t>
  </si>
  <si>
    <t>J. Balčikonio g. 3C, Vilniaus m., Vilniaus m. sav.</t>
  </si>
  <si>
    <t>2025-11-24 08:03:29</t>
  </si>
  <si>
    <t>2025-11-24 08:03:30</t>
  </si>
  <si>
    <t>Poligrafijos g. 4, Vilniaus m., Vilniaus m. sav.</t>
  </si>
  <si>
    <t>2025-11-24 08:03:33</t>
  </si>
  <si>
    <t>Dagiliškių g. 1-2, Vilniaus m., Vilniaus m. sav.</t>
  </si>
  <si>
    <t>Dagiliškių g. 1A-2, Vilniaus m., Vilniaus m. sav.</t>
  </si>
  <si>
    <t>2025-11-24 08:13:52</t>
  </si>
  <si>
    <t>2025-11-24 08:03:41</t>
  </si>
  <si>
    <t>Katedros a. 4, Vilniaus m., Vilniaus m. sav.</t>
  </si>
  <si>
    <t>2025-11-24 08:03:45</t>
  </si>
  <si>
    <t>Ozo g. 9, Vilniaus m., Vilniaus m. sav.</t>
  </si>
  <si>
    <t>2025-11-24 08:03:48</t>
  </si>
  <si>
    <t>Visorių g. 23, Vilniaus m., Vilniaus m. sav.</t>
  </si>
  <si>
    <t>2025-11-24 08:03:49</t>
  </si>
  <si>
    <t>Broniaus Krivicko g. 15, Vilniaus m., Vilniaus m. sav.</t>
  </si>
  <si>
    <t>2025-11-24 08:03:53</t>
  </si>
  <si>
    <t>Lapių g. 3, Vilniaus m., Vilniaus m. sav.</t>
  </si>
  <si>
    <t>Broniaus Krivicko g. 17, Vilniaus m., Vilniaus m. sav.</t>
  </si>
  <si>
    <t>2025-11-24 08:03:54</t>
  </si>
  <si>
    <t>Sakalaičių Sodų 6-oji g. 38A, Vilniaus m., Vilniaus m. sav.</t>
  </si>
  <si>
    <t>2025-11-24 08:06:37</t>
  </si>
  <si>
    <t>2025-11-24 08:03:58</t>
  </si>
  <si>
    <t>Sakalaičių Sodų 6-oji g. 57, Vilniaus m., Vilniaus m. sav.</t>
  </si>
  <si>
    <t>2025-11-24 08:03:59</t>
  </si>
  <si>
    <t>Dagiliškių g. 6, Vilniaus m., Vilniaus m. sav.</t>
  </si>
  <si>
    <t>2025-11-24 08:04:03</t>
  </si>
  <si>
    <t>Dagiliškių g. 2-1, Vilniaus m., Vilniaus m. sav.</t>
  </si>
  <si>
    <t>2025-11-24 08:04:04</t>
  </si>
  <si>
    <t>Sakalaičių Sodų 6-oji g. 38, Vilniaus m., Vilniaus m. sav.</t>
  </si>
  <si>
    <t>2025-11-24 08:06:40</t>
  </si>
  <si>
    <t>2025-11-24 08:04:05</t>
  </si>
  <si>
    <t>2025-11-24 08:04:11</t>
  </si>
  <si>
    <t>2025-11-24 08:14:22</t>
  </si>
  <si>
    <t>2025-11-24 08:04:13</t>
  </si>
  <si>
    <t>2025-11-24 08:42:43</t>
  </si>
  <si>
    <t>Dagiliškių g. 1A-1, Vilniaus m., Vilniaus m. sav.</t>
  </si>
  <si>
    <t>Sakalaičių Sodų 6-oji g. 40, Vilniaus m., Vilniaus m. sav.</t>
  </si>
  <si>
    <t>Visorių g. 25, Vilniaus m., Vilniaus m. sav.</t>
  </si>
  <si>
    <t>Dagiliškių g. 1B, Vilniaus m., Vilniaus m. sav.</t>
  </si>
  <si>
    <t>2025-11-24 08:14:36</t>
  </si>
  <si>
    <t>2025-11-24 08:04:25</t>
  </si>
  <si>
    <t>V. A. Graičiūno g. 26, Vilniaus m., Vilniaus m. sav.</t>
  </si>
  <si>
    <t>Sakalaičių Sodų 6-oji g. 44, Vilniaus m., Vilniaus m. sav.</t>
  </si>
  <si>
    <t>Karių Kapų g. 9A, Vilniaus m., Vilniaus m. sav.</t>
  </si>
  <si>
    <t>2025-11-24 08:04:33</t>
  </si>
  <si>
    <t>Broniaus Krivicko g. 13, Vilniaus m., Vilniaus m. sav.</t>
  </si>
  <si>
    <t>2025-11-24 08:04:37</t>
  </si>
  <si>
    <t>Dagiliškių g. 12, Vilniaus m., Vilniaus m. sav.</t>
  </si>
  <si>
    <t>Gabijos g. 69, Vilniaus m., Vilniaus m. sav.</t>
  </si>
  <si>
    <t>2025-11-24 08:04:52</t>
  </si>
  <si>
    <t>2025-11-24 08:04:55</t>
  </si>
  <si>
    <t>Valdemaro Čarneckio g. 6.6A, Vilniaus m., Vilniaus m. sav.</t>
  </si>
  <si>
    <t>2025-11-24 08:04:56</t>
  </si>
  <si>
    <t>O. Milašiaus g. 21, Vilniaus m., Vilniaus m. sav.</t>
  </si>
  <si>
    <t>2025-11-24 08:11:16</t>
  </si>
  <si>
    <t>2025-11-24 08:04:58</t>
  </si>
  <si>
    <t>2025-11-24 08:05:00</t>
  </si>
  <si>
    <t>2025-11-24 08:05:01</t>
  </si>
  <si>
    <t>2025-11-24 09:22:30</t>
  </si>
  <si>
    <t>Dagiliškių g. 14, Vilniaus m., Vilniaus m. sav.</t>
  </si>
  <si>
    <t>2025-11-24 08:05:03</t>
  </si>
  <si>
    <t>2025-11-24 08:05:05</t>
  </si>
  <si>
    <t>Dagiliškių g. 16, Vilniaus m., Vilniaus m. sav.</t>
  </si>
  <si>
    <t>2025-11-24 08:14:59</t>
  </si>
  <si>
    <t>2025-11-24 08:05:06</t>
  </si>
  <si>
    <t>2025-11-24 08:05:08</t>
  </si>
  <si>
    <t>2025-11-24 08:05:10</t>
  </si>
  <si>
    <t>2025-11-24 08:05:12</t>
  </si>
  <si>
    <t>2025-11-24 08:05:13</t>
  </si>
  <si>
    <t>2025-11-24 08:05:15</t>
  </si>
  <si>
    <t>Broniaus Krivicko g. 40, Vilniaus m., Vilniaus m. sav.</t>
  </si>
  <si>
    <t>2025-11-24 08:05:20</t>
  </si>
  <si>
    <t>2025-11-24 08:05:21</t>
  </si>
  <si>
    <t>Kalvarijų g. 200, Vilniaus m., Vilniaus m. sav.</t>
  </si>
  <si>
    <t>2025-11-24 08:17:33</t>
  </si>
  <si>
    <t>2025-11-24 08:05:30</t>
  </si>
  <si>
    <t>Žarijų g. 2H, Vilniaus m., Vilniaus m. sav.</t>
  </si>
  <si>
    <t>2025-11-24 08:05:36</t>
  </si>
  <si>
    <t>Dagiliškių g. 18, Vilniaus m., Vilniaus m. sav.</t>
  </si>
  <si>
    <t>2025-11-24 08:15:18</t>
  </si>
  <si>
    <t>2025-11-24 08:05:37</t>
  </si>
  <si>
    <t>Kelmijos Sodų 32-oji g. 9, Vilniaus m., Vilniaus m. sav.</t>
  </si>
  <si>
    <t>2025-11-24 08:05:42</t>
  </si>
  <si>
    <t>Sakalaičių Sodų 6-oji g. 50, Vilniaus m., Vilniaus m. sav.</t>
  </si>
  <si>
    <t>2025-11-24 08:05:43</t>
  </si>
  <si>
    <t>Kelmijos Sodų 32-oji g. 13, Vilniaus m., Vilniaus m. sav.</t>
  </si>
  <si>
    <t>2025-11-24 08:05:48</t>
  </si>
  <si>
    <t>Sakalaičių Sodų 6-oji g. 48, Vilniaus m., Vilniaus m. sav.</t>
  </si>
  <si>
    <t>2025-11-24 08:05:54</t>
  </si>
  <si>
    <t>Kazio Ulvydo g. 5, Vilniaus m., Vilniaus m. sav.</t>
  </si>
  <si>
    <t>2025-11-24 08:05:56</t>
  </si>
  <si>
    <t>Karių Kapų g. 7, Vilniaus m., Vilniaus m. sav.</t>
  </si>
  <si>
    <t>2025-11-24 08:05:57</t>
  </si>
  <si>
    <t>2025-11-24 08:06:01</t>
  </si>
  <si>
    <t>Broniaus Krivicko g. 38, Vilniaus m., Vilniaus m. sav.</t>
  </si>
  <si>
    <t>Broniaus Krivicko g. 9, Vilniaus m., Vilniaus m. sav.</t>
  </si>
  <si>
    <t>Dagiliškių g. 7B, Vilniaus m., Vilniaus m. sav.</t>
  </si>
  <si>
    <t>2025-11-24 08:06:04</t>
  </si>
  <si>
    <t>Kovo 11-osios g. 55, Grigiškių m., Vilniaus m. sav.</t>
  </si>
  <si>
    <t>2025-11-24 08:06:06</t>
  </si>
  <si>
    <t>V. A. Graičiūno g. 24A, Vilniaus m., Vilniaus m. sav.</t>
  </si>
  <si>
    <t>2025-11-24 08:06:09</t>
  </si>
  <si>
    <t>2025-11-24 08:06:10</t>
  </si>
  <si>
    <t>Gelvonų g. 33, Vilniaus m., Vilniaus m. sav.</t>
  </si>
  <si>
    <t>2025-11-24 08:06:11</t>
  </si>
  <si>
    <t>Fizikų g. 18, Vilniaus m., Vilniaus m. sav.</t>
  </si>
  <si>
    <t>2025-11-24 08:06:25</t>
  </si>
  <si>
    <t>2025-11-24 08:06:27</t>
  </si>
  <si>
    <t>Dzūkų g. 32, Vilniaus m., Vilniaus m. sav.</t>
  </si>
  <si>
    <t>Sakalaičių Sodų 6-oji g. 71, Vilniaus m., Vilniaus m. sav.</t>
  </si>
  <si>
    <t>2025-11-24 08:06:31</t>
  </si>
  <si>
    <t>Sakalaičių Sodų 5-oji g. 86, Vilniaus m., Vilniaus m. sav.</t>
  </si>
  <si>
    <t>2025-11-24 08:13:40</t>
  </si>
  <si>
    <t>2025-11-24 08:06:50</t>
  </si>
  <si>
    <t>S. Stanevičiaus g. 42A, Vilniaus m., Vilniaus m. sav.</t>
  </si>
  <si>
    <t>2025-11-24 08:06:54</t>
  </si>
  <si>
    <t>Prano Ancevičiaus g. 19-1, Vilniaus m., Vilniaus m. sav.</t>
  </si>
  <si>
    <t>2025-11-24 08:06:57</t>
  </si>
  <si>
    <t>Dzūkų g. 38A, Vilnius, Vilniaus r. sav.</t>
  </si>
  <si>
    <t>2025-11-24 08:06:58</t>
  </si>
  <si>
    <t>2025-11-24 08:07:00</t>
  </si>
  <si>
    <t>P. Ancevičiaus g. 56-2, Vilniaus m., Vilniaus m. sav.</t>
  </si>
  <si>
    <t>2025-11-24 08:07:01</t>
  </si>
  <si>
    <t>2025-11-24 08:07:02</t>
  </si>
  <si>
    <t>Sakalaičių Sodų 5-oji g. 84, Vilniaus m., Vilniaus m. sav.</t>
  </si>
  <si>
    <t>2025-11-24 08:07:03</t>
  </si>
  <si>
    <t>2025-11-24 08:07:08</t>
  </si>
  <si>
    <t>Sakalaičių Sodų 5-oji g. 77, Vilniaus m., Vilniaus m. sav.</t>
  </si>
  <si>
    <t>Dagiliškių g. 20, Vilniaus m., Vilniaus m. sav.</t>
  </si>
  <si>
    <t>2025-11-24 08:07:10</t>
  </si>
  <si>
    <t>2025-11-24 08:07:11</t>
  </si>
  <si>
    <t>Broniaus Krivicko g. 34, Vilniaus m., Vilniaus m. sav.</t>
  </si>
  <si>
    <t>2025-11-24 08:07:12</t>
  </si>
  <si>
    <t>V. A. Graičiūno g. 24B, Vilniaus m., Vilniaus m. sav.</t>
  </si>
  <si>
    <t>2025-11-24 08:07:13</t>
  </si>
  <si>
    <t>Karių Kapų g. 10, Vilniaus m., Vilniaus m. sav.</t>
  </si>
  <si>
    <t>2025-11-24 08:17:41</t>
  </si>
  <si>
    <t>2025-11-24 08:07:20</t>
  </si>
  <si>
    <t>Spaudos g. 6, Vilniaus m., Vilniaus m. sav.</t>
  </si>
  <si>
    <t>2025-11-24 08:07:23</t>
  </si>
  <si>
    <t>Fizikų g. 14, Vilniaus m., Vilniaus m. sav.</t>
  </si>
  <si>
    <t>2025-11-24 08:07:24</t>
  </si>
  <si>
    <t>2025-11-24 08:07:26</t>
  </si>
  <si>
    <t>2025-11-24 08:17:44</t>
  </si>
  <si>
    <t>2025-11-24 08:07:27</t>
  </si>
  <si>
    <t>Tvankstos g. 10, Vilniaus m., Vilniaus m. sav.</t>
  </si>
  <si>
    <t>2025-11-24 08:07:29</t>
  </si>
  <si>
    <t>Kazio Ulvydo g. 7, Vilniaus m., Vilniaus m. sav.</t>
  </si>
  <si>
    <t>2025-11-24 08:07:34</t>
  </si>
  <si>
    <t>P. Ancevičiaus g. 58, Vilniaus m., Vilniaus m. sav.</t>
  </si>
  <si>
    <t>2025-11-24 08:07:38</t>
  </si>
  <si>
    <t>Dagiliškių g. 22, Vilniaus m., Vilniaus m. sav.</t>
  </si>
  <si>
    <t>2025-11-24 08:07:39</t>
  </si>
  <si>
    <t>2025-11-24 08:07:42</t>
  </si>
  <si>
    <t>2025-11-24 08:07:47</t>
  </si>
  <si>
    <t>Broniaus Krivicko g. 32, Vilniaus m., Vilniaus m. sav.</t>
  </si>
  <si>
    <t>2025-11-24 08:07:54</t>
  </si>
  <si>
    <t>Gabijos g. 81, Vilniaus m., Vilniaus m. sav.</t>
  </si>
  <si>
    <t>2025-11-24 08:08:00</t>
  </si>
  <si>
    <t>Sėlių g. 54, Vilniaus m., Vilniaus m. sav.</t>
  </si>
  <si>
    <t>Nemenčinės pl. 7, Vilniaus m., Vilniaus m. sav.</t>
  </si>
  <si>
    <t>2025-11-24 08:11:20</t>
  </si>
  <si>
    <t>2025-11-24 08:08:01</t>
  </si>
  <si>
    <t>2025-11-24 08:13:32</t>
  </si>
  <si>
    <t>2025-11-24 08:08:02</t>
  </si>
  <si>
    <t>2025-11-24 08:08:06</t>
  </si>
  <si>
    <t>P. Ancevičiaus g. 56-1, Vilniaus m., Vilniaus m. sav.</t>
  </si>
  <si>
    <t>2025-11-24 08:08:07</t>
  </si>
  <si>
    <t>2025-11-24 08:08:08</t>
  </si>
  <si>
    <t>Sakalaičių Sodų 5-oji g. 76, Vilniaus m., Vilniaus m. sav.</t>
  </si>
  <si>
    <t>2025-11-24 08:08:10</t>
  </si>
  <si>
    <t>2025-11-24 08:08:12</t>
  </si>
  <si>
    <t>V. A. Graičiūno g. 24, Vilniaus m., Vilniaus m. sav.</t>
  </si>
  <si>
    <t>2025-11-24 08:08:17</t>
  </si>
  <si>
    <t>2025-11-24 08:08:19</t>
  </si>
  <si>
    <t>Karių Kapų g. 14, Vilniaus m., Vilniaus m. sav.</t>
  </si>
  <si>
    <t>2025-11-24 08:17:47</t>
  </si>
  <si>
    <t>2025-11-24 09:39:37</t>
  </si>
  <si>
    <t>Dagiliškių g. 9B, Vilniaus m., Vilniaus m. sav.</t>
  </si>
  <si>
    <t>2025-11-24 08:08:21</t>
  </si>
  <si>
    <t>Svajonių g. 1, Vilniaus m., Vilniaus m. sav.</t>
  </si>
  <si>
    <t>2025-11-24 08:08:24</t>
  </si>
  <si>
    <t>Fabijoniškių g. 73, Vilniaus m., Vilniaus m. sav.</t>
  </si>
  <si>
    <t>Kalvarijų g. 198, Vilniaus m., Vilniaus m. sav.</t>
  </si>
  <si>
    <t>2025-11-24 08:15:59</t>
  </si>
  <si>
    <t>2025-11-24 08:08:25</t>
  </si>
  <si>
    <t>2025-11-24 08:16:02</t>
  </si>
  <si>
    <t>2025-11-24 08:08:27</t>
  </si>
  <si>
    <t>Dagiliškių g. 5, Vilniaus m., Vilniaus m. sav.</t>
  </si>
  <si>
    <t>2025-11-24 08:08:28</t>
  </si>
  <si>
    <t>Priegliaus g. 1, Vilniaus m., Vilniaus m. sav.</t>
  </si>
  <si>
    <t>2025-11-24 08:08:31</t>
  </si>
  <si>
    <t>2025-11-24 08:16:08</t>
  </si>
  <si>
    <t>2025-11-24 08:08:36</t>
  </si>
  <si>
    <t>2025-11-24 08:08:37</t>
  </si>
  <si>
    <t>2025-11-24 08:08:39</t>
  </si>
  <si>
    <t>2025-11-24 08:08:40</t>
  </si>
  <si>
    <t>Visorių Sodų 22-oji g. 2, Vilniaus m., Vilniaus m. sav.</t>
  </si>
  <si>
    <t>2025-11-24 08:08:42</t>
  </si>
  <si>
    <t>Žarijų g. 2J, Vilniaus m., Vilniaus m. sav.</t>
  </si>
  <si>
    <t>2025-11-24 08:08:45</t>
  </si>
  <si>
    <t>2025-11-24 08:08:50</t>
  </si>
  <si>
    <t>2025-11-24 08:09:00</t>
  </si>
  <si>
    <t>2025-11-24 08:09:02</t>
  </si>
  <si>
    <t>2025-11-24 08:12:36</t>
  </si>
  <si>
    <t>2025-11-24 08:09:03</t>
  </si>
  <si>
    <t>A. Smetonos g. 7A, Vilniaus m., Vilniaus m. sav.</t>
  </si>
  <si>
    <t>2025-11-24 08:12:14</t>
  </si>
  <si>
    <t>2025-11-24 08:09:04</t>
  </si>
  <si>
    <t>2025-11-24 08:09:08</t>
  </si>
  <si>
    <t>Sakalaičių Sodų 5-oji g. 74, Vilniaus m., Vilniaus m. sav.</t>
  </si>
  <si>
    <t>2025-11-24 08:09:10</t>
  </si>
  <si>
    <t>2025-11-24 09:22:31</t>
  </si>
  <si>
    <t>Medeinos g. 13, Vilniaus m., Vilniaus m. sav.</t>
  </si>
  <si>
    <t>2025-11-24 08:10:10</t>
  </si>
  <si>
    <t>2025-11-24 08:42:44</t>
  </si>
  <si>
    <t>2025-11-24 08:09:11</t>
  </si>
  <si>
    <t>Karių Kapų g. 8, Vilniaus m., Vilniaus m. sav.</t>
  </si>
  <si>
    <t>2025-11-24 08:09:14</t>
  </si>
  <si>
    <t>2025-11-24 08:09:17</t>
  </si>
  <si>
    <t>2025-11-24 08:17:52</t>
  </si>
  <si>
    <t>2025-11-24 08:09:18</t>
  </si>
  <si>
    <t>Sakalaičių Sodų 5-oji g. 69, Vilniaus m., Vilniaus m. sav.</t>
  </si>
  <si>
    <t>2025-11-24 08:09:19</t>
  </si>
  <si>
    <t>2025-11-24 08:09:21</t>
  </si>
  <si>
    <t>2025-11-24 08:09:23</t>
  </si>
  <si>
    <t>2025-11-24 08:09:28</t>
  </si>
  <si>
    <t>Spaudos g. 8, Vilniaus m., Vilniaus m. sav.</t>
  </si>
  <si>
    <t>2025-11-24 08:09:31</t>
  </si>
  <si>
    <t>Dagiliškių g. 13, Vilniaus m., Vilniaus m. sav.</t>
  </si>
  <si>
    <t>2025-11-24 08:16:11</t>
  </si>
  <si>
    <t>2025-11-24 08:16:13</t>
  </si>
  <si>
    <t>2025-11-24 08:09:36</t>
  </si>
  <si>
    <t>Visorių Sodų 22-oji g. 8, Vilniaus m., Vilniaus m. sav.</t>
  </si>
  <si>
    <t>2025-11-24 08:09:42</t>
  </si>
  <si>
    <t>Kelmijos Sodų 31-oji g. 13, Vilniaus m., Vilniaus m. sav.</t>
  </si>
  <si>
    <t>2025-11-24 08:09:49</t>
  </si>
  <si>
    <t>2025-11-24 08:13:41</t>
  </si>
  <si>
    <t>Karių Kapų g. 5B, Vilniaus m., Vilniaus m. sav.</t>
  </si>
  <si>
    <t>2025-11-24 08:09:52</t>
  </si>
  <si>
    <t>Žarijų g. 2B, Vilniaus m., Vilniaus m. sav.</t>
  </si>
  <si>
    <t>Gelvonų g. 39, Vilniaus m., Vilniaus m. sav.</t>
  </si>
  <si>
    <t>2025-11-24 08:09:57</t>
  </si>
  <si>
    <t>2025-11-24 08:27:01</t>
  </si>
  <si>
    <t>Sakalaičių Sodų 5-oji g. 72, Vilniaus m., Vilniaus m. sav.</t>
  </si>
  <si>
    <t>2025-11-24 08:10:00</t>
  </si>
  <si>
    <t>S. Stanevičiaus g. 44, Vilniaus m., Vilniaus m. sav.</t>
  </si>
  <si>
    <t>Kalvarijų g. 174, Vilniaus m., Vilniaus m. sav.</t>
  </si>
  <si>
    <t>Kelmijos Sodų 31-oji g. 3, Vilniaus m., Vilniaus m. sav.</t>
  </si>
  <si>
    <t>Olandų g. 21A, Vilniaus m., Vilniaus m. sav.</t>
  </si>
  <si>
    <t>2025-11-24 08:10:07</t>
  </si>
  <si>
    <t>Sakalaičių Sodų 5-oji g. 67, Vilniaus m., Vilniaus m. sav.</t>
  </si>
  <si>
    <t>2025-11-24 08:13:46</t>
  </si>
  <si>
    <t>2025-11-24 08:10:09</t>
  </si>
  <si>
    <t>Fizikų g. 16, Vilniaus m., Vilniaus m. sav.</t>
  </si>
  <si>
    <t>2025-11-24 08:21:32</t>
  </si>
  <si>
    <t>Visorių Sodų 22-oji g. 8A, Vilniaus m., Vilniaus m. sav.</t>
  </si>
  <si>
    <t>Dagiliškių g. 17-1, Vilniaus m., Vilniaus m. sav.</t>
  </si>
  <si>
    <t>Dagiliškių g. 17-2, Vilniaus m., Vilniaus m. sav.</t>
  </si>
  <si>
    <t>2025-11-24 08:26:42</t>
  </si>
  <si>
    <t>Nemenčinės pl. 13A, Vilniaus m., Vilniaus m. sav.</t>
  </si>
  <si>
    <t>2025-11-24 08:27:55</t>
  </si>
  <si>
    <t>2025-11-24 08:13:42</t>
  </si>
  <si>
    <t>2025-11-24 08:10:23</t>
  </si>
  <si>
    <t>2025-11-24 08:11:32</t>
  </si>
  <si>
    <t>Sakalaičių Sodų 5-oji g. 68, Vilniaus m., Vilniaus m. sav.</t>
  </si>
  <si>
    <t>2025-11-24 08:10:30</t>
  </si>
  <si>
    <t>Kovo 11-osios g. 55A, Grigiškių m., Vilniaus m. sav.</t>
  </si>
  <si>
    <t>2025-11-24 08:10:33</t>
  </si>
  <si>
    <t>Karių Kapų g. 6, Vilniaus m., Vilniaus m. sav.</t>
  </si>
  <si>
    <t>2025-11-24 08:10:34</t>
  </si>
  <si>
    <t>Jono Glaubico g. 16, Vilniaus m., Vilniaus m. sav.</t>
  </si>
  <si>
    <t>Kazio Ulvydo g. 11A, Vilniaus m., Vilniaus m. sav.</t>
  </si>
  <si>
    <t>2025-11-24 08:10:36</t>
  </si>
  <si>
    <t>2025-11-24 08:56:17</t>
  </si>
  <si>
    <t>Lakūnų g. 47, Vilniaus m., Vilniaus m. sav.</t>
  </si>
  <si>
    <t>2025-11-24 08:10:38</t>
  </si>
  <si>
    <t>2025-11-24 08:10:40</t>
  </si>
  <si>
    <t>2025-11-24 08:10:41</t>
  </si>
  <si>
    <t>Tvankstos g. 7, Vilniaus m., Vilniaus m. sav.</t>
  </si>
  <si>
    <t>2025-11-24 08:10:42</t>
  </si>
  <si>
    <t>Kęstučio g. 62A, Vilniaus m., Vilniaus m. sav.</t>
  </si>
  <si>
    <t>2025-11-24 08:10:44</t>
  </si>
  <si>
    <t>Visorių Sodų 23-ioji g. 5, Vilniaus m., Vilniaus m. sav.</t>
  </si>
  <si>
    <t>2025-11-24 09:53:18</t>
  </si>
  <si>
    <t>2025-11-24 08:10:48</t>
  </si>
  <si>
    <t>Visorių Sodų 22-oji g. 6, Vilniaus m., Vilniaus m. sav.</t>
  </si>
  <si>
    <t>2025-11-24 09:53:19</t>
  </si>
  <si>
    <t>Sakalaičių Sodų 5-oji g. 61, Vilniaus m., Vilniaus m. sav.</t>
  </si>
  <si>
    <t>2025-11-24 08:10:49</t>
  </si>
  <si>
    <t>2025-11-24 08:10:52</t>
  </si>
  <si>
    <t>2025-11-24 08:11:05</t>
  </si>
  <si>
    <t>Kazio Ulvydo g. 11B, Vilniaus m., Vilniaus m. sav.</t>
  </si>
  <si>
    <t>2025-11-24 08:11:07</t>
  </si>
  <si>
    <t>2025-11-24 08:11:09</t>
  </si>
  <si>
    <t>Granito g. 2, Vilniaus m., Vilniaus m. sav.</t>
  </si>
  <si>
    <t>2025-11-24 08:11:12</t>
  </si>
  <si>
    <t>Visorių Sodų 22-oji g. 12, Vilniaus m., Vilniaus m. sav.</t>
  </si>
  <si>
    <t>2025-11-24 08:11:13</t>
  </si>
  <si>
    <t>Dagiliškių g. 19-1, Vilniaus m., Vilniaus m. sav.</t>
  </si>
  <si>
    <t>Dagiliškių g. 19-2, Vilniaus m., Vilniaus m. sav.</t>
  </si>
  <si>
    <t>Dzūkų g. 22, Vilniaus m., Vilniaus m. sav.</t>
  </si>
  <si>
    <t>2025-11-24 09:22:32</t>
  </si>
  <si>
    <t>Viršuliškių skg. 34, Vilniaus m., Vilniaus m. sav.</t>
  </si>
  <si>
    <t>2025-11-24 08:11:19</t>
  </si>
  <si>
    <t>Karių Kapų g. 3, Vilniaus m., Vilniaus m. sav.</t>
  </si>
  <si>
    <t>Medeinos g. 19, Vilniaus m., Vilniaus m. sav.</t>
  </si>
  <si>
    <t>2025-11-24 08:26:39</t>
  </si>
  <si>
    <t>2025-11-24 08:11:21</t>
  </si>
  <si>
    <t>2025-11-24 08:11:23</t>
  </si>
  <si>
    <t>2025-11-24 08:11:24</t>
  </si>
  <si>
    <t>Sakalaičių Sodų 5-oji g. 59, Vilniaus m., Vilniaus m. sav.</t>
  </si>
  <si>
    <t>2025-11-24 08:11:30</t>
  </si>
  <si>
    <t>2025-11-24 08:26:44</t>
  </si>
  <si>
    <t>2025-11-24 08:11:38</t>
  </si>
  <si>
    <t>Visorių Sodų 22-oji g. 13, Vilniaus m., Vilniaus m. sav.</t>
  </si>
  <si>
    <t>2025-11-24 08:11:39</t>
  </si>
  <si>
    <t>Karių Kapų g. 5, Vilniaus m., Vilniaus m. sav.</t>
  </si>
  <si>
    <t>2025-11-24 08:27:17</t>
  </si>
  <si>
    <t>2025-11-24 08:27:22</t>
  </si>
  <si>
    <t>Pergalės g. 34A, Vilniaus m., Vilniaus m. sav.</t>
  </si>
  <si>
    <t>2025-11-24 08:11:45</t>
  </si>
  <si>
    <t>Dagiliškių g. 19A-1, Vilniaus m., Vilniaus m. sav.</t>
  </si>
  <si>
    <t>Dagiliškių g. 19A-2, Vilniaus m., Vilniaus m. sav.</t>
  </si>
  <si>
    <t>2025-11-24 08:11:46</t>
  </si>
  <si>
    <t>Jono Glaubico g. 8, Vilniaus m., Vilniaus m. sav.</t>
  </si>
  <si>
    <t>Maišiagalos g. 35A, Vilniaus m., Vilniaus m. sav.</t>
  </si>
  <si>
    <t>2025-11-24 08:11:56</t>
  </si>
  <si>
    <t>2025-11-24 08:11:58</t>
  </si>
  <si>
    <t>Kelmijos Sodų 33-ioji g. 48, Vilniaus m., Vilniaus m. sav.</t>
  </si>
  <si>
    <t>2025-11-24 08:12:08</t>
  </si>
  <si>
    <t>2025-11-24 08:12:12</t>
  </si>
  <si>
    <t>Visorių Sodų 22-oji g. 14, Vilniaus m., Vilniaus m. sav.</t>
  </si>
  <si>
    <t>2025-11-24 08:12:13</t>
  </si>
  <si>
    <t>Sakalaičių Sodų 5-oji g. 57, Vilniaus m., Vilniaus m. sav.</t>
  </si>
  <si>
    <t>2025-11-24 08:12:17</t>
  </si>
  <si>
    <t>Gelvonų g. 49A, Vilniaus m., Vilniaus m. sav.</t>
  </si>
  <si>
    <t>2025-11-24 08:12:19</t>
  </si>
  <si>
    <t>2025-11-24 08:12:24</t>
  </si>
  <si>
    <t>2025-11-24 08:12:25</t>
  </si>
  <si>
    <t>Karių Kapų g. 4, Vilniaus m., Vilniaus m. sav.</t>
  </si>
  <si>
    <t>Visorių Sodų 22-oji g. 7, Vilniaus m., Vilniaus m. sav.</t>
  </si>
  <si>
    <t>2025-11-24 08:12:31</t>
  </si>
  <si>
    <t>2025-11-24 08:12:32</t>
  </si>
  <si>
    <t>2025-11-24 08:12:40</t>
  </si>
  <si>
    <t>Gabijos g. 1, Vilniaus m., Vilniaus m. sav.</t>
  </si>
  <si>
    <t>2025-11-24 08:12:44</t>
  </si>
  <si>
    <t>Sakalaičių Sodų 5-oji g. 53, Vilniaus m., Vilniaus m. sav.</t>
  </si>
  <si>
    <t>2025-11-24 08:12:54</t>
  </si>
  <si>
    <t>Sakalaičių Sodų 5-oji g. 51, Vilniaus m., Vilniaus m. sav.</t>
  </si>
  <si>
    <t>2025-11-24 08:12:59</t>
  </si>
  <si>
    <t>2025-11-24 08:13:00</t>
  </si>
  <si>
    <t>Kelmijos Sodų 25-oji g. 2, Vilniaus m., Vilniaus m. sav.</t>
  </si>
  <si>
    <t>Dagiliškių g. 25, Vilniaus m., Vilniaus m. sav.</t>
  </si>
  <si>
    <t>2025-11-24 08:21:34</t>
  </si>
  <si>
    <t>Visorių Sodų 22-oji g. 16, Vilniaus m., Vilniaus m. sav.</t>
  </si>
  <si>
    <t>2025-11-24 08:13:11</t>
  </si>
  <si>
    <t>Dagiliškių g. 23, Vilniaus m., Vilniaus m. sav.</t>
  </si>
  <si>
    <t>2025-11-24 08:13:14</t>
  </si>
  <si>
    <t>Sakalaičių Sodų 5-oji g. 56, Vilniaus m., Vilniaus m. sav.</t>
  </si>
  <si>
    <t>2025-11-24 08:13:17</t>
  </si>
  <si>
    <t>Karių Kapų g. 1, Vilniaus m., Vilniaus m. sav.</t>
  </si>
  <si>
    <t>2025-11-24 08:27:36</t>
  </si>
  <si>
    <t>2025-11-24 08:13:21</t>
  </si>
  <si>
    <t>Elniakampio g. 9, Vilniaus m., Vilniaus m. sav.</t>
  </si>
  <si>
    <t>2025-11-24 08:13:23</t>
  </si>
  <si>
    <t>2025-11-24 08:13:28</t>
  </si>
  <si>
    <t>2025-11-24 08:13:30</t>
  </si>
  <si>
    <t>Lakūnų g. 3A, Vilniaus m., Vilniaus m. sav.</t>
  </si>
  <si>
    <t>Nemenčinės pl. 15, Vilniaus m., Vilniaus m. sav.</t>
  </si>
  <si>
    <t>2025-11-24 08:13:34</t>
  </si>
  <si>
    <t>2025-11-24 08:13:36</t>
  </si>
  <si>
    <t>Sluškų g. 7, Vilniaus m., Vilniaus m. sav.</t>
  </si>
  <si>
    <t>2025-11-24 08:13:37</t>
  </si>
  <si>
    <t>Karaliaučiaus g. 15, Vilniaus m., Vilniaus m. sav.</t>
  </si>
  <si>
    <t>2025-11-24 08:13:38</t>
  </si>
  <si>
    <t>Viršuliškių skg. 28, Vilniaus m., Vilniaus m. sav.</t>
  </si>
  <si>
    <t>Bajorų kel. 5, Vilniaus m., Vilniaus m. sav.</t>
  </si>
  <si>
    <t>Kalvarijų g. 164, Vilniaus m., Vilniaus m. sav.</t>
  </si>
  <si>
    <t>Visorių Sodų 22-oji g. 17, Vilniaus m., Vilniaus m. sav.</t>
  </si>
  <si>
    <t>A. Smetonos g. 8, Vilniaus m., Vilniaus m. sav.</t>
  </si>
  <si>
    <t>2025-11-24 08:27:09</t>
  </si>
  <si>
    <t>2025-11-24 08:13:58</t>
  </si>
  <si>
    <t>2025-11-24 08:14:03</t>
  </si>
  <si>
    <t>Dagiliškių g. 29, Vilniaus m., Vilniaus m. sav.</t>
  </si>
  <si>
    <t>2025-11-24 08:14:04</t>
  </si>
  <si>
    <t>2025-11-24 08:14:07</t>
  </si>
  <si>
    <t>2025-11-24 08:14:13</t>
  </si>
  <si>
    <t>2025-11-24 08:14:17</t>
  </si>
  <si>
    <t>Granito g. 5, Vilniaus m., Vilniaus m. sav.</t>
  </si>
  <si>
    <t>2025-11-24 08:22:15</t>
  </si>
  <si>
    <t>Viršuliškių g. 55, Vilniaus m., Vilniaus m. sav.</t>
  </si>
  <si>
    <t>2025-11-24 08:14:23</t>
  </si>
  <si>
    <t>Visorių Sodų 22-oji g. 18, Vilniaus m., Vilniaus m. sav.</t>
  </si>
  <si>
    <t>2025-11-24 09:53:23</t>
  </si>
  <si>
    <t>2025-11-24 08:14:24</t>
  </si>
  <si>
    <t>2025-11-24 08:14:29</t>
  </si>
  <si>
    <t>Kovo 11-osios g. 52, Grigiškių m., Vilniaus m. sav.</t>
  </si>
  <si>
    <t>2025-11-24 08:14:32</t>
  </si>
  <si>
    <t>Kelmijos Sodų 30-oji g. 13, Vilniaus m., Vilniaus m. sav.</t>
  </si>
  <si>
    <t>2025-11-24 08:14:33</t>
  </si>
  <si>
    <t>Dagiliškių g. 31, Vilniaus m., Vilniaus m. sav.</t>
  </si>
  <si>
    <t>2025-11-24 08:14:34</t>
  </si>
  <si>
    <t>2025-11-24 08:22:57</t>
  </si>
  <si>
    <t>Kelmijos Sodų 30-oji g. 17, Vilniaus m., Vilniaus m. sav.</t>
  </si>
  <si>
    <t>Kelmijos Sodų 30-oji g. 16, Vilniaus m., Vilniaus m. sav.</t>
  </si>
  <si>
    <t>2025-11-24 08:14:41</t>
  </si>
  <si>
    <t>Tarandės g. 34, Vilniaus m., Vilniaus m. sav.</t>
  </si>
  <si>
    <t>2025-11-24 08:14:52</t>
  </si>
  <si>
    <t>2025-11-24 08:14:57</t>
  </si>
  <si>
    <t>Kazio Ulvydo g. 11C, Vilniaus m., Vilniaus m. sav.</t>
  </si>
  <si>
    <t>2025-11-24 08:14:58</t>
  </si>
  <si>
    <t>T. Kosciuškos g. 26, Vilniaus m., Vilniaus m. sav.</t>
  </si>
  <si>
    <t>2025-11-24 08:15:01</t>
  </si>
  <si>
    <t>2025-11-24 08:15:06</t>
  </si>
  <si>
    <t>Fabijoniškių g. 45A, Vilniaus m., Vilniaus m. sav.</t>
  </si>
  <si>
    <t>2025-11-24 08:15:13</t>
  </si>
  <si>
    <t>V. Daunio g. 78-2, Vilniaus m., Vilniaus m. sav.</t>
  </si>
  <si>
    <t>Sakalaičių Sodų 4-oji g. 65, Vilniaus m., Vilniaus m. sav.</t>
  </si>
  <si>
    <t>2025-11-24 08:15:29</t>
  </si>
  <si>
    <t>Bajorų kel. 9A, Vilniaus m., Vilniaus m. sav.</t>
  </si>
  <si>
    <t>2025-11-24 08:15:32</t>
  </si>
  <si>
    <t>Kęstučio g. 45, Vilniaus m., Vilniaus m. sav.</t>
  </si>
  <si>
    <t>2025-11-24 08:15:33</t>
  </si>
  <si>
    <t>Gelvonų g. 61, Vilniaus m., Vilniaus m. sav.</t>
  </si>
  <si>
    <t>2025-11-24 08:26:41</t>
  </si>
  <si>
    <t>2025-11-24 08:15:36</t>
  </si>
  <si>
    <t>Kuosų g. 16A, Vilniaus m., Vilniaus m. sav.</t>
  </si>
  <si>
    <t>Gelvonų g. 53A, Vilniaus m., Vilniaus m. sav.</t>
  </si>
  <si>
    <t>Nevardo g. 6, Vilniaus m., Vilniaus m. sav.</t>
  </si>
  <si>
    <t>Sakalaičių Sodų 4-oji g. 69, Vilniaus m., Vilniaus m. sav.</t>
  </si>
  <si>
    <t>Sakalaičių Sodų 4-oji g. 68, Vilniaus m., Vilniaus m. sav.</t>
  </si>
  <si>
    <t>Dagiliškių g. 61, Vilniaus m., Vilniaus m. sav.</t>
  </si>
  <si>
    <t>Dagiliškių g. 59, Vilniaus m., Vilniaus m. sav.</t>
  </si>
  <si>
    <t>Architektų g. 164, Vilniaus m., Vilniaus m. sav.</t>
  </si>
  <si>
    <t>2025-11-24 08:26:30</t>
  </si>
  <si>
    <t>2025-11-24 08:16:20</t>
  </si>
  <si>
    <t>Pašilaičių g. 18, Vilniaus m., Vilniaus m. sav.</t>
  </si>
  <si>
    <t>2025-11-24 08:16:21</t>
  </si>
  <si>
    <t>2025-11-24 08:16:28</t>
  </si>
  <si>
    <t>2025-11-24 08:16:33</t>
  </si>
  <si>
    <t>S. Stanevičiaus g. 68, Vilniaus m., Vilniaus m. sav.</t>
  </si>
  <si>
    <t>2025-11-24 08:16:36</t>
  </si>
  <si>
    <t>Kelmijos Sodų 25-oji g. 3, Vilniaus m., Vilniaus m. sav.</t>
  </si>
  <si>
    <t>2025-11-24 08:16:37</t>
  </si>
  <si>
    <t>2025-11-24 08:16:39</t>
  </si>
  <si>
    <t>Šviesos g. 4, Grigiškių m., Vilniaus m. sav.</t>
  </si>
  <si>
    <t>2025-11-24 08:16:41</t>
  </si>
  <si>
    <t>2025-11-24 08:16:48</t>
  </si>
  <si>
    <t>Žemynos g. 27, Vilniaus m., Vilniaus m. sav.</t>
  </si>
  <si>
    <t>2025-11-24 08:16:50</t>
  </si>
  <si>
    <t>Karaliaučiaus g. 9, Vilniaus m., Vilniaus m. sav.</t>
  </si>
  <si>
    <t>2025-11-24 08:29:06</t>
  </si>
  <si>
    <t>Sakalaičių Sodų 4-oji g. 75, Vilniaus m., Vilniaus m. sav.</t>
  </si>
  <si>
    <t>2025-11-24 08:23:09</t>
  </si>
  <si>
    <t>2025-11-24 08:16:52</t>
  </si>
  <si>
    <t>Žemynos g. 33, Vilniaus m., Vilniaus m. sav.</t>
  </si>
  <si>
    <t>2025-11-24 08:16:54</t>
  </si>
  <si>
    <t>Pylimo g. 17, Vilniaus m., Vilniaus m. sav.</t>
  </si>
  <si>
    <t>2025-11-24 08:16:55</t>
  </si>
  <si>
    <t>K. Borutos g. 15, Vilniaus m., Vilniaus m. sav.</t>
  </si>
  <si>
    <t>2025-11-24 08:16:59</t>
  </si>
  <si>
    <t>2025-11-24 08:17:01</t>
  </si>
  <si>
    <t>Karių Kapų g. 22A, Vilniaus m., Vilniaus m. sav.</t>
  </si>
  <si>
    <t>2025-11-24 08:17:02</t>
  </si>
  <si>
    <t>Sakalaičių Sodų 4-oji g. 72, Vilniaus m., Vilniaus m. sav.</t>
  </si>
  <si>
    <t>2025-11-24 08:17:06</t>
  </si>
  <si>
    <t>Kelmijos Sodų 27-oji g. 4, Vilniaus m., Vilniaus m. sav.</t>
  </si>
  <si>
    <t>2025-11-24 08:17:07</t>
  </si>
  <si>
    <t>Dagiliškių g. 57, Vilniaus m., Vilniaus m. sav.</t>
  </si>
  <si>
    <t>2025-11-24 08:27:51</t>
  </si>
  <si>
    <t>Dagiliškių g. 55, Vilniaus m., Vilniaus m. sav.</t>
  </si>
  <si>
    <t>2025-11-24 08:17:12</t>
  </si>
  <si>
    <t>Justiniškių g. 14, Vilniaus m., Vilniaus m. sav.</t>
  </si>
  <si>
    <t>2025-11-24 08:27:15</t>
  </si>
  <si>
    <t>2025-11-24 08:17:14</t>
  </si>
  <si>
    <t>2025-11-24 08:17:16</t>
  </si>
  <si>
    <t>Fabijoniškių g. 55, Vilniaus m., Vilniaus m. sav.</t>
  </si>
  <si>
    <t>Sakalaičių Sodų 4-oji g. 77, Vilniaus m., Vilniaus m. sav.</t>
  </si>
  <si>
    <t>2025-11-24 08:23:12</t>
  </si>
  <si>
    <t>2025-11-24 08:17:19</t>
  </si>
  <si>
    <t>2025-11-24 08:17:20</t>
  </si>
  <si>
    <t>Bajorų kel. 15, Vilniaus m., Vilniaus m. sav.</t>
  </si>
  <si>
    <t>2025-11-24 08:17:27</t>
  </si>
  <si>
    <t>2025-11-24 08:22:47</t>
  </si>
  <si>
    <t>2025-11-24 08:17:28</t>
  </si>
  <si>
    <t>Nugalėtojų g. 14C, Vilniaus m., Vilniaus m. sav.</t>
  </si>
  <si>
    <t>2025-11-24 08:28:05</t>
  </si>
  <si>
    <t>2025-11-24 08:17:29</t>
  </si>
  <si>
    <t>Nevardo g. 7, Vilniaus m., Vilniaus m. sav.</t>
  </si>
  <si>
    <t>2025-11-24 08:17:31</t>
  </si>
  <si>
    <t>Molėtų pl. 8, Vilniaus m., Vilniaus m. sav.</t>
  </si>
  <si>
    <t>Kelmijos Sodų 34-oji g. 8, Vilniaus m., Vilniaus m. sav.</t>
  </si>
  <si>
    <t>2025-11-24 08:17:39</t>
  </si>
  <si>
    <t>Tarandės g. 50, Vilniaus m., Vilniaus m. sav.</t>
  </si>
  <si>
    <t>2025-11-24 08:37:44</t>
  </si>
  <si>
    <t>2025-11-24 08:17:43</t>
  </si>
  <si>
    <t>Kuosų g. 20, Vilniaus m., Vilniaus m. sav.</t>
  </si>
  <si>
    <t>Kelmijos Sodų 27-oji g. 12, Vilniaus m., Vilniaus m. sav.</t>
  </si>
  <si>
    <t>Sakalaičių Sodų 4-oji g. 78, Vilniaus m., Vilniaus m. sav.</t>
  </si>
  <si>
    <t>Dagiliškių g. 53, Vilniaus m., Vilniaus m. sav.</t>
  </si>
  <si>
    <t>2025-11-24 08:17:48</t>
  </si>
  <si>
    <t>Kelmijos Sodų 27-oji g. 10, Vilniaus m., Vilniaus m. sav.</t>
  </si>
  <si>
    <t>Kalvarijų g. 158, Vilniaus m., Vilniaus m. sav.</t>
  </si>
  <si>
    <t>2025-11-24 08:17:54</t>
  </si>
  <si>
    <t>2025-11-24 08:17:57</t>
  </si>
  <si>
    <t>2025-11-24 08:18:00</t>
  </si>
  <si>
    <t>2025-11-24 08:18:02</t>
  </si>
  <si>
    <t>Sakalaičių Sodų 5-oji g. 73, Vilniaus m., Vilniaus m. sav.</t>
  </si>
  <si>
    <t>2025-11-24 08:18:03</t>
  </si>
  <si>
    <t>Kazio Ulvydo g. 11E, Vilniaus m., Vilniaus m. sav.</t>
  </si>
  <si>
    <t>2025-11-24 08:18:07</t>
  </si>
  <si>
    <t>Kazio Ulvydo g. 11D, Vilniaus m., Vilniaus m. sav.</t>
  </si>
  <si>
    <t>2025-11-24 08:18:19</t>
  </si>
  <si>
    <t>Verdingio g. 4, Vilniaus m., Vilniaus m. sav.</t>
  </si>
  <si>
    <t>2025-11-24 08:18:20</t>
  </si>
  <si>
    <t>Įsruties g. 30, Vilniaus m., Vilniaus m. sav.</t>
  </si>
  <si>
    <t>2025-11-24 08:56:18</t>
  </si>
  <si>
    <t>2025-11-24 08:18:23</t>
  </si>
  <si>
    <t>2025-11-24 08:18:24</t>
  </si>
  <si>
    <t>2025-11-24 08:18:26</t>
  </si>
  <si>
    <t>Kelmijos Sodų 27-oji g. 18, Vilniaus m., Vilniaus m. sav.</t>
  </si>
  <si>
    <t>2025-11-24 08:18:29</t>
  </si>
  <si>
    <t>Kuosų g. 16, Vilniaus m., Vilniaus m. sav.</t>
  </si>
  <si>
    <t>2025-11-24 08:18:33</t>
  </si>
  <si>
    <t>Nugalėtojų g. 14N, Vilniaus m., Vilniaus m. sav.</t>
  </si>
  <si>
    <t>Konteineris neišstumtas</t>
  </si>
  <si>
    <t>2025-11-24 08:18:37</t>
  </si>
  <si>
    <t>2025-11-24 08:18:38</t>
  </si>
  <si>
    <t>Kelmijos Sodų 27-oji g. 7, Vilniaus m., Vilniaus m. sav.</t>
  </si>
  <si>
    <t>2025-11-24 08:18:39</t>
  </si>
  <si>
    <t>2025-11-24 08:18:40</t>
  </si>
  <si>
    <t>2025-11-24 08:33:13</t>
  </si>
  <si>
    <t>Kęstučio g. 47, Vilniaus m., Vilniaus m. sav.</t>
  </si>
  <si>
    <t>2025-11-24 08:18:41</t>
  </si>
  <si>
    <t>2025-11-24 08:18:45</t>
  </si>
  <si>
    <t>2025-11-24 08:18:49</t>
  </si>
  <si>
    <t>2025-11-24 08:18:51</t>
  </si>
  <si>
    <t>Verdingio g. 3, Vilniaus m., Vilniaus m. sav.</t>
  </si>
  <si>
    <t>2025-11-24 08:18:53</t>
  </si>
  <si>
    <t>Kuosų g. 18, Vilniaus m., Vilniaus m. sav.</t>
  </si>
  <si>
    <t>2025-11-24 08:29:38</t>
  </si>
  <si>
    <t>2025-11-24 08:18:57</t>
  </si>
  <si>
    <t>2025-11-24 08:19:06</t>
  </si>
  <si>
    <t>Žemynos g. 37, Vilniaus m., Vilniaus m. sav.</t>
  </si>
  <si>
    <t>Tarandės g. 36, Vilniaus m., Vilniaus m. sav.</t>
  </si>
  <si>
    <t>2025-11-24 08:19:09</t>
  </si>
  <si>
    <t>2025-11-24 09:33:14</t>
  </si>
  <si>
    <t>2025-11-24 08:19:14</t>
  </si>
  <si>
    <t>2025-11-24 08:19:17</t>
  </si>
  <si>
    <t>Rukeliškių g. 32, Vilniaus m., Vilniaus m. sav.</t>
  </si>
  <si>
    <t>2025-11-24 08:19:20</t>
  </si>
  <si>
    <t>Žarijų g. 12, Vilniaus m., Vilniaus m. sav.</t>
  </si>
  <si>
    <t>Kelmijos Sodų 27-oji g. 13, Vilniaus m., Vilniaus m. sav.</t>
  </si>
  <si>
    <t>2025-11-24 08:19:21</t>
  </si>
  <si>
    <t>Verdingio g. 8, Vilniaus m., Vilniaus m. sav.</t>
  </si>
  <si>
    <t>2025-11-24 08:19:24</t>
  </si>
  <si>
    <t>2025-11-24 08:19:26</t>
  </si>
  <si>
    <t>2025-11-24 08:27:23</t>
  </si>
  <si>
    <t>2025-11-24 08:19:27</t>
  </si>
  <si>
    <t>Architektų g. 172A, Vilniaus m., Vilniaus m. sav.</t>
  </si>
  <si>
    <t>2025-11-24 08:19:28</t>
  </si>
  <si>
    <t>Kelmijos Sodų 27-oji g. 11, Vilniaus m., Vilniaus m. sav.</t>
  </si>
  <si>
    <t>2025-11-24 08:19:30</t>
  </si>
  <si>
    <t>Gelvonų g. 50A, Vilniaus m., Vilniaus m. sav.</t>
  </si>
  <si>
    <t>2025-11-24 08:19:31</t>
  </si>
  <si>
    <t>2025-11-24 08:19:32</t>
  </si>
  <si>
    <t>2025-11-24 08:19:34</t>
  </si>
  <si>
    <t>2025-11-24 08:19:46</t>
  </si>
  <si>
    <t>Sakalaičių Sodų 4-oji g. 55, Vilniaus m., Vilniaus m. sav.</t>
  </si>
  <si>
    <t>2025-11-24 08:19:50</t>
  </si>
  <si>
    <t>Bajorų kel. 13, Vilniaus m., Vilniaus m. sav.</t>
  </si>
  <si>
    <t>2025-11-24 08:19:55</t>
  </si>
  <si>
    <t>Kelmijos sodų 34-oji. 3A, Vilniaus m., Vilniaus m. sav.</t>
  </si>
  <si>
    <t>2025-11-24 08:19:56</t>
  </si>
  <si>
    <t>Subačiaus g. 20, Vilniaus m., Vilniaus m. sav.</t>
  </si>
  <si>
    <t>Nemenčinės pl. 33, Vilniaus m., Vilniaus m. sav.</t>
  </si>
  <si>
    <t>2025-11-24 08:20:10</t>
  </si>
  <si>
    <t>2025-11-24 08:20:11</t>
  </si>
  <si>
    <t>2025-11-24 08:20:12</t>
  </si>
  <si>
    <t>Pašilaičių g. 16, Vilniaus m., Vilniaus m. sav.</t>
  </si>
  <si>
    <t>2025-11-24 08:20:15</t>
  </si>
  <si>
    <t>Šviesos g. 10, Grigiškių m., Vilniaus m. sav.</t>
  </si>
  <si>
    <t>2025-11-24 08:20:21</t>
  </si>
  <si>
    <t>2025-11-24 09:05:42</t>
  </si>
  <si>
    <t>Verdingio g. 9, Vilniaus m., Vilniaus m. sav.</t>
  </si>
  <si>
    <t>2025-11-24 08:20:23</t>
  </si>
  <si>
    <t>2025-11-24 08:20:31</t>
  </si>
  <si>
    <t>2025-11-24 09:02:31</t>
  </si>
  <si>
    <t>2025-11-24 08:20:35</t>
  </si>
  <si>
    <t>Darbininkų g. 18, Vilniaus m., Vilniaus m. sav.</t>
  </si>
  <si>
    <t>2025-11-24 08:20:37</t>
  </si>
  <si>
    <t>Verdingio g. 7, Vilniaus m., Vilniaus m. sav.</t>
  </si>
  <si>
    <t>2025-11-24 08:20:39</t>
  </si>
  <si>
    <t>2025-11-24 08:20:43</t>
  </si>
  <si>
    <t>Žarijų g. 2E, Vilniaus m., Vilniaus m. sav.</t>
  </si>
  <si>
    <t>2025-11-24 08:20:46</t>
  </si>
  <si>
    <t>2025-11-24 08:20:48</t>
  </si>
  <si>
    <t>2025-11-24 08:20:49</t>
  </si>
  <si>
    <t>S. Stanevičiaus g. 86, Vilniaus m., Vilniaus m. sav.</t>
  </si>
  <si>
    <t>2025-11-24 08:20:50</t>
  </si>
  <si>
    <t>2025-11-24 08:20:58</t>
  </si>
  <si>
    <t>B. Radvilaitės g. 4, Vilniaus m., Vilniaus m. sav.</t>
  </si>
  <si>
    <t>2025-11-24 08:21:05</t>
  </si>
  <si>
    <t>2025-11-24 08:21:17</t>
  </si>
  <si>
    <t>2025-11-24 08:21:19</t>
  </si>
  <si>
    <t>2025-11-24 08:21:20</t>
  </si>
  <si>
    <t>Kelmijos Sodų 27-oji g. 27, Vilniaus m., Vilniaus m. sav.</t>
  </si>
  <si>
    <t>Kęstučio g. 51, Vilniaus m., Vilniaus m. sav.</t>
  </si>
  <si>
    <t>Sakalaičių Sodų 5-oji g. 41, Vilniaus m., Vilniaus m. sav.</t>
  </si>
  <si>
    <t>2025-11-24 08:23:18</t>
  </si>
  <si>
    <t>Fabijoniškių g. 37, Vilniaus m., Vilniaus m. sav.</t>
  </si>
  <si>
    <t>2025-11-24 08:21:35</t>
  </si>
  <si>
    <t>Dariaus ir Girėno g. 11, Vilniaus m., Vilniaus m. sav.</t>
  </si>
  <si>
    <t>2025-11-24 08:21:38</t>
  </si>
  <si>
    <t>2025-11-24 08:21:40</t>
  </si>
  <si>
    <t>2025-11-24 09:05:34</t>
  </si>
  <si>
    <t>Vinco Kudirkos g. 22, Vilniaus m., Vilniaus m. sav.</t>
  </si>
  <si>
    <t>2025-11-24 08:21:46</t>
  </si>
  <si>
    <t>2025-11-24 08:21:54</t>
  </si>
  <si>
    <t>Sakalaičių Sodų 5-oji g. 31, Vilniaus m., Vilniaus m. sav.</t>
  </si>
  <si>
    <t>2025-11-24 08:21:55</t>
  </si>
  <si>
    <t>Tarandės g. 24C, Vilniaus m., Vilniaus m. sav.</t>
  </si>
  <si>
    <t>Sakalaičių Sodų 5-oji g. 35, Vilniaus m., Vilniaus m. sav.</t>
  </si>
  <si>
    <t>2025-11-24 08:22:05</t>
  </si>
  <si>
    <t>Kelmijos Sodų 34-oji g. 91, Vilniaus m., Vilniaus m. sav.</t>
  </si>
  <si>
    <t>2025-11-24 08:22:08</t>
  </si>
  <si>
    <t>Sakalaičių Sodų 5-oji g. 34, Vilniaus m., Vilniaus m. sav.</t>
  </si>
  <si>
    <t>2025-11-24 08:22:11</t>
  </si>
  <si>
    <t>2025-11-24 08:22:13</t>
  </si>
  <si>
    <t>Pašilaičių g. 14, Vilniaus m., Vilniaus m. sav.</t>
  </si>
  <si>
    <t>2025-11-24 08:27:35</t>
  </si>
  <si>
    <t>2025-11-24 08:22:19</t>
  </si>
  <si>
    <t>Didlaukio g. 1, Vilniaus m., Vilniaus m. sav.</t>
  </si>
  <si>
    <t>2025-11-24 08:22:20</t>
  </si>
  <si>
    <t>Papilėnų g. 15, Vilniaus m., Vilniaus m. sav.</t>
  </si>
  <si>
    <t>2025-11-24 08:29:07</t>
  </si>
  <si>
    <t>Kelmijos Sodų 27-oji g. 36, Vilniaus m., Vilniaus m. sav.</t>
  </si>
  <si>
    <t>Sakalaičių Sodų 5-oji g. 26, Vilniaus m., Vilniaus m. sav.</t>
  </si>
  <si>
    <t>2025-11-24 08:22:21</t>
  </si>
  <si>
    <t>2025-11-24 08:22:23</t>
  </si>
  <si>
    <t>Molėtų pl. 5, Vilniaus m., Vilniaus m. sav.</t>
  </si>
  <si>
    <t>2025-11-24 08:22:27</t>
  </si>
  <si>
    <t>Architektų g. 178, Vilniaus m., Vilniaus m. sav.</t>
  </si>
  <si>
    <t>2025-11-24 08:22:29</t>
  </si>
  <si>
    <t>2025-11-24 08:22:31</t>
  </si>
  <si>
    <t>Elniakampio g. 19, Vilniaus m., Vilniaus m. sav.</t>
  </si>
  <si>
    <t>2025-11-24 08:22:34</t>
  </si>
  <si>
    <t>2025-11-24 09:05:43</t>
  </si>
  <si>
    <t>2025-11-24 08:22:44</t>
  </si>
  <si>
    <t>2025-11-24 09:10:30</t>
  </si>
  <si>
    <t>Sakalaičių Sodų 5-oji g. 21, Vilniaus m., Vilniaus m. sav.</t>
  </si>
  <si>
    <t>2025-11-24 08:22:45</t>
  </si>
  <si>
    <t>Nemenčinės pl. 41, Vilniaus m., Vilniaus m. sav.</t>
  </si>
  <si>
    <t>A. Jaroševičiaus g. 12, Vilniaus m., Vilniaus m. sav.</t>
  </si>
  <si>
    <t>2025-11-24 08:22:49</t>
  </si>
  <si>
    <t>2025-11-24 08:22:50</t>
  </si>
  <si>
    <t>Subačiaus g. 19, Vilniaus m., Vilniaus m. sav.</t>
  </si>
  <si>
    <t>2025-11-24 08:22:51</t>
  </si>
  <si>
    <t>Petro Rimšos g. 22, Vilniaus m., Vilniaus m. sav.</t>
  </si>
  <si>
    <t>2025-11-24 08:23:00</t>
  </si>
  <si>
    <t>2025-11-24 08:23:07</t>
  </si>
  <si>
    <t>Pūstalaukio g. 11, Vilniaus m., Vilniaus m. sav.</t>
  </si>
  <si>
    <t>Kelmijos Sodų 27-oji g. 19, Vilniaus m., Vilniaus m. sav.</t>
  </si>
  <si>
    <t>Kelmijos Sodų 27-oji g. 30, Vilniaus m., Vilniaus m. sav.</t>
  </si>
  <si>
    <t>2025-11-24 08:23:19</t>
  </si>
  <si>
    <t>Jūrotiškių g. 38, Vilniaus m., Vilniaus m. sav.</t>
  </si>
  <si>
    <t>2025-11-24 08:30:14</t>
  </si>
  <si>
    <t>2025-11-24 08:23:26</t>
  </si>
  <si>
    <t>2025-11-24 08:23:29</t>
  </si>
  <si>
    <t>Kęstučio g. 55, Vilniaus m., Vilniaus m. sav.</t>
  </si>
  <si>
    <t>2025-11-24 08:23:31</t>
  </si>
  <si>
    <t>2025-11-24 08:23:32</t>
  </si>
  <si>
    <t>2025-11-24 08:23:35</t>
  </si>
  <si>
    <t>2025-11-24 08:23:42</t>
  </si>
  <si>
    <t>2025-11-24 08:23:46</t>
  </si>
  <si>
    <t>2025-11-24 08:23:47</t>
  </si>
  <si>
    <t>2025-11-24 08:23:50</t>
  </si>
  <si>
    <t>Pūstalaukio g. 6, Vilniaus m., Vilniaus m. sav.</t>
  </si>
  <si>
    <t>2025-11-24 08:23:51</t>
  </si>
  <si>
    <t>2025-11-24 08:23:55</t>
  </si>
  <si>
    <t>Petro Rimšos g. 24, Vilniaus m., Vilniaus m. sav.</t>
  </si>
  <si>
    <t>2025-11-24 08:23:57</t>
  </si>
  <si>
    <t>Nemenčinės pl. 43, Vilniaus m., Vilniaus m. sav.</t>
  </si>
  <si>
    <t>2025-11-24 08:24:00</t>
  </si>
  <si>
    <t>2025-11-24 08:24:01</t>
  </si>
  <si>
    <t>Šaltkalvių g. 14, Vilniaus m., Vilniaus m. sav.</t>
  </si>
  <si>
    <t>2025-11-24 08:24:04</t>
  </si>
  <si>
    <t>Gelvonų g. 52A, Vilniaus m., Vilniaus m. sav.</t>
  </si>
  <si>
    <t>2025-11-24 08:24:08</t>
  </si>
  <si>
    <t>Pašilaičių g. 9, Vilniaus m., Vilniaus m. sav.</t>
  </si>
  <si>
    <t>2025-11-24 08:24:09</t>
  </si>
  <si>
    <t>2025-11-24 08:37:45</t>
  </si>
  <si>
    <t>2025-11-24 08:24:11</t>
  </si>
  <si>
    <t>Visorių Sodų 10-oji g. 30, Vilniaus m., Vilniaus m. sav.</t>
  </si>
  <si>
    <t>2025-11-24 08:24:15</t>
  </si>
  <si>
    <t>2025-11-24 08:24:26</t>
  </si>
  <si>
    <t>Papilėnų g. 13, Vilniaus m., Vilniaus m. sav.</t>
  </si>
  <si>
    <t>2025-11-24 08:24:29</t>
  </si>
  <si>
    <t>2025-11-24 08:32:43</t>
  </si>
  <si>
    <t>Visorių Sodų 10-oji g. 15, Vilniaus m., Vilniaus m. sav.</t>
  </si>
  <si>
    <t>2025-11-24 08:24:32</t>
  </si>
  <si>
    <t>2025-11-24 08:24:31</t>
  </si>
  <si>
    <t>Kelmijos Sodų 24-oji g. 30, Vilniaus m., Vilniaus m. sav.</t>
  </si>
  <si>
    <t>2025-11-24 08:24:37</t>
  </si>
  <si>
    <t>2025-11-24 08:24:38</t>
  </si>
  <si>
    <t>Žemynos g. 14, Vilniaus m., Vilniaus m. sav.</t>
  </si>
  <si>
    <t>2025-11-24 08:24:41</t>
  </si>
  <si>
    <t>2025-11-24 08:24:47</t>
  </si>
  <si>
    <t>Verdingio g. 12A, Vilniaus m., Vilniaus m. sav.</t>
  </si>
  <si>
    <t>2025-11-24 08:24:53</t>
  </si>
  <si>
    <t>Baltelio g. 3, Vilniaus m., Vilniaus m. sav.</t>
  </si>
  <si>
    <t>2025-11-24 08:24:59</t>
  </si>
  <si>
    <t>Tarandės g. 2, Vilniaus m., Vilniaus m. sav.</t>
  </si>
  <si>
    <t>2025-11-24 08:25:03</t>
  </si>
  <si>
    <t>Kelmijos Sodų 34-oji g. 48, Vilniaus m., Vilniaus m. sav.</t>
  </si>
  <si>
    <t>2025-11-24 08:32:03</t>
  </si>
  <si>
    <t>2025-11-24 08:25:04</t>
  </si>
  <si>
    <t>Subačiaus g. 17, Vilniaus m., Vilniaus m. sav.</t>
  </si>
  <si>
    <t>2025-11-24 08:25:11</t>
  </si>
  <si>
    <t>Petro Rimšos g. 20, Vilniaus m., Vilniaus m. sav.</t>
  </si>
  <si>
    <t>A. Jaroševičiaus g. 10B, Vilniaus m., Vilniaus m. sav.</t>
  </si>
  <si>
    <t>Visorių g. 75, Vilniaus m., Vilniaus m. sav.</t>
  </si>
  <si>
    <t>2025-11-24 08:25:17</t>
  </si>
  <si>
    <t>Architektų g. 176, Vilniaus m., Vilniaus m. sav.</t>
  </si>
  <si>
    <t>2025-11-24 08:25:20</t>
  </si>
  <si>
    <t>2025-11-24 08:25:22</t>
  </si>
  <si>
    <t>Šviesos g. 5, Grigiškių m., Vilniaus m. sav.</t>
  </si>
  <si>
    <t>2025-11-24 08:25:24</t>
  </si>
  <si>
    <t>2025-11-24 08:25:27</t>
  </si>
  <si>
    <t>M. Indriliūno g. 8, Vilniaus m., Vilniaus m. sav.</t>
  </si>
  <si>
    <t>2025-11-24 08:25:31</t>
  </si>
  <si>
    <t>Kelmijos Sodų 24-oji g. 47, Vilniaus m., Vilniaus m. sav.</t>
  </si>
  <si>
    <t>2025-11-24 08:25:34</t>
  </si>
  <si>
    <t>Aludarių g. 11, Vilniaus m., Vilniaus m. sav.</t>
  </si>
  <si>
    <t>2025-11-24 08:25:40</t>
  </si>
  <si>
    <t>2025-11-24 08:27:28</t>
  </si>
  <si>
    <t>2025-11-24 08:25:41</t>
  </si>
  <si>
    <t>Visorių g. 100, Vilniaus m., Vilniaus m. sav.</t>
  </si>
  <si>
    <t>2025-11-24 08:25:43</t>
  </si>
  <si>
    <t>Bernardinų g. 5, Vilniaus m., Vilniaus m. sav.</t>
  </si>
  <si>
    <t>2025-11-24 08:25:46</t>
  </si>
  <si>
    <t>Fabijoniškių g. 9A, Vilniaus m., Vilniaus m. sav.</t>
  </si>
  <si>
    <t>2025-11-24 08:25:47</t>
  </si>
  <si>
    <t>Bajorų kel. 27, Vilniaus m., Vilniaus m. sav.</t>
  </si>
  <si>
    <t>2025-11-24 08:25:53</t>
  </si>
  <si>
    <t>Petro Rimšos g. 18, Vilniaus m., Vilniaus m. sav.</t>
  </si>
  <si>
    <t>2025-11-24 08:25:57</t>
  </si>
  <si>
    <t>2025-11-24 08:25:58</t>
  </si>
  <si>
    <t>Jonažolių g. 1, Vilniaus m., Vilniaus m. sav.</t>
  </si>
  <si>
    <t>2025-11-24 08:25:59</t>
  </si>
  <si>
    <t>Molėtų pl. 11, Vilniaus m., Vilniaus m. sav.</t>
  </si>
  <si>
    <t>2025-11-24 08:26:00</t>
  </si>
  <si>
    <t>2025-11-24 08:26:01</t>
  </si>
  <si>
    <t>2025-11-24 08:32:44</t>
  </si>
  <si>
    <t>Lakajų g. 22, Vilniaus m., Vilniaus m. sav.</t>
  </si>
  <si>
    <t>2025-11-24 08:26:02</t>
  </si>
  <si>
    <t>2025-11-24 08:26:03</t>
  </si>
  <si>
    <t>2025-11-24 08:26:05</t>
  </si>
  <si>
    <t>K. Borutos g. 6-2, Vilniaus m., Vilniaus m. sav.</t>
  </si>
  <si>
    <t>2025-11-24 08:26:07</t>
  </si>
  <si>
    <t>Kelmijos Sodų 24-oji g. 38, Vilniaus m., Vilniaus m. sav.</t>
  </si>
  <si>
    <t>2025-11-24 08:26:08</t>
  </si>
  <si>
    <t>S. Stanevičiaus g. 57, Vilniaus m., Vilniaus m. sav.</t>
  </si>
  <si>
    <t>2025-11-24 08:26:10</t>
  </si>
  <si>
    <t>2025-11-24 08:26:19</t>
  </si>
  <si>
    <t>Visorių g. 110, Vilniaus m., Vilniaus m. sav.</t>
  </si>
  <si>
    <t>2025-11-24 08:26:21</t>
  </si>
  <si>
    <t>2025-11-24 08:26:23</t>
  </si>
  <si>
    <t>2025-11-24 08:26:26</t>
  </si>
  <si>
    <t>2025-11-24 08:26:27</t>
  </si>
  <si>
    <t>2025-11-24 08:26:29</t>
  </si>
  <si>
    <t>Petro Rimšos g. 16, Vilniaus m., Vilniaus m. sav.</t>
  </si>
  <si>
    <t>Pilkalnio g. 3, Vilniaus m., Vilniaus m. sav.</t>
  </si>
  <si>
    <t>2025-11-24 08:26:33</t>
  </si>
  <si>
    <t>2025-11-24 08:42:59</t>
  </si>
  <si>
    <t>2025-11-24 08:26:37</t>
  </si>
  <si>
    <t>2025-11-24 08:26:40</t>
  </si>
  <si>
    <t>Baltelio g. 6, Vilniaus m., Vilniaus m. sav.</t>
  </si>
  <si>
    <t>2025-11-24 08:26:43</t>
  </si>
  <si>
    <t>Pašilaičių g. 19H, Vilniaus m., Vilniaus m. sav.</t>
  </si>
  <si>
    <t>2025-11-24 08:26:46</t>
  </si>
  <si>
    <t>Fabijoniškių g. 25, Vilniaus m., Vilniaus m. sav.</t>
  </si>
  <si>
    <t>2025-11-24 08:26:49</t>
  </si>
  <si>
    <t>2025-11-24 08:26:51</t>
  </si>
  <si>
    <t>Sakalaičių Sodų 5-oji g. 17, Vilniaus m., Vilniaus m. sav.</t>
  </si>
  <si>
    <t>2025-11-24 08:26:53</t>
  </si>
  <si>
    <t>Kelmijos Sodų 24-oji g. 59, Vilniaus m., Vilniaus m. sav.</t>
  </si>
  <si>
    <t>2025-11-24 08:27:04</t>
  </si>
  <si>
    <t>Žemynos g. 45, Vilniaus m., Vilniaus m. sav.</t>
  </si>
  <si>
    <t>2025-11-24 08:42:46</t>
  </si>
  <si>
    <t>K. Borutos g. 7, Vilniaus m., Vilniaus m. sav.</t>
  </si>
  <si>
    <t>Sakalaičių Sodų 5-oji g. 20, Vilniaus m., Vilniaus m. sav.</t>
  </si>
  <si>
    <t>Nemenčinės pl. 54A, Vilniaus m., Vilniaus m. sav.</t>
  </si>
  <si>
    <t>2025-11-24 08:27:24</t>
  </si>
  <si>
    <t>2025-11-24 08:27:25</t>
  </si>
  <si>
    <t>Sakalaičių Sodų 5-oji g. 15, Vilniaus m., Vilniaus m. sav.</t>
  </si>
  <si>
    <t>2025-11-24 08:27:29</t>
  </si>
  <si>
    <t>2025-11-24 08:27:31</t>
  </si>
  <si>
    <t>Petro Rimšos g. 9-1, Vilniaus m., Vilniaus m. sav.</t>
  </si>
  <si>
    <t>2025-11-24 09:09:17</t>
  </si>
  <si>
    <t>2025-11-24 08:43:10</t>
  </si>
  <si>
    <t>2025-11-24 08:27:49</t>
  </si>
  <si>
    <t>K. Borutos g. 2, Vilniaus m., Vilniaus m. sav.</t>
  </si>
  <si>
    <t>2025-11-24 09:05:46</t>
  </si>
  <si>
    <t>K. Borutos g. 2-1, Vilniaus m., Vilniaus m. sav.</t>
  </si>
  <si>
    <t>2025-11-24 09:33:15</t>
  </si>
  <si>
    <t>Meškeriotojų g. 22, Vilniaus m., Vilniaus m. sav.</t>
  </si>
  <si>
    <t>Sakalaičių Sodų 5-oji g. 12, Vilniaus m., Vilniaus m. sav.</t>
  </si>
  <si>
    <t>2025-11-24 08:27:59</t>
  </si>
  <si>
    <t>Gelvonų g. 68, Vilniaus m., Vilniaus m. sav.</t>
  </si>
  <si>
    <t>2025-11-24 08:28:07</t>
  </si>
  <si>
    <t>Sakalaičių Sodų 5-oji g. 11, Vilniaus m., Vilniaus m. sav.</t>
  </si>
  <si>
    <t>2025-11-24 08:28:11</t>
  </si>
  <si>
    <t>2025-11-24 08:42:45</t>
  </si>
  <si>
    <t>Kęstučio g. 59, Vilniaus m., Vilniaus m. sav.</t>
  </si>
  <si>
    <t>Šaltkalvių g. 18, Vilniaus m., Vilniaus m. sav.</t>
  </si>
  <si>
    <t>2025-11-24 08:32:04</t>
  </si>
  <si>
    <t>2025-11-24 08:28:13</t>
  </si>
  <si>
    <t>Sakalaičių Sodų 5-oji g. 10, Vilniaus m., Vilniaus m. sav.</t>
  </si>
  <si>
    <t>2025-11-24 08:28:18</t>
  </si>
  <si>
    <t>2025-11-24 08:28:19</t>
  </si>
  <si>
    <t>Sakalaičių Sodų 5-oji g. 6, Vilniaus m., Vilniaus m. sav.</t>
  </si>
  <si>
    <t>2025-11-24 08:33:53</t>
  </si>
  <si>
    <t>2025-11-24 08:28:21</t>
  </si>
  <si>
    <t>Petro Rimšos g. 9-3, Vilniaus m., Vilniaus m. sav.</t>
  </si>
  <si>
    <t>2025-11-24 08:28:27</t>
  </si>
  <si>
    <t>2025-11-24 08:28:28</t>
  </si>
  <si>
    <t>2025-11-24 08:28:29</t>
  </si>
  <si>
    <t>Kelmijos Sodų 24-oji g. 51, Vilniaus m., Vilniaus m. sav.</t>
  </si>
  <si>
    <t>2025-11-24 08:28:32</t>
  </si>
  <si>
    <t>2025-11-24 08:28:37</t>
  </si>
  <si>
    <t>2025-11-24 08:28:39</t>
  </si>
  <si>
    <t>Linkmenų g. 58, Vilniaus m., Vilniaus m. sav.</t>
  </si>
  <si>
    <t>2025-11-24 08:28:41</t>
  </si>
  <si>
    <t>Visorių sodų 12-oji g. 15, Vilniaus m., Vilniaus m. sav.</t>
  </si>
  <si>
    <t>2025-11-24 08:28:47</t>
  </si>
  <si>
    <t>Visorių sodų 12-oji g. 17, Vilniaus m., Vilniaus m. sav.</t>
  </si>
  <si>
    <t>2025-11-24 08:28:50</t>
  </si>
  <si>
    <t>2025-11-24 08:42:41</t>
  </si>
  <si>
    <t>2025-11-24 08:28:51</t>
  </si>
  <si>
    <t>Sakalaičių Sodų 5-oji g. 2, Vilniaus m., Vilniaus m. sav.</t>
  </si>
  <si>
    <t>2025-11-24 08:28:57</t>
  </si>
  <si>
    <t>2025-11-24 08:29:03</t>
  </si>
  <si>
    <t>Bajorų kel. 29E, Vilniaus m., Vilniaus m. sav.</t>
  </si>
  <si>
    <t>2025-11-24 08:29:05</t>
  </si>
  <si>
    <t>Panerių g. 45B, Vilniaus m., Vilniaus m. sav.</t>
  </si>
  <si>
    <t>Žemynos g. 49, Vilniaus m., Vilniaus m. sav.</t>
  </si>
  <si>
    <t>Petro Rimšos g. 7A, Vilniaus m., Vilniaus m. sav.</t>
  </si>
  <si>
    <t>2025-11-24 08:29:08</t>
  </si>
  <si>
    <t>Fabijoniškių g. 17, Vilniaus m., Vilniaus m. sav.</t>
  </si>
  <si>
    <t>2025-11-24 08:29:13</t>
  </si>
  <si>
    <t>Molėtų pl. 9, Vilniaus m., Vilniaus m. sav.</t>
  </si>
  <si>
    <t>2025-11-24 08:29:41</t>
  </si>
  <si>
    <t>Panerių g. 45, Vilniaus m., Vilniaus m. sav.</t>
  </si>
  <si>
    <t>2025-11-24 08:29:45</t>
  </si>
  <si>
    <t>Sakalaičių Sodų 4-oji g. 2, Vilniaus m., Vilniaus m. sav.</t>
  </si>
  <si>
    <t>2025-11-24 08:29:48</t>
  </si>
  <si>
    <t>2025-11-24 08:42:31</t>
  </si>
  <si>
    <t>2025-11-24 08:29:53</t>
  </si>
  <si>
    <t>Petro Rimšos g. 5A, Vilniaus m., Vilniaus m. sav.</t>
  </si>
  <si>
    <t>2025-11-24 08:30:00</t>
  </si>
  <si>
    <t>Laisvės pr. 58, Vilniaus m., Vilniaus m. sav.</t>
  </si>
  <si>
    <t>2025-11-24 08:42:48</t>
  </si>
  <si>
    <t>2025-11-24 08:30:03</t>
  </si>
  <si>
    <t>Lukno g. 7, Vilniaus m., Vilniaus m. sav.</t>
  </si>
  <si>
    <t>2025-11-24 08:30:07</t>
  </si>
  <si>
    <t>Architektų g. 107, Vilniaus m., Vilniaus m. sav.</t>
  </si>
  <si>
    <t>2025-11-24 08:30:10</t>
  </si>
  <si>
    <t>Trinapolio g. 11D, Vilniaus m., Vilniaus m. sav.</t>
  </si>
  <si>
    <t>2025-11-24 08:30:11</t>
  </si>
  <si>
    <t>Visorių Sodų 1-oji g. 15, Vilniaus m., Vilniaus m. sav.</t>
  </si>
  <si>
    <t>2025-11-24 09:53:24</t>
  </si>
  <si>
    <t>2025-11-24 08:30:16</t>
  </si>
  <si>
    <t>2025-11-24 08:30:20</t>
  </si>
  <si>
    <t>2025-11-24 09:33:19</t>
  </si>
  <si>
    <t>Nemenčinės pl. 48, Vilniaus m., Vilniaus m. sav.</t>
  </si>
  <si>
    <t>2025-11-24 08:30:21</t>
  </si>
  <si>
    <t>Sakalaičių Sodų 4-oji g. 5, Vilniaus m., Vilniaus m. sav.</t>
  </si>
  <si>
    <t>2025-11-24 08:30:25</t>
  </si>
  <si>
    <t>Gudų g. 22, Vilniaus m., Vilniaus m. sav.</t>
  </si>
  <si>
    <t>Lenktoji g. 30, Vilniaus m., Vilniaus m. sav.</t>
  </si>
  <si>
    <t>2025-11-24 09:15:16</t>
  </si>
  <si>
    <t>Kelmijos Sodų 24-oji g. 28, Vilniaus m., Vilniaus m. sav.</t>
  </si>
  <si>
    <t>2025-11-24 08:30:30</t>
  </si>
  <si>
    <t>2025-11-24 08:30:32</t>
  </si>
  <si>
    <t>V. A. Graičiūno g. 20, Vilniaus m., Vilniaus m. sav.</t>
  </si>
  <si>
    <t>2025-11-24 08:30:35</t>
  </si>
  <si>
    <t>Petro Rimšos g. 3C, Vilniaus m., Vilniaus m. sav.</t>
  </si>
  <si>
    <t>2025-11-24 08:43:34</t>
  </si>
  <si>
    <t>Petro Rimšos g. 3D, Vilniaus m., Vilniaus m. sav.</t>
  </si>
  <si>
    <t>2025-11-24 08:30:37</t>
  </si>
  <si>
    <t>2025-11-24 08:30:44</t>
  </si>
  <si>
    <t>Gelvonų g. 40, Vilniaus m., Vilniaus m. sav.</t>
  </si>
  <si>
    <t>2025-11-24 08:30:47</t>
  </si>
  <si>
    <t>2025-11-24 08:30:48</t>
  </si>
  <si>
    <t>2025-11-24 08:30:49</t>
  </si>
  <si>
    <t>Kelmijos Sodų 24-oji g. 24, Vilniaus m., Vilniaus m. sav.</t>
  </si>
  <si>
    <t>2025-11-24 08:30:53</t>
  </si>
  <si>
    <t>Lukno g. 2, Vilniaus m., Vilniaus m. sav.</t>
  </si>
  <si>
    <t>2025-11-24 08:30:55</t>
  </si>
  <si>
    <t>2025-11-24 09:15:17</t>
  </si>
  <si>
    <t>2025-11-24 08:30:57</t>
  </si>
  <si>
    <t>2025-11-24 09:33:20</t>
  </si>
  <si>
    <t>2025-11-24 08:30:58</t>
  </si>
  <si>
    <t>2025-11-24 08:31:00</t>
  </si>
  <si>
    <t>2025-11-24 08:42:58</t>
  </si>
  <si>
    <t>2025-11-24 08:31:01</t>
  </si>
  <si>
    <t>Kelmijos Sodų 24-oji g. 27, Vilniaus m., Vilniaus m. sav.</t>
  </si>
  <si>
    <t>Sakalaičių Sodų 4-oji g. 14, Vilniaus m., Vilniaus m. sav.</t>
  </si>
  <si>
    <t>2025-11-24 08:31:07</t>
  </si>
  <si>
    <t>Lukno g. 3, Vilniaus m., Vilniaus m. sav.</t>
  </si>
  <si>
    <t>2025-11-24 08:31:08</t>
  </si>
  <si>
    <t>Svajonių g. 24, Vilniaus m., Vilniaus m. sav.</t>
  </si>
  <si>
    <t>2025-11-24 08:31:12</t>
  </si>
  <si>
    <t>Šviesos g. 9, Grigiškių m., Vilniaus m. sav.</t>
  </si>
  <si>
    <t>2025-11-24 08:31:14</t>
  </si>
  <si>
    <t>Pašilaičių g. 5, Vilniaus m., Vilniaus m. sav.</t>
  </si>
  <si>
    <t>2025-11-24 08:31:21</t>
  </si>
  <si>
    <t>Linkmenų g. 42, Vilniaus m., Vilniaus m. sav.</t>
  </si>
  <si>
    <t>2025-11-24 08:31:27</t>
  </si>
  <si>
    <t>Suvalkų g. 10, Vilniaus m., Vilniaus m. sav.</t>
  </si>
  <si>
    <t>2025-11-24 08:31:31</t>
  </si>
  <si>
    <t>Petro Rimšos g. 4, Vilniaus m., Vilniaus m. sav.</t>
  </si>
  <si>
    <t>2025-11-24 08:43:48</t>
  </si>
  <si>
    <t>Sakalaičių Sodų 4-oji g. 15, Vilniaus m., Vilniaus m. sav.</t>
  </si>
  <si>
    <t>2025-11-24 08:33:57</t>
  </si>
  <si>
    <t>2025-11-24 08:31:34</t>
  </si>
  <si>
    <t>2025-11-24 08:31:35</t>
  </si>
  <si>
    <t>2025-11-24 08:31:37</t>
  </si>
  <si>
    <t>2025-11-24 08:31:41</t>
  </si>
  <si>
    <t>Kelmijos Sodų 24-oji g. 23, Vilniaus m., Vilniaus m. sav.</t>
  </si>
  <si>
    <t>2025-11-24 08:31:49</t>
  </si>
  <si>
    <t>V. A. Graičiūno g. 20, Vilnius, Vilniaus r. sav.</t>
  </si>
  <si>
    <t>2025-11-24 08:31:57</t>
  </si>
  <si>
    <t>Sakalaičių Sodų 4-oji g. 20, Vilniaus m., Vilniaus m. sav.</t>
  </si>
  <si>
    <t>2025-11-24 08:32:01</t>
  </si>
  <si>
    <t>Stasio Lozoraičio g. 4, Vilniaus m., Vilniaus m. sav.</t>
  </si>
  <si>
    <t>Sakalaičių Sodų 4-oji g. 19, Vilniaus m., Vilniaus m. sav.</t>
  </si>
  <si>
    <t>Ateities g. 28, Vilniaus m., Vilniaus m. sav.</t>
  </si>
  <si>
    <t>2025-11-24 08:32:05</t>
  </si>
  <si>
    <t>Sakalaičių Sodų 4-oji g. 17, Vilniaus m., Vilniaus m. sav.</t>
  </si>
  <si>
    <t>2025-11-24 08:33:59</t>
  </si>
  <si>
    <t>2025-11-24 08:32:10</t>
  </si>
  <si>
    <t>2025-11-24 08:32:19</t>
  </si>
  <si>
    <t>2025-11-24 08:32:23</t>
  </si>
  <si>
    <t>2025-11-24 08:32:27</t>
  </si>
  <si>
    <t>Kelmijos Sodų 24-oji g. 21, Vilniaus m., Vilniaus m. sav.</t>
  </si>
  <si>
    <t>Sakalaičių Sodų 4-oji g. 22, Vilniaus m., Vilniaus m. sav.</t>
  </si>
  <si>
    <t>2025-11-24 08:32:30</t>
  </si>
  <si>
    <t>2025-11-24 08:32:33</t>
  </si>
  <si>
    <t>2025-11-24 08:32:34</t>
  </si>
  <si>
    <t>2025-11-24 08:32:36</t>
  </si>
  <si>
    <t>Broniaus Krivicko g. 62, Vilniaus m., Vilniaus m. sav.</t>
  </si>
  <si>
    <t>Sakalaičių Sodų 4-oji g. 24, Vilniaus m., Vilniaus m. sav.</t>
  </si>
  <si>
    <t>2025-11-24 08:32:49</t>
  </si>
  <si>
    <t>Sakalaičių Sodų 4-oji g. 21, Vilniaus m., Vilniaus m. sav.</t>
  </si>
  <si>
    <t>2025-11-24 08:41:54</t>
  </si>
  <si>
    <t>2025-11-24 08:32:51</t>
  </si>
  <si>
    <t>2025-11-24 08:32:59</t>
  </si>
  <si>
    <t>Svajonių g. 14C, Vilniaus m., Vilniaus m. sav.</t>
  </si>
  <si>
    <t>2025-11-24 08:33:00</t>
  </si>
  <si>
    <t>2025-11-24 08:43:37</t>
  </si>
  <si>
    <t>2025-11-24 08:33:01</t>
  </si>
  <si>
    <t>Kęstučio g. 65, Vilniaus m., Vilniaus m. sav.</t>
  </si>
  <si>
    <t>2025-11-24 08:33:02</t>
  </si>
  <si>
    <t>Vyšnių g. 2, Vilniaus m., Vilniaus m. sav.</t>
  </si>
  <si>
    <t>2025-11-24 08:33:05</t>
  </si>
  <si>
    <t>Sakalaičių Sodų 4-oji g. 28, Vilniaus m., Vilniaus m. sav.</t>
  </si>
  <si>
    <t>2025-11-24 08:33:09</t>
  </si>
  <si>
    <t>Paupio g. 28, Vilniaus m., Vilniaus m. sav.</t>
  </si>
  <si>
    <t>2025-11-24 08:33:11</t>
  </si>
  <si>
    <t>2025-11-24 08:33:17</t>
  </si>
  <si>
    <t>2025-11-24 08:33:19</t>
  </si>
  <si>
    <t>2025-11-24 08:33:21</t>
  </si>
  <si>
    <t>Kelmijos Sodų 24-oji g. 17, Vilniaus m., Vilniaus m. sav.</t>
  </si>
  <si>
    <t>2025-11-24 08:33:23</t>
  </si>
  <si>
    <t>Noragiškių g. 11-2, Vilniaus m., Vilniaus m. sav.</t>
  </si>
  <si>
    <t>2025-11-24 08:33:29</t>
  </si>
  <si>
    <t>2025-11-24 08:33:31</t>
  </si>
  <si>
    <t>2025-11-24 08:33:33</t>
  </si>
  <si>
    <t>Noragiškių g. 11-3, Vilniaus m., Vilniaus m. sav.</t>
  </si>
  <si>
    <t>Noragiškių g. 6, Vilniaus m., Vilniaus m. sav.</t>
  </si>
  <si>
    <t>2025-11-24 08:33:38</t>
  </si>
  <si>
    <t>Fabijoniškių g. 5c, Vilniaus m., Vilniaus m. sav.</t>
  </si>
  <si>
    <t>2025-11-24 08:33:39</t>
  </si>
  <si>
    <t>2025-11-24 08:33:41</t>
  </si>
  <si>
    <t>Vinco Kudirkos g. 9, Vilniaus m., Vilniaus m. sav.</t>
  </si>
  <si>
    <t>Sakalaičių Sodų 4-oji g. 31, Vilniaus m., Vilniaus m. sav.</t>
  </si>
  <si>
    <t>2025-11-24 08:33:43</t>
  </si>
  <si>
    <t>Gelvonų g. 36, Vilniaus m., Vilniaus m. sav.</t>
  </si>
  <si>
    <t>2025-11-24 08:33:46</t>
  </si>
  <si>
    <t>2025-11-24 08:33:49</t>
  </si>
  <si>
    <t>Kelmijos Sodų 24-oji g. 13, Vilniaus m., Vilniaus m. sav.</t>
  </si>
  <si>
    <t>2025-11-24 08:33:51</t>
  </si>
  <si>
    <t>2025-11-24 09:36:10</t>
  </si>
  <si>
    <t>Bukčių g. 39, Vilniaus m., Vilniaus m. sav.</t>
  </si>
  <si>
    <t>2025-11-24 08:34:00</t>
  </si>
  <si>
    <t>Žemynos g. 8, Vilniaus m., Vilniaus m. sav.</t>
  </si>
  <si>
    <t>2025-11-24 08:34:01</t>
  </si>
  <si>
    <t>2025-11-24 09:14:45</t>
  </si>
  <si>
    <t>2025-11-24 08:34:03</t>
  </si>
  <si>
    <t>Sakalaičių Sodų 4-oji g. 32, Vilniaus m., Vilniaus m. sav.</t>
  </si>
  <si>
    <t>2025-11-24 08:34:05</t>
  </si>
  <si>
    <t>Lenkų g. 3, Vilniaus m., Vilniaus m. sav.</t>
  </si>
  <si>
    <t>2025-11-24 08:34:07</t>
  </si>
  <si>
    <t>Vokiečių g. 5, Vilniaus m., Vilniaus m. sav.</t>
  </si>
  <si>
    <t>2025-11-24 08:34:09</t>
  </si>
  <si>
    <t>2025-11-24 08:34:10</t>
  </si>
  <si>
    <t>Noragiškių g. 8, Vilniaus m., Vilniaus m. sav.</t>
  </si>
  <si>
    <t>2025-11-24 08:34:17</t>
  </si>
  <si>
    <t>2025-11-24 08:34:18</t>
  </si>
  <si>
    <t>2025-11-24 08:34:19</t>
  </si>
  <si>
    <t>Karių Kapų g. 13, Vilniaus m., Vilniaus m. sav.</t>
  </si>
  <si>
    <t>2025-11-24 08:34:20</t>
  </si>
  <si>
    <t>2025-11-24 08:34:22</t>
  </si>
  <si>
    <t>2025-11-24 08:43:20</t>
  </si>
  <si>
    <t>2025-11-24 08:34:25</t>
  </si>
  <si>
    <t>Architektų g. 111, Vilniaus m., Vilniaus m. sav.</t>
  </si>
  <si>
    <t>2025-11-24 08:34:27</t>
  </si>
  <si>
    <t>Kelmijos Sodų 24-oji g. 9, Vilniaus m., Vilniaus m. sav.</t>
  </si>
  <si>
    <t>2025-11-24 08:34:31</t>
  </si>
  <si>
    <t>Sakalaičių Sodų 4-oji g. 35, Vilniaus m., Vilniaus m. sav.</t>
  </si>
  <si>
    <t>2025-11-24 08:34:35</t>
  </si>
  <si>
    <t>Karių Kapų g. 18, Vilniaus m., Vilniaus m. sav.</t>
  </si>
  <si>
    <t>2025-11-24 08:45:14</t>
  </si>
  <si>
    <t>2025-11-24 08:34:36</t>
  </si>
  <si>
    <t>Noragiškių g. 11-1, Vilniaus m., Vilniaus m. sav.</t>
  </si>
  <si>
    <t>2025-11-24 08:34:37</t>
  </si>
  <si>
    <t>Sakalaičių Sodų 4-oji g. 39, Vilniaus m., Vilniaus m. sav.</t>
  </si>
  <si>
    <t>2025-11-24 08:42:02</t>
  </si>
  <si>
    <t>2025-11-24 08:34:39</t>
  </si>
  <si>
    <t>2025-11-24 08:34:41</t>
  </si>
  <si>
    <t>Sakalaičių Sodų 4-oji g. 36, Vilniaus m., Vilniaus m. sav.</t>
  </si>
  <si>
    <t>2025-11-24 08:34:45</t>
  </si>
  <si>
    <t>Kelmijos Sodų 24-oji g. 7, Vilniaus m., Vilniaus m. sav.</t>
  </si>
  <si>
    <t>2025-11-24 08:34:49</t>
  </si>
  <si>
    <t>2025-11-24 08:35:02</t>
  </si>
  <si>
    <t>Noragiškių g. 13-10, Vilniaus m., Vilniaus m. sav.</t>
  </si>
  <si>
    <t>2025-11-24 08:35:03</t>
  </si>
  <si>
    <t>Kelmijos Sodų 24-oji g. 14, Vilniaus m., Vilniaus m. sav.</t>
  </si>
  <si>
    <t>2025-11-24 08:35:06</t>
  </si>
  <si>
    <t>Laisvės pr. 60A, Vilniaus m., Vilniaus m. sav.</t>
  </si>
  <si>
    <t>2025-11-24 08:35:07</t>
  </si>
  <si>
    <t>Sakalaičių Sodų 4-oji g. 41, Vilniaus m., Vilniaus m. sav.</t>
  </si>
  <si>
    <t>Linkmenų g. 34, Vilniaus m., Vilniaus m. sav.</t>
  </si>
  <si>
    <t>2025-11-24 08:35:26</t>
  </si>
  <si>
    <t>Santariškių g. 7, Vilniaus m., Vilniaus m. sav.</t>
  </si>
  <si>
    <t>2025-11-24 08:35:27</t>
  </si>
  <si>
    <t>Karių Kapų g. 17, Vilniaus m., Vilniaus m. sav.</t>
  </si>
  <si>
    <t>2025-11-24 08:35:31</t>
  </si>
  <si>
    <t>2025-11-24 08:45:18</t>
  </si>
  <si>
    <t>2025-11-24 08:35:32</t>
  </si>
  <si>
    <t>Žuvinto g. 2A-19, Vilniaus m., Vilniaus m. sav.</t>
  </si>
  <si>
    <t>Žuvinto g. 2A-20, Vilniaus m., Vilniaus m. sav.</t>
  </si>
  <si>
    <t>2025-11-24 08:35:34</t>
  </si>
  <si>
    <t>Svajonių g. 32, Vilniaus m., Vilniaus m. sav.</t>
  </si>
  <si>
    <t>2025-11-24 08:35:35</t>
  </si>
  <si>
    <t>Kelmijos Sodų 36-oji g. 4, Vilniaus m., Vilniaus m. sav.</t>
  </si>
  <si>
    <t>2025-11-24 08:35:38</t>
  </si>
  <si>
    <t>J. Tiškevičiaus g. 8, Vilniaus m., Vilniaus m. sav.</t>
  </si>
  <si>
    <t>2025-11-24 08:35:40</t>
  </si>
  <si>
    <t>2025-11-24 08:35:41</t>
  </si>
  <si>
    <t>Gelvonų g. 3, Vilniaus m., Vilniaus m. sav.</t>
  </si>
  <si>
    <t>2025-11-24 08:42:56</t>
  </si>
  <si>
    <t>2025-11-24 08:35:42</t>
  </si>
  <si>
    <t>Žuvinto g. 2A-10, Vilniaus m., Vilniaus m. sav.</t>
  </si>
  <si>
    <t>Žuvinto g. 2A-9, Vilniaus m., Vilniaus m. sav.</t>
  </si>
  <si>
    <t>2025-11-24 08:35:44</t>
  </si>
  <si>
    <t>2025-11-24 08:35:45</t>
  </si>
  <si>
    <t>2025-11-24 08:35:59</t>
  </si>
  <si>
    <t>Kelmijos Sodų 24-oji g. 10, Vilniaus m., Vilniaus m. sav.</t>
  </si>
  <si>
    <t>2025-11-24 08:36:02</t>
  </si>
  <si>
    <t>Garvežių g. 15, Vilniaus m., Vilniaus m. sav.</t>
  </si>
  <si>
    <t>2025-11-24 08:36:04</t>
  </si>
  <si>
    <t>Pasakų g. 9, Vilniaus m., Vilniaus m. sav.</t>
  </si>
  <si>
    <t>2025-11-24 08:36:06</t>
  </si>
  <si>
    <t>2025-11-24 08:36:07</t>
  </si>
  <si>
    <t>2025-11-24 08:36:14</t>
  </si>
  <si>
    <t>Žuvinto g. 2A-11, Vilniaus m., Vilniaus m. sav.</t>
  </si>
  <si>
    <t>Žuvinto g. 2A, Vilniaus m., Vilniaus m. sav.</t>
  </si>
  <si>
    <t>2025-11-24 08:36:15</t>
  </si>
  <si>
    <t>Kelmijos Sodų 24-oji g. 35, Vilniaus m., Vilniaus m. sav.</t>
  </si>
  <si>
    <t>2025-11-24 08:36:17</t>
  </si>
  <si>
    <t>Karių Kapų g. 21, Vilniaus m., Vilniaus m. sav.</t>
  </si>
  <si>
    <t>Sakalaičių Sodų 4-oji g. 53, Vilniaus m., Vilniaus m. sav.</t>
  </si>
  <si>
    <t>2025-11-24 08:36:21</t>
  </si>
  <si>
    <t>Kelmijos Sodų 24-oji g. 5, Vilniaus m., Vilniaus m. sav.</t>
  </si>
  <si>
    <t>2025-11-24 08:36:22</t>
  </si>
  <si>
    <t>Justiniškių g. 8, Vilniaus m., Vilniaus m. sav.</t>
  </si>
  <si>
    <t>2025-11-24 08:36:23</t>
  </si>
  <si>
    <t>2025-11-24 08:36:28</t>
  </si>
  <si>
    <t>2025-11-24 08:36:33</t>
  </si>
  <si>
    <t>Sakalaičių Sodų 4-oji g. 51, Vilniaus m., Vilniaus m. sav.</t>
  </si>
  <si>
    <t>2025-11-24 08:36:34</t>
  </si>
  <si>
    <t>Pašilaičių g. 4, Vilniaus m., Vilniaus m. sav.</t>
  </si>
  <si>
    <t>2025-11-24 08:36:36</t>
  </si>
  <si>
    <t>Linkmenų g. 33A, Vilniaus m., Vilniaus m. sav.</t>
  </si>
  <si>
    <t>2025-11-24 08:36:43</t>
  </si>
  <si>
    <t>Karių Kapų g. 20, Vilniaus m., Vilniaus m. sav.</t>
  </si>
  <si>
    <t>2025-11-24 08:36:52</t>
  </si>
  <si>
    <t>2025-11-24 08:36:55</t>
  </si>
  <si>
    <t>Granito g. 11, Vilniaus m., Vilniaus m. sav.</t>
  </si>
  <si>
    <t>2025-11-24 08:37:01</t>
  </si>
  <si>
    <t>Sakalaičių Sodų 4-oji g. 49, Vilniaus m., Vilniaus m. sav.</t>
  </si>
  <si>
    <t>2025-11-24 08:37:03</t>
  </si>
  <si>
    <t>Kelmijos Sodų 26-oji g. 3, Vilniaus m., Vilniaus m. sav.</t>
  </si>
  <si>
    <t>Sandėlių g. 44, Vilniaus m., Vilniaus m. sav.</t>
  </si>
  <si>
    <t>2025-11-24 08:37:04</t>
  </si>
  <si>
    <t>Fabijoniškių g. 5, Vilniaus m., Vilniaus m. sav.</t>
  </si>
  <si>
    <t>2025-11-24 08:37:08</t>
  </si>
  <si>
    <t>2025-11-24 08:37:10</t>
  </si>
  <si>
    <t>2025-11-24 08:37:11</t>
  </si>
  <si>
    <t>Šviesos g. 13, Grigiškių m., Vilniaus m. sav.</t>
  </si>
  <si>
    <t>2025-11-24 08:37:15</t>
  </si>
  <si>
    <t>2025-11-24 08:37:21</t>
  </si>
  <si>
    <t>Sakalaičių Sodų 4-oji g. 44, Vilniaus m., Vilniaus m. sav.</t>
  </si>
  <si>
    <t>2025-11-24 08:37:23</t>
  </si>
  <si>
    <t>Bajorų Sodų 20-oji g. 3, Vilniaus m., Vilniaus m. sav.</t>
  </si>
  <si>
    <t>2025-11-24 08:37:24</t>
  </si>
  <si>
    <t>Žuvinto g. 2A-15, Vilniaus m., Vilniaus m. sav.</t>
  </si>
  <si>
    <t>2025-11-24 08:37:25</t>
  </si>
  <si>
    <t>2025-11-24 08:37:29</t>
  </si>
  <si>
    <t>2025-11-24 08:37:32</t>
  </si>
  <si>
    <t>2025-11-24 08:37:33</t>
  </si>
  <si>
    <t>Žemoji g. 91, Vilniaus m., Vilniaus m. sav.</t>
  </si>
  <si>
    <t>2025-11-24 08:49:19</t>
  </si>
  <si>
    <t>2025-11-24 08:37:40</t>
  </si>
  <si>
    <t>Žuvinto g. 2A-16, Vilniaus m., Vilniaus m. sav.</t>
  </si>
  <si>
    <t>2025-11-24 08:37:42</t>
  </si>
  <si>
    <t>2025-11-24 09:14:51</t>
  </si>
  <si>
    <t>Žuvinto g. 2A-17, Vilniaus m., Vilniaus m. sav.</t>
  </si>
  <si>
    <t>2025-11-24 08:37:49</t>
  </si>
  <si>
    <t>Kelmijos Sodų 26-oji g. 12, Vilniaus m., Vilniaus m. sav.</t>
  </si>
  <si>
    <t>2025-11-24 08:37:53</t>
  </si>
  <si>
    <t>2025-11-24 08:37:55</t>
  </si>
  <si>
    <t>2025-11-24 08:47:05</t>
  </si>
  <si>
    <t>2025-11-24 08:38:01</t>
  </si>
  <si>
    <t>2025-11-24 08:47:06</t>
  </si>
  <si>
    <t>2025-11-24 08:38:04</t>
  </si>
  <si>
    <t>Blindžių g. 3, Vilniaus m., Vilniaus m. sav.</t>
  </si>
  <si>
    <t>2025-11-24 08:38:05</t>
  </si>
  <si>
    <t>2025-11-24 08:38:10</t>
  </si>
  <si>
    <t>Vaidilutės g. 79, Vilniaus m., Vilniaus m. sav.</t>
  </si>
  <si>
    <t>2025-11-24 08:38:14</t>
  </si>
  <si>
    <t>2025-11-24 08:38:15</t>
  </si>
  <si>
    <t>2025-11-24 08:38:16</t>
  </si>
  <si>
    <t>Žuvinto g. 2A-18, Vilniaus m., Vilniaus m. sav.</t>
  </si>
  <si>
    <t>2025-11-24 08:38:17</t>
  </si>
  <si>
    <t>2025-11-24 08:38:19</t>
  </si>
  <si>
    <t>Gelvonų g. 34, Vilniaus m., Vilniaus m. sav.</t>
  </si>
  <si>
    <t>2025-11-24 08:38:23</t>
  </si>
  <si>
    <t>2025-11-24 08:38:27</t>
  </si>
  <si>
    <t>2025-11-24 08:38:34</t>
  </si>
  <si>
    <t>2025-11-24 08:38:35</t>
  </si>
  <si>
    <t>2025-11-24 08:38:41</t>
  </si>
  <si>
    <t>Karių Kapų g. 23, Vilniaus m., Vilniaus m. sav.</t>
  </si>
  <si>
    <t>Kelmijos Sodų 36-oji g. 62, Vilniaus m., Vilniaus m. sav.</t>
  </si>
  <si>
    <t>2025-11-24 08:38:47</t>
  </si>
  <si>
    <t>2025-11-24 08:38:57</t>
  </si>
  <si>
    <t>Sakalaičių Sodų 4-oji g. 3, Vilniaus m., Vilniaus m. sav.</t>
  </si>
  <si>
    <t>2025-11-24 08:38:58</t>
  </si>
  <si>
    <t>Prūsų g. 30, Vilniaus m., Vilniaus m. sav.</t>
  </si>
  <si>
    <t>2025-11-24 08:39:04</t>
  </si>
  <si>
    <t>Pašilaičių g. 6, Vilniaus m., Vilniaus m. sav.</t>
  </si>
  <si>
    <t>2025-11-24 08:39:05</t>
  </si>
  <si>
    <t>2025-11-24 08:39:07</t>
  </si>
  <si>
    <t>Karių Kapų g. 22, Vilniaus m., Vilniaus m. sav.</t>
  </si>
  <si>
    <t>2025-11-24 08:47:58</t>
  </si>
  <si>
    <t>2025-11-24 08:39:09</t>
  </si>
  <si>
    <t>Vokiečių g. 9, Vilniaus m., Vilniaus m. sav.</t>
  </si>
  <si>
    <t>2025-11-24 08:39:11</t>
  </si>
  <si>
    <t>2025-11-24 08:39:18</t>
  </si>
  <si>
    <t>Gabijos g. 5, Vilniaus m., Vilniaus m. sav.</t>
  </si>
  <si>
    <t>2025-11-24 08:39:25</t>
  </si>
  <si>
    <t>Kelmijos Sodų 26-oji g. 15, Vilniaus m., Vilniaus m. sav.</t>
  </si>
  <si>
    <t>2025-11-24 08:39:26</t>
  </si>
  <si>
    <t>Noragiškių g. 16-6, Vilniaus m., Vilniaus m. sav.</t>
  </si>
  <si>
    <t>2025-11-24 09:53:25</t>
  </si>
  <si>
    <t>2025-11-24 08:39:39</t>
  </si>
  <si>
    <t>Visorių Sodų 14-oji g. 13, Vilniaus m., Vilniaus m. sav.</t>
  </si>
  <si>
    <t>2025-11-24 08:39:45</t>
  </si>
  <si>
    <t>Kelmijos Sodų 26-oji g. 21, Vilniaus m., Vilniaus m. sav.</t>
  </si>
  <si>
    <t>2025-11-24 08:39:49</t>
  </si>
  <si>
    <t>Architektų g. 206A, Vilniaus m., Vilniaus m. sav.</t>
  </si>
  <si>
    <t>2025-11-24 08:39:55</t>
  </si>
  <si>
    <t>Žemoji g. 71, Vilniaus m., Vilniaus m. sav.</t>
  </si>
  <si>
    <t>2025-11-24 08:39:56</t>
  </si>
  <si>
    <t>Žuvinto g. 8-1, Vilniaus m., Vilniaus m. sav.</t>
  </si>
  <si>
    <t>2025-11-24 08:40:00</t>
  </si>
  <si>
    <t>2025-11-24 08:39:58</t>
  </si>
  <si>
    <t>Žuvinto g. 2A-8, Vilniaus m., Vilniaus m. sav.</t>
  </si>
  <si>
    <t>2025-11-24 08:39:59</t>
  </si>
  <si>
    <t>Karių Kapų g. 25, Vilniaus m., Vilniaus m. sav.</t>
  </si>
  <si>
    <t>Smolensko g. 5A, Vilniaus m., Vilniaus m. sav.</t>
  </si>
  <si>
    <t>2025-11-24 08:40:04</t>
  </si>
  <si>
    <t>Žuvinto g. 9, Vilniaus m., Vilniaus m. sav.</t>
  </si>
  <si>
    <t>2025-11-24 08:40:12</t>
  </si>
  <si>
    <t>2025-11-24 08:40:08</t>
  </si>
  <si>
    <t>Lakštingalų g. 7, Vilniaus m., Vilniaus m. sav.</t>
  </si>
  <si>
    <t>Karaliaučiaus g. 11, Vilniaus m., Vilniaus m. sav.</t>
  </si>
  <si>
    <t>2025-11-24 08:40:14</t>
  </si>
  <si>
    <t>2025-11-24 09:23:17</t>
  </si>
  <si>
    <t>Fabijoniškių g. 3A, Vilniaus m., Vilniaus m. sav.</t>
  </si>
  <si>
    <t>2025-11-24 08:40:15</t>
  </si>
  <si>
    <t>2025-11-24 08:40:21</t>
  </si>
  <si>
    <t>2025-11-24 08:40:27</t>
  </si>
  <si>
    <t>S. Konarskio g. 2, Vilniaus m., Vilniaus m. sav.</t>
  </si>
  <si>
    <t>2025-11-24 08:40:29</t>
  </si>
  <si>
    <t>2025-11-24 09:31:37</t>
  </si>
  <si>
    <t>Šviesos g. 17, Grigiškių m., Vilniaus m. sav.</t>
  </si>
  <si>
    <t>2025-11-24 08:40:30</t>
  </si>
  <si>
    <t>2025-11-24 08:40:31</t>
  </si>
  <si>
    <t>2025-11-24 08:40:33</t>
  </si>
  <si>
    <t>2025-11-24 08:40:37</t>
  </si>
  <si>
    <t>2025-11-24 08:40:38</t>
  </si>
  <si>
    <t>2025-11-24 08:40:39</t>
  </si>
  <si>
    <t>2025-11-24 08:40:48</t>
  </si>
  <si>
    <t>Žuvinto g. 2A-5, Vilniaus m., Vilniaus m. sav.</t>
  </si>
  <si>
    <t>2025-11-24 08:40:50</t>
  </si>
  <si>
    <t>Kelmijos Sodų 26-oji g. 7, Vilniaus m., Vilniaus m. sav.</t>
  </si>
  <si>
    <t>2025-11-24 08:40:51</t>
  </si>
  <si>
    <t>2025-11-24 09:23:18</t>
  </si>
  <si>
    <t>Žemoji g. 62, Vilniaus m., Vilniaus m. sav.</t>
  </si>
  <si>
    <t>2025-11-24 08:40:57</t>
  </si>
  <si>
    <t>2025-11-24 08:41:03</t>
  </si>
  <si>
    <t>2025-11-24 08:41:04</t>
  </si>
  <si>
    <t>2025-11-24 08:41:12</t>
  </si>
  <si>
    <t>2025-11-24 08:41:14</t>
  </si>
  <si>
    <t>Žalioji a. 10, Vilniaus m., Vilniaus m. sav.</t>
  </si>
  <si>
    <t>Žuvinto g. 2A-2, Vilniaus m., Vilniaus m. sav.</t>
  </si>
  <si>
    <t>2025-11-24 09:53:28</t>
  </si>
  <si>
    <t>2025-11-24 08:41:17</t>
  </si>
  <si>
    <t>Gelvonų g. 30, Vilniaus m., Vilniaus m. sav.</t>
  </si>
  <si>
    <t>2025-11-24 08:41:18</t>
  </si>
  <si>
    <t>2025-11-24 08:41:20</t>
  </si>
  <si>
    <t>2025-11-24 08:41:23</t>
  </si>
  <si>
    <t>2025-11-24 08:41:26</t>
  </si>
  <si>
    <t>Pašilaičių g. 8, Vilniaus m., Vilniaus m. sav.</t>
  </si>
  <si>
    <t>2025-11-24 08:41:29</t>
  </si>
  <si>
    <t>2025-11-24 08:41:34</t>
  </si>
  <si>
    <t>Sėlių g. 66, Vilniaus m., Vilniaus m. sav.</t>
  </si>
  <si>
    <t>2025-11-24 08:41:35</t>
  </si>
  <si>
    <t>2025-11-24 08:41:38</t>
  </si>
  <si>
    <t>Granito g. 4, Vilniaus m., Vilniaus m. sav.</t>
  </si>
  <si>
    <t>2025-11-24 08:41:42</t>
  </si>
  <si>
    <t>2025-11-24 08:41:46</t>
  </si>
  <si>
    <t>Vaidilutės g. 14, Vilniaus m., Vilniaus m. sav.</t>
  </si>
  <si>
    <t>Kelmijos Sodų 24-oji g. 6, Vilniaus m., Vilniaus m. sav.</t>
  </si>
  <si>
    <t>2025-11-24 08:41:50</t>
  </si>
  <si>
    <t>Noragiškių g. 13-9, Vilniaus m., Vilniaus m. sav.</t>
  </si>
  <si>
    <t>Kelmijos Sodų 24-oji g. 3, Vilniaus m., Vilniaus m. sav.</t>
  </si>
  <si>
    <t>Noragiškių g. 13-8, Vilniaus m., Vilniaus m. sav.</t>
  </si>
  <si>
    <t>2025-11-24 08:42:13</t>
  </si>
  <si>
    <t>Žemoji g. 57, Vilniaus m., Vilniaus m. sav.</t>
  </si>
  <si>
    <t>2025-11-24 08:42:14</t>
  </si>
  <si>
    <t>2025-11-24 09:23:51</t>
  </si>
  <si>
    <t>2025-11-24 08:42:23</t>
  </si>
  <si>
    <t>Ventos g. 3B, Vilniaus m., Vilniaus m. sav.</t>
  </si>
  <si>
    <t>2025-11-24 08:42:32</t>
  </si>
  <si>
    <t>Bajorų Sodų g. 63, Vilniaus m., Vilniaus m. sav.</t>
  </si>
  <si>
    <t>2025-11-24 08:42:36</t>
  </si>
  <si>
    <t>Kelmijos Sodų 23-ioji g. 4, Vilniaus m., Vilniaus m. sav.</t>
  </si>
  <si>
    <t>2025-11-24 08:42:37</t>
  </si>
  <si>
    <t>2025-11-24 08:42:40</t>
  </si>
  <si>
    <t>Noragiškių g. 13-7, Vilniaus m., Vilniaus m. sav.</t>
  </si>
  <si>
    <t>Noragiškių g. 13-4, Vilniaus m., Vilniaus m. sav.</t>
  </si>
  <si>
    <t>2025-11-24 08:42:52</t>
  </si>
  <si>
    <t>2025-11-24 09:22:40</t>
  </si>
  <si>
    <t>Gabijos g. 19, Vilniaus m., Vilniaus m. sav.</t>
  </si>
  <si>
    <t>Laisvės pr. 79E, Vilniaus m., Vilniaus m. sav.</t>
  </si>
  <si>
    <t>2025-11-24 08:43:00</t>
  </si>
  <si>
    <t>2025-11-24 08:43:09</t>
  </si>
  <si>
    <t>2025-11-24 08:43:13</t>
  </si>
  <si>
    <t>2025-11-24 08:43:18</t>
  </si>
  <si>
    <t>Fabijoniškių g. 3, Vilniaus m., Vilniaus m. sav.</t>
  </si>
  <si>
    <t>Noragiškių g. 13-5, Vilniaus m., Vilniaus m. sav.</t>
  </si>
  <si>
    <t>2025-11-24 08:43:21</t>
  </si>
  <si>
    <t>Sniego g. 2, Vilniaus m., Vilniaus m. sav.</t>
  </si>
  <si>
    <t>2025-11-24 08:43:30</t>
  </si>
  <si>
    <t>Fabijoniškių g. 3B, Vilniaus m., Vilniaus m. sav.</t>
  </si>
  <si>
    <t>2025-11-24 08:43:36</t>
  </si>
  <si>
    <t>Jūratės g. 14, Vilniaus m., Vilniaus m. sav.</t>
  </si>
  <si>
    <t>Šviesos g. 18, Grigiškių m., Vilniaus m. sav.</t>
  </si>
  <si>
    <t>2025-11-24 08:43:42</t>
  </si>
  <si>
    <t>Kelmijos Sodų 23-ioji g. 6, Vilniaus m., Vilniaus m. sav.</t>
  </si>
  <si>
    <t>2025-11-24 08:43:43</t>
  </si>
  <si>
    <t>2025-11-24 08:43:49</t>
  </si>
  <si>
    <t>Sakalaičių Sodų 3-ioji g. 47, Vilniaus m., Vilniaus m. sav.</t>
  </si>
  <si>
    <t>2025-11-24 08:44:22</t>
  </si>
  <si>
    <t>Noragiškių g. 13-2, Vilniaus m., Vilniaus m. sav.</t>
  </si>
  <si>
    <t>2025-11-24 08:44:29</t>
  </si>
  <si>
    <t>Sakalaičių Sodų 3-ioji g. 46, Vilniaus m., Vilniaus m. sav.</t>
  </si>
  <si>
    <t>2025-11-24 08:44:33</t>
  </si>
  <si>
    <t>2025-11-24 08:44:35</t>
  </si>
  <si>
    <t>Jūratės g. 25A, Vilniaus m., Vilniaus m. sav.</t>
  </si>
  <si>
    <t>2025-11-24 08:44:36</t>
  </si>
  <si>
    <t>2025-11-24 08:44:37</t>
  </si>
  <si>
    <t>Sakalaičių Sodų 3-ioji g. 41, Vilniaus m., Vilniaus m. sav.</t>
  </si>
  <si>
    <t>2025-11-24 08:44:40</t>
  </si>
  <si>
    <t>Vokiečių g. 13B, Vilniaus m., Vilniaus m. sav.</t>
  </si>
  <si>
    <t>2025-11-24 08:44:42</t>
  </si>
  <si>
    <t>2025-11-24 08:44:44</t>
  </si>
  <si>
    <t>Granito g. 4A, Vilniaus m., Vilniaus m. sav.</t>
  </si>
  <si>
    <t>2025-11-24 08:44:45</t>
  </si>
  <si>
    <t>2025-11-24 09:00:19</t>
  </si>
  <si>
    <t>2025-11-24 08:44:56</t>
  </si>
  <si>
    <t>2025-11-24 08:45:00</t>
  </si>
  <si>
    <t>2025-11-24 08:45:02</t>
  </si>
  <si>
    <t>Kelmijos Sodų 23-ioji g. 14, Vilniaus m., Vilniaus m. sav.</t>
  </si>
  <si>
    <t>2025-11-24 08:45:04</t>
  </si>
  <si>
    <t>2025-11-24 08:45:09</t>
  </si>
  <si>
    <t>Sakalaičių Sodų 3-ioji g. 39, Vilniaus m., Vilniaus m. sav.</t>
  </si>
  <si>
    <t>2025-11-24 08:45:22</t>
  </si>
  <si>
    <t>Noragiškių g. 11-6, Vilniaus m., Vilniaus m. sav.</t>
  </si>
  <si>
    <t>2025-11-24 08:45:27</t>
  </si>
  <si>
    <t>Didžiulio g. 23, Vilniaus m., Vilniaus m. sav.</t>
  </si>
  <si>
    <t>2025-11-24 08:45:32</t>
  </si>
  <si>
    <t>Kelmijos Sodų 23-ioji g. 18, Vilniaus m., Vilniaus m. sav.</t>
  </si>
  <si>
    <t>2025-11-24 08:45:34</t>
  </si>
  <si>
    <t>Noragiškių g. 13A, Vilniaus m., Vilniaus m. sav.</t>
  </si>
  <si>
    <t>2025-11-24 08:45:35</t>
  </si>
  <si>
    <t>Jūratės g. 23, Vilniaus m., Vilniaus m. sav.</t>
  </si>
  <si>
    <t>2025-11-24 08:45:36</t>
  </si>
  <si>
    <t>2025-11-24 08:45:39</t>
  </si>
  <si>
    <t>Gabijos g. 13, Vilniaus m., Vilniaus m. sav.</t>
  </si>
  <si>
    <t>2025-11-24 09:00:09</t>
  </si>
  <si>
    <t>2025-11-24 08:45:41</t>
  </si>
  <si>
    <t>2025-11-24 09:00:22</t>
  </si>
  <si>
    <t>2025-11-24 08:45:43</t>
  </si>
  <si>
    <t>Širvintų g. 34A, Vilniaus m., Vilniaus m. sav.</t>
  </si>
  <si>
    <t>2025-11-24 08:45:46</t>
  </si>
  <si>
    <t>Kelmijos Sodų 22-oji g. 20, Vilniaus m., Vilniaus m. sav.</t>
  </si>
  <si>
    <t>2025-11-24 08:45:48</t>
  </si>
  <si>
    <t>Noragiškių g. 16-4, Vilniaus m., Vilniaus m. sav.</t>
  </si>
  <si>
    <t>2025-11-24 08:45:51</t>
  </si>
  <si>
    <t>Didžiulio g. 21, Vilniaus m., Vilniaus m. sav.</t>
  </si>
  <si>
    <t>Architektų g. 198, Vilniaus m., Vilniaus m. sav.</t>
  </si>
  <si>
    <t>2025-11-24 08:45:56</t>
  </si>
  <si>
    <t>Elniakampio g. 4, Vilniaus m., Vilniaus m. sav.</t>
  </si>
  <si>
    <t>2025-11-24 08:45:59</t>
  </si>
  <si>
    <t>Sakalaičių Sodų 3-ioji g. 33, Vilniaus m., Vilniaus m. sav.</t>
  </si>
  <si>
    <t>2025-11-24 08:46:00</t>
  </si>
  <si>
    <t>Kelmijos Sodų 23-ioji g. 16, Vilniaus m., Vilniaus m. sav.</t>
  </si>
  <si>
    <t>2025-11-24 08:46:13</t>
  </si>
  <si>
    <t>Didlaukio g. 45, Vilniaus m., Vilniaus m. sav.</t>
  </si>
  <si>
    <t>Sakalaičių Sodų 3-ioji g 44, Vilnius, Vilniaus r. sav.</t>
  </si>
  <si>
    <t>2025-11-24 08:46:21</t>
  </si>
  <si>
    <t>Visorių Sodų 15-oji g. 25, Vilniaus m., Vilniaus m. sav.</t>
  </si>
  <si>
    <t>Kelmijos Sodų 23-ioji g. 12, Vilniaus m., Vilniaus m. sav.</t>
  </si>
  <si>
    <t>2025-11-24 08:46:26</t>
  </si>
  <si>
    <t>Noragiškių g. 16-1, Vilniaus m., Vilniaus m. sav.</t>
  </si>
  <si>
    <t>Noragiškių g. 16-2, Vilniaus m., Vilniaus m. sav.</t>
  </si>
  <si>
    <t>2025-11-24 08:46:27</t>
  </si>
  <si>
    <t>Sakalaičių Sodų 3-ioji g. 36, Vilniaus m., Vilniaus m. sav.</t>
  </si>
  <si>
    <t>2025-11-24 08:46:31</t>
  </si>
  <si>
    <t>Sakalaičių Sodų 3-ioji g. 25, Vilniaus m., Vilniaus m. sav.</t>
  </si>
  <si>
    <t>2025-11-24 08:53:24</t>
  </si>
  <si>
    <t>2025-11-24 08:46:33</t>
  </si>
  <si>
    <t>2025-11-24 08:46:36</t>
  </si>
  <si>
    <t>2025-11-24 09:36:11</t>
  </si>
  <si>
    <t>2025-11-24 08:46:37</t>
  </si>
  <si>
    <t>Sakalaičių Sodų 3-ioji g. 38, Vilniaus m., Vilniaus m. sav.</t>
  </si>
  <si>
    <t>2025-11-24 08:46:38</t>
  </si>
  <si>
    <t>Granito g. 15, Vilniaus m., Vilniaus m. sav.</t>
  </si>
  <si>
    <t>2025-11-24 08:46:41</t>
  </si>
  <si>
    <t>Sakalaičių Sodų 3-ioji g. 23, Vilniaus m., Vilniaus m. sav.</t>
  </si>
  <si>
    <t>2025-11-24 08:53:27</t>
  </si>
  <si>
    <t>2025-11-24 08:46:50</t>
  </si>
  <si>
    <t>Noragiškių g. 13-3, Vilniaus m., Vilniaus m. sav.</t>
  </si>
  <si>
    <t>2025-11-24 09:53:31</t>
  </si>
  <si>
    <t>2025-11-24 08:46:51</t>
  </si>
  <si>
    <t>2025-11-24 09:10:31</t>
  </si>
  <si>
    <t>Sakalaičių Sodų 3-ioji g. 19, Vilniaus m., Vilniaus m. sav.</t>
  </si>
  <si>
    <t>Bajorų Sodų 17-oji g. 62, Vilniaus m., Vilniaus m. sav.</t>
  </si>
  <si>
    <t>2025-11-24 08:46:53</t>
  </si>
  <si>
    <t>Kelmijos Sodų 38-oji g. 21, Vilniaus m., Vilniaus m. sav.</t>
  </si>
  <si>
    <t>2025-11-24 08:46:54</t>
  </si>
  <si>
    <t>2025-11-24 08:46:55</t>
  </si>
  <si>
    <t>2025-11-24 08:53:30</t>
  </si>
  <si>
    <t>2025-11-24 08:46:57</t>
  </si>
  <si>
    <t>2025-11-24 08:46:58</t>
  </si>
  <si>
    <t>Kelmijos Sodų 23-ioji g. 8, Vilniaus m., Vilniaus m. sav.</t>
  </si>
  <si>
    <t>Sandėlių g. 36, Vilniaus m., Vilniaus m. sav.</t>
  </si>
  <si>
    <t>2025-11-24 08:47:10</t>
  </si>
  <si>
    <t>2025-11-24 08:47:12</t>
  </si>
  <si>
    <t>2025-11-24 08:47:23</t>
  </si>
  <si>
    <t>Sakalaičių Sodų 3-ioji g. 11, Vilniaus m., Vilniaus m. sav.</t>
  </si>
  <si>
    <t>2025-11-24 08:53:49</t>
  </si>
  <si>
    <t>2025-11-24 08:47:25</t>
  </si>
  <si>
    <t>Brolių g. 21, Vilniaus m., Vilniaus m. sav.</t>
  </si>
  <si>
    <t>2025-11-24 08:53:11</t>
  </si>
  <si>
    <t>2025-11-24 08:47:28</t>
  </si>
  <si>
    <t>2025-11-24 08:47:32</t>
  </si>
  <si>
    <t>2025-11-24 08:47:33</t>
  </si>
  <si>
    <t>Gelvonų g. 22, Vilniaus m., Vilniaus m. sav.</t>
  </si>
  <si>
    <t>2025-11-24 08:47:34</t>
  </si>
  <si>
    <t>Santariškių g. 4, Vilniaus m., Vilniaus m. sav.</t>
  </si>
  <si>
    <t>Kovo 11-osios g. 33, Grigiškių m., Vilniaus m. sav.</t>
  </si>
  <si>
    <t>2025-11-24 08:47:36</t>
  </si>
  <si>
    <t>2025-11-24 09:22:44</t>
  </si>
  <si>
    <t>Tujų g. 23A, Vilniaus m., Vilniaus m. sav.</t>
  </si>
  <si>
    <t>2025-11-24 09:00:01</t>
  </si>
  <si>
    <t>Mėlynių g. 1A, Vilniaus m., Vilniaus m. sav.</t>
  </si>
  <si>
    <t>2025-11-24 09:00:29</t>
  </si>
  <si>
    <t>2025-11-24 08:47:38</t>
  </si>
  <si>
    <t>2025-11-24 08:47:39</t>
  </si>
  <si>
    <t>Sakalaičių Sodų 3-ioji g. 12, Vilniaus m., Vilniaus m. sav.</t>
  </si>
  <si>
    <t>2025-11-24 08:47:40</t>
  </si>
  <si>
    <t>2025-11-24 08:47:47</t>
  </si>
  <si>
    <t>Blindžių g. 9A, Vilniaus m., Vilniaus m. sav.</t>
  </si>
  <si>
    <t>2025-11-24 08:47:48</t>
  </si>
  <si>
    <t>2025-11-24 08:47:52</t>
  </si>
  <si>
    <t>2025-11-24 08:47:55</t>
  </si>
  <si>
    <t>Kernavės g. 21, Vilniaus m., Vilniaus m. sav.</t>
  </si>
  <si>
    <t>2025-11-24 08:48:07</t>
  </si>
  <si>
    <t>Pelesos g. 55, Vilniaus m., Vilniaus m. sav.</t>
  </si>
  <si>
    <t>2025-11-24 08:48:08</t>
  </si>
  <si>
    <t>2025-11-24 08:48:11</t>
  </si>
  <si>
    <t>Tapelių g. 7, Vilniaus m., Vilniaus m. sav.</t>
  </si>
  <si>
    <t>2025-11-24 08:48:26</t>
  </si>
  <si>
    <t>2025-11-24 08:48:14</t>
  </si>
  <si>
    <t>2025-11-24 08:48:20</t>
  </si>
  <si>
    <t>2025-11-24 08:48:21</t>
  </si>
  <si>
    <t>Sakalaičių Sodų 3-ioji g. 6, Vilniaus m., Vilniaus m. sav.</t>
  </si>
  <si>
    <t>2025-11-24 08:48:25</t>
  </si>
  <si>
    <t>Sakalaičių Sodų 3-ioji g. 3, Vilniaus m., Vilniaus m. sav.</t>
  </si>
  <si>
    <t>Gabijos g. 8A, Vilniaus m., Vilniaus m. sav.</t>
  </si>
  <si>
    <t>2025-11-24 08:48:27</t>
  </si>
  <si>
    <t>Tapelių g. 18, Vilniaus m., Vilniaus m. sav.</t>
  </si>
  <si>
    <t>2025-11-24 08:48:29</t>
  </si>
  <si>
    <t>Blindžių g. 17, Vilniaus m., Vilniaus m. sav.</t>
  </si>
  <si>
    <t>2025-11-24 08:48:30</t>
  </si>
  <si>
    <t>Gabijos g. 23, Vilniaus m., Vilniaus m. sav.</t>
  </si>
  <si>
    <t>2025-11-24 09:00:15</t>
  </si>
  <si>
    <t>2025-11-24 08:48:34</t>
  </si>
  <si>
    <t>Kelmijos Sodų 33-ioji g. 36, Vilniaus m., Vilniaus m. sav.</t>
  </si>
  <si>
    <t>2025-11-24 08:48:36</t>
  </si>
  <si>
    <t>Musios g. 10, Vilniaus m., Vilniaus m. sav.</t>
  </si>
  <si>
    <t>2025-11-24 08:48:45</t>
  </si>
  <si>
    <t>2025-11-24 08:48:49</t>
  </si>
  <si>
    <t>Pakalnio g. 5, Vilniaus m., Vilniaus m. sav.</t>
  </si>
  <si>
    <t>2025-11-24 08:48:50</t>
  </si>
  <si>
    <t>Kelmijos Sodų 22-oji g. 2, Vilniaus m., Vilniaus m. sav.</t>
  </si>
  <si>
    <t>2025-11-24 08:48:53</t>
  </si>
  <si>
    <t>2025-11-24 08:48:55</t>
  </si>
  <si>
    <t>2025-11-24 08:48:56</t>
  </si>
  <si>
    <t>2025-11-24 09:09:25</t>
  </si>
  <si>
    <t>2025-11-24 08:48:59</t>
  </si>
  <si>
    <t>2025-11-24 08:53:00</t>
  </si>
  <si>
    <t>2025-11-24 08:49:03</t>
  </si>
  <si>
    <t>Pakalnio g. 3, Vilniaus m., Vilniaus m. sav.</t>
  </si>
  <si>
    <t>2025-11-24 08:49:04</t>
  </si>
  <si>
    <t>2025-11-24 08:49:09</t>
  </si>
  <si>
    <t>2025-11-24 08:49:11</t>
  </si>
  <si>
    <t>Sakalaičių Sodų 3-ioji g. 1, Vilniaus m., Vilniaus m. sav.</t>
  </si>
  <si>
    <t>2025-11-24 08:49:12</t>
  </si>
  <si>
    <t>S. Stanevičiaus g. 12, Vilniaus m., Vilniaus m. sav.</t>
  </si>
  <si>
    <t>2025-11-24 08:49:16</t>
  </si>
  <si>
    <t>Musios g. 7-2, Vilniaus m., Vilniaus m. sav.</t>
  </si>
  <si>
    <t>Pakalnio g. 4, Vilniaus m., Vilniaus m. sav.</t>
  </si>
  <si>
    <t>2025-11-24 08:49:25</t>
  </si>
  <si>
    <t>Sakalaičių Sodų 2-oji g. 2, Vilniaus m., Vilniaus m. sav.</t>
  </si>
  <si>
    <t>2025-11-24 08:49:37</t>
  </si>
  <si>
    <t>Pakalnio g. 2, Vilniaus m., Vilniaus m. sav.</t>
  </si>
  <si>
    <t>2025-11-24 08:50:36</t>
  </si>
  <si>
    <t>2025-11-24 08:49:38</t>
  </si>
  <si>
    <t>Laisvės pr. 91, Vilniaus m., Vilniaus m. sav.</t>
  </si>
  <si>
    <t>2025-11-24 09:00:17</t>
  </si>
  <si>
    <t>2025-11-24 08:49:41</t>
  </si>
  <si>
    <t>2025-11-24 08:49:45</t>
  </si>
  <si>
    <t>Brolių g. 8, Vilniaus m., Vilniaus m. sav.</t>
  </si>
  <si>
    <t>2025-11-24 08:49:46</t>
  </si>
  <si>
    <t>2025-11-24 08:49:47</t>
  </si>
  <si>
    <t>2025-11-24 08:49:56</t>
  </si>
  <si>
    <t>Rukeliškių g. 46, Vilniaus m., Vilniaus m. sav.</t>
  </si>
  <si>
    <t>Musios g. 5-2, Vilniaus m., Vilniaus m. sav.</t>
  </si>
  <si>
    <t>2025-11-24 08:50:01</t>
  </si>
  <si>
    <t>Jūratės g. 15, Vilniaus m., Vilniaus m. sav.</t>
  </si>
  <si>
    <t>2025-11-24 09:00:25</t>
  </si>
  <si>
    <t>2025-11-24 08:50:07</t>
  </si>
  <si>
    <t>Pelesos g. 24, Vilniaus m., Vilniaus m. sav.</t>
  </si>
  <si>
    <t>2025-11-24 08:50:14</t>
  </si>
  <si>
    <t>Kovo 11-osios g. 29, Grigiškių m., Vilniaus m. sav.</t>
  </si>
  <si>
    <t>2025-11-24 08:50:15</t>
  </si>
  <si>
    <t>2025-11-24 08:50:18</t>
  </si>
  <si>
    <t>Žiedų g. 26-1, Vilniaus m., Vilniaus m. sav.</t>
  </si>
  <si>
    <t>2025-11-24 08:50:19</t>
  </si>
  <si>
    <t>Kalvarijų g. 168, Vilniaus m., Vilniaus m. sav.</t>
  </si>
  <si>
    <t>2025-11-24 08:50:29</t>
  </si>
  <si>
    <t>Architektų g. 208, Vilniaus m., Vilniaus m. sav.</t>
  </si>
  <si>
    <t>2025-11-24 08:50:32</t>
  </si>
  <si>
    <t>Iždo g. 1-7, Vilniaus m., Vilniaus m. sav.</t>
  </si>
  <si>
    <t>2025-11-24 08:50:39</t>
  </si>
  <si>
    <t>2025-11-24 08:50:41</t>
  </si>
  <si>
    <t>2025-11-24 08:50:46</t>
  </si>
  <si>
    <t>Kelmijos Sodų 22-oji g. 3, Vilniaus m., Vilniaus m. sav.</t>
  </si>
  <si>
    <t>2025-11-24 08:50:52</t>
  </si>
  <si>
    <t>Santariškių g. 1, Vilniaus m., Vilniaus m. sav.</t>
  </si>
  <si>
    <t>Jūratės g. 17, Vilniaus m., Vilniaus m. sav.</t>
  </si>
  <si>
    <t>2025-11-24 09:00:26</t>
  </si>
  <si>
    <t>2025-11-24 08:50:56</t>
  </si>
  <si>
    <t>Kelmijos Sodų 22-oji g. 5, Vilniaus m., Vilniaus m. sav.</t>
  </si>
  <si>
    <t>2025-11-24 08:50:57</t>
  </si>
  <si>
    <t>Sakalaičių Sodų 2-oji g. 5, Vilniaus m., Vilniaus m. sav.</t>
  </si>
  <si>
    <t>2025-11-24 08:50:58</t>
  </si>
  <si>
    <t>2025-11-24 08:51:01</t>
  </si>
  <si>
    <t>Sakalaičių Sodų 2-oji g. 6, Vilniaus m., Vilniaus m. sav.</t>
  </si>
  <si>
    <t>2025-11-24 08:51:08</t>
  </si>
  <si>
    <t>Musios g. 6, Vilniaus m., Vilniaus m. sav.</t>
  </si>
  <si>
    <t>2025-11-24 08:51:13</t>
  </si>
  <si>
    <t>Visorių Sodų g. 42, Vilniaus m., Vilniaus m. sav.</t>
  </si>
  <si>
    <t>Vokiečių g. 24, Vilniaus m., Vilniaus m. sav.</t>
  </si>
  <si>
    <t>2025-11-24 08:51:15</t>
  </si>
  <si>
    <t>Viršuliškių g. 95A, Vilniaus m., Vilniaus m. sav.</t>
  </si>
  <si>
    <t>2025-11-24 08:51:16</t>
  </si>
  <si>
    <t>Kelmijos Sodų 22-oji g. 12, Vilniaus m., Vilniaus m. sav.</t>
  </si>
  <si>
    <t>2025-11-24 08:51:17</t>
  </si>
  <si>
    <t>2025-11-24 08:51:22</t>
  </si>
  <si>
    <t>Iždo g. 1-6, Vilniaus m., Vilniaus m. sav.</t>
  </si>
  <si>
    <t>2025-11-24 08:51:24</t>
  </si>
  <si>
    <t>2025-11-24 08:51:26</t>
  </si>
  <si>
    <t>Dariaus ir Girėno g. 5C, Vilniaus m., Vilniaus m. sav.</t>
  </si>
  <si>
    <t>Vykdomi infrastruktūros darbai</t>
  </si>
  <si>
    <t>2025-11-24 08:51:29</t>
  </si>
  <si>
    <t>Kelmijos Sodų 22-oji g. 11, Vilniaus m., Vilniaus m. sav.</t>
  </si>
  <si>
    <t>Sakalaičių Sodų 2-oji g. 7, Vilniaus m., Vilniaus m. sav.</t>
  </si>
  <si>
    <t>2025-11-24 08:53:52</t>
  </si>
  <si>
    <t>2025-11-24 08:51:35</t>
  </si>
  <si>
    <t>Žalgirio g. 127, Vilniaus m., Vilniaus m. sav.</t>
  </si>
  <si>
    <t>2025-11-24 08:51:38</t>
  </si>
  <si>
    <t>Jūratės g. 11, Vilniaus m., Vilniaus m. sav.</t>
  </si>
  <si>
    <t>2025-11-24 08:51:43</t>
  </si>
  <si>
    <t>2025-11-24 08:51:50</t>
  </si>
  <si>
    <t>Granito g. 7, Vilniaus m., Vilniaus m. sav.</t>
  </si>
  <si>
    <t>2025-11-24 08:51:54</t>
  </si>
  <si>
    <t>S. Stanevičiaus g. 14A, Vilniaus m., Vilniaus m. sav.</t>
  </si>
  <si>
    <t>Jūratės g. 9, Vilniaus m., Vilniaus m. sav.</t>
  </si>
  <si>
    <t>2025-11-24 08:51:58</t>
  </si>
  <si>
    <t>Laisvės pr. 83, Vilniaus m., Vilniaus m. sav.</t>
  </si>
  <si>
    <t>2025-11-24 08:52:07</t>
  </si>
  <si>
    <t>2025-11-24 08:52:09</t>
  </si>
  <si>
    <t>2025-11-24 09:10:32</t>
  </si>
  <si>
    <t>Sakalaičių Sodų 2-oji g. 10, Vilniaus m., Vilniaus m. sav.</t>
  </si>
  <si>
    <t>2025-11-24 08:52:12</t>
  </si>
  <si>
    <t>Iždo g. 1-3, Vilniaus m., Vilniaus m. sav.</t>
  </si>
  <si>
    <t>Kelmijos Sodų 22-oji g. 23, Vilniaus m., Vilniaus m. sav.</t>
  </si>
  <si>
    <t>2025-11-24 08:52:18</t>
  </si>
  <si>
    <t>Iždo g. 1-5, Vilniaus m., Vilniaus m. sav.</t>
  </si>
  <si>
    <t>2025-11-24 09:12:14</t>
  </si>
  <si>
    <t>2025-11-24 08:52:19</t>
  </si>
  <si>
    <t>Jūratės g. 19A, Vilniaus m., Vilniaus m. sav.</t>
  </si>
  <si>
    <t>2025-11-24 09:00:33</t>
  </si>
  <si>
    <t>2025-11-24 08:52:20</t>
  </si>
  <si>
    <t>Granito g. 6, Vilniaus m., Vilniaus m. sav.</t>
  </si>
  <si>
    <t>2025-11-24 08:52:24</t>
  </si>
  <si>
    <t>Jūratės g. 17-2, Vilniaus m., Vilniaus m. sav.</t>
  </si>
  <si>
    <t>2025-11-24 08:52:28</t>
  </si>
  <si>
    <t>2025-11-24 08:52:29</t>
  </si>
  <si>
    <t>Sakalaičių Sodų 2-oji g. 11, Vilniaus m., Vilniaus m. sav.</t>
  </si>
  <si>
    <t>2025-11-24 08:52:32</t>
  </si>
  <si>
    <t>2025-11-24 08:52:40</t>
  </si>
  <si>
    <t>Gabijos g. 25, Vilniaus m., Vilniaus m. sav.</t>
  </si>
  <si>
    <t>2025-11-24 08:52:43</t>
  </si>
  <si>
    <t>2025-11-24 08:52:45</t>
  </si>
  <si>
    <t>Jūratės g. 21, Vilniaus m., Vilniaus m. sav.</t>
  </si>
  <si>
    <t>2025-11-24 08:52:46</t>
  </si>
  <si>
    <t>Gabijos g. 29, Vilniaus m., Vilniaus m. sav.</t>
  </si>
  <si>
    <t>2025-11-24 08:52:48</t>
  </si>
  <si>
    <t>Iždo g. 1-2, Vilniaus m., Vilniaus m. sav.</t>
  </si>
  <si>
    <t>2025-11-24 08:52:49</t>
  </si>
  <si>
    <t>Noragiškių g. 48, Vilniaus m., Vilniaus m. sav.</t>
  </si>
  <si>
    <t>2025-11-24 08:52:50</t>
  </si>
  <si>
    <t>2025-11-24 08:52:52</t>
  </si>
  <si>
    <t>A. Vivulskio g. 41, Vilniaus m., Vilniaus m. sav.</t>
  </si>
  <si>
    <t>2025-11-24 08:52:53</t>
  </si>
  <si>
    <t>2025-11-24 08:52:57</t>
  </si>
  <si>
    <t>Sakalaičių Sodų 2-oji g. 24, Vilniaus m., Vilniaus m. sav.</t>
  </si>
  <si>
    <t>Iždo g. 3A-1, Vilniaus m., Vilniaus m. sav.</t>
  </si>
  <si>
    <t>Iždo g. 3A-2, Vilniaus m., Vilniaus m. sav.</t>
  </si>
  <si>
    <t>Iždo g. 5-1, Vilniaus m., Vilniaus m. sav.</t>
  </si>
  <si>
    <t>Iždo g. 5-2, Vilniaus m., Vilniaus m. sav.</t>
  </si>
  <si>
    <t>Iždo g. 5-3, Vilniaus m., Vilniaus m. sav.</t>
  </si>
  <si>
    <t>Iždo g. 5A, Vilniaus m., Vilniaus m. sav.</t>
  </si>
  <si>
    <t>Iždo g. 7, Vilniaus m., Vilniaus m. sav.</t>
  </si>
  <si>
    <t>2025-11-24 08:53:02</t>
  </si>
  <si>
    <t>Žiedų g. 14, Vilniaus m., Vilniaus m. sav.</t>
  </si>
  <si>
    <t>2025-11-24 08:53:08</t>
  </si>
  <si>
    <t>Iždo g. 1-1, Vilniaus m., Vilniaus m. sav.</t>
  </si>
  <si>
    <t>Latvių g. 66, Vilniaus m., Vilniaus m. sav.</t>
  </si>
  <si>
    <t>2025-11-24 08:53:12</t>
  </si>
  <si>
    <t>Kelmijos Sodų 22-oji g. 14, Vilniaus m., Vilniaus m. sav.</t>
  </si>
  <si>
    <t>2025-11-24 08:53:15</t>
  </si>
  <si>
    <t>2025-11-24 08:53:18</t>
  </si>
  <si>
    <t>2025-11-24 08:53:26</t>
  </si>
  <si>
    <t>Nemenčinės pl. 4A, Vilniaus m., Vilniaus m. sav.</t>
  </si>
  <si>
    <t>Iždo g. 1-4, Vilniaus m., Vilniaus m. sav.</t>
  </si>
  <si>
    <t>Sakalaičių Sodų 2-oji g. 19, Vilniaus m., Vilniaus m. sav.</t>
  </si>
  <si>
    <t>2025-11-24 09:36:12</t>
  </si>
  <si>
    <t>Darbininkų g. 11A, Vilniaus m., Vilniaus m. sav.</t>
  </si>
  <si>
    <t>Kelmijos Sodų 22-oji g. 19, Vilniaus m., Vilniaus m. sav.</t>
  </si>
  <si>
    <t>2025-11-24 09:12:15</t>
  </si>
  <si>
    <t>2025-11-24 08:53:31</t>
  </si>
  <si>
    <t>2025-11-24 08:53:34</t>
  </si>
  <si>
    <t>Kelmijos Sodų 22-oji g. 15, Vilniaus m., Vilniaus m. sav.</t>
  </si>
  <si>
    <t>2025-11-24 08:53:37</t>
  </si>
  <si>
    <t>2025-11-24 08:53:39</t>
  </si>
  <si>
    <t>2025-11-24 08:53:42</t>
  </si>
  <si>
    <t>Kalvarijų g. 162, Vilniaus m., Vilniaus m. sav.</t>
  </si>
  <si>
    <t>2025-11-24 08:53:56</t>
  </si>
  <si>
    <t>2025-11-24 09:31:39</t>
  </si>
  <si>
    <t>Kunigiškių g. 14, Grigiškių m., Vilniaus m. sav.</t>
  </si>
  <si>
    <t>2025-11-24 08:53:57</t>
  </si>
  <si>
    <t>Jūratės g. 13, Vilniaus m., Vilniaus m. sav.</t>
  </si>
  <si>
    <t>2025-11-24 08:53:58</t>
  </si>
  <si>
    <t>2025-11-24 08:53:59</t>
  </si>
  <si>
    <t>2025-11-24 08:54:01</t>
  </si>
  <si>
    <t>Jūratės g. 19, Vilniaus m., Vilniaus m. sav.</t>
  </si>
  <si>
    <t>2025-11-24 08:54:02</t>
  </si>
  <si>
    <t>Gelvonų g. 4, Vilniaus m., Vilniaus m. sav.</t>
  </si>
  <si>
    <t>2025-11-24 08:54:04</t>
  </si>
  <si>
    <t>Iždo g. 3-1, Vilniaus m., Vilniaus m. sav.</t>
  </si>
  <si>
    <t>2025-11-24 08:54:06</t>
  </si>
  <si>
    <t>2025-11-24 09:00:47</t>
  </si>
  <si>
    <t>2025-11-24 08:54:09</t>
  </si>
  <si>
    <t>Č. Sugiharos g. 3, Vilniaus m., Vilniaus m. sav.</t>
  </si>
  <si>
    <t>2025-11-24 08:54:12</t>
  </si>
  <si>
    <t>2025-11-24 08:54:20</t>
  </si>
  <si>
    <t>2025-11-24 08:54:27</t>
  </si>
  <si>
    <t>2025-11-24 08:54:30</t>
  </si>
  <si>
    <t>Paluknio g. 7, Vilniaus m., Vilniaus m. sav.</t>
  </si>
  <si>
    <t>2025-11-24 08:54:38</t>
  </si>
  <si>
    <t>S. Stanevičiaus g. 22, Vilniaus m., Vilniaus m. sav.</t>
  </si>
  <si>
    <t>2025-11-24 08:54:40</t>
  </si>
  <si>
    <t>2025-11-24 08:54:48</t>
  </si>
  <si>
    <t>Lakajų g. 6, Vilniaus m., Vilniaus m. sav.</t>
  </si>
  <si>
    <t>2025-11-24 08:54:52</t>
  </si>
  <si>
    <t>Lakajų g. 1, Vilniaus m., Vilniaus m. sav.</t>
  </si>
  <si>
    <t>2025-11-24 08:54:59</t>
  </si>
  <si>
    <t>2025-11-24 08:55:01</t>
  </si>
  <si>
    <t>Sakalaičių Sodų 2-oji g. 42, Vilniaus m., Vilniaus m. sav.</t>
  </si>
  <si>
    <t>2025-11-24 08:55:02</t>
  </si>
  <si>
    <t>2025-11-24 08:55:03</t>
  </si>
  <si>
    <t>Iždo g. 15A, Vilniaus m., Vilniaus m. sav.</t>
  </si>
  <si>
    <t>2025-11-24 08:55:05</t>
  </si>
  <si>
    <t>2025-11-24 08:55:07</t>
  </si>
  <si>
    <t>2025-11-24 08:55:08</t>
  </si>
  <si>
    <t>A. Vivulskio g. 35, Vilniaus m., Vilniaus m. sav.</t>
  </si>
  <si>
    <t>2025-11-24 08:55:12</t>
  </si>
  <si>
    <t>Kelmijos Sodų 22-oji g. 9, Vilniaus m., Vilniaus m. sav.</t>
  </si>
  <si>
    <t>2025-11-24 08:55:13</t>
  </si>
  <si>
    <t>Jūratės g. 7, Vilniaus m., Vilniaus m. sav.</t>
  </si>
  <si>
    <t>Jūratės g. 5, Vilniaus m., Vilniaus m. sav.</t>
  </si>
  <si>
    <t>2025-11-24 08:55:15</t>
  </si>
  <si>
    <t>2025-11-24 08:55:18</t>
  </si>
  <si>
    <t>Kelmijos Sodų 22-oji g. 10, Vilniaus m., Vilniaus m. sav.</t>
  </si>
  <si>
    <t>Kelmijos Sodų 22-oji g. 7, Vilniaus m., Vilniaus m. sav.</t>
  </si>
  <si>
    <t>2025-11-24 08:55:20</t>
  </si>
  <si>
    <t>Subačiaus g. 15, Vilniaus m., Vilniaus m. sav.</t>
  </si>
  <si>
    <t>2025-11-24 08:55:21</t>
  </si>
  <si>
    <t>2025-11-24 08:55:23</t>
  </si>
  <si>
    <t>2025-11-24 08:55:27</t>
  </si>
  <si>
    <t>2025-11-24 08:55:28</t>
  </si>
  <si>
    <t>Visorių Sodų 9-oji g. 8, Vilniaus m., Vilniaus m. sav.</t>
  </si>
  <si>
    <t>2025-11-24 08:55:30</t>
  </si>
  <si>
    <t>2025-11-24 08:55:33</t>
  </si>
  <si>
    <t>Kuosų g. 2, Vilniaus m., Vilniaus m. sav.</t>
  </si>
  <si>
    <t>2025-11-24 08:55:34</t>
  </si>
  <si>
    <t>2025-11-24 08:55:35</t>
  </si>
  <si>
    <t>2025-11-24 08:55:36</t>
  </si>
  <si>
    <t>Granito g. 10, Vilniaus m., Vilniaus m. sav.</t>
  </si>
  <si>
    <t>2025-11-24 08:55:37</t>
  </si>
  <si>
    <t>2025-11-24 08:55:42</t>
  </si>
  <si>
    <t>2025-11-24 08:55:44</t>
  </si>
  <si>
    <t>2025-11-24 08:55:48</t>
  </si>
  <si>
    <t>Vaidilutės g. 47, Vilniaus m., Vilniaus m. sav.</t>
  </si>
  <si>
    <t>2025-11-24 08:55:50</t>
  </si>
  <si>
    <t>Visorių Sodų 9-oji g. 1, Vilniaus m., Vilniaus m. sav.</t>
  </si>
  <si>
    <t>2025-11-24 08:56:03</t>
  </si>
  <si>
    <t>Iždo g. 17, Vilniaus m., Vilniaus m. sav.</t>
  </si>
  <si>
    <t>2025-11-24 08:56:06</t>
  </si>
  <si>
    <t>2025-11-24 08:56:11</t>
  </si>
  <si>
    <t>2025-11-24 08:56:15</t>
  </si>
  <si>
    <t>2025-11-24 08:56:16</t>
  </si>
  <si>
    <t>2025-11-24 09:00:52</t>
  </si>
  <si>
    <t>Petro Baublio g. 4, Vilniaus m., Vilniaus m. sav.</t>
  </si>
  <si>
    <t>V. A. Graičiūno g. 10D, Vilniaus m., Vilniaus m. sav.</t>
  </si>
  <si>
    <t>2025-11-24 08:56:21</t>
  </si>
  <si>
    <t>2025-11-24 08:56:22</t>
  </si>
  <si>
    <t>2025-11-24 09:33:22</t>
  </si>
  <si>
    <t>2025-11-24 09:00:53</t>
  </si>
  <si>
    <t>2025-11-24 08:56:26</t>
  </si>
  <si>
    <t>Ateities g. 12, Vilniaus m., Vilniaus m. sav.</t>
  </si>
  <si>
    <t>2025-11-24 08:56:30</t>
  </si>
  <si>
    <t>Kuosų g. 6, Vilniaus m., Vilniaus m. sav.</t>
  </si>
  <si>
    <t>2025-11-24 08:56:31</t>
  </si>
  <si>
    <t>Latvių g. 64, Vilniaus m., Vilniaus m. sav.</t>
  </si>
  <si>
    <t>2025-11-24 08:56:39</t>
  </si>
  <si>
    <t>Iždo g. 4, Vilniaus m., Vilniaus m. sav.</t>
  </si>
  <si>
    <t>2025-11-24 08:56:40</t>
  </si>
  <si>
    <t>Pavilnio g. 31, Vilniaus m., Vilniaus m. sav.</t>
  </si>
  <si>
    <t>2025-11-24 08:56:43</t>
  </si>
  <si>
    <t>2025-11-24 08:56:41</t>
  </si>
  <si>
    <t>Nemenčinės pl. 4E, Vilniaus m., Vilniaus m. sav.</t>
  </si>
  <si>
    <t>Pelesos g. 69, Vilniaus m., Vilniaus m. sav.</t>
  </si>
  <si>
    <t>2025-11-24 08:56:46</t>
  </si>
  <si>
    <t>2025-11-24 12:07:41</t>
  </si>
  <si>
    <t>2025-11-24 08:56:47</t>
  </si>
  <si>
    <t>Sakalaičių Sodų 2-oji g. 1, Vilniaus m., Vilniaus m. sav.</t>
  </si>
  <si>
    <t>2025-11-24 08:56:48</t>
  </si>
  <si>
    <t>2025-11-24 08:56:49</t>
  </si>
  <si>
    <t>2025-11-24 08:56:51</t>
  </si>
  <si>
    <t>Sakalaičių g. 9, Vilniaus m., Vilniaus m. sav.</t>
  </si>
  <si>
    <t>2025-11-24 09:02:23</t>
  </si>
  <si>
    <t>2025-11-24 08:56:53</t>
  </si>
  <si>
    <t>2025-11-24 08:56:54</t>
  </si>
  <si>
    <t>Lentvario g. 21, Grigiškių m., Vilniaus m. sav.</t>
  </si>
  <si>
    <t>2025-11-24 08:56:55</t>
  </si>
  <si>
    <t>2025-11-24 08:56:57</t>
  </si>
  <si>
    <t>Sakalaičių g. 7, Vilniaus m., Vilniaus m. sav.</t>
  </si>
  <si>
    <t>2025-11-24 08:57:02</t>
  </si>
  <si>
    <t>Gabijos g. 35, Vilniaus m., Vilniaus m. sav.</t>
  </si>
  <si>
    <t>2025-11-24 08:57:06</t>
  </si>
  <si>
    <t>Kuosų g. 8, Vilniaus m., Vilniaus m. sav.</t>
  </si>
  <si>
    <t>2025-11-24 09:00:57</t>
  </si>
  <si>
    <t>2025-11-24 08:57:15</t>
  </si>
  <si>
    <t>Iždo g. 21-2, Vilniaus m., Vilniaus m. sav.</t>
  </si>
  <si>
    <t>2025-11-24 08:57:16</t>
  </si>
  <si>
    <t>Kudrionių g. 19, Vilniaus m., Vilniaus m. sav.</t>
  </si>
  <si>
    <t>2025-11-24 08:57:19</t>
  </si>
  <si>
    <t>2025-11-24 10:56:17</t>
  </si>
  <si>
    <t>Gilužio g. 5, Vilniaus m., Vilniaus m. sav.</t>
  </si>
  <si>
    <t>2025-11-24 08:57:20</t>
  </si>
  <si>
    <t>2025-11-24 08:57:23</t>
  </si>
  <si>
    <t>2025-11-24 08:57:31</t>
  </si>
  <si>
    <t>Kelmijos Sodų 22-oji g. 1, Vilniaus m., Vilniaus m. sav.</t>
  </si>
  <si>
    <t>2025-11-24 08:57:33</t>
  </si>
  <si>
    <t>Kuosų g. 4, Vilniaus m., Vilniaus m. sav.</t>
  </si>
  <si>
    <t>Viršuliškių g. 103, Vilniaus m., Vilniaus m. sav.</t>
  </si>
  <si>
    <t>2025-11-24 08:57:34</t>
  </si>
  <si>
    <t>2025-11-24 09:00:59</t>
  </si>
  <si>
    <t>2025-11-24 08:57:37</t>
  </si>
  <si>
    <t>Sakalaičių Sodų 1-oji g. 1, Vilniaus m., Vilniaus m. sav.</t>
  </si>
  <si>
    <t>2025-11-24 08:57:41</t>
  </si>
  <si>
    <t>Linkmenų g. 27, Vilniaus m., Vilniaus m. sav.</t>
  </si>
  <si>
    <t>2025-11-24 08:57:45</t>
  </si>
  <si>
    <t>Iždo g. 6, Vilniaus m., Vilniaus m. sav.</t>
  </si>
  <si>
    <t>2025-11-24 08:57:47</t>
  </si>
  <si>
    <t>Ozo g. 20, Vilniaus m., Vilniaus m. sav.</t>
  </si>
  <si>
    <t>2025-11-24 08:57:49</t>
  </si>
  <si>
    <t>2025-11-24 08:57:50</t>
  </si>
  <si>
    <t>Lukno g. 16, Vilniaus m., Vilniaus m. sav.</t>
  </si>
  <si>
    <t>2025-11-24 09:09:27</t>
  </si>
  <si>
    <t>2025-11-24 08:57:53</t>
  </si>
  <si>
    <t>2025-11-24 08:57:55</t>
  </si>
  <si>
    <t>2025-11-24 08:58:01</t>
  </si>
  <si>
    <t>2025-11-24 08:58:02</t>
  </si>
  <si>
    <t>Kuosų g. 12, Vilniaus m., Vilniaus m. sav.</t>
  </si>
  <si>
    <t>2025-11-24 08:58:07</t>
  </si>
  <si>
    <t>2025-11-24 08:58:09</t>
  </si>
  <si>
    <t>2025-11-24 08:58:11</t>
  </si>
  <si>
    <t>2025-11-24 08:58:12</t>
  </si>
  <si>
    <t>Visorių Sodų 2-oji g. 10, Vilniaus m., Vilniaus m. sav.</t>
  </si>
  <si>
    <t>2025-11-24 08:58:16</t>
  </si>
  <si>
    <t>2025-11-24 08:58:13</t>
  </si>
  <si>
    <t>2025-11-24 08:58:19</t>
  </si>
  <si>
    <t>2025-11-24 08:58:22</t>
  </si>
  <si>
    <t>Riovonių g.  2A, Vilniaus m., Vilniaus m. sav.</t>
  </si>
  <si>
    <t>2025-11-24 08:58:23</t>
  </si>
  <si>
    <t>2025-11-24 08:58:24</t>
  </si>
  <si>
    <t>2025-11-24 08:58:26</t>
  </si>
  <si>
    <t>2025-11-24 08:58:27</t>
  </si>
  <si>
    <t>Kelmijos Sodų 21-oji g. 2, Vilniaus m., Vilniaus m. sav.</t>
  </si>
  <si>
    <t>2025-11-24 08:58:32</t>
  </si>
  <si>
    <t>2025-11-24 08:58:33</t>
  </si>
  <si>
    <t>2025-11-24 08:58:34</t>
  </si>
  <si>
    <t xml:space="preserve"> Kulpio g. 1, Vilniaus m., Vilniaus m. sav.</t>
  </si>
  <si>
    <t>Kulpio g. 2-1, Vilniaus m., Vilniaus m. sav.</t>
  </si>
  <si>
    <t>2025-11-24 08:58:38</t>
  </si>
  <si>
    <t>Architektų g. 224, Vilniaus m., Vilniaus m. sav.</t>
  </si>
  <si>
    <t>2025-11-24 08:58:45</t>
  </si>
  <si>
    <t>2025-11-24 08:58:53</t>
  </si>
  <si>
    <t>Sakalaičių Sodų 1-oji g. 9, Vilniaus m., Vilniaus m. sav.</t>
  </si>
  <si>
    <t>2025-11-24 08:58:56</t>
  </si>
  <si>
    <t>Gabijos g. 43, Vilniaus m., Vilniaus m. sav.</t>
  </si>
  <si>
    <t>2025-11-24 08:58:57</t>
  </si>
  <si>
    <t>Vaidilutės g. 6A, Vilniaus m., Vilniaus m. sav.</t>
  </si>
  <si>
    <t>2025-11-24 09:01:19</t>
  </si>
  <si>
    <t>2025-11-24 08:58:58</t>
  </si>
  <si>
    <t>Kulpio g. 2-2, Vilniaus m., Vilniaus m. sav.</t>
  </si>
  <si>
    <t>2025-11-24 08:59:02</t>
  </si>
  <si>
    <t>Visorių Sodų 11-oji g. 7, Vilniaus m., Vilniaus m. sav.</t>
  </si>
  <si>
    <t>2025-11-24 08:59:07</t>
  </si>
  <si>
    <t>2025-11-24 08:59:20</t>
  </si>
  <si>
    <t>Kulpio g. 7, Vilniaus m., Vilniaus m. sav.</t>
  </si>
  <si>
    <t>2025-11-24 08:59:27</t>
  </si>
  <si>
    <t>Santariškių g. 1C, Vilniaus m., Vilniaus m. sav.</t>
  </si>
  <si>
    <t>2025-11-24 08:59:35</t>
  </si>
  <si>
    <t>Jūratės g. 3, Vilniaus m., Vilniaus m. sav.</t>
  </si>
  <si>
    <t>2025-11-24 08:59:36</t>
  </si>
  <si>
    <t>2025-11-24 09:02:33</t>
  </si>
  <si>
    <t>Kulpio g. 7A, Vilniaus m., Vilniaus m. sav.</t>
  </si>
  <si>
    <t>2025-11-24 08:59:45</t>
  </si>
  <si>
    <t>Iždo g. 21-1, Vilniaus m., Vilniaus m. sav.</t>
  </si>
  <si>
    <t>2025-11-24 09:53:35</t>
  </si>
  <si>
    <t>2025-11-24 08:59:47</t>
  </si>
  <si>
    <t>Iždo g. 16, Vilniaus m., Vilniaus m. sav.</t>
  </si>
  <si>
    <t>2025-11-24 08:59:49</t>
  </si>
  <si>
    <t>Iždo g. 14, Vilniaus m., Vilniaus m. sav.</t>
  </si>
  <si>
    <t>2025-11-24 09:53:37</t>
  </si>
  <si>
    <t>2025-11-24 08:59:52</t>
  </si>
  <si>
    <t>2025-11-24 08:59:57</t>
  </si>
  <si>
    <t>Kelmijos Sodų 21-oji g. 5, Vilniaus m., Vilniaus m. sav.</t>
  </si>
  <si>
    <t>2025-11-24 08:59:59</t>
  </si>
  <si>
    <t>Petro Baublio g. 2, Vilniaus m., Vilniaus m. sav.</t>
  </si>
  <si>
    <t>Iždo g. 12, Vilniaus m., Vilniaus m. sav.</t>
  </si>
  <si>
    <t>2025-11-24 09:00:02</t>
  </si>
  <si>
    <t>Sakalaičių Sodų 1-oji g. 7, Vilniaus m., Vilniaus m. sav.</t>
  </si>
  <si>
    <t>2025-11-24 09:02:26</t>
  </si>
  <si>
    <t>2025-11-24 09:00:14</t>
  </si>
  <si>
    <t>Kalvarijų g. 128, Vilniaus m., Vilniaus m. sav.</t>
  </si>
  <si>
    <t>Iždo g. 8, Vilniaus m., Vilniaus m. sav.</t>
  </si>
  <si>
    <t>2025-11-24 09:53:38</t>
  </si>
  <si>
    <t>Sakalaičių Sodų 1-oji g. 15, Vilniaus m., Vilniaus m. sav.</t>
  </si>
  <si>
    <t>Sakalaičių Sodų 1-oji g. 18, Vilniaus m., Vilniaus m. sav.</t>
  </si>
  <si>
    <t>Pakraščio g. 4, Vilniaus m., Vilniaus m. sav.</t>
  </si>
  <si>
    <t>2025-11-24 09:05:27</t>
  </si>
  <si>
    <t>2025-11-24 09:33:28</t>
  </si>
  <si>
    <t>L. Sapiegos g. 9, Vilniaus m., Vilniaus m. sav.</t>
  </si>
  <si>
    <t>Sakalaičių Sodų 1-oji g. 12, Vilniaus m., Vilniaus m. sav.</t>
  </si>
  <si>
    <t>2025-11-24 09:02:30</t>
  </si>
  <si>
    <t>Latvių g. 55A, Vilniaus m., Vilniaus m. sav.</t>
  </si>
  <si>
    <t>Noragiškių g. 7A, Vilniaus m., Vilniaus m. sav.</t>
  </si>
  <si>
    <t>Sakalaičių g. 5, Vilniaus m., Vilniaus m. sav.</t>
  </si>
  <si>
    <t>2025-11-24 09:00:49</t>
  </si>
  <si>
    <t>2025-11-24 09:46:28</t>
  </si>
  <si>
    <t>Kelmijos Sodų 21-oji g. 21, Vilniaus m., Vilniaus m. sav.</t>
  </si>
  <si>
    <t>Noragiškių g. 3, Vilniaus m., Vilniaus m. sav.</t>
  </si>
  <si>
    <t>M. Marcinkevičiaus g. 21, Vilniaus m., Vilniaus m. sav.</t>
  </si>
  <si>
    <t>2025-11-24 09:01:05</t>
  </si>
  <si>
    <t>Vaidilutės g. 9, Vilniaus m., Vilniaus m. sav.</t>
  </si>
  <si>
    <t>2025-11-24 09:13:31</t>
  </si>
  <si>
    <t>Sakalaičių g. 3, Vilniaus m., Vilniaus m. sav.</t>
  </si>
  <si>
    <t>2025-11-24 09:01:22</t>
  </si>
  <si>
    <t>Ateities g. 12A, Vilniaus m., Vilniaus m. sav.</t>
  </si>
  <si>
    <t>2025-11-24 09:01:27</t>
  </si>
  <si>
    <t>Mildos g. 10, Vilniaus m., Vilniaus m. sav.</t>
  </si>
  <si>
    <t>2025-11-24 09:12:25</t>
  </si>
  <si>
    <t>2025-11-24 09:01:31</t>
  </si>
  <si>
    <t>Iždo g. 10, Vilniaus m., Vilniaus m. sav.</t>
  </si>
  <si>
    <t>2025-11-24 09:01:32</t>
  </si>
  <si>
    <t>2025-11-24 09:01:34</t>
  </si>
  <si>
    <t>Kaimynų g. 157, Vilniaus m., Vilniaus m. sav.</t>
  </si>
  <si>
    <t>2025-11-24 09:01:35</t>
  </si>
  <si>
    <t>Kelmijos Sodų 21-oji g. 29, Vilniaus m., Vilniaus m. sav.</t>
  </si>
  <si>
    <t>2025-11-24 09:01:38</t>
  </si>
  <si>
    <t>Trakų g. 8, Vilniaus m., Vilniaus m. sav.</t>
  </si>
  <si>
    <t>2025-11-24 09:01:39</t>
  </si>
  <si>
    <t>Noragiškių g. 9, Vilniaus m., Vilniaus m. sav.</t>
  </si>
  <si>
    <t>Laisvės pr. 79, Vilniaus m., Vilniaus m. sav.</t>
  </si>
  <si>
    <t>2025-11-24 09:01:45</t>
  </si>
  <si>
    <t>2025-11-24 09:46:29</t>
  </si>
  <si>
    <t>Jaunimo skg. 3, Grigiškių m., Vilniaus m. sav.</t>
  </si>
  <si>
    <t>2025-11-24 09:01:49</t>
  </si>
  <si>
    <t>Noragiškių g. 7, Vilniaus m., Vilniaus m. sav.</t>
  </si>
  <si>
    <t>2025-11-24 09:01:52</t>
  </si>
  <si>
    <t>2025-11-24 09:01:56</t>
  </si>
  <si>
    <t>2025-11-24 09:01:57</t>
  </si>
  <si>
    <t>2025-11-24 09:01:58</t>
  </si>
  <si>
    <t>2025-11-24 09:02:05</t>
  </si>
  <si>
    <t>Valakų g. 15, Vilniaus m., Vilniaus m. sav.</t>
  </si>
  <si>
    <t>2025-11-24 09:02:37</t>
  </si>
  <si>
    <t>2025-11-24 09:02:08</t>
  </si>
  <si>
    <t>Šeškinės g. 51, Vilniaus m., Vilniaus m. sav.</t>
  </si>
  <si>
    <t>2025-11-24 09:02:09</t>
  </si>
  <si>
    <t>Valakų g. 13, Vilniaus m., Vilniaus m. sav.</t>
  </si>
  <si>
    <t>2025-11-24 09:02:10</t>
  </si>
  <si>
    <t>Gabijos g. 53, Vilniaus m., Vilniaus m. sav.</t>
  </si>
  <si>
    <t>2025-11-24 09:02:13</t>
  </si>
  <si>
    <t>Valakų g. 11, Vilniaus m., Vilniaus m. sav.</t>
  </si>
  <si>
    <t>Gabijos g. 51, Vilniaus m., Vilniaus m. sav.</t>
  </si>
  <si>
    <t>2025-11-24 09:02:14</t>
  </si>
  <si>
    <t>Erfurto g. 5, Vilniaus m., Vilniaus m. sav.</t>
  </si>
  <si>
    <t>2025-11-24 09:02:20</t>
  </si>
  <si>
    <t>Vokės Sodų g. 1, Grigiškių m., Vilniaus m. sav.</t>
  </si>
  <si>
    <t>Valakų g. 9, Vilniaus m., Vilniaus m. sav.</t>
  </si>
  <si>
    <t>2025-11-24 09:02:25</t>
  </si>
  <si>
    <t>Kelmijos Sodų 21-oji g. 20, Vilniaus m., Vilniaus m. sav.</t>
  </si>
  <si>
    <t>Vytauto Žalakevičiaus g. 17, Vilniaus m., Vilniaus m. sav.</t>
  </si>
  <si>
    <t>Linkmenų g. 28, Vilniaus m., Vilniaus m. sav.</t>
  </si>
  <si>
    <t>2025-11-24 09:02:46</t>
  </si>
  <si>
    <t>2025-11-24 09:02:49</t>
  </si>
  <si>
    <t>Noragiškių g. 1, Vilniaus m., Vilniaus m. sav.</t>
  </si>
  <si>
    <t>2025-11-24 09:02:55</t>
  </si>
  <si>
    <t>Kelmijos Sodų 21-oji g. 25, Vilniaus m., Vilniaus m. sav.</t>
  </si>
  <si>
    <t>2025-11-24 09:02:59</t>
  </si>
  <si>
    <t>Tyzenhauzų g. 16, Vilniaus m., Vilniaus m. sav.</t>
  </si>
  <si>
    <t>2025-11-24 09:03:02</t>
  </si>
  <si>
    <t>2025-11-24 09:03:07</t>
  </si>
  <si>
    <t>2025-11-24 09:03:10</t>
  </si>
  <si>
    <t>S. Stanevičiaus g. 46, Vilniaus m., Vilniaus m. sav.</t>
  </si>
  <si>
    <t>2025-11-24 09:03:11</t>
  </si>
  <si>
    <t>2025-11-24 09:03:15</t>
  </si>
  <si>
    <t>Bokšto g. 21, Vilniaus m., Vilniaus m. sav.</t>
  </si>
  <si>
    <t>Valakų g. 8, Vilniaus m., Vilniaus m. sav.</t>
  </si>
  <si>
    <t>2025-11-24 09:03:20</t>
  </si>
  <si>
    <t>2025-11-24 09:03:24</t>
  </si>
  <si>
    <t>2025-11-24 09:03:25</t>
  </si>
  <si>
    <t>Bokšto g. 20, Vilniaus m., Vilniaus m. sav.</t>
  </si>
  <si>
    <t>2025-11-24 09:03:29</t>
  </si>
  <si>
    <t>2025-11-24 09:03:30</t>
  </si>
  <si>
    <t>2025-11-24 09:13:29</t>
  </si>
  <si>
    <t>Latvių g. 55, Vilniaus m., Vilniaus m. sav.</t>
  </si>
  <si>
    <t>Rudens g. 7, Vilniaus m., Vilniaus m. sav.</t>
  </si>
  <si>
    <t>2025-11-24 09:03:33</t>
  </si>
  <si>
    <t>Valakų g. 6, Vilniaus m., Vilniaus m. sav.</t>
  </si>
  <si>
    <t>2025-11-24 09:03:36</t>
  </si>
  <si>
    <t>I. Kanto al. 13, Vilniaus m., Vilniaus m. sav.</t>
  </si>
  <si>
    <t>2025-11-24 09:03:39</t>
  </si>
  <si>
    <t>Petro Baublio g. 3B, Vilniaus m., Vilniaus m. sav.</t>
  </si>
  <si>
    <t>2025-11-24 09:03:41</t>
  </si>
  <si>
    <t>2025-11-24 09:03:54</t>
  </si>
  <si>
    <t>Rudens g. 9, Vilniaus m., Vilniaus m. sav.</t>
  </si>
  <si>
    <t>2025-11-24 09:03:58</t>
  </si>
  <si>
    <t>2025-11-24 09:03:59</t>
  </si>
  <si>
    <t>2025-11-24 09:04:05</t>
  </si>
  <si>
    <t>Kelmijos Sodų 21-oji g. 23, Vilniaus m., Vilniaus m. sav.</t>
  </si>
  <si>
    <t>2025-11-24 09:04:07</t>
  </si>
  <si>
    <t>Bokšto g. 16, Vilniaus m., Vilniaus m. sav.</t>
  </si>
  <si>
    <t>2025-11-24 09:04:09</t>
  </si>
  <si>
    <t>Valakų g. 4, Vilniaus m., Vilniaus m. sav.</t>
  </si>
  <si>
    <t>2025-11-24 09:04:10</t>
  </si>
  <si>
    <t>Trakų g. 12, Vilniaus m., Vilniaus m. sav.</t>
  </si>
  <si>
    <t>2025-11-24 09:04:11</t>
  </si>
  <si>
    <t>Valakų g. 6A, Vilniaus m., Vilniaus m. sav.</t>
  </si>
  <si>
    <t>2025-11-24 09:04:13</t>
  </si>
  <si>
    <t>2025-11-24 09:04:14</t>
  </si>
  <si>
    <t>2025-11-24 09:04:16</t>
  </si>
  <si>
    <t>Subačiaus g. 83, Vilniaus m., Vilniaus m. sav.</t>
  </si>
  <si>
    <t>2025-11-24 09:04:17</t>
  </si>
  <si>
    <t>Valakų g. 3, Vilniaus m., Vilniaus m. sav.</t>
  </si>
  <si>
    <t>2025-11-24 09:04:20</t>
  </si>
  <si>
    <t>Latvių g. 62, Vilniaus m., Vilniaus m. sav.</t>
  </si>
  <si>
    <t>2025-11-24 09:04:21</t>
  </si>
  <si>
    <t>2025-11-24 09:04:23</t>
  </si>
  <si>
    <t>Tyzenhauzų g. 17, Vilniaus m., Vilniaus m. sav.</t>
  </si>
  <si>
    <t>2025-11-24 09:04:24</t>
  </si>
  <si>
    <t>2025-11-24 09:04:25</t>
  </si>
  <si>
    <t>Valakų g. 2, Vilniaus m., Vilniaus m. sav.</t>
  </si>
  <si>
    <t>2025-11-24 09:04:27</t>
  </si>
  <si>
    <t>Kelmijos Sodų 21-oji g. 14, Vilniaus m., Vilniaus m. sav.</t>
  </si>
  <si>
    <t>2025-11-24 09:04:29</t>
  </si>
  <si>
    <t>Valakų g. 1, Vilniaus m., Vilniaus m. sav.</t>
  </si>
  <si>
    <t>2025-11-24 09:04:30</t>
  </si>
  <si>
    <t>2025-11-24 09:04:31</t>
  </si>
  <si>
    <t>Rudens g. 13, Vilniaus m., Vilniaus m. sav.</t>
  </si>
  <si>
    <t>2025-11-24 09:04:36</t>
  </si>
  <si>
    <t>2025-11-24 09:12:42</t>
  </si>
  <si>
    <t>2025-11-24 09:04:39</t>
  </si>
  <si>
    <t>Šeškinės g. 24, Vilniaus m., Vilniaus m. sav.</t>
  </si>
  <si>
    <t>2025-11-24 09:04:46</t>
  </si>
  <si>
    <t>Liepkalnio g. 24, Vilnius, Vilniaus r. sav.</t>
  </si>
  <si>
    <t>2025-11-24 09:04:50</t>
  </si>
  <si>
    <t>2025-11-24 09:04:51</t>
  </si>
  <si>
    <t>2025-11-24 09:04:55</t>
  </si>
  <si>
    <t>2025-11-24 09:04:57</t>
  </si>
  <si>
    <t>2025-11-24 09:05:03</t>
  </si>
  <si>
    <t>Noragiškių g. 16-3, Vilniaus m., Vilniaus m. sav.</t>
  </si>
  <si>
    <t>2025-11-24 09:53:45</t>
  </si>
  <si>
    <t>Noragiškių g. 16-5, Vilniaus m., Vilniaus m. sav.</t>
  </si>
  <si>
    <t>2025-11-24 09:05:06</t>
  </si>
  <si>
    <t>2025-11-24 09:05:08</t>
  </si>
  <si>
    <t>2025-11-24 09:05:11</t>
  </si>
  <si>
    <t>2025-11-24 09:05:12</t>
  </si>
  <si>
    <t>2025-11-24 09:05:19</t>
  </si>
  <si>
    <t>Ringės g. 3, Vilniaus m., Vilniaus m. sav.</t>
  </si>
  <si>
    <t>2025-11-24 09:05:22</t>
  </si>
  <si>
    <t>Rudens g. 15, Vilniaus m., Vilniaus m. sav.</t>
  </si>
  <si>
    <t>2025-11-24 09:05:30</t>
  </si>
  <si>
    <t>Fermentų g. 10, Vilniaus m., Vilniaus m. sav.</t>
  </si>
  <si>
    <t>2025-11-24 09:05:31</t>
  </si>
  <si>
    <t>Kelmijos Sodų 21-oji g. 13, Vilniaus m., Vilniaus m. sav.</t>
  </si>
  <si>
    <t>2025-11-24 09:05:37</t>
  </si>
  <si>
    <t>Ringės g. 4, Vilniaus m., Vilniaus m. sav.</t>
  </si>
  <si>
    <t>2025-11-24 09:05:41</t>
  </si>
  <si>
    <t>Kelmijos Sodų 21-oji g. 12A, Vilniaus m., Vilniaus m. sav.</t>
  </si>
  <si>
    <t>2025-11-24 09:05:51</t>
  </si>
  <si>
    <t>Tyzenhauzų g. 18A, Vilniaus m., Vilniaus m. sav.</t>
  </si>
  <si>
    <t>Kelmijos Sodų 21-oji g. 12, Vilniaus m., Vilniaus m. sav.</t>
  </si>
  <si>
    <t>2025-11-24 09:05:55</t>
  </si>
  <si>
    <t>Erfurto g. 6, Vilniaus m., Vilniaus m. sav.</t>
  </si>
  <si>
    <t>2025-11-24 09:05:56</t>
  </si>
  <si>
    <t>2025-11-24 09:05:59</t>
  </si>
  <si>
    <t>Ringės g. 6, Vilniaus m., Vilniaus m. sav.</t>
  </si>
  <si>
    <t>2025-11-24 09:06:01</t>
  </si>
  <si>
    <t>Vilniaus g. 51, Grigiškių m., Vilniaus m. sav.</t>
  </si>
  <si>
    <t>2025-11-24 09:06:06</t>
  </si>
  <si>
    <t>2025-11-24 09:06:08</t>
  </si>
  <si>
    <t>Rudens g. 17, Vilniaus m., Vilniaus m. sav.</t>
  </si>
  <si>
    <t>2025-11-24 09:06:09</t>
  </si>
  <si>
    <t>Ringės g. 5, Vilniaus m., Vilniaus m. sav.</t>
  </si>
  <si>
    <t>2025-11-24 09:06:11</t>
  </si>
  <si>
    <t>Noragiškių g. 21, Vilniaus m., Vilniaus m. sav.</t>
  </si>
  <si>
    <t>2025-11-24 09:06:13</t>
  </si>
  <si>
    <t>2025-11-24 09:12:47</t>
  </si>
  <si>
    <t>2025-11-24 09:06:16</t>
  </si>
  <si>
    <t>2025-11-24 09:06:17</t>
  </si>
  <si>
    <t>Kelmijos Sodų 21-oji g. 10, Vilniaus m., Vilniaus m. sav.</t>
  </si>
  <si>
    <t>Kelmijos Sodų 21-oji g. 8, Vilniaus m., Vilniaus m. sav.</t>
  </si>
  <si>
    <t>2025-11-24 09:06:19</t>
  </si>
  <si>
    <t>Laisvės pr. 43C, Vilniaus m., Vilniaus m. sav.</t>
  </si>
  <si>
    <t>2025-11-24 09:06:25</t>
  </si>
  <si>
    <t>Ringės g. 8, Vilniaus m., Vilniaus m. sav.</t>
  </si>
  <si>
    <t>2025-11-24 09:06:26</t>
  </si>
  <si>
    <t>Saulės g. 20-2, Vilniaus m., Vilniaus m. sav.</t>
  </si>
  <si>
    <t>2025-11-24 09:12:48</t>
  </si>
  <si>
    <t>2025-11-24 09:06:27</t>
  </si>
  <si>
    <t>Lizdeikos g. 37, Vilniaus m., Vilniaus m. sav.</t>
  </si>
  <si>
    <t>2025-11-24 09:06:28</t>
  </si>
  <si>
    <t>Rudens g. 10, Vilniaus m., Vilniaus m. sav.</t>
  </si>
  <si>
    <t>2025-11-24 09:06:30</t>
  </si>
  <si>
    <t>2025-11-24 09:06:31</t>
  </si>
  <si>
    <t>Ringės g. 7, Vilniaus m., Vilniaus m. sav.</t>
  </si>
  <si>
    <t>2025-11-24 09:06:32</t>
  </si>
  <si>
    <t>2025-11-24 09:12:51</t>
  </si>
  <si>
    <t>2025-11-24 09:06:33</t>
  </si>
  <si>
    <t>2025-11-24 09:06:34</t>
  </si>
  <si>
    <t>2025-11-24 09:06:35</t>
  </si>
  <si>
    <t>2025-11-24 09:06:37</t>
  </si>
  <si>
    <t>2025-11-24 09:06:38</t>
  </si>
  <si>
    <t>2025-11-24 09:33:29</t>
  </si>
  <si>
    <t>Vytauto Žalakevičiaus g. 6, Vilniaus m., Vilniaus m. sav.</t>
  </si>
  <si>
    <t>2025-11-24 09:06:41</t>
  </si>
  <si>
    <t>Ringės g. 10, Vilniaus m., Vilniaus m. sav.</t>
  </si>
  <si>
    <t>2025-11-24 09:06:43</t>
  </si>
  <si>
    <t>Kelmijos Sodų 41-oji g. 4, Vilniaus m., Vilniaus m. sav.</t>
  </si>
  <si>
    <t>2025-11-24 09:06:45</t>
  </si>
  <si>
    <t>2025-11-24 09:06:53</t>
  </si>
  <si>
    <t>2025-11-24 09:06:57</t>
  </si>
  <si>
    <t>2025-11-24 09:06:59</t>
  </si>
  <si>
    <t>Kelmijos Sodų 21-oji g. 6, Vilniaus m., Vilniaus m. sav.</t>
  </si>
  <si>
    <t>Ringės g. 11A, Vilniaus m., Vilniaus m. sav.</t>
  </si>
  <si>
    <t>2025-11-24 09:07:00</t>
  </si>
  <si>
    <t>M. Marcinkevičiaus g. 1, Vilniaus m., Vilniaus m. sav.</t>
  </si>
  <si>
    <t>2025-11-24 09:07:04</t>
  </si>
  <si>
    <t>Rudens g. 19, Vilniaus m., Vilniaus m. sav.</t>
  </si>
  <si>
    <t>2025-11-24 09:12:53</t>
  </si>
  <si>
    <t>2025-11-24 09:07:07</t>
  </si>
  <si>
    <t>2025-11-24 09:07:09</t>
  </si>
  <si>
    <t>Kelmijos Sodų 21-oji g. 7, Vilniaus m., Vilniaus m. sav.</t>
  </si>
  <si>
    <t>Ringės g. 12, Vilniaus m., Vilniaus m. sav.</t>
  </si>
  <si>
    <t>2025-11-24 09:07:10</t>
  </si>
  <si>
    <t>Šeškinės g. 29, Vilniaus m., Vilniaus m. sav.</t>
  </si>
  <si>
    <t>2025-11-24 09:07:13</t>
  </si>
  <si>
    <t>2025-11-24 09:13:48</t>
  </si>
  <si>
    <t>2025-11-24 09:07:17</t>
  </si>
  <si>
    <t>2025-11-24 09:07:20</t>
  </si>
  <si>
    <t>V. A. Graičiūno g. 8, Vilniaus m., Vilniaus m. sav.</t>
  </si>
  <si>
    <t>2025-11-24 09:07:23</t>
  </si>
  <si>
    <t>2025-11-24 09:07:31</t>
  </si>
  <si>
    <t>2025-11-24 09:07:36</t>
  </si>
  <si>
    <t>Petro Baublio g. 5, Vilniaus m., Vilniaus m. sav.</t>
  </si>
  <si>
    <t>2025-11-24 09:07:37</t>
  </si>
  <si>
    <t>2025-11-24 09:07:39</t>
  </si>
  <si>
    <t>Ringės g. 14, Vilniaus m., Vilniaus m. sav.</t>
  </si>
  <si>
    <t>2025-11-24 09:07:43</t>
  </si>
  <si>
    <t>2025-11-24 09:53:49</t>
  </si>
  <si>
    <t>2025-11-24 09:07:44</t>
  </si>
  <si>
    <t>Latvių g. 53, Vilniaus m., Vilniaus m. sav.</t>
  </si>
  <si>
    <t>2025-11-24 09:07:51</t>
  </si>
  <si>
    <t>2025-11-24 09:07:54</t>
  </si>
  <si>
    <t>2025-11-24 09:46:30</t>
  </si>
  <si>
    <t>Mokyklos g. 1A, Grigiškių m., Vilniaus m. sav.</t>
  </si>
  <si>
    <t>2025-11-24 09:07:57</t>
  </si>
  <si>
    <t>2025-11-24 09:07:58</t>
  </si>
  <si>
    <t>2025-11-24 09:08:01</t>
  </si>
  <si>
    <t>Rudens g. 19A, Vilniaus m., Vilniaus m. sav.</t>
  </si>
  <si>
    <t>2025-11-24 09:08:02</t>
  </si>
  <si>
    <t>2025-11-24 09:08:06</t>
  </si>
  <si>
    <t>2025-11-24 09:08:13</t>
  </si>
  <si>
    <t>Ringės g. 11, Vilniaus m., Vilniaus m. sav.</t>
  </si>
  <si>
    <t>2025-11-24 09:08:16</t>
  </si>
  <si>
    <t>Geležinio Vilko g. 55, Vilniaus m., Vilniaus m. sav.</t>
  </si>
  <si>
    <t>2025-11-24 09:08:17</t>
  </si>
  <si>
    <t>2025-11-24 10:12:53</t>
  </si>
  <si>
    <t>Kelmijos Sodų 21-oji g. 3, Vilniaus m., Vilniaus m. sav.</t>
  </si>
  <si>
    <t>2025-11-24 09:08:21</t>
  </si>
  <si>
    <t>2025-11-24 09:08:23</t>
  </si>
  <si>
    <t>Ringės g. 13, Vilniaus m., Vilniaus m. sav.</t>
  </si>
  <si>
    <t>2025-11-24 09:08:31</t>
  </si>
  <si>
    <t>2025-11-24 09:08:35</t>
  </si>
  <si>
    <t>2025-11-24 09:37:41</t>
  </si>
  <si>
    <t>Ringės g. 15, Vilniaus m., Vilniaus m. sav.</t>
  </si>
  <si>
    <t>2025-11-24 09:08:36</t>
  </si>
  <si>
    <t>2025-11-24 09:08:41</t>
  </si>
  <si>
    <t>2025-11-24 09:10:39</t>
  </si>
  <si>
    <t>Ringės g. 16, Vilniaus m., Vilniaus m. sav.</t>
  </si>
  <si>
    <t>2025-11-24 09:14:53</t>
  </si>
  <si>
    <t>2025-11-24 09:08:47</t>
  </si>
  <si>
    <t>Lakajų g. 8, Vilniaus m., Vilniaus m. sav.</t>
  </si>
  <si>
    <t>Žibuoklių g. 6, Vilniaus m., Vilniaus m. sav.</t>
  </si>
  <si>
    <t>2025-11-24 09:14:02</t>
  </si>
  <si>
    <t>2025-11-24 09:08:48</t>
  </si>
  <si>
    <t>2025-11-24 09:08:57</t>
  </si>
  <si>
    <t>2025-11-24 09:08:59</t>
  </si>
  <si>
    <t>Kelmijos Sodų 28-oji g. 2, Vilniaus m., Vilniaus m. sav.</t>
  </si>
  <si>
    <t>2025-11-24 09:09:13</t>
  </si>
  <si>
    <t>2025-11-24 09:09:19</t>
  </si>
  <si>
    <t>Sakalaičių g. 1A, Vilniaus m., Vilniaus m. sav.</t>
  </si>
  <si>
    <t>Rudens g. 25, Vilniaus m., Vilniaus m. sav.</t>
  </si>
  <si>
    <t>2025-11-24 09:09:33</t>
  </si>
  <si>
    <t>2025-11-24 09:12:59</t>
  </si>
  <si>
    <t>2025-11-24 09:09:36</t>
  </si>
  <si>
    <t>2025-11-24 09:09:41</t>
  </si>
  <si>
    <t>2025-11-24 09:09:44</t>
  </si>
  <si>
    <t>2025-11-24 09:09:47</t>
  </si>
  <si>
    <t>Kelmijos Sodų 28-oji g. 12, Vilniaus m., Vilniaus m. sav.</t>
  </si>
  <si>
    <t>2025-11-24 09:09:50</t>
  </si>
  <si>
    <t>2025-11-24 09:09:53</t>
  </si>
  <si>
    <t>Šeškinės g. 31, Vilniaus m., Vilniaus m. sav.</t>
  </si>
  <si>
    <t>2025-11-24 09:09:57</t>
  </si>
  <si>
    <t>2025-11-24 09:10:00</t>
  </si>
  <si>
    <t>Latvių g. 53A, Vilniaus m., Vilniaus m. sav.</t>
  </si>
  <si>
    <t>2025-11-24 09:10:06</t>
  </si>
  <si>
    <t>2025-11-24 09:13:22</t>
  </si>
  <si>
    <t>2025-11-24 09:10:09</t>
  </si>
  <si>
    <t>Jurgio Matulaičio a. 3, Vilniaus m., Vilniaus m. sav.</t>
  </si>
  <si>
    <t>2025-11-24 09:10:10</t>
  </si>
  <si>
    <t>2025-11-24 09:10:11</t>
  </si>
  <si>
    <t>Salininkų g. 101, Vilniaus m., Vilniaus m. sav.</t>
  </si>
  <si>
    <t>2025-11-24 09:10:14</t>
  </si>
  <si>
    <t>Rudens g. 27, Vilniaus m., Vilniaus m. sav.</t>
  </si>
  <si>
    <t>2025-11-24 09:13:00</t>
  </si>
  <si>
    <t>2025-11-24 09:10:17</t>
  </si>
  <si>
    <t>2025-11-24 09:36:13</t>
  </si>
  <si>
    <t>Tyzenhauzų g. 19A, Vilniaus m., Vilniaus m. sav.</t>
  </si>
  <si>
    <t>2025-11-24 09:14:19</t>
  </si>
  <si>
    <t>2025-11-24 09:10:21</t>
  </si>
  <si>
    <t>2025-11-24 09:10:25</t>
  </si>
  <si>
    <t>Vytauto Žalakevičiaus g. 15, Vilniaus m., Vilniaus m. sav.</t>
  </si>
  <si>
    <t>2025-11-24 09:10:27</t>
  </si>
  <si>
    <t>2025-11-24 09:54:25</t>
  </si>
  <si>
    <t>2025-11-24 09:10:29</t>
  </si>
  <si>
    <t>Visorių g. 16, Vilniaus m., Vilniaus m. sav.</t>
  </si>
  <si>
    <t>2025-11-24 09:10:34</t>
  </si>
  <si>
    <t>2025-11-24 09:10:36</t>
  </si>
  <si>
    <t>2025-11-24 09:10:37</t>
  </si>
  <si>
    <t>Skaisteros g. 2, Vilniaus m., Vilniaus m. sav.</t>
  </si>
  <si>
    <t>2025-11-24 09:10:43</t>
  </si>
  <si>
    <t>Skaisteros g. 1, Vilniaus m., Vilniaus m. sav.</t>
  </si>
  <si>
    <t>2025-11-24 09:10:47</t>
  </si>
  <si>
    <t>2025-11-24 09:10:49</t>
  </si>
  <si>
    <t>2025-11-24 09:11:06</t>
  </si>
  <si>
    <t>Visorių G. 54A, Vilniaus m., Vilniaus m. sav.</t>
  </si>
  <si>
    <t>2025-11-24 09:11:11</t>
  </si>
  <si>
    <t>2025-11-24 09:11:16</t>
  </si>
  <si>
    <t>2025-11-24 09:11:18</t>
  </si>
  <si>
    <t>Žaliųjų Ežerų g. 2, Vilniaus m., Vilniaus m. sav.</t>
  </si>
  <si>
    <t>2025-11-24 09:11:21</t>
  </si>
  <si>
    <t>Kelmijos Sodų 28-oji g. 4, Vilniaus m., Vilniaus m. sav.</t>
  </si>
  <si>
    <t>2025-11-24 09:11:22</t>
  </si>
  <si>
    <t>2025-11-24 09:11:26</t>
  </si>
  <si>
    <t>2025-11-24 09:11:27</t>
  </si>
  <si>
    <t>Perkūnkiemio g. 31, Vilniaus m., Vilniaus m. sav.</t>
  </si>
  <si>
    <t>2025-11-24 09:11:30</t>
  </si>
  <si>
    <t>2025-11-24 09:11:31</t>
  </si>
  <si>
    <t>2025-11-24 09:11:34</t>
  </si>
  <si>
    <t>Vilniaus g. 43, Grigiškių m., Vilniaus m. sav.</t>
  </si>
  <si>
    <t>2025-11-24 09:11:38</t>
  </si>
  <si>
    <t>Lizdeikos g. 10B, Vilniaus m., Vilniaus m. sav.</t>
  </si>
  <si>
    <t>2025-11-24 09:11:39</t>
  </si>
  <si>
    <t>Kelmijos Sodų 28-oji g. 8, Vilniaus m., Vilniaus m. sav.</t>
  </si>
  <si>
    <t>Skaisteros g. 5, Vilniaus m., Vilniaus m. sav.</t>
  </si>
  <si>
    <t>2025-11-24 09:11:42</t>
  </si>
  <si>
    <t>2025-11-24 09:11:56</t>
  </si>
  <si>
    <t>2025-11-24 09:11:45</t>
  </si>
  <si>
    <t>Skaisteros g. 5A, Vilniaus m., Vilniaus m. sav.</t>
  </si>
  <si>
    <t>2025-11-24 09:11:49</t>
  </si>
  <si>
    <t>2025-11-24 09:11:50</t>
  </si>
  <si>
    <t>2025-11-24 09:11:51</t>
  </si>
  <si>
    <t>2025-11-24 09:11:57</t>
  </si>
  <si>
    <t>Erfurto g. 35, Vilniaus m., Vilniaus m. sav.</t>
  </si>
  <si>
    <t>2025-11-24 09:11:59</t>
  </si>
  <si>
    <t>Paupio g. 3, Vilniaus m., Vilniaus m. sav.</t>
  </si>
  <si>
    <t>2025-11-24 09:12:01</t>
  </si>
  <si>
    <t>2025-11-24 09:12:03</t>
  </si>
  <si>
    <t>Skaisteros g. 11-1, Vilniaus m., Vilniaus m. sav.</t>
  </si>
  <si>
    <t>2025-11-24 09:15:03</t>
  </si>
  <si>
    <t>2025-11-24 09:12:05</t>
  </si>
  <si>
    <t>2025-11-24 09:12:07</t>
  </si>
  <si>
    <t>Skaisteros g. 9, Vilniaus m., Vilniaus m. sav.</t>
  </si>
  <si>
    <t>2025-11-24 09:15:04</t>
  </si>
  <si>
    <t>2025-11-24 09:12:09</t>
  </si>
  <si>
    <t>Skaisteros g. 6, Vilniaus m., Vilniaus m. sav.</t>
  </si>
  <si>
    <t>Skaisteros g. 11-2, Vilniaus m., Vilniaus m. sav.</t>
  </si>
  <si>
    <t>2025-11-24 09:12:21</t>
  </si>
  <si>
    <t>Skaisteros g. 8, Vilniaus m., Vilniaus m. sav.</t>
  </si>
  <si>
    <t>2025-11-24 09:12:31</t>
  </si>
  <si>
    <t>Visorių g. 14, Vilniaus m., Vilniaus m. sav.</t>
  </si>
  <si>
    <t>Skaisteros g. 12-1, Vilniaus m., Vilniaus m. sav.</t>
  </si>
  <si>
    <t>Skaisteros g. 10, Vilniaus m., Vilniaus m. sav.</t>
  </si>
  <si>
    <t>2025-11-24 09:15:10</t>
  </si>
  <si>
    <t>Užupio g. 9, Vilniaus m., Vilniaus m. sav.</t>
  </si>
  <si>
    <t>Skaisteros g. 12-2, Vilniaus m., Vilniaus m. sav.</t>
  </si>
  <si>
    <t>Ozo g. 14, Vilniaus m., Vilniaus m. sav.</t>
  </si>
  <si>
    <t>2025-11-24 09:13:04</t>
  </si>
  <si>
    <t>2025-11-24 09:13:07</t>
  </si>
  <si>
    <t>2025-11-24 09:13:17</t>
  </si>
  <si>
    <t>Kelmijos Sodų 20-oji g. 1, Vilniaus m., Vilniaus m. sav.</t>
  </si>
  <si>
    <t>Gedvydžių g. 10, Vilniaus m., Vilniaus m. sav.</t>
  </si>
  <si>
    <t>2025-11-24 09:13:23</t>
  </si>
  <si>
    <t>2025-11-24 09:13:27</t>
  </si>
  <si>
    <t>2025-11-24 09:13:43</t>
  </si>
  <si>
    <t>2025-11-24 09:13:45</t>
  </si>
  <si>
    <t>2025-11-24 09:13:47</t>
  </si>
  <si>
    <t>Baltkelio g. 30, Vilniaus m., Vilniaus m. sav.</t>
  </si>
  <si>
    <t>2025-11-24 09:13:53</t>
  </si>
  <si>
    <t>Užupio g. 12, Vilniaus m., Vilniaus m. sav.</t>
  </si>
  <si>
    <t>Skaisteros g. 18, Vilniaus m., Vilniaus m. sav.</t>
  </si>
  <si>
    <t>2025-11-24 09:13:56</t>
  </si>
  <si>
    <t>Laisvės pr. 123, Vilniaus m., Vilniaus m. sav.</t>
  </si>
  <si>
    <t>2025-11-24 09:13:59</t>
  </si>
  <si>
    <t>2025-11-24 09:14:03</t>
  </si>
  <si>
    <t>2025-11-24 09:14:04</t>
  </si>
  <si>
    <t>Visorių g. 48, Vilniaus m., Vilniaus m. sav.</t>
  </si>
  <si>
    <t>2025-11-24 09:14:05</t>
  </si>
  <si>
    <t>2025-11-24 09:14:07</t>
  </si>
  <si>
    <t>Lizdeikos g. 8, Vilniaus m., Vilniaus m. sav.</t>
  </si>
  <si>
    <t>2025-11-24 09:28:56</t>
  </si>
  <si>
    <t>2025-11-24 09:14:08</t>
  </si>
  <si>
    <t>2025-11-24 09:14:12</t>
  </si>
  <si>
    <t>2025-11-24 09:14:13</t>
  </si>
  <si>
    <t>Liepkalnio g. 17, Vilniaus m., Vilniaus m. sav.</t>
  </si>
  <si>
    <t>2025-11-24 09:14:14</t>
  </si>
  <si>
    <t>2025-11-24 09:14:15</t>
  </si>
  <si>
    <t>Skaisteros g. 18A, Vilniaus m., Vilniaus m. sav.</t>
  </si>
  <si>
    <t>Pakraščio g. 10, Vilniaus m., Vilniaus m. sav.</t>
  </si>
  <si>
    <t>2025-11-24 09:30:50</t>
  </si>
  <si>
    <t>Skaisteros g. 20, Vilniaus m., Vilniaus m. sav.</t>
  </si>
  <si>
    <t>2025-11-24 09:14:28</t>
  </si>
  <si>
    <t>2025-11-24 09:14:41</t>
  </si>
  <si>
    <t>2025-11-24 09:14:42</t>
  </si>
  <si>
    <t>Vytauto Žalakevičiaus g. 4, Vilniaus m., Vilniaus m. sav.</t>
  </si>
  <si>
    <t>2025-11-24 09:14:46</t>
  </si>
  <si>
    <t>Latvių g. 36A, Vilniaus m., Vilniaus m. sav.</t>
  </si>
  <si>
    <t>Šeškinės g. 45, Vilniaus m., Vilniaus m. sav.</t>
  </si>
  <si>
    <t>Liepkalnio g. 26A, Vilniaus m., Vilniaus m. sav.</t>
  </si>
  <si>
    <t>2025-11-24 09:15:05</t>
  </si>
  <si>
    <t>Lyglaukių g. 39, Vilniaus m., Vilniaus m. sav.</t>
  </si>
  <si>
    <t>2025-11-24 09:15:11</t>
  </si>
  <si>
    <t>Kelmijos Sodų 41-oji g. 48, Vilniaus m., Vilniaus m. sav.</t>
  </si>
  <si>
    <t>Gervėbalės g. 25, Vilniaus m., Vilniaus m. sav.</t>
  </si>
  <si>
    <t>2025-11-24 09:30:51</t>
  </si>
  <si>
    <t>Perkūnkiemio g. 49, Vilniaus m., Vilniaus m. sav.</t>
  </si>
  <si>
    <t>2025-11-24 09:15:20</t>
  </si>
  <si>
    <t>2025-11-24 09:15:22</t>
  </si>
  <si>
    <t>Kelmijos Sodų 20-oji g. 28, Vilniaus m., Vilniaus m. sav.</t>
  </si>
  <si>
    <t>2025-11-24 09:15:28</t>
  </si>
  <si>
    <t>Kelmijos Sodų 20-oji g. 23, Vilniaus m., Vilniaus m. sav.</t>
  </si>
  <si>
    <t>2025-11-24 09:15:29</t>
  </si>
  <si>
    <t>2025-11-24 09:15:42</t>
  </si>
  <si>
    <t>Vilniaus g. 65, Grigiškės, Vilniaus m. sav.</t>
  </si>
  <si>
    <t>2025-11-24 09:15:43</t>
  </si>
  <si>
    <t>Gervėbalės g. 20-2, Vilniaus m., Vilniaus m. sav.</t>
  </si>
  <si>
    <t>2025-11-24 09:15:45</t>
  </si>
  <si>
    <t>Jogailos g. 12, Vilniaus m., Vilniaus m. sav.</t>
  </si>
  <si>
    <t>2025-11-24 09:15:46</t>
  </si>
  <si>
    <t>Kelmijos Sodų 20-oji g. 26, Vilniaus m., Vilniaus m. sav.</t>
  </si>
  <si>
    <t>2025-11-24 09:15:48</t>
  </si>
  <si>
    <t>2025-11-24 09:15:49</t>
  </si>
  <si>
    <t>Gervėbalės g. 22, Vilniaus m., Vilniaus m. sav.</t>
  </si>
  <si>
    <t>2025-11-24 09:15:51</t>
  </si>
  <si>
    <t>Gervėbalės g. 23, Vilniaus m., Vilniaus m. sav.</t>
  </si>
  <si>
    <t>2025-11-24 09:15:54</t>
  </si>
  <si>
    <t>Kelmijos Sodų 20-oji g. 17, Vilniaus m., Vilniaus m. sav.</t>
  </si>
  <si>
    <t>2025-11-24 09:15:57</t>
  </si>
  <si>
    <t>Vaduvos g.  4A, Vilniaus m., Vilniaus m. sav.</t>
  </si>
  <si>
    <t>2025-11-24 09:15:59</t>
  </si>
  <si>
    <t>2025-11-24 09:16:00</t>
  </si>
  <si>
    <t>Kelmijos Sodų 20-oji g. 24, Vilniaus m., Vilniaus m. sav.</t>
  </si>
  <si>
    <t>2025-11-24 09:16:02</t>
  </si>
  <si>
    <t>2025-11-24 09:33:00</t>
  </si>
  <si>
    <t>2025-11-24 09:16:04</t>
  </si>
  <si>
    <t>2025-11-24 09:16:09</t>
  </si>
  <si>
    <t>2025-11-24 09:16:10</t>
  </si>
  <si>
    <t>2025-11-24 09:16:11</t>
  </si>
  <si>
    <t>2025-11-24 09:16:12</t>
  </si>
  <si>
    <t>2025-11-24 09:27:41</t>
  </si>
  <si>
    <t>2025-11-24 09:16:17</t>
  </si>
  <si>
    <t>2025-11-24 09:45:09</t>
  </si>
  <si>
    <t>Lyglaukių g. 35, Vilniaus m., Vilniaus m. sav.</t>
  </si>
  <si>
    <t>2025-11-24 09:16:20</t>
  </si>
  <si>
    <t>Gedvydžių g. 17, Vilniaus m., Vilniaus m. sav.</t>
  </si>
  <si>
    <t>2025-11-24 09:16:23</t>
  </si>
  <si>
    <t>Gervėbalės g. 21, Vilniaus m., Vilniaus m. sav.</t>
  </si>
  <si>
    <t>2025-11-24 09:16:24</t>
  </si>
  <si>
    <t>Kelmijos Sodų 20-oji g. 13, Vilniaus m., Vilniaus m. sav.</t>
  </si>
  <si>
    <t>Kelmijos Sodų 20-oji g. 15, Vilniaus m., Vilniaus m. sav.</t>
  </si>
  <si>
    <t>2025-11-24 09:16:26</t>
  </si>
  <si>
    <t>2025-11-24 09:16:27</t>
  </si>
  <si>
    <t>Lyglaukių g. 35-1, Vilniaus m., Vilniaus m. sav.</t>
  </si>
  <si>
    <t>2025-11-24 09:16:29</t>
  </si>
  <si>
    <t>2025-11-24 09:16:40</t>
  </si>
  <si>
    <t>Šeškinės g. 55, Vilniaus m., Vilniaus m. sav.</t>
  </si>
  <si>
    <t>2025-11-24 09:27:37</t>
  </si>
  <si>
    <t>Zigmantiškių g. 2, Vilniaus m., Vilniaus m. sav.</t>
  </si>
  <si>
    <t>2025-11-24 09:16:43</t>
  </si>
  <si>
    <t>2025-11-24 09:16:45</t>
  </si>
  <si>
    <t>Lizdeikos g. , Vilniaus m., Vilniaus m. sav.</t>
  </si>
  <si>
    <t>2025-11-24 09:16:46</t>
  </si>
  <si>
    <t>A. Staškevičiūtės g. 1, Vilniaus m., Vilniaus m. sav.</t>
  </si>
  <si>
    <t>2025-11-24 09:16:50</t>
  </si>
  <si>
    <t>Granito g. 3, Vilniaus m., Vilniaus m. sav.</t>
  </si>
  <si>
    <t>2025-11-24 09:16:52</t>
  </si>
  <si>
    <t>2025-11-24 09:16:55</t>
  </si>
  <si>
    <t>2025-11-24 09:17:03</t>
  </si>
  <si>
    <t>Lyglaukių g. 20, Vilniaus m., Vilniaus m. sav.</t>
  </si>
  <si>
    <t>Gervėbalės g. 16, Vilniaus m., Vilniaus m. sav.</t>
  </si>
  <si>
    <t>2025-11-24 09:17:04</t>
  </si>
  <si>
    <t>Kelmijos Sodų 20-oji g. 10, Vilniaus m., Vilniaus m. sav.</t>
  </si>
  <si>
    <t>2025-11-24 09:17:08</t>
  </si>
  <si>
    <t>2025-11-24 09:17:09</t>
  </si>
  <si>
    <t>Gervėbalės g. 17, Vilniaus m., Vilniaus m. sav.</t>
  </si>
  <si>
    <t>2025-11-24 09:17:10</t>
  </si>
  <si>
    <t>2025-11-24 09:17:14</t>
  </si>
  <si>
    <t>2025-11-24 09:17:15</t>
  </si>
  <si>
    <t>Gervėbalės g. 19, Vilniaus m., Vilniaus m. sav.</t>
  </si>
  <si>
    <t>2025-11-24 09:17:19</t>
  </si>
  <si>
    <t>Gervėbalės g. 18, Vilniaus m., Vilniaus m. sav.</t>
  </si>
  <si>
    <t>2025-11-24 09:17:20</t>
  </si>
  <si>
    <t>2025-11-24 09:17:21</t>
  </si>
  <si>
    <t>2025-11-24 09:17:29</t>
  </si>
  <si>
    <t>2025-11-24 09:28:07</t>
  </si>
  <si>
    <t>2025-11-24 09:17:39</t>
  </si>
  <si>
    <t>Krivių g. 2, Vilniaus m., Vilniaus m. sav.</t>
  </si>
  <si>
    <t>Pavilnionių g. 45, Vilniaus m., Vilniaus m. sav.</t>
  </si>
  <si>
    <t>2025-11-24 09:27:48</t>
  </si>
  <si>
    <t>2025-11-24 09:17:43</t>
  </si>
  <si>
    <t>Gervėbalės g. 13, Vilniaus m., Vilniaus m. sav.</t>
  </si>
  <si>
    <t>2025-11-24 09:17:45</t>
  </si>
  <si>
    <t>2025-11-24 09:17:49</t>
  </si>
  <si>
    <t>Gervėbalės g. 14, Vilniaus m., Vilniaus m. sav.</t>
  </si>
  <si>
    <t>2025-11-24 09:17:52</t>
  </si>
  <si>
    <t>2025-11-24 09:17:53</t>
  </si>
  <si>
    <t>Gervėbalės g. 15, Vilniaus m., Vilniaus m. sav.</t>
  </si>
  <si>
    <t>2025-11-24 09:17:54</t>
  </si>
  <si>
    <t>Pakraščio g. 15, Vilniaus m., Vilniaus m. sav.</t>
  </si>
  <si>
    <t>2025-11-24 09:18:01</t>
  </si>
  <si>
    <t>Gervėbalės g. 12, Vilniaus m., Vilniaus m. sav.</t>
  </si>
  <si>
    <t>2025-11-24 09:22:22</t>
  </si>
  <si>
    <t>2025-11-24 09:18:04</t>
  </si>
  <si>
    <t>2025-11-24 09:31:40</t>
  </si>
  <si>
    <t>Kelmijos Sodų 20-oji g. 9, Vilniaus m., Vilniaus m. sav.</t>
  </si>
  <si>
    <t>Lyglaukių g. 33, Vilniaus m., Vilniaus m. sav.</t>
  </si>
  <si>
    <t>2025-11-24 09:18:09</t>
  </si>
  <si>
    <t>2025-11-24 09:18:11</t>
  </si>
  <si>
    <t>2025-11-24 09:18:12</t>
  </si>
  <si>
    <t>Gedvydžių g. 21, Vilniaus m., Vilniaus m. sav.</t>
  </si>
  <si>
    <t>Kirtimų g. 47D, Vilniaus m., Vilniaus m. sav.</t>
  </si>
  <si>
    <t>2025-11-24 09:18:23</t>
  </si>
  <si>
    <t>2025-11-24 09:52:45</t>
  </si>
  <si>
    <t>Jogailos g. 8, Vilniaus m., Vilniaus m. sav.</t>
  </si>
  <si>
    <t>2025-11-24 09:18:30</t>
  </si>
  <si>
    <t>Kelmijos Sodų 20-oji g. 7, Vilniaus m., Vilniaus m. sav.</t>
  </si>
  <si>
    <t>2025-11-24 09:18:34</t>
  </si>
  <si>
    <t>2025-11-24 09:18:40</t>
  </si>
  <si>
    <t>2025-11-24 09:18:43</t>
  </si>
  <si>
    <t>2025-11-24 09:18:44</t>
  </si>
  <si>
    <t>Prano Vaičaičio g. 33-1, Vilniaus m., Vilniaus m. sav.</t>
  </si>
  <si>
    <t>Prano Vaičaičio g. 33-4, Vilniaus m., Vilniaus m. sav.</t>
  </si>
  <si>
    <t>2025-11-24 09:18:47</t>
  </si>
  <si>
    <t>Lyglaukių g. 31, Vilniaus m., Vilniaus m. sav.</t>
  </si>
  <si>
    <t>2025-11-24 09:28:10</t>
  </si>
  <si>
    <t>2025-11-24 09:19:00</t>
  </si>
  <si>
    <t>Kelmijos Sodų 20-oji g. 5, Vilniaus m., Vilniaus m. sav.</t>
  </si>
  <si>
    <t>2025-11-24 09:19:05</t>
  </si>
  <si>
    <t>Filaretų g. 6, Vilniaus m., Vilniaus m. sav.</t>
  </si>
  <si>
    <t>2025-11-24 09:19:06</t>
  </si>
  <si>
    <t>Visorių g. 18, Vilniaus m., Vilniaus m. sav.</t>
  </si>
  <si>
    <t>Kelmijos Sodų 20-oji g. 22, Vilniaus m., Vilniaus m. sav.</t>
  </si>
  <si>
    <t>2025-11-24 09:19:09</t>
  </si>
  <si>
    <t>2025-11-24 09:19:10</t>
  </si>
  <si>
    <t>Kelmijos Sodų 20-oji g. 2, Vilniaus m., Vilniaus m. sav.</t>
  </si>
  <si>
    <t>2025-11-24 09:19:13</t>
  </si>
  <si>
    <t>Gervėbalės g. 5, Vilniaus m., Vilniaus m. sav.</t>
  </si>
  <si>
    <t>2025-11-24 09:19:14</t>
  </si>
  <si>
    <t>2025-11-24 09:19:17</t>
  </si>
  <si>
    <t>2025-11-24 09:19:18</t>
  </si>
  <si>
    <t>Gervėbalės g. 7A, Vilniaus m., Vilniaus m. sav.</t>
  </si>
  <si>
    <t>2025-11-24 09:19:20</t>
  </si>
  <si>
    <t>2025-11-24 09:19:21</t>
  </si>
  <si>
    <t>S. Moniuškos g. 25, Vilniaus m., Vilniaus m. sav.</t>
  </si>
  <si>
    <t>2025-11-24 09:19:22</t>
  </si>
  <si>
    <t>Gervėbalės g. 7, Vilniaus m., Vilniaus m. sav.</t>
  </si>
  <si>
    <t>2025-11-24 09:19:27</t>
  </si>
  <si>
    <t>2025-11-24 09:19:34</t>
  </si>
  <si>
    <t>Antakalnio g. 134A, Vilniaus m., Vilniaus m. sav.</t>
  </si>
  <si>
    <t>Gervėbalės g. 3, Vilniaus m., Vilniaus m. sav.</t>
  </si>
  <si>
    <t>2025-11-24 09:19:35</t>
  </si>
  <si>
    <t>2025-11-24 09:19:40</t>
  </si>
  <si>
    <t>Kelmijos Sodų 33-ioji g. 18, Vilniaus m., Vilniaus m. sav.</t>
  </si>
  <si>
    <t>2025-11-24 09:19:50</t>
  </si>
  <si>
    <t>Gervėbalės g. 6, Vilniaus m., Vilniaus m. sav.</t>
  </si>
  <si>
    <t>2025-11-24 09:19:54</t>
  </si>
  <si>
    <t>Prano Vaičaičio g. 45, Vilniaus m., Vilniaus m. sav.</t>
  </si>
  <si>
    <t>2025-11-24 09:20:00</t>
  </si>
  <si>
    <t>Gervėbalės g. 4, Vilniaus m., Vilniaus m. sav.</t>
  </si>
  <si>
    <t>2025-11-24 09:20:02</t>
  </si>
  <si>
    <t>Lyglaukių g. 25, Vilniaus m., Vilniaus m. sav.</t>
  </si>
  <si>
    <t>2025-11-24 09:28:11</t>
  </si>
  <si>
    <t>2025-11-24 09:20:07</t>
  </si>
  <si>
    <t>2025-11-24 09:20:12</t>
  </si>
  <si>
    <t>Prano Vaičaičio g. 45-2, Vilniaus m., Vilniaus m. sav.</t>
  </si>
  <si>
    <t>2025-11-24 09:20:14</t>
  </si>
  <si>
    <t>Gervėbalės g. 1, Vilniaus m., Vilniaus m. sav.</t>
  </si>
  <si>
    <t>2025-11-24 09:20:16</t>
  </si>
  <si>
    <t>Kelmijos Sodų 19-oji g. 4, Vilniaus m., Vilniaus m. sav.</t>
  </si>
  <si>
    <t>2025-11-24 09:20:20</t>
  </si>
  <si>
    <t>Kelmijos Sodų 19-oji g. 9, Vilniaus m., Vilniaus m. sav.</t>
  </si>
  <si>
    <t>2025-11-24 09:20:30</t>
  </si>
  <si>
    <t>Sakalaičių g. 1, Vilniaus m., Vilniaus m. sav.</t>
  </si>
  <si>
    <t>2025-11-24 09:22:35</t>
  </si>
  <si>
    <t>2025-11-24 09:20:31</t>
  </si>
  <si>
    <t>2025-11-24 09:20:32</t>
  </si>
  <si>
    <t>2025-11-24 10:03:49</t>
  </si>
  <si>
    <t>Bitininkų g. 6A, Vilniaus m., Vilniaus m. sav.</t>
  </si>
  <si>
    <t>2025-11-24 09:20:34</t>
  </si>
  <si>
    <t>Sakalaičių Sodų 3-ioji g. 2, Vilniaus m., Vilniaus m. sav.</t>
  </si>
  <si>
    <t>2025-11-24 09:20:38</t>
  </si>
  <si>
    <t>Jogailos g. 6, Vilniaus m., Vilniaus m. sav.</t>
  </si>
  <si>
    <t>Sakalaičių Sodų 4-oji g. 1, Vilniaus m., Vilniaus m. sav.</t>
  </si>
  <si>
    <t>2025-11-24 09:20:41</t>
  </si>
  <si>
    <t>Verkių g. 28, Vilniaus m., Vilniaus m. sav.</t>
  </si>
  <si>
    <t>2025-11-24 09:20:42</t>
  </si>
  <si>
    <t>2025-11-24 09:20:43</t>
  </si>
  <si>
    <t>Kaukysos g. 5, Vilniaus m., Vilniaus m. sav.</t>
  </si>
  <si>
    <t>2025-11-24 09:21:00</t>
  </si>
  <si>
    <t>Prano Vaičaičio g. 41, Vilniaus m., Vilniaus m. sav.</t>
  </si>
  <si>
    <t>2025-11-24 09:21:01</t>
  </si>
  <si>
    <t>Kelmijos Sodų 41-oji g. 20, Vilniaus m., Vilniaus m. sav.</t>
  </si>
  <si>
    <t>2025-11-24 09:21:03</t>
  </si>
  <si>
    <t>2025-11-24 09:21:07</t>
  </si>
  <si>
    <t>2025-11-24 09:21:09</t>
  </si>
  <si>
    <t>2025-11-24 09:21:12</t>
  </si>
  <si>
    <t>Kelmijos Sodų 19-oji g. 12, Vilniaus m., Vilniaus m. sav.</t>
  </si>
  <si>
    <t>2025-11-24 09:21:16</t>
  </si>
  <si>
    <t>Kelmijos Sodų 19-oji g. 16, Vilniaus m., Vilniaus m. sav.</t>
  </si>
  <si>
    <t>2025-11-24 09:21:18</t>
  </si>
  <si>
    <t>Molynės g. 24, Vilniaus m., Vilniaus m. sav.</t>
  </si>
  <si>
    <t>2025-11-24 09:21:19</t>
  </si>
  <si>
    <t>2025-11-24 09:21:22</t>
  </si>
  <si>
    <t>Vytauto Žalakevičiaus g. 29, Vilniaus m., Vilniaus m. sav.</t>
  </si>
  <si>
    <t>2025-11-24 09:21:24</t>
  </si>
  <si>
    <t>2025-11-24 09:21:25</t>
  </si>
  <si>
    <t>2025-11-24 09:21:28</t>
  </si>
  <si>
    <t>2025-11-24 10:02:40</t>
  </si>
  <si>
    <t>Jogailos g. 9, Vilniaus m., Vilniaus m. sav.</t>
  </si>
  <si>
    <t>2025-11-24 09:21:30</t>
  </si>
  <si>
    <t>M. Mironaitės g. 16, Vilniaus m., Vilniaus m. sav.</t>
  </si>
  <si>
    <t>2025-11-24 09:21:36</t>
  </si>
  <si>
    <t>2025-11-24 09:31:07</t>
  </si>
  <si>
    <t>2025-11-24 09:21:39</t>
  </si>
  <si>
    <t>2025-11-24 09:21:44</t>
  </si>
  <si>
    <t>Molynės g. 22, Vilniaus m., Vilniaus m. sav.</t>
  </si>
  <si>
    <t>Sparno g. 15, Vilniaus m., Vilniaus m. sav.</t>
  </si>
  <si>
    <t>Kirtimų g. 49B, Vilniaus m., Vilniaus m. sav.</t>
  </si>
  <si>
    <t>Sparno g. 17, Vilniaus m., Vilniaus m. sav.</t>
  </si>
  <si>
    <t>2025-11-24 09:29:49</t>
  </si>
  <si>
    <t>Molynės g. 19, Vilniaus m., Vilniaus m. sav.</t>
  </si>
  <si>
    <t>Ozo g. 4A, Vilniaus m., Vilniaus m. sav.</t>
  </si>
  <si>
    <t>Molynės g. 17, Vilniaus m., Vilniaus m. sav.</t>
  </si>
  <si>
    <t>2025-11-24 09:29:57</t>
  </si>
  <si>
    <t>Justiniškių g. 65, Vilniaus m., Vilniaus m. sav.</t>
  </si>
  <si>
    <t>2025-11-24 09:27:49</t>
  </si>
  <si>
    <t>Molynės g. 20, Vilniaus m., Vilniaus m. sav.</t>
  </si>
  <si>
    <t>Kelmijos Sodų 19-oji g. 18, Vilniaus m., Vilniaus m. sav.</t>
  </si>
  <si>
    <t>Molynės g. 18, Vilniaus m., Vilniaus m. sav.</t>
  </si>
  <si>
    <t>Kelmijos Sodų 19-oji g. 13, Vilniaus m., Vilniaus m. sav.</t>
  </si>
  <si>
    <t>Maumedžių g. 8, Vilniaus m., Vilniaus m. sav.</t>
  </si>
  <si>
    <t>Kelmijos Sodų 19-oji g. 15, Vilniaus m., Vilniaus m. sav.</t>
  </si>
  <si>
    <t>Lyglaukių g. 19, Vilniaus m., Vilniaus m. sav.</t>
  </si>
  <si>
    <t>Lyglaukių g. 19-1, Vilniaus m., Vilniaus m. sav.</t>
  </si>
  <si>
    <t>Molynės g. 16, Vilniaus m., Vilniaus m. sav.</t>
  </si>
  <si>
    <t>2025-11-24 09:22:46</t>
  </si>
  <si>
    <t>Kelmijos Sodų 19-oji g. 1, Vilniaus m., Vilniaus m. sav.</t>
  </si>
  <si>
    <t>2025-11-24 09:33:08</t>
  </si>
  <si>
    <t>2025-11-24 09:22:53</t>
  </si>
  <si>
    <t>Nemenčinės pl. 1, Vilniaus m., Vilniaus m. sav.</t>
  </si>
  <si>
    <t>2025-11-24 09:22:56</t>
  </si>
  <si>
    <t>2025-11-24 09:22:59</t>
  </si>
  <si>
    <t>Sparno g. 11, Vilniaus m., Vilniaus m. sav.</t>
  </si>
  <si>
    <t>2025-11-24 09:23:05</t>
  </si>
  <si>
    <t>2025-11-24 09:23:08</t>
  </si>
  <si>
    <t>Molynės g. 14, Vilniaus m., Vilniaus m. sav.</t>
  </si>
  <si>
    <t>2025-11-24 09:23:13</t>
  </si>
  <si>
    <t>Mokslininkų g. 6, Vilniaus m., Vilniaus m. sav.</t>
  </si>
  <si>
    <t>2025-11-24 09:23:14</t>
  </si>
  <si>
    <t>Jogailos g. 4, Vilniaus m., Vilniaus m. sav.</t>
  </si>
  <si>
    <t>2025-11-24 09:23:16</t>
  </si>
  <si>
    <t>Prano Vaičaičio g. 39, Vilniaus m., Vilniaus m. sav.</t>
  </si>
  <si>
    <t>2025-11-24 09:43:03</t>
  </si>
  <si>
    <t>Pušų g. 43, Vilniaus m., Vilniaus m. sav.</t>
  </si>
  <si>
    <t>Molynės g. 12, Vilniaus m., Vilniaus m. sav.</t>
  </si>
  <si>
    <t>2025-11-24 09:23:22</t>
  </si>
  <si>
    <t>Kelmijos Sodų 19-oji g. 23, Vilniaus m., Vilniaus m. sav.</t>
  </si>
  <si>
    <t>2025-11-24 09:23:25</t>
  </si>
  <si>
    <t>Lyglaukių g. 12, Vilniaus m., Vilniaus m. sav.</t>
  </si>
  <si>
    <t>2025-11-24 09:28:16</t>
  </si>
  <si>
    <t>2025-11-24 09:23:28</t>
  </si>
  <si>
    <t>Molynės g. 10, Vilniaus m., Vilniaus m. sav.</t>
  </si>
  <si>
    <t>2025-11-24 09:23:32</t>
  </si>
  <si>
    <t>Lyglaukių g. 17, Vilniaus m., Vilniaus m. sav.</t>
  </si>
  <si>
    <t>2025-11-24 09:28:17</t>
  </si>
  <si>
    <t>2025-11-24 09:23:33</t>
  </si>
  <si>
    <t>Ukmergės g. 234, Vilniaus m., Vilniaus m. sav.</t>
  </si>
  <si>
    <t>2025-11-24 09:23:37</t>
  </si>
  <si>
    <t>2025-11-24 09:29:02</t>
  </si>
  <si>
    <t>2025-11-24 09:23:38</t>
  </si>
  <si>
    <t>Kelmijos Sodų 19-oji g. 25, Vilniaus m., Vilniaus m. sav.</t>
  </si>
  <si>
    <t>Molynės g. 8, Vilniaus m., Vilniaus m. sav.</t>
  </si>
  <si>
    <t>2025-11-24 09:23:45</t>
  </si>
  <si>
    <t>2025-11-24 10:02:25</t>
  </si>
  <si>
    <t>2025-11-24 09:23:47</t>
  </si>
  <si>
    <t>2025-11-24 09:23:48</t>
  </si>
  <si>
    <t>V. Mykolaičio-Putino g. 10, Vilniaus m., Vilniaus m. sav.</t>
  </si>
  <si>
    <t>2025-11-24 09:23:53</t>
  </si>
  <si>
    <t>2025-11-24 09:23:54</t>
  </si>
  <si>
    <t>Molynės g. 6, Vilniaus m., Vilniaus m. sav.</t>
  </si>
  <si>
    <t>2025-11-24 09:23:57</t>
  </si>
  <si>
    <t>2025-11-24 09:24:02</t>
  </si>
  <si>
    <t>Maumedžių g. 7, Vilniaus m., Vilniaus m. sav.</t>
  </si>
  <si>
    <t>2025-11-24 09:24:03</t>
  </si>
  <si>
    <t>Pušų g. 50, Vilniaus m., Vilniaus m. sav.</t>
  </si>
  <si>
    <t>2025-11-24 09:24:06</t>
  </si>
  <si>
    <t>2025-11-24 09:24:12</t>
  </si>
  <si>
    <t>Filaretų g. 25, Vilniaus m., Vilniaus m. sav.</t>
  </si>
  <si>
    <t>2025-11-24 09:24:18</t>
  </si>
  <si>
    <t>Kelmijos Sodų 19-oji g. 40, Vilniaus m., Vilniaus m. sav.</t>
  </si>
  <si>
    <t>2025-11-24 09:24:26</t>
  </si>
  <si>
    <t>2025-11-24 09:24:28</t>
  </si>
  <si>
    <t>2025-11-24 09:24:30</t>
  </si>
  <si>
    <t>Molynės g. 4, Vilniaus m., Vilniaus m. sav.</t>
  </si>
  <si>
    <t>2025-11-24 09:24:36</t>
  </si>
  <si>
    <t>2025-11-24 09:24:38</t>
  </si>
  <si>
    <t>Ringės g. 1, Vilniaus m., Vilniaus m. sav.</t>
  </si>
  <si>
    <t>2025-11-24 09:24:45</t>
  </si>
  <si>
    <t>2025-11-24 09:24:47</t>
  </si>
  <si>
    <t>2025-11-24 09:24:48</t>
  </si>
  <si>
    <t>Lyglaukių g. 10B, Vilniaus m., Vilniaus m. sav.</t>
  </si>
  <si>
    <t>2025-11-24 09:29:04</t>
  </si>
  <si>
    <t>2025-11-24 09:24:52</t>
  </si>
  <si>
    <t>2025-11-24 09:24:53</t>
  </si>
  <si>
    <t>Pušų g. 48, Vilniaus m., Vilniaus m. sav.</t>
  </si>
  <si>
    <t>2025-11-24 09:24:58</t>
  </si>
  <si>
    <t>Viršuliškių g. 49, Vilniaus m., Vilniaus m. sav.</t>
  </si>
  <si>
    <t>2025-11-24 09:25:04</t>
  </si>
  <si>
    <t>2025-11-24 10:14:05</t>
  </si>
  <si>
    <t>Skaisteros g. 17, Vilniaus m., Vilniaus m. sav.</t>
  </si>
  <si>
    <t>2025-11-24 09:25:14</t>
  </si>
  <si>
    <t>Kelmijos Sodų 19-oji g. 52, Vilniaus m., Vilniaus m. sav.</t>
  </si>
  <si>
    <t>2025-11-24 09:25:16</t>
  </si>
  <si>
    <t>Didžiulio g. 25, Vilniaus m., Vilniaus m. sav.</t>
  </si>
  <si>
    <t>Molynės g. 2, Vilniaus m., Vilniaus m. sav.</t>
  </si>
  <si>
    <t>2025-11-24 09:25:17</t>
  </si>
  <si>
    <t>2025-11-24 12:15:27</t>
  </si>
  <si>
    <t>M. Mironaitės g. 14, Vilniaus m., Vilniaus m. sav.</t>
  </si>
  <si>
    <t>2025-11-24 09:25:20</t>
  </si>
  <si>
    <t>Mindaugo g. 27, Vilniaus m., Vilniaus m. sav.</t>
  </si>
  <si>
    <t>2025-11-24 09:25:21</t>
  </si>
  <si>
    <t>Nemenčinės pl. 5, Vilniaus m., Vilniaus m. sav.</t>
  </si>
  <si>
    <t>2025-11-24 09:25:24</t>
  </si>
  <si>
    <t>Lyglaukių g. 10A, Vilniaus m., Vilniaus m. sav.</t>
  </si>
  <si>
    <t>2025-11-24 09:29:06</t>
  </si>
  <si>
    <t>2025-11-24 09:25:29</t>
  </si>
  <si>
    <t>2025-11-24 09:25:30</t>
  </si>
  <si>
    <t>Kelmijos Sodų 19-oji g. 47, Vilniaus m., Vilniaus m. sav.</t>
  </si>
  <si>
    <t>2025-11-24 09:25:36</t>
  </si>
  <si>
    <t>Ukmergės g. 226, Vilniaus m., Vilniaus m. sav.</t>
  </si>
  <si>
    <t>2025-11-24 09:25:43</t>
  </si>
  <si>
    <t>2025-11-24 09:25:38</t>
  </si>
  <si>
    <t>2025-11-24 09:25:42</t>
  </si>
  <si>
    <t>Skaisteros g. 15, Vilniaus m., Vilniaus m. sav.</t>
  </si>
  <si>
    <t>Lyglaukių g. 8-3, Vilniaus m., Vilniaus m. sav.</t>
  </si>
  <si>
    <t>2025-11-24 09:29:08</t>
  </si>
  <si>
    <t>2025-11-24 09:25:45</t>
  </si>
  <si>
    <t>Apkasų g. 17, Vilniaus m., Vilniaus m. sav.</t>
  </si>
  <si>
    <t>2025-11-24 09:25:48</t>
  </si>
  <si>
    <t>Lyglaukių g. 8A, Vilniaus m., Vilniaus m. sav.</t>
  </si>
  <si>
    <t>2025-11-24 09:29:09</t>
  </si>
  <si>
    <t>2025-11-24 09:25:50</t>
  </si>
  <si>
    <t>Ukmergės g. 228A, Vilniaus m., Vilniaus m. sav.</t>
  </si>
  <si>
    <t>2025-11-24 09:25:52</t>
  </si>
  <si>
    <t>Skaisteros g. 13, Vilniaus m., Vilniaus m. sav.</t>
  </si>
  <si>
    <t>2025-11-24 09:25:58</t>
  </si>
  <si>
    <t>2025-11-24 09:37:53</t>
  </si>
  <si>
    <t>Skaisteros g. 14, Vilniaus m., Vilniaus m. sav.</t>
  </si>
  <si>
    <t>2025-11-24 09:26:02</t>
  </si>
  <si>
    <t>2025-11-24 09:26:03</t>
  </si>
  <si>
    <t>Pušų g. 39, Vilniaus m., Vilniaus m. sav.</t>
  </si>
  <si>
    <t>2025-11-24 09:26:04</t>
  </si>
  <si>
    <t>Skaisteros g. 16, Vilniaus m., Vilniaus m. sav.</t>
  </si>
  <si>
    <t>2025-11-24 09:26:09</t>
  </si>
  <si>
    <t>Pušų g. 41, Vilniaus m., Vilniaus m. sav.</t>
  </si>
  <si>
    <t>2025-11-24 09:26:10</t>
  </si>
  <si>
    <t>Tarpkalnio g. 42, Vilniaus m., Vilniaus m. sav.</t>
  </si>
  <si>
    <t>Molynės g. 2C, Vilniaus m., Vilniaus m. sav.</t>
  </si>
  <si>
    <t>2025-11-24 09:26:13</t>
  </si>
  <si>
    <t>Zigmantiškių g. 1, Vilniaus m., Vilniaus m. sav.</t>
  </si>
  <si>
    <t>2025-11-24 09:26:16</t>
  </si>
  <si>
    <t>Galvės g. 2, Vilniaus m., Vilniaus m. sav.</t>
  </si>
  <si>
    <t>2025-11-24 09:26:18</t>
  </si>
  <si>
    <t>Molynės g. 7, Vilniaus m., Vilniaus m. sav.</t>
  </si>
  <si>
    <t>2025-11-24 09:26:25</t>
  </si>
  <si>
    <t>Maumedžių g. 2A, Vilniaus m., Vilniaus m. sav.</t>
  </si>
  <si>
    <t>2025-11-24 09:26:26</t>
  </si>
  <si>
    <t>Lyglaukių g. 13-2, Vilniaus m., Vilniaus m. sav.</t>
  </si>
  <si>
    <t>2025-11-24 09:26:30</t>
  </si>
  <si>
    <t>Molynės g. 2B, Vilniaus m., Vilniaus m. sav.</t>
  </si>
  <si>
    <t>2025-11-24 09:26:31</t>
  </si>
  <si>
    <t>2025-11-24 09:26:35</t>
  </si>
  <si>
    <t>2025-11-24 09:26:40</t>
  </si>
  <si>
    <t>Kelmijos Sodų 19-oji g. 46, Vilniaus m., Vilniaus m. sav.</t>
  </si>
  <si>
    <t>2025-11-24 09:26:43</t>
  </si>
  <si>
    <t>Visorių g. 8, Vilniaus m., Vilniaus m. sav.</t>
  </si>
  <si>
    <t>2025-11-24 09:26:44</t>
  </si>
  <si>
    <t>Molynės g. 5, Vilniaus m., Vilniaus m. sav.</t>
  </si>
  <si>
    <t>2025-11-24 09:26:46</t>
  </si>
  <si>
    <t>2025-11-24 09:53:54</t>
  </si>
  <si>
    <t>2025-11-24 09:27:01</t>
  </si>
  <si>
    <t>Lyglaukių g. 13, Vilniaus m., Vilniaus m. sav.</t>
  </si>
  <si>
    <t>2025-11-24 09:29:13</t>
  </si>
  <si>
    <t>2025-11-24 09:27:02</t>
  </si>
  <si>
    <t>2025-11-24 09:27:24</t>
  </si>
  <si>
    <t>2025-11-24 09:36:14</t>
  </si>
  <si>
    <t>2025-11-24 09:27:10</t>
  </si>
  <si>
    <t>Molynės g. 4A, Vilniaus m., Vilniaus m. sav.</t>
  </si>
  <si>
    <t>2025-11-24 09:29:14</t>
  </si>
  <si>
    <t>2025-11-24 09:27:11</t>
  </si>
  <si>
    <t>Kelmijos Sodų 31-oji g. 94, Vilniaus m., Vilniaus m. sav.</t>
  </si>
  <si>
    <t>2025-11-24 09:27:16</t>
  </si>
  <si>
    <t>Molynės g. 2A, Vilniaus m., Vilniaus m. sav.</t>
  </si>
  <si>
    <t>2025-11-24 09:27:20</t>
  </si>
  <si>
    <t>Kelmijos Sodų 19-oji g. 43, Vilniaus m., Vilniaus m. sav.</t>
  </si>
  <si>
    <t>2025-11-24 09:27:21</t>
  </si>
  <si>
    <t>Apkasų g. 10, Vilniaus m., Vilniaus m. sav.</t>
  </si>
  <si>
    <t>2025-11-24 09:27:22</t>
  </si>
  <si>
    <t>Molynės g. 3, Vilniaus m., Vilniaus m. sav.</t>
  </si>
  <si>
    <t>Kelmijos Sodų 19-oji g. 45, Vilniaus m., Vilniaus m. sav.</t>
  </si>
  <si>
    <t>2025-11-24 09:27:28</t>
  </si>
  <si>
    <t>Molynės g. 1, Vilniaus m., Vilniaus m. sav.</t>
  </si>
  <si>
    <t>2025-11-24 09:27:29</t>
  </si>
  <si>
    <t>Pušų g. 37, Vilniaus m., Vilniaus m. sav.</t>
  </si>
  <si>
    <t>2025-11-24 09:27:38</t>
  </si>
  <si>
    <t>2025-11-24 09:27:42</t>
  </si>
  <si>
    <t>Kaukysos g. 4, Vilniaus m., Vilniaus m. sav.</t>
  </si>
  <si>
    <t>M. Valančiaus g. 7, Vilniaus m., Vilniaus m. sav.</t>
  </si>
  <si>
    <t>Kirtimų g. 59A, Vilniaus m., Vilniaus m. sav.</t>
  </si>
  <si>
    <t>2025-11-24 09:27:52</t>
  </si>
  <si>
    <t>2025-11-24 09:27:53</t>
  </si>
  <si>
    <t>Lyglaukių g. 8, Vilniaus m., Vilniaus m. sav.</t>
  </si>
  <si>
    <t>2025-11-24 09:41:37</t>
  </si>
  <si>
    <t>2025-11-24 09:27:58</t>
  </si>
  <si>
    <t>Lyglaukių g. 8-2, Vilniaus m., Vilniaus m. sav.</t>
  </si>
  <si>
    <t>2025-11-24 09:28:01</t>
  </si>
  <si>
    <t>2025-11-24 09:28:02</t>
  </si>
  <si>
    <t>Viršuliškių g. 32, Vilniaus m., Vilniaus m. sav.</t>
  </si>
  <si>
    <t>Kelmijos Sodų 19-oji g. 42, Vilniaus m., Vilniaus m. sav.</t>
  </si>
  <si>
    <t>2025-11-24 09:28:13</t>
  </si>
  <si>
    <t>Lyglaukių g. 6, Vilniaus m., Vilniaus m. sav.</t>
  </si>
  <si>
    <t>2025-11-24 09:41:42</t>
  </si>
  <si>
    <t>Ateities g. 9A, Vilniaus m., Vilniaus m. sav.</t>
  </si>
  <si>
    <t>2025-11-24 09:28:18</t>
  </si>
  <si>
    <t>Tarpkalnio g. 40, Vilniaus m., Vilniaus m. sav.</t>
  </si>
  <si>
    <t>Gervėbalės g. 44, Vilniaus m., Vilniaus m. sav.</t>
  </si>
  <si>
    <t>2025-11-24 09:28:23</t>
  </si>
  <si>
    <t>2025-11-24 09:28:22</t>
  </si>
  <si>
    <t>Algimanto Mackaus g. 2, Vilniaus m., Vilniaus m. sav.</t>
  </si>
  <si>
    <t>2025-11-24 09:28:26</t>
  </si>
  <si>
    <t>2025-11-24 09:28:29</t>
  </si>
  <si>
    <t>Lyglaukių g. 6A, Vilniaus m., Vilniaus m. sav.</t>
  </si>
  <si>
    <t>2025-11-24 09:28:34</t>
  </si>
  <si>
    <t>Gervėbalės g. 42, Vilniaus m., Vilniaus m. sav.</t>
  </si>
  <si>
    <t>2025-11-24 09:28:36</t>
  </si>
  <si>
    <t>Kelmijos Sodų 19-oji g. 39, Vilniaus m., Vilniaus m. sav.</t>
  </si>
  <si>
    <t>2025-11-24 09:28:42</t>
  </si>
  <si>
    <t>Kirtimų g. 29, Vilniaus m., Vilniaus m. sav.</t>
  </si>
  <si>
    <t>2025-11-24 09:28:43</t>
  </si>
  <si>
    <t>2025-11-24 09:41:38</t>
  </si>
  <si>
    <t>2025-11-24 09:28:45</t>
  </si>
  <si>
    <t>Pušų g. 38, Vilniaus m., Vilniaus m. sav.</t>
  </si>
  <si>
    <t>2025-11-24 09:28:46</t>
  </si>
  <si>
    <t>Saulėtekio al. 5, Vilniaus m., Vilniaus m. sav.</t>
  </si>
  <si>
    <t>2025-11-24 09:28:47</t>
  </si>
  <si>
    <t>2025-11-24 09:28:50</t>
  </si>
  <si>
    <t>Kelmijos Sodų 19-oji g. 38, Vilniaus m., Vilniaus m. sav.</t>
  </si>
  <si>
    <t>2025-11-24 09:28:52</t>
  </si>
  <si>
    <t>Gervėbalės g. 38, Vilniaus m., Vilniaus m. sav.</t>
  </si>
  <si>
    <t>2025-11-24 09:29:00</t>
  </si>
  <si>
    <t>Algimanto Mackaus g. 4, Vilniaus m., Vilniaus m. sav.</t>
  </si>
  <si>
    <t>Algimanto Mackaus g. 3, Vilniaus m., Vilniaus m. sav.</t>
  </si>
  <si>
    <t>2025-11-24 09:29:03</t>
  </si>
  <si>
    <t>2025-11-24 09:29:05</t>
  </si>
  <si>
    <t>2025-11-24 09:41:49</t>
  </si>
  <si>
    <t>Dūkštų g. 8, Vilniaus m., Vilniaus m. sav.</t>
  </si>
  <si>
    <t>Lentvario g. 2B, Grigiškių m., Vilniaus m. sav.</t>
  </si>
  <si>
    <t>2025-11-24 09:29:12</t>
  </si>
  <si>
    <t>2025-11-24 10:12:55</t>
  </si>
  <si>
    <t>Lyglaukių g. 13-1, Vilniaus m., Vilniaus m. sav.</t>
  </si>
  <si>
    <t>Algimanto Mackaus g. 1, Vilniaus m., Vilniaus m. sav.</t>
  </si>
  <si>
    <t>2025-11-24 09:29:16</t>
  </si>
  <si>
    <t>2025-11-24 09:29:18</t>
  </si>
  <si>
    <t>2025-11-24 09:29:20</t>
  </si>
  <si>
    <t>2025-11-24 09:41:53</t>
  </si>
  <si>
    <t>2025-11-24 09:29:21</t>
  </si>
  <si>
    <t>2025-11-24 09:29:25</t>
  </si>
  <si>
    <t>2025-11-24 09:29:26</t>
  </si>
  <si>
    <t>Vito Gerulaičio g. 6, Vilniaus m., Vilniaus m. sav.</t>
  </si>
  <si>
    <t>2025-11-24 09:29:27</t>
  </si>
  <si>
    <t>2025-11-24 09:29:33</t>
  </si>
  <si>
    <t>2025-11-24 09:29:46</t>
  </si>
  <si>
    <t>2025-11-24 09:36:15</t>
  </si>
  <si>
    <t>2025-11-24 09:29:51</t>
  </si>
  <si>
    <t>Manufaktūrų g. 25, Vilniaus m., Vilniaus m. sav.</t>
  </si>
  <si>
    <t>2025-11-24 09:29:52</t>
  </si>
  <si>
    <t>Algimanto Mackaus g. 5, Vilniaus m., Vilniaus m. sav.</t>
  </si>
  <si>
    <t>Algimanto Mackaus g. 6, Vilniaus m., Vilniaus m. sav.</t>
  </si>
  <si>
    <t>2025-11-24 09:30:01</t>
  </si>
  <si>
    <t>Kelmijos Sodų 19-oji g. 36, Vilniaus m., Vilniaus m. sav.</t>
  </si>
  <si>
    <t>2025-11-24 09:30:03</t>
  </si>
  <si>
    <t>Antakalnio g. 86, Vilniaus m., Vilniaus m. sav.</t>
  </si>
  <si>
    <t>2025-11-24 09:30:04</t>
  </si>
  <si>
    <t>2025-11-24 09:30:05</t>
  </si>
  <si>
    <t>2025-11-24 09:30:08</t>
  </si>
  <si>
    <t>2025-11-24 09:30:11</t>
  </si>
  <si>
    <t>2025-11-24 09:30:13</t>
  </si>
  <si>
    <t>Kelmijos Sodų 19-oji g. 35, Vilniaus m., Vilniaus m. sav.</t>
  </si>
  <si>
    <t>2025-11-24 09:30:16</t>
  </si>
  <si>
    <t>Lyglaukių g. 5B, Vilniaus m., Vilniaus m. sav.</t>
  </si>
  <si>
    <t>2025-11-24 09:41:55</t>
  </si>
  <si>
    <t>Maksimiškių g. 5, Vilniaus m., Vilniaus m. sav.</t>
  </si>
  <si>
    <t>2025-11-24 09:30:18</t>
  </si>
  <si>
    <t>2025-11-24 09:30:21</t>
  </si>
  <si>
    <t>2025-11-24 09:30:22</t>
  </si>
  <si>
    <t>Gervėbalės g. 37, Vilniaus m., Vilniaus m. sav.</t>
  </si>
  <si>
    <t>2025-11-24 09:30:25</t>
  </si>
  <si>
    <t>Kelmijos Sodų 19-oji g. 30, Vilniaus m., Vilniaus m. sav.</t>
  </si>
  <si>
    <t>2025-11-24 09:30:26</t>
  </si>
  <si>
    <t>2025-11-24 09:30:27</t>
  </si>
  <si>
    <t>2025-11-24 09:30:28</t>
  </si>
  <si>
    <t>2025-11-24 09:30:30</t>
  </si>
  <si>
    <t>2025-11-24 09:30:42</t>
  </si>
  <si>
    <t>Algimanto Mackaus g. 8, Vilniaus m., Vilniaus m. sav.</t>
  </si>
  <si>
    <t>2025-11-24 09:30:43</t>
  </si>
  <si>
    <t>2025-11-24 09:30:49</t>
  </si>
  <si>
    <t>Kelmijos Sodų 19-oji g. 26, Vilniaus m., Vilniaus m. sav.</t>
  </si>
  <si>
    <t>Kulpio g. 1, Vilniaus m., Vilniaus m. sav.</t>
  </si>
  <si>
    <t>Viršuliškių g. 36, Vilniaus m., Vilniaus m. sav.</t>
  </si>
  <si>
    <t>2025-11-24 09:41:40</t>
  </si>
  <si>
    <t>Lyglaukių g. 5A, Vilniaus m., Vilniaus m. sav.</t>
  </si>
  <si>
    <t>Kauno g. 14, Vilniaus m., Vilniaus m. sav.</t>
  </si>
  <si>
    <t>2025-11-24 09:31:08</t>
  </si>
  <si>
    <t>Kreivasis skg. 18, Vilniaus m., Vilniaus m. sav.</t>
  </si>
  <si>
    <t>2025-11-24 09:31:09</t>
  </si>
  <si>
    <t>Dūkštų g. 4, Vilniaus m., Vilniaus m. sav.</t>
  </si>
  <si>
    <t>2025-11-24 09:41:21</t>
  </si>
  <si>
    <t>2025-11-24 09:31:10</t>
  </si>
  <si>
    <t>Kulpio g. 2, Vilniaus m., Vilniaus m. sav.</t>
  </si>
  <si>
    <t>2025-11-24 09:31:12</t>
  </si>
  <si>
    <t>Kęstučio g. 25, Vilniaus m., Vilniaus m. sav.</t>
  </si>
  <si>
    <t>2025-11-24 09:31:15</t>
  </si>
  <si>
    <t>2025-11-24 09:31:19</t>
  </si>
  <si>
    <t>Kelmijos Sodų 19-oji g. 21, Vilniaus m., Vilniaus m. sav.</t>
  </si>
  <si>
    <t>2025-11-24 09:31:21</t>
  </si>
  <si>
    <t>2025-11-24 09:31:23</t>
  </si>
  <si>
    <t>2025-11-24 09:31:24</t>
  </si>
  <si>
    <t>Karaliaučiaus g. 2, Vilniaus m., Vilniaus m. sav.</t>
  </si>
  <si>
    <t>2025-11-24 09:31:28</t>
  </si>
  <si>
    <t>Algimanto Mackaus g. 10, Vilniaus m., Vilniaus m. sav.</t>
  </si>
  <si>
    <t>2025-11-24 09:31:29</t>
  </si>
  <si>
    <t>Kelmijos Sodų 19-oji g. 3, Vilniaus m., Vilniaus m. sav.</t>
  </si>
  <si>
    <t>2025-11-24 09:31:30</t>
  </si>
  <si>
    <t>2025-11-24 09:31:32</t>
  </si>
  <si>
    <t>2025-11-24 09:31:33</t>
  </si>
  <si>
    <t>Kelmijos sodų 31-oji 78, Vilniaus m., Vilniaus m. sav.</t>
  </si>
  <si>
    <t>2025-11-24 09:31:34</t>
  </si>
  <si>
    <t>Gervėbalės g. 36, Vilniaus m., Vilniaus m. sav.</t>
  </si>
  <si>
    <t>Visorių Sodų g. 31, Vilniaus m., Vilniaus m. sav.</t>
  </si>
  <si>
    <t>2025-11-24 09:34:56</t>
  </si>
  <si>
    <t>2025-11-24 09:34:57</t>
  </si>
  <si>
    <t>Kelmijos Sodų 19-oji g. 10, Vilniaus m., Vilniaus m. sav.</t>
  </si>
  <si>
    <t>Gervėbalės g. 33, Vilniaus m., Vilniaus m. sav.</t>
  </si>
  <si>
    <t>2025-11-24 09:31:45</t>
  </si>
  <si>
    <t>2025-11-24 09:35:01</t>
  </si>
  <si>
    <t>2025-11-24 09:31:55</t>
  </si>
  <si>
    <t>Saulėtekio al. 7, Vilniaus m., Vilniaus m. sav.</t>
  </si>
  <si>
    <t>2025-11-24 09:32:02</t>
  </si>
  <si>
    <t>Gervėbalės g. 29, Vilniaus m., Vilniaus m. sav.</t>
  </si>
  <si>
    <t>2025-11-24 09:32:10</t>
  </si>
  <si>
    <t>2025-11-24 09:32:12</t>
  </si>
  <si>
    <t>2025-11-24 09:32:16</t>
  </si>
  <si>
    <t>Gervėbalės g. 32, Vilniaus m., Vilniaus m. sav.</t>
  </si>
  <si>
    <t>2025-11-24 09:38:01</t>
  </si>
  <si>
    <t>2025-11-24 09:32:18</t>
  </si>
  <si>
    <t>Algimanto Mackaus g. 12, Vilniaus m., Vilniaus m. sav.</t>
  </si>
  <si>
    <t>2025-11-24 09:32:21</t>
  </si>
  <si>
    <t>Mykolo Sleževičiaus g. 15, Vilniaus m., Vilniaus m. sav.</t>
  </si>
  <si>
    <t>2025-11-24 09:32:25</t>
  </si>
  <si>
    <t>2025-11-24 09:32:29</t>
  </si>
  <si>
    <t>Kelmijos Sodų 18-oji g. 14, Vilniaus m., Vilniaus m. sav.</t>
  </si>
  <si>
    <t>2025-11-24 09:32:34</t>
  </si>
  <si>
    <t>Manufaktūrų g. 31, Vilniaus m., Vilniaus m. sav.</t>
  </si>
  <si>
    <t>2025-11-24 09:32:36</t>
  </si>
  <si>
    <t>2025-11-24 12:07:45</t>
  </si>
  <si>
    <t>2025-11-24 09:32:39</t>
  </si>
  <si>
    <t>Kelmijos Sodų 18-oji g. 7, Vilniaus m., Vilniaus m. sav.</t>
  </si>
  <si>
    <t>2025-11-24 09:32:42</t>
  </si>
  <si>
    <t>Gervėbalės g. 27, Vilniaus m., Vilniaus m. sav.</t>
  </si>
  <si>
    <t>2025-11-24 09:32:49</t>
  </si>
  <si>
    <t>2025-11-24 09:37:32</t>
  </si>
  <si>
    <t>2025-11-24 09:32:55</t>
  </si>
  <si>
    <t>Kelmijos Sodų 18-oji g. 8, Vilniaus m., Vilniaus m. sav.</t>
  </si>
  <si>
    <t>Noragiškių g. 35, Vilniaus m., Vilniaus m. sav.</t>
  </si>
  <si>
    <t>Noragiškių g. 50-2, Vilniaus m., Vilniaus m. sav.</t>
  </si>
  <si>
    <t>2025-11-24 09:36:16</t>
  </si>
  <si>
    <t>Liudvinavo g. 123B, Vilniaus m., Vilniaus m. sav.</t>
  </si>
  <si>
    <t>2025-11-24 09:33:16</t>
  </si>
  <si>
    <t>Liepkalnio g. 112, Vilniaus m., Vilniaus m. sav.</t>
  </si>
  <si>
    <t>Ukmergės g. 221, Vilniaus m., Vilniaus m. sav.</t>
  </si>
  <si>
    <t>Aptarnauta pagal maršrutą</t>
  </si>
  <si>
    <t>2025-11-24 09:33:18</t>
  </si>
  <si>
    <t>Tolminkiemio g. 5, Vilniaus m., Vilniaus m. sav.</t>
  </si>
  <si>
    <t>Saulėtekio al. 7A, Vilniaus m., Vilniaus m. sav.</t>
  </si>
  <si>
    <t>Gervėbalės g. 27A, Vilniaus m., Vilniaus m. sav.</t>
  </si>
  <si>
    <t>Gervėbalės g. 30, Vilniaus m., Vilniaus m. sav.</t>
  </si>
  <si>
    <t>2025-11-24 09:33:31</t>
  </si>
  <si>
    <t>Visorių g. 30, Vilniaus m., Vilniaus m. sav.</t>
  </si>
  <si>
    <t>2025-11-24 09:33:32</t>
  </si>
  <si>
    <t>Gervėbalės g. 24, Vilniaus m., Vilniaus m. sav.</t>
  </si>
  <si>
    <t>2025-11-24 09:33:34</t>
  </si>
  <si>
    <t>Viršuliškių g. 34, Vilniaus m., Vilniaus m. sav.</t>
  </si>
  <si>
    <t>2025-11-24 09:33:35</t>
  </si>
  <si>
    <t>2025-11-24 09:33:42</t>
  </si>
  <si>
    <t>Noragiškių g. 50-1, Vilniaus m., Vilniaus m. sav.</t>
  </si>
  <si>
    <t>2025-11-24 09:33:45</t>
  </si>
  <si>
    <t>2025-11-24 09:33:52</t>
  </si>
  <si>
    <t>Skaisteros g. 22, Vilniaus m., Vilniaus m. sav.</t>
  </si>
  <si>
    <t>2025-11-24 09:33:53</t>
  </si>
  <si>
    <t>Ateities g. 11, Vilniaus m., Vilniaus m. sav.</t>
  </si>
  <si>
    <t>2025-11-24 09:33:54</t>
  </si>
  <si>
    <t>Gervėbalės g. 26, Vilniaus m., Vilniaus m. sav.</t>
  </si>
  <si>
    <t>2025-11-24 09:34:06</t>
  </si>
  <si>
    <t>2025-11-24 09:34:11</t>
  </si>
  <si>
    <t>Noragiškių g. 52, Vilniaus m., Vilniaus m. sav.</t>
  </si>
  <si>
    <t>2025-11-24 09:34:14</t>
  </si>
  <si>
    <t>Jogėliškių g. 1, Vilniaus m., Vilniaus m. sav.</t>
  </si>
  <si>
    <t>2025-11-24 09:34:15</t>
  </si>
  <si>
    <t>2025-11-24 09:34:17</t>
  </si>
  <si>
    <t>Šv. Stepono g. 27, Vilniaus m., Vilniaus m. sav.</t>
  </si>
  <si>
    <t>2025-11-24 09:34:19</t>
  </si>
  <si>
    <t>2025-11-24 09:34:21</t>
  </si>
  <si>
    <t>2025-11-24 09:34:23</t>
  </si>
  <si>
    <t>2025-11-24 09:34:26</t>
  </si>
  <si>
    <t>Žiemos g. 17, Vilniaus m., Vilniaus m. sav.</t>
  </si>
  <si>
    <t>2025-11-24 09:34:28</t>
  </si>
  <si>
    <t>2025-11-24 09:34:29</t>
  </si>
  <si>
    <t>Dūkštų g. 16, Vilniaus m., Vilniaus m. sav.</t>
  </si>
  <si>
    <t>2025-11-24 09:41:23</t>
  </si>
  <si>
    <t>2025-11-24 09:34:31</t>
  </si>
  <si>
    <t>Visorių g. 27A, Vilniaus m., Vilniaus m. sav.</t>
  </si>
  <si>
    <t>2025-11-24 09:34:36</t>
  </si>
  <si>
    <t>2025-11-24 09:34:41</t>
  </si>
  <si>
    <t>2025-11-24 09:46:17</t>
  </si>
  <si>
    <t>Noragiškių g. 43-2, Vilniaus m., Vilniaus m. sav.</t>
  </si>
  <si>
    <t>2025-11-24 09:34:42</t>
  </si>
  <si>
    <t>Dūkštų g. 11, Vilniaus m., Vilniaus m. sav.</t>
  </si>
  <si>
    <t>2025-11-24 09:41:26</t>
  </si>
  <si>
    <t>2025-11-24 09:34:49</t>
  </si>
  <si>
    <t>Kelmijos Sodų 18-oji g. 17, Vilniaus m., Vilniaus m. sav.</t>
  </si>
  <si>
    <t>2025-11-24 09:34:50</t>
  </si>
  <si>
    <t>Polocko g. 26, Vilniaus m., Vilniaus m. sav.</t>
  </si>
  <si>
    <t>2025-11-24 09:34:52</t>
  </si>
  <si>
    <t>Pušų g. 10, Vilniaus m., Vilniaus m. sav.</t>
  </si>
  <si>
    <t>Žiemos g. 26, Vilniaus m., Vilniaus m. sav.</t>
  </si>
  <si>
    <t>2025-11-24 09:42:02</t>
  </si>
  <si>
    <t>2025-11-24 09:34:59</t>
  </si>
  <si>
    <t>Noragiškių g. 43-1, Vilniaus m., Vilniaus m. sav.</t>
  </si>
  <si>
    <t>2025-11-24 09:35:07</t>
  </si>
  <si>
    <t>Noragiškių g. 39, Vilniaus m., Vilniaus m. sav.</t>
  </si>
  <si>
    <t>2025-11-24 09:35:15</t>
  </si>
  <si>
    <t>Noragiškių g. 56, Vilniaus m., Vilniaus m. sav.</t>
  </si>
  <si>
    <t>2025-11-24 09:35:16</t>
  </si>
  <si>
    <t>2025-11-24 09:35:25</t>
  </si>
  <si>
    <t>Gedimino pr. 20, Vilniaus m., Vilniaus m. sav.</t>
  </si>
  <si>
    <t>2025-11-24 09:35:28</t>
  </si>
  <si>
    <t>Žiemos g. 19, Vilniaus m., Vilniaus m. sav.</t>
  </si>
  <si>
    <t>2025-11-24 09:35:31</t>
  </si>
  <si>
    <t>Noragiškių g. 51, Vilniaus m., Vilniaus m. sav.</t>
  </si>
  <si>
    <t>2025-11-24 09:35:32</t>
  </si>
  <si>
    <t>2025-11-24 09:35:33</t>
  </si>
  <si>
    <t>Algirdo g. 12, Vilniaus m., Vilniaus m. sav.</t>
  </si>
  <si>
    <t>2025-11-24 09:35:35</t>
  </si>
  <si>
    <t>Kelmijos Sodų 18-oji g. 15, Vilniaus m., Vilniaus m. sav.</t>
  </si>
  <si>
    <t>2025-11-24 09:35:37</t>
  </si>
  <si>
    <t>Margio g. 9, Vilniaus m., Vilniaus m. sav.</t>
  </si>
  <si>
    <t>2025-11-24 09:35:40</t>
  </si>
  <si>
    <t>Prano Vaičaičio g. 60, Vilniaus m., Vilniaus m. sav.</t>
  </si>
  <si>
    <t>2025-11-24 09:35:41</t>
  </si>
  <si>
    <t>Margio g. 7, Vilniaus m., Vilniaus m. sav.</t>
  </si>
  <si>
    <t>2025-11-24 09:35:43</t>
  </si>
  <si>
    <t>2025-11-24 09:35:44</t>
  </si>
  <si>
    <t>2025-11-24 09:35:49</t>
  </si>
  <si>
    <t>Taikos g. 263B, Vilniaus m., Vilniaus m. sav.</t>
  </si>
  <si>
    <t>2025-11-24 09:35:52</t>
  </si>
  <si>
    <t>Salininkų g. 103, Vilniaus m., Vilniaus m. sav.</t>
  </si>
  <si>
    <t>2025-11-24 09:35:56</t>
  </si>
  <si>
    <t>S. Žukausko g. 20A, Vilniaus m., Vilniaus m. sav.</t>
  </si>
  <si>
    <t>2025-11-24 09:35:58</t>
  </si>
  <si>
    <t>Salininkų g. 105, Vilniaus m., Vilniaus m. sav.</t>
  </si>
  <si>
    <t>2025-11-24 09:35:59</t>
  </si>
  <si>
    <t>Kelmijos Sodų 18-oji g. 3, Vilniaus m., Vilniaus m. sav.</t>
  </si>
  <si>
    <t>2025-11-24 09:36:00</t>
  </si>
  <si>
    <t>Salininkų g. 107, Vilniaus m., Vilniaus m. sav.</t>
  </si>
  <si>
    <t>2025-11-24 09:36:01</t>
  </si>
  <si>
    <t>Kelmijos Sodų 18-oji g. 12, Vilniaus m., Vilniaus m. sav.</t>
  </si>
  <si>
    <t>Kelmijos Sodų 18-oji g. 16, Vilniaus m., Vilniaus m. sav.</t>
  </si>
  <si>
    <t>2025-11-24 09:36:02</t>
  </si>
  <si>
    <t>2025-11-24 09:36:03</t>
  </si>
  <si>
    <t>2025-11-24 09:36:04</t>
  </si>
  <si>
    <t>2025-11-24 12:07:46</t>
  </si>
  <si>
    <t>Žiemos g. 24, Vilniaus m., Vilniaus m. sav.</t>
  </si>
  <si>
    <t>2025-11-24 09:42:17</t>
  </si>
  <si>
    <t>2025-11-24 09:36:07</t>
  </si>
  <si>
    <t>Kelmijos Sodų 18-oji g. 19, Vilniaus m., Vilniaus m. sav.</t>
  </si>
  <si>
    <t>2025-11-24 09:36:08</t>
  </si>
  <si>
    <t>Salininkų g. 109B, Vilniaus m., Vilniaus m. sav.</t>
  </si>
  <si>
    <t>Prano Vaičaičio g. 62, Vilniaus m., Vilniaus m. sav.</t>
  </si>
  <si>
    <t>Prano Vaičaičio g. 64, Vilniaus m., Vilniaus m. sav.</t>
  </si>
  <si>
    <t>Salininkų g. 109, Vilniaus m., Vilniaus m. sav.</t>
  </si>
  <si>
    <t>2025-11-24 09:54:29</t>
  </si>
  <si>
    <t>Salininkų g. 109A, Vilniaus m., Vilniaus m. sav.</t>
  </si>
  <si>
    <t>2025-11-24 09:36:20</t>
  </si>
  <si>
    <t>Salininkų g. 113, Vilniaus m., Vilniaus m. sav.</t>
  </si>
  <si>
    <t>2025-11-24 09:36:26</t>
  </si>
  <si>
    <t>Salininkų g. 115, Vilniaus m., Vilniaus m. sav.</t>
  </si>
  <si>
    <t>2025-11-24 09:38:21</t>
  </si>
  <si>
    <t>2025-11-24 09:36:30</t>
  </si>
  <si>
    <t>Salininkų g. 115A, Vilniaus m., Vilniaus m. sav.</t>
  </si>
  <si>
    <t>2025-11-24 09:38:22</t>
  </si>
  <si>
    <t>2025-11-24 09:36:34</t>
  </si>
  <si>
    <t>Salininkų g. 119, Vilniaus m., Vilniaus m. sav.</t>
  </si>
  <si>
    <t>2025-11-24 09:36:38</t>
  </si>
  <si>
    <t>Pušų g. 6, Vilniaus m., Vilniaus m. sav.</t>
  </si>
  <si>
    <t>2025-11-24 09:36:43</t>
  </si>
  <si>
    <t>2025-11-24 10:12:56</t>
  </si>
  <si>
    <t>Minsko pl. 3, Vilniaus m., Vilniaus m. sav.</t>
  </si>
  <si>
    <t>2025-11-24 09:36:45</t>
  </si>
  <si>
    <t>2025-11-24 09:36:47</t>
  </si>
  <si>
    <t>Noragiškių g. 108, Vilniaus m., Vilniaus m. sav.</t>
  </si>
  <si>
    <t>2025-11-24 09:36:51</t>
  </si>
  <si>
    <t>2025-11-24 09:36:56</t>
  </si>
  <si>
    <t>Dūkštų g. 28, Vilniaus m., Vilniaus m. sav.</t>
  </si>
  <si>
    <t>2025-11-24 09:41:28</t>
  </si>
  <si>
    <t>2025-11-24 09:36:58</t>
  </si>
  <si>
    <t>Salininkų g. 123, Vilniaus m., Vilniaus m. sav.</t>
  </si>
  <si>
    <t>2025-11-24 09:37:02</t>
  </si>
  <si>
    <t>Salininkų g. 121, Vilniaus m., Vilniaus m. sav.</t>
  </si>
  <si>
    <t>2025-11-24 09:37:05</t>
  </si>
  <si>
    <t>Žiemos g. 15, Vilniaus m., Vilniaus m. sav.</t>
  </si>
  <si>
    <t>2025-11-24 09:42:18</t>
  </si>
  <si>
    <t>2025-11-24 09:37:08</t>
  </si>
  <si>
    <t>Salininkų g. 125, Vilniaus m., Vilniaus m. sav.</t>
  </si>
  <si>
    <t>2025-11-24 09:37:10</t>
  </si>
  <si>
    <t>Manufaktūrų g. 9, Vilniaus m., Vilniaus m. sav.</t>
  </si>
  <si>
    <t>2025-11-24 09:37:12</t>
  </si>
  <si>
    <t>Fabriko g. 155, Vilniaus m., Vilniaus m. sav.</t>
  </si>
  <si>
    <t>2025-11-24 09:37:14</t>
  </si>
  <si>
    <t>2025-11-24 09:37:17</t>
  </si>
  <si>
    <t>Kelmijos Sodų 31-oji g. 46, Vilniaus m., Vilniaus m. sav.</t>
  </si>
  <si>
    <t>2025-11-24 09:37:36</t>
  </si>
  <si>
    <t>2025-11-24 09:37:26</t>
  </si>
  <si>
    <t>Salininkų g. 127, Vilniaus m., Vilniaus m. sav.</t>
  </si>
  <si>
    <t>2025-11-24 09:37:30</t>
  </si>
  <si>
    <t>Salininkų g. 129, Vilniaus m., Vilniaus m. sav.</t>
  </si>
  <si>
    <t>2025-11-24 09:46:53</t>
  </si>
  <si>
    <t>Žiemos g. 13, Vilniaus m., Vilniaus m. sav.</t>
  </si>
  <si>
    <t>2025-11-24 09:37:45</t>
  </si>
  <si>
    <t>2025-11-24 09:38:10</t>
  </si>
  <si>
    <t>2025-11-24 09:42:42</t>
  </si>
  <si>
    <t>Henriko Radausko g. 2, Vilniaus m., Vilniaus m. sav.</t>
  </si>
  <si>
    <t>2025-11-24 09:38:13</t>
  </si>
  <si>
    <t>2025-11-24 09:38:17</t>
  </si>
  <si>
    <t>Žiemos g. 22, Vilniaus m., Vilniaus m. sav.</t>
  </si>
  <si>
    <t>2025-11-24 09:38:40</t>
  </si>
  <si>
    <t>2025-11-24 10:14:19</t>
  </si>
  <si>
    <t>K. Borutos g. 24, Vilniaus m., Vilniaus m. sav.</t>
  </si>
  <si>
    <t>2025-11-24 09:38:46</t>
  </si>
  <si>
    <t>Henriko Radausko g. 3, Vilniaus m., Vilniaus m. sav.</t>
  </si>
  <si>
    <t>Henriko Radausko g. 4, Vilniaus m., Vilniaus m. sav.</t>
  </si>
  <si>
    <t>2025-11-24 09:38:51</t>
  </si>
  <si>
    <t>Kelmijos Sodų 31-oji g. 92, Vilniaus m., Vilniaus m. sav.</t>
  </si>
  <si>
    <t>2025-11-24 09:38:53</t>
  </si>
  <si>
    <t>Kalvarijų g. 153, Vilniaus m., Vilniaus m. sav.</t>
  </si>
  <si>
    <t>2025-11-24 09:39:03</t>
  </si>
  <si>
    <t>Žiemos g. 11, Vilniaus m., Vilniaus m. sav.</t>
  </si>
  <si>
    <t>Polocko g. 17, Vilniaus m., Vilniaus m. sav.</t>
  </si>
  <si>
    <t>Traidenio g. 3, Vilniaus m., Vilniaus m. sav.</t>
  </si>
  <si>
    <t>Vaidoto Daunio g. 30-1, Vilniaus m., Vilniaus m. sav.</t>
  </si>
  <si>
    <t>2025-11-24 09:42:26</t>
  </si>
  <si>
    <t>Henriko Radausko g. 5, Vilniaus m., Vilniaus m. sav.</t>
  </si>
  <si>
    <t>Henriko Radausko g. 6, Vilniaus m., Vilniaus m. sav.</t>
  </si>
  <si>
    <t>2025-11-24 10:13:01</t>
  </si>
  <si>
    <t>J. Tiškevičiaus g. 17, Vilniaus m., Vilniaus m. sav.</t>
  </si>
  <si>
    <t>2025-11-24 09:39:43</t>
  </si>
  <si>
    <t>2025-11-24 09:39:45</t>
  </si>
  <si>
    <t>Kelmijos Sodų 17-oji g. 38, Vilniaus m., Vilniaus m. sav.</t>
  </si>
  <si>
    <t>2025-11-24 09:39:46</t>
  </si>
  <si>
    <t>Vaidoto Daunio g. 30, Vilniaus m., Vilniaus m. sav.</t>
  </si>
  <si>
    <t>2025-11-24 09:39:50</t>
  </si>
  <si>
    <t>2025-11-24 09:39:54</t>
  </si>
  <si>
    <t>2025-11-24 09:39:59</t>
  </si>
  <si>
    <t>Žiemos g. 20, Vilniaus m., Vilniaus m. sav.</t>
  </si>
  <si>
    <t>2025-11-24 09:42:27</t>
  </si>
  <si>
    <t>2025-11-24 09:40:00</t>
  </si>
  <si>
    <t>2025-11-24 09:40:02</t>
  </si>
  <si>
    <t>Visorių Sodų 19-oji g. 1, Vilniaus m., Vilniaus m. sav.</t>
  </si>
  <si>
    <t>Pranciškaus Žvirkos g. 3, Vilniaus m., Vilniaus m. sav.</t>
  </si>
  <si>
    <t>2025-11-24 09:40:04</t>
  </si>
  <si>
    <t>2025-11-24 09:40:06</t>
  </si>
  <si>
    <t>Henriko Radausko g. 7, Vilniaus m., Vilniaus m. sav.</t>
  </si>
  <si>
    <t>2025-11-24 09:40:13</t>
  </si>
  <si>
    <t>2025-11-24 09:42:29</t>
  </si>
  <si>
    <t>2025-11-24 09:40:24</t>
  </si>
  <si>
    <t>Dūkštų g. 30, Vilniaus m., Vilniaus m. sav.</t>
  </si>
  <si>
    <t>2025-11-24 09:40:26</t>
  </si>
  <si>
    <t>2025-11-24 09:40:27</t>
  </si>
  <si>
    <t>2025-11-24 09:40:31</t>
  </si>
  <si>
    <t>Kelmijos Sodų 31-oji g. 100, Vilniaus m., Vilniaus m. sav.</t>
  </si>
  <si>
    <t>2025-11-24 09:40:36</t>
  </si>
  <si>
    <t>Henriko Radausko g. 7-1, Vilniaus m., Vilniaus m. sav.</t>
  </si>
  <si>
    <t>Henriko Radausko g. 8, Vilniaus m., Vilniaus m. sav.</t>
  </si>
  <si>
    <t>Žvirkos g. 6-1, Vilniaus m., Vilniaus m. sav.</t>
  </si>
  <si>
    <t>2025-11-24 09:40:43</t>
  </si>
  <si>
    <t>2025-11-24 09:40:45</t>
  </si>
  <si>
    <t>Žiemos g. 18, Vilniaus m., Vilniaus m. sav.</t>
  </si>
  <si>
    <t>2025-11-24 09:40:49</t>
  </si>
  <si>
    <t>Žvirkos g. 6-2, Vilniaus m., Vilniaus m. sav.</t>
  </si>
  <si>
    <t>2025-11-24 09:48:37</t>
  </si>
  <si>
    <t>2025-11-24 09:40:51</t>
  </si>
  <si>
    <t>Kelmijos Sodų 17-oji g. 30, Vilniaus m., Vilniaus m. sav.</t>
  </si>
  <si>
    <t>2025-11-24 09:40:56</t>
  </si>
  <si>
    <t>2025-11-24 09:41:06</t>
  </si>
  <si>
    <t>Žiemos g. 9, Vilniaus m., Vilniaus m. sav.</t>
  </si>
  <si>
    <t>2025-11-24 09:41:07</t>
  </si>
  <si>
    <t>2025-11-24 09:41:12</t>
  </si>
  <si>
    <t>Saulėtekio al. 26, Vilniaus m., Vilniaus m. sav.</t>
  </si>
  <si>
    <t>2025-11-24 09:41:13</t>
  </si>
  <si>
    <t>2025-11-24 09:41:16</t>
  </si>
  <si>
    <t>Henriko Radausko g. 12, Vilniaus m., Vilniaus m. sav.</t>
  </si>
  <si>
    <t>2025-11-24 09:41:17</t>
  </si>
  <si>
    <t>Kelmijos Sodų 17-oji g. 36, Vilniaus m., Vilniaus m. sav.</t>
  </si>
  <si>
    <t>Kelmijos Sodų 17-oji g. 28, Vilniaus m., Vilniaus m. sav.</t>
  </si>
  <si>
    <t>2025-11-24 09:41:24</t>
  </si>
  <si>
    <t>2025-11-24 09:42:43</t>
  </si>
  <si>
    <t>Henriko Radausko g. 10, Vilniaus m., Vilniaus m. sav.</t>
  </si>
  <si>
    <t>Traidenio g. 5, Vilniaus m., Vilniaus m. sav.</t>
  </si>
  <si>
    <t>Žygio g. 97, Vilniaus m., Vilniaus m. sav.</t>
  </si>
  <si>
    <t>2025-11-24 09:41:27</t>
  </si>
  <si>
    <t>2025-11-24 10:24:06</t>
  </si>
  <si>
    <t>Saulėtekio al. 28, Vilniaus m., Vilniaus m. sav.</t>
  </si>
  <si>
    <t>2025-11-24 12:07:47</t>
  </si>
  <si>
    <t>Prano Vaičaičio g. 9, Vilniaus m., Vilniaus m. sav.</t>
  </si>
  <si>
    <t>Kelmijos Sodų 17-oji g. 34, Vilniaus m., Vilniaus m. sav.</t>
  </si>
  <si>
    <t>2025-11-24 09:54:31</t>
  </si>
  <si>
    <t>Taikos g. 162A, Vilniaus m., Vilniaus m. sav.</t>
  </si>
  <si>
    <t>Kelmijos Sodų 17-oji g. 32, Vilniaus m., Vilniaus m. sav.</t>
  </si>
  <si>
    <t>Rygos g. 14, Vilniaus m., Vilniaus m. sav.</t>
  </si>
  <si>
    <t>2025-11-24 09:53:07</t>
  </si>
  <si>
    <t>Žiemos g. 14, Vilniaus m., Vilniaus m. sav.</t>
  </si>
  <si>
    <t>2025-11-24 09:53:29</t>
  </si>
  <si>
    <t>2025-11-24 09:42:07</t>
  </si>
  <si>
    <t>Kelmijos Sodų 17-oji g. 25, Vilniaus m., Vilniaus m. sav.</t>
  </si>
  <si>
    <t>2025-11-24 09:42:12</t>
  </si>
  <si>
    <t>2025-11-24 09:42:13</t>
  </si>
  <si>
    <t>2025-11-24 09:42:15</t>
  </si>
  <si>
    <t>Žiemos g. 16, Vilniaus m., Vilniaus m. sav.</t>
  </si>
  <si>
    <t>2025-11-24 09:53:34</t>
  </si>
  <si>
    <t>V. Daunio g. 30, Vilniaus m., Vilniaus m. sav.</t>
  </si>
  <si>
    <t>Kelmijos Sodų 17-oji g. 23, Vilniaus m., Vilniaus m. sav.</t>
  </si>
  <si>
    <t>2025-11-24 09:42:52</t>
  </si>
  <si>
    <t>Darbo g. 11, Vilniaus m., Vilniaus m. sav.</t>
  </si>
  <si>
    <t>2025-11-24 09:42:53</t>
  </si>
  <si>
    <t>2025-11-24 09:42:55</t>
  </si>
  <si>
    <t>Melioratorių g. 4, Vilniaus m., Vilniaus m. sav.</t>
  </si>
  <si>
    <t>2025-11-24 09:42:56</t>
  </si>
  <si>
    <t>Onos Miciūtės g. 23A, Vilniaus m., Vilniaus m. sav.</t>
  </si>
  <si>
    <t>Melioratorių g. 6-2, Vilniaus m., Vilniaus m. sav.</t>
  </si>
  <si>
    <t>2025-11-24 09:43:08</t>
  </si>
  <si>
    <t>2025-11-24 09:43:09</t>
  </si>
  <si>
    <t>Kelmijos Sodų 17-oji g. 22, Vilniaus m., Vilniaus m. sav.</t>
  </si>
  <si>
    <t>2025-11-24 09:43:11</t>
  </si>
  <si>
    <t>Melioratorių g. 5, Vilniaus m., Vilniaus m. sav.</t>
  </si>
  <si>
    <t>2025-11-24 09:43:13</t>
  </si>
  <si>
    <t>Kelmijos Sodų 25-oji g. 21, Vilniaus m., Vilniaus m. sav.</t>
  </si>
  <si>
    <t>Melioratorių g. 6-1, Vilniaus m., Vilniaus m. sav.</t>
  </si>
  <si>
    <t>2025-11-24 09:43:14</t>
  </si>
  <si>
    <t>2025-11-24 10:23:57</t>
  </si>
  <si>
    <t>2025-11-24 09:43:17</t>
  </si>
  <si>
    <t>Melioratorių g. 8, Vilniaus m., Vilniaus m. sav.</t>
  </si>
  <si>
    <t>2025-11-24 09:43:23</t>
  </si>
  <si>
    <t>2025-11-24 09:43:27</t>
  </si>
  <si>
    <t>Polocko g. 16, Vilniaus m., Vilniaus m. sav.</t>
  </si>
  <si>
    <t>2025-11-24 09:43:32</t>
  </si>
  <si>
    <t>Prano Vaičaičio g. 38, Vilniaus m., Vilniaus m. sav.</t>
  </si>
  <si>
    <t>Prano Vaičaičio g. 40, Vilniaus m., Vilniaus m. sav.</t>
  </si>
  <si>
    <t>2025-11-24 09:43:39</t>
  </si>
  <si>
    <t>Žiemos g. 12, Vilniaus m., Vilniaus m. sav.</t>
  </si>
  <si>
    <t>2025-11-24 09:43:45</t>
  </si>
  <si>
    <t>Kelmijos Sodų 17-oji g. 19, Vilniaus m., Vilniaus m. sav.</t>
  </si>
  <si>
    <t>2025-11-24 09:43:47</t>
  </si>
  <si>
    <t>2025-11-24 09:43:49</t>
  </si>
  <si>
    <t>Traidenio g. 7, Vilniaus m., Vilniaus m. sav.</t>
  </si>
  <si>
    <t>2025-11-24 09:43:51</t>
  </si>
  <si>
    <t>Traidenio g. 9, Vilniaus m., Vilniaus m. sav.</t>
  </si>
  <si>
    <t>2025-11-24 09:43:53</t>
  </si>
  <si>
    <t>2025-11-24 10:14:06</t>
  </si>
  <si>
    <t>Melioratorių g. 12, Vilniaus m., Vilniaus m. sav.</t>
  </si>
  <si>
    <t>2025-11-24 09:43:57</t>
  </si>
  <si>
    <t>2025-11-24 09:43:58</t>
  </si>
  <si>
    <t>Simono Grunau g. 111, Vilniaus m., Vilniaus m. sav.</t>
  </si>
  <si>
    <t>2025-11-24 09:43:59</t>
  </si>
  <si>
    <t>2025-11-24 09:44:03</t>
  </si>
  <si>
    <t>Bajorų Kelio 1-oji g. 13, Vilniaus m., Vilniaus m. sav.</t>
  </si>
  <si>
    <t>2025-11-24 09:44:17</t>
  </si>
  <si>
    <t>Saulėtekio al. 22, Vilniaus m., Vilniaus m. sav.</t>
  </si>
  <si>
    <t>2025-11-24 09:44:25</t>
  </si>
  <si>
    <t>2025-11-24 09:44:32</t>
  </si>
  <si>
    <t>2025-11-24 09:44:36</t>
  </si>
  <si>
    <t>2025-11-24 12:07:52</t>
  </si>
  <si>
    <t>Žiemos g. 10, Vilniaus m., Vilniaus m. sav.</t>
  </si>
  <si>
    <t>2025-11-24 09:44:37</t>
  </si>
  <si>
    <t>Kelmijos Sodų 27-oji g. 9, Vilniaus m., Vilniaus m. sav.</t>
  </si>
  <si>
    <t>2025-11-24 09:47:02</t>
  </si>
  <si>
    <t>Melioratorių g. 14, Vilniaus m., Vilniaus m. sav.</t>
  </si>
  <si>
    <t>2025-11-24 09:44:38</t>
  </si>
  <si>
    <t>Prano Vaičaičio g. 44, Vilniaus m., Vilniaus m. sav.</t>
  </si>
  <si>
    <t>Prano Vaičaičio g. 42, Vilniaus m., Vilniaus m. sav.</t>
  </si>
  <si>
    <t>2025-11-24 09:44:39</t>
  </si>
  <si>
    <t>Bajorų Kelio 2-oji g. 4, Vilniaus m., Vilniaus m. sav.</t>
  </si>
  <si>
    <t>2025-11-24 09:44:41</t>
  </si>
  <si>
    <t>Traidenio g. 8, Vilniaus m., Vilniaus m. sav.</t>
  </si>
  <si>
    <t>2025-11-24 09:44:45</t>
  </si>
  <si>
    <t>Kelmijos Sodų 17-oji g. 13, Vilniaus m., Vilniaus m. sav.</t>
  </si>
  <si>
    <t>Prano Vaičaičio g. 36, Vilniaus m., Vilniaus m. sav.</t>
  </si>
  <si>
    <t>2025-11-24 09:44:55</t>
  </si>
  <si>
    <t>Kelmijos Sodų 17-oji g. 18, Vilniaus m., Vilniaus m. sav.</t>
  </si>
  <si>
    <t>Polocko g. 10, Vilniaus m., Vilniaus m. sav.</t>
  </si>
  <si>
    <t>2025-11-24 09:45:14</t>
  </si>
  <si>
    <t>Visorių g. 35, Vilniaus m., Vilniaus m. sav.</t>
  </si>
  <si>
    <t>2025-11-24 09:45:15</t>
  </si>
  <si>
    <t>Bajorų Kelio 3-ioji g. 1, Vilniaus m., Vilniaus m. sav.</t>
  </si>
  <si>
    <t>2025-11-24 09:45:16</t>
  </si>
  <si>
    <t>Žiemos g. 8, Vilniaus m., Vilniaus m. sav.</t>
  </si>
  <si>
    <t>2025-11-24 09:45:18</t>
  </si>
  <si>
    <t>Prano Vaičaičio g. 46, Vilniaus m., Vilniaus m. sav.</t>
  </si>
  <si>
    <t>Prano Vaičaičio g. 48, Vilniaus m., Vilniaus m. sav.</t>
  </si>
  <si>
    <t>2025-11-24 09:45:19</t>
  </si>
  <si>
    <t>Melioratorių g. 16, Vilniaus m., Vilniaus m. sav.</t>
  </si>
  <si>
    <t>2025-11-24 09:45:22</t>
  </si>
  <si>
    <t>2025-11-24 09:53:43</t>
  </si>
  <si>
    <t>2025-11-24 09:45:25</t>
  </si>
  <si>
    <t>Kelmijos Sodų 17-oji g. 10, Vilniaus m., Vilniaus m. sav.</t>
  </si>
  <si>
    <t>Melioratorių g. 13, Vilniaus m., Vilniaus m. sav.</t>
  </si>
  <si>
    <t>2025-11-24 09:48:47</t>
  </si>
  <si>
    <t>2025-11-24 09:45:27</t>
  </si>
  <si>
    <t>Melioratorių g. 7, Vilniaus m., Vilniaus m. sav.</t>
  </si>
  <si>
    <t>2025-11-24 09:45:29</t>
  </si>
  <si>
    <t>2025-11-24 09:48:50</t>
  </si>
  <si>
    <t>2025-11-24 09:45:35</t>
  </si>
  <si>
    <t>Bajorų Kelio 3-ioji g. 8, Vilniaus m., Vilniaus m. sav.</t>
  </si>
  <si>
    <t>Kelmijos Sodų 17-oji g. 11, Vilniaus m., Vilniaus m. sav.</t>
  </si>
  <si>
    <t>2025-11-24 09:45:37</t>
  </si>
  <si>
    <t>Traidenio g. 10, Vilniaus m., Vilniaus m. sav.</t>
  </si>
  <si>
    <t>2025-11-24 09:45:38</t>
  </si>
  <si>
    <t>Prano Vaičaičio g. 50, Vilniaus m., Vilniaus m. sav.</t>
  </si>
  <si>
    <t>2025-11-24 09:45:55</t>
  </si>
  <si>
    <t>2025-11-24 09:46:08</t>
  </si>
  <si>
    <t>Buivydiškių g. 8, Vilniaus m., Vilniaus m. sav.</t>
  </si>
  <si>
    <t>2025-11-24 09:46:09</t>
  </si>
  <si>
    <t>Melioratorių g. 17, Vilniaus m., Vilniaus m. sav.</t>
  </si>
  <si>
    <t>2025-11-24 09:46:10</t>
  </si>
  <si>
    <t>2025-11-24 09:46:12</t>
  </si>
  <si>
    <t>Rygos g. 52, Vilniaus m., Vilniaus m. sav.</t>
  </si>
  <si>
    <t>Bajorų Kelio 3-ioji g. 12, Vilniaus m., Vilniaus m. sav.</t>
  </si>
  <si>
    <t>2025-11-24 09:46:19</t>
  </si>
  <si>
    <t>Melioratorių g. 24, Vilniaus m., Vilniaus m. sav.</t>
  </si>
  <si>
    <t>2025-11-24 09:46:20</t>
  </si>
  <si>
    <t>Prano Vaičaičio g. 16, Vilniaus m., Vilniaus m. sav.</t>
  </si>
  <si>
    <t>2025-11-24 09:46:22</t>
  </si>
  <si>
    <t>Kelmijos Sodų 17-oji g. 14, Vilniaus m., Vilniaus m. sav.</t>
  </si>
  <si>
    <t>2025-11-24 09:46:25</t>
  </si>
  <si>
    <t>Melioratorių g. 19, Vilniaus m., Vilniaus m. sav.</t>
  </si>
  <si>
    <t>Žiemos g. 6, Vilniaus m., Vilniaus m. sav.</t>
  </si>
  <si>
    <t>Polocko g. 2A, Vilniaus m., Vilniaus m. sav.</t>
  </si>
  <si>
    <t>Kelmijos Sodų 17-oji g. 12, Vilniaus m., Vilniaus m. sav.</t>
  </si>
  <si>
    <t>2025-11-24 09:46:33</t>
  </si>
  <si>
    <t>2025-11-24 09:46:43</t>
  </si>
  <si>
    <t>Bajorų Kelio 3-ioji g. 16, Vilniaus m., Vilniaus m. sav.</t>
  </si>
  <si>
    <t>2025-11-24 09:46:52</t>
  </si>
  <si>
    <t>Traidenio g. 14, Vilniaus m., Vilniaus m. sav.</t>
  </si>
  <si>
    <t>2025-11-24 09:46:54</t>
  </si>
  <si>
    <t>2025-11-24 09:46:56</t>
  </si>
  <si>
    <t>Kelmijos Sodų 17-oji g. 8, Vilniaus m., Vilniaus m. sav.</t>
  </si>
  <si>
    <t>Odminių g. 14, Vilniaus m., Vilniaus m. sav.</t>
  </si>
  <si>
    <t>2025-11-24 09:47:03</t>
  </si>
  <si>
    <t>Simono Grunau g. 44, Vilniaus m., Vilniaus m. sav.</t>
  </si>
  <si>
    <t>2025-11-24 09:47:06</t>
  </si>
  <si>
    <t>Rygos g. 49, Vilniaus m., Vilniaus m. sav.</t>
  </si>
  <si>
    <t>Užstatyti automobilių</t>
  </si>
  <si>
    <t>2025-11-24 09:47:10</t>
  </si>
  <si>
    <t>2025-11-24 09:47:07</t>
  </si>
  <si>
    <t>Prano Vaičaičio g. 58, Vilniaus m., Vilniaus m. sav.</t>
  </si>
  <si>
    <t>2025-11-24 09:47:18</t>
  </si>
  <si>
    <t>2025-11-24 09:54:35</t>
  </si>
  <si>
    <t>2025-11-24 09:47:21</t>
  </si>
  <si>
    <t>2025-11-24 09:47:23</t>
  </si>
  <si>
    <t>2025-11-24 09:47:25</t>
  </si>
  <si>
    <t>2025-11-24 09:47:27</t>
  </si>
  <si>
    <t>2025-11-24 09:47:29</t>
  </si>
  <si>
    <t>2025-11-24 09:47:30</t>
  </si>
  <si>
    <t>Žiemos g. 3-2, Vilniaus m., Vilniaus m. sav.</t>
  </si>
  <si>
    <t>2025-11-24 09:53:53</t>
  </si>
  <si>
    <t>2025-11-24 09:47:31</t>
  </si>
  <si>
    <t>2025-11-24 09:47:33</t>
  </si>
  <si>
    <t>Melioratorių g. 21A, Vilniaus m., Vilniaus m. sav.</t>
  </si>
  <si>
    <t>2025-11-24 09:47:35</t>
  </si>
  <si>
    <t>2025-11-24 09:47:40</t>
  </si>
  <si>
    <t>Kelmijos Sodų 17-oji g. 2, Vilniaus m., Vilniaus m. sav.</t>
  </si>
  <si>
    <t>Kelmijos Sodų 17-oji g. 1, Vilniaus m., Vilniaus m. sav.</t>
  </si>
  <si>
    <t>2025-11-24 09:47:46</t>
  </si>
  <si>
    <t>2025-11-24 09:47:49</t>
  </si>
  <si>
    <t>2025-11-24 09:48:00</t>
  </si>
  <si>
    <t>Žiemos g. 1A, Vilniaus m., Vilniaus m. sav.</t>
  </si>
  <si>
    <t>2025-11-24 09:48:05</t>
  </si>
  <si>
    <t>2025-11-24 09:48:07</t>
  </si>
  <si>
    <t>2025-11-24 09:48:16</t>
  </si>
  <si>
    <t>Buivydiškių g. 10, Vilniaus m., Vilniaus m. sav.</t>
  </si>
  <si>
    <t>2025-11-24 09:48:20</t>
  </si>
  <si>
    <t>Prano Vaičaičio g. 14B, Vilniaus m., Vilniaus m. sav.</t>
  </si>
  <si>
    <t>2025-11-24 09:48:26</t>
  </si>
  <si>
    <t>Odminių g. 12, Vilniaus m., Vilniaus m. sav.</t>
  </si>
  <si>
    <t>2025-11-24 09:48:29</t>
  </si>
  <si>
    <t>2025-11-24 09:48:32</t>
  </si>
  <si>
    <t>2025-11-24 09:54:36</t>
  </si>
  <si>
    <t>2025-11-24 09:48:33</t>
  </si>
  <si>
    <t>Traidenio g. 16, Vilniaus m., Vilniaus m. sav.</t>
  </si>
  <si>
    <t>2025-11-24 09:48:36</t>
  </si>
  <si>
    <t>Žiemos g. 1-1, Vilniaus m., Vilniaus m. sav.</t>
  </si>
  <si>
    <t>2025-11-24 09:55:37</t>
  </si>
  <si>
    <t>Melioratorių g. 19C, Vilniaus m., Vilniaus m. sav.</t>
  </si>
  <si>
    <t>2025-11-24 09:48:41</t>
  </si>
  <si>
    <t>Prano Vaičaičio g. 14D, Vilniaus m., Vilniaus m. sav.</t>
  </si>
  <si>
    <t>2025-11-24 09:48:54</t>
  </si>
  <si>
    <t>Visorių g. 36E, Vilniaus m., Vilniaus m. sav.</t>
  </si>
  <si>
    <t>2025-11-24 09:48:56</t>
  </si>
  <si>
    <t>2025-11-24 10:22:37</t>
  </si>
  <si>
    <t>Prano Vaičaičio g. 14C, Vilniaus m., Vilniaus m. sav.</t>
  </si>
  <si>
    <t>2025-11-24 09:49:05</t>
  </si>
  <si>
    <t>2025-11-24 09:49:14</t>
  </si>
  <si>
    <t>2025-11-24 09:49:18</t>
  </si>
  <si>
    <t>Žiemos g. 3-1, Vilniaus m., Vilniaus m. sav.</t>
  </si>
  <si>
    <t>2025-11-24 09:49:22</t>
  </si>
  <si>
    <t>2025-11-24 09:49:29</t>
  </si>
  <si>
    <t>2025-11-24 09:49:31</t>
  </si>
  <si>
    <t>K. Ladygos g. 3, Vilniaus m., Vilniaus m. sav.</t>
  </si>
  <si>
    <t>2025-11-24 09:49:33</t>
  </si>
  <si>
    <t>Žiemos g. 1-2, Vilniaus m., Vilniaus m. sav.</t>
  </si>
  <si>
    <t>2025-11-24 09:49:35</t>
  </si>
  <si>
    <t>Belmonto g. 17, Vilniaus m., Vilniaus m. sav.</t>
  </si>
  <si>
    <t>2025-11-24 09:49:37</t>
  </si>
  <si>
    <t>Bajorų Kelio 3-ioji g. 5, Vilniaus m., Vilniaus m. sav.</t>
  </si>
  <si>
    <t>2025-11-24 09:49:38</t>
  </si>
  <si>
    <t>2025-11-24 09:49:39</t>
  </si>
  <si>
    <t>Liudvinavo g. 6, Vilniaus m., Vilniaus m. sav.</t>
  </si>
  <si>
    <t>2025-11-24 09:49:41</t>
  </si>
  <si>
    <t>Kelmijos Sodų 27-oji g. 24, Vilniaus m., Vilniaus m. sav.</t>
  </si>
  <si>
    <t>2025-11-24 09:49:42</t>
  </si>
  <si>
    <t>Panerių g. 21, Vilniaus m., Vilniaus m. sav.</t>
  </si>
  <si>
    <t>2025-11-24 09:49:43</t>
  </si>
  <si>
    <t>Lyglaukių g. 8-1, Vilniaus m., Vilniaus m. sav.</t>
  </si>
  <si>
    <t>Melioratorių g. 21b-2, Vilniaus m., Vilniaus m. sav.</t>
  </si>
  <si>
    <t>2025-11-24 09:49:46</t>
  </si>
  <si>
    <t>2025-11-24 09:49:49</t>
  </si>
  <si>
    <t>2025-11-24 09:49:56</t>
  </si>
  <si>
    <t>2025-11-24 09:49:57</t>
  </si>
  <si>
    <t>V. Nagevičiaus g. 1, Vilniaus m., Vilniaus m. sav.</t>
  </si>
  <si>
    <t>2025-11-24 09:50:00</t>
  </si>
  <si>
    <t>Gerovės g. 51, Vilniaus m., Vilniaus m. sav.</t>
  </si>
  <si>
    <t>2025-11-24 09:50:03</t>
  </si>
  <si>
    <t>Užupio g. 22, Vilniaus m., Vilniaus m. sav.</t>
  </si>
  <si>
    <t>2025-11-24 09:50:05</t>
  </si>
  <si>
    <t>Bajorų Kelio 3-ioji g. 6, Vilniaus m., Vilniaus m. sav.</t>
  </si>
  <si>
    <t>2025-11-24 09:50:14</t>
  </si>
  <si>
    <t>Metelių g. 12, Vilniaus m., Vilniaus m. sav.</t>
  </si>
  <si>
    <t>2025-11-24 09:50:15</t>
  </si>
  <si>
    <t>2025-11-24 09:50:23</t>
  </si>
  <si>
    <t>A. Mickevičiaus g. 21, Vilniaus m., Vilniaus m. sav.</t>
  </si>
  <si>
    <t>2025-11-24 09:50:24</t>
  </si>
  <si>
    <t>Liongino Baliukevičiaus-Dzūko g. 15, Vilniaus m., Vilniaus m. sav.</t>
  </si>
  <si>
    <t>2025-11-24 09:50:25</t>
  </si>
  <si>
    <t>Melioratorių g 21B-1, Vilniaus m., Vilniaus m. sav.</t>
  </si>
  <si>
    <t>2025-11-24 09:50:27</t>
  </si>
  <si>
    <t>Užupio g. 18, Vilniaus m., Vilniaus m. sav.</t>
  </si>
  <si>
    <t>2025-11-24 09:50:30</t>
  </si>
  <si>
    <t>Visorių g. 36D, Vilniaus m., Vilniaus m. sav.</t>
  </si>
  <si>
    <t>2025-11-24 09:50:34</t>
  </si>
  <si>
    <t>2025-11-24 09:50:36</t>
  </si>
  <si>
    <t>Onos Miciūtės g. 2, Vilniaus m., Vilniaus m. sav.</t>
  </si>
  <si>
    <t>2025-11-24 09:50:44</t>
  </si>
  <si>
    <t>2025-11-24 09:50:49</t>
  </si>
  <si>
    <t>2025-11-24 09:50:54</t>
  </si>
  <si>
    <t>2025-11-24 09:50:56</t>
  </si>
  <si>
    <t>Saulėtekio al. 11, Vilniaus m., Vilniaus m. sav.</t>
  </si>
  <si>
    <t>Nepravažiuojamas keliasNukopijuota į maršrutą nr. 300255 vartotojo Valytė Dremeikienė.</t>
  </si>
  <si>
    <t>Varnės g. 9A, Vilniaus m., Vilniaus m. sav.</t>
  </si>
  <si>
    <t>2025-11-24 09:50:58</t>
  </si>
  <si>
    <t>Kelmijos Sodų 43-ioji g. 13, Vilniaus m., Vilniaus m. sav.</t>
  </si>
  <si>
    <t>Kopenhagos g. 8, Vilniaus m., Vilniaus m. sav.</t>
  </si>
  <si>
    <t>2025-11-24 09:51:00</t>
  </si>
  <si>
    <t>2025-11-24 09:51:04</t>
  </si>
  <si>
    <t>2025-11-24 09:51:05</t>
  </si>
  <si>
    <t>2025-11-24 09:51:06</t>
  </si>
  <si>
    <t>2025-11-24 09:51:09</t>
  </si>
  <si>
    <t>Buivydiškių g. 4, Vilniaus m., Vilniaus m. sav.</t>
  </si>
  <si>
    <t>2025-11-24 09:51:14</t>
  </si>
  <si>
    <t>2025-11-24 09:51:15</t>
  </si>
  <si>
    <t>2025-11-24 09:51:20</t>
  </si>
  <si>
    <t>Rudens g. 35, Vilniaus m., Vilniaus m. sav.</t>
  </si>
  <si>
    <t>2025-11-24 09:55:46</t>
  </si>
  <si>
    <t>2025-11-24 09:51:21</t>
  </si>
  <si>
    <t>2025-11-24 09:51:24</t>
  </si>
  <si>
    <t>2025-11-24 09:51:26</t>
  </si>
  <si>
    <t>2025-11-24 10:32:50</t>
  </si>
  <si>
    <t>Odminių g. 9, Vilniaus m., Vilniaus m. sav.</t>
  </si>
  <si>
    <t>2025-11-24 09:51:28</t>
  </si>
  <si>
    <t>2025-11-24 09:51:30</t>
  </si>
  <si>
    <t>2025-11-24 09:51:33</t>
  </si>
  <si>
    <t>2025-11-24 09:51:35</t>
  </si>
  <si>
    <t>2025-11-24 09:51:36</t>
  </si>
  <si>
    <t>Rudens g. 38A, Vilniaus m., Vilniaus m. sav.</t>
  </si>
  <si>
    <t>2025-11-24 09:55:48</t>
  </si>
  <si>
    <t>2025-11-24 09:51:41</t>
  </si>
  <si>
    <t>2025-11-24 09:55:50</t>
  </si>
  <si>
    <t>2025-11-24 09:51:44</t>
  </si>
  <si>
    <t>2025-11-24 09:51:49</t>
  </si>
  <si>
    <t>2025-11-24 09:51:51</t>
  </si>
  <si>
    <t>Stepono Kolupailos g. 9-1, Vilniaus m., Vilniaus m. sav.</t>
  </si>
  <si>
    <t>2025-11-24 09:51:52</t>
  </si>
  <si>
    <t>Odminių g. 11, Vilniaus m., Vilniaus m. sav.</t>
  </si>
  <si>
    <t>Onos Miciūtės g. 1, Vilniaus m., Vilniaus m. sav.</t>
  </si>
  <si>
    <t>2025-11-24 09:51:53</t>
  </si>
  <si>
    <t>Kęstučio g. 17, Vilniaus m., Vilniaus m. sav.</t>
  </si>
  <si>
    <t>2025-11-24 09:51:54</t>
  </si>
  <si>
    <t>2025-11-24 09:52:00</t>
  </si>
  <si>
    <t>2025-11-24 09:52:15</t>
  </si>
  <si>
    <t>Kolektyvo g. 90, Vilniaus m., Vilniaus m. sav.</t>
  </si>
  <si>
    <t>2025-11-24 09:52:17</t>
  </si>
  <si>
    <t>Melioratorių g. 21, Vilniaus m., Vilniaus m. sav.</t>
  </si>
  <si>
    <t>2025-11-24 09:52:20</t>
  </si>
  <si>
    <t>2025-11-24 09:52:24</t>
  </si>
  <si>
    <t>2025-11-24 09:52:25</t>
  </si>
  <si>
    <t>2025-11-24 09:52:26</t>
  </si>
  <si>
    <t>Kelmijos Sodų 43-ioji g. 23, Vilniaus m., Vilniaus m. sav.</t>
  </si>
  <si>
    <t>2025-11-24 09:52:27</t>
  </si>
  <si>
    <t>Rudens g. 35C, Vilniaus m., Vilniaus m. sav.</t>
  </si>
  <si>
    <t>2025-11-24 09:52:28</t>
  </si>
  <si>
    <t>Onos Miciūtės g. 6, Vilniaus m., Vilniaus m. sav.</t>
  </si>
  <si>
    <t>2025-11-24 09:52:29</t>
  </si>
  <si>
    <t>2025-11-24 10:14:07</t>
  </si>
  <si>
    <t>2025-11-24 09:52:30</t>
  </si>
  <si>
    <t>Melioratorių g. 33, Vilniaus m., Vilniaus m. sav.</t>
  </si>
  <si>
    <t>2025-11-24 09:57:20</t>
  </si>
  <si>
    <t>2025-11-24 09:52:47</t>
  </si>
  <si>
    <t>2025-11-24 10:34:20</t>
  </si>
  <si>
    <t>Šešėlių g. 10A, Vilniaus m., Vilniaus m. sav.</t>
  </si>
  <si>
    <t>2025-11-24 09:52:49</t>
  </si>
  <si>
    <t>Melioratorių g. 23, Vilniaus m., Vilniaus m. sav.</t>
  </si>
  <si>
    <t>2025-11-24 09:52:51</t>
  </si>
  <si>
    <t>2025-11-24 09:52:53</t>
  </si>
  <si>
    <t>Melioratorių g. 28, Vilniaus m., Vilniaus m. sav.</t>
  </si>
  <si>
    <t>2025-11-24 09:52:54</t>
  </si>
  <si>
    <t>2025-11-24 09:52:58</t>
  </si>
  <si>
    <t>Onos Miciūtės g. 3, Vilniaus m., Vilniaus m. sav.</t>
  </si>
  <si>
    <t>2025-11-24 09:52:59</t>
  </si>
  <si>
    <t>2025-11-24 10:34:05</t>
  </si>
  <si>
    <t>S. Žukausko g. 27, Vilniaus m., Vilniaus m. sav.</t>
  </si>
  <si>
    <t>2025-11-24 09:53:04</t>
  </si>
  <si>
    <t>2025-11-24 09:53:05</t>
  </si>
  <si>
    <t>Mykolo Sleževičiaus g. 14, Vilniaus m., Vilniaus m. sav.</t>
  </si>
  <si>
    <t>2025-11-24 12:07:54</t>
  </si>
  <si>
    <t>Stalių g. 12, Vilniaus m., Vilniaus m. sav.</t>
  </si>
  <si>
    <t>Melioratorių g. 27, Vilniaus m., Vilniaus m. sav.</t>
  </si>
  <si>
    <t>Bajorų Kelio 2-oji g. 18, Vilniaus m., Vilniaus m. sav.</t>
  </si>
  <si>
    <t>2025-11-24 09:57:25</t>
  </si>
  <si>
    <t>Melioratorių g. 25, Vilniaus m., Vilniaus m. sav.</t>
  </si>
  <si>
    <t>2025-11-24 09:57:27</t>
  </si>
  <si>
    <t>Bajorų Kelio 2-oji g. 20, Vilniaus m., Vilniaus m. sav.</t>
  </si>
  <si>
    <t>Onos Miciūtės g. 10-1, Vilniaus m., Vilniaus m. sav.</t>
  </si>
  <si>
    <t>Melioratorių g. 29, Vilniaus m., Vilniaus m. sav.</t>
  </si>
  <si>
    <t>Melioratorių g. 35, Vilniaus m., Vilniaus m. sav.</t>
  </si>
  <si>
    <t>2025-11-24 09:53:46</t>
  </si>
  <si>
    <t>Rudens g. 42, Vilniaus m., Vilniaus m. sav.</t>
  </si>
  <si>
    <t>Melioratorių g. 29A, Vilniaus m., Vilniaus m. sav.</t>
  </si>
  <si>
    <t>2025-11-24 09:54:00</t>
  </si>
  <si>
    <t>Bajorų Kelio 2-oji g. 15, Vilniaus m., Vilniaus m. sav.</t>
  </si>
  <si>
    <t>2025-11-24 09:54:04</t>
  </si>
  <si>
    <t>2025-11-24 09:54:07</t>
  </si>
  <si>
    <t>2025-11-24 09:54:17</t>
  </si>
  <si>
    <t>Belmonto g. 34B, Vilniaus m., Vilniaus m. sav.</t>
  </si>
  <si>
    <t>2025-11-24 10:07:43</t>
  </si>
  <si>
    <t>2025-11-24 09:54:20</t>
  </si>
  <si>
    <t>Bajorų Kelio 2-oji g. 22, Vilniaus m., Vilniaus m. sav.</t>
  </si>
  <si>
    <t>Kelmijos Sodų 43-ioji g. 37, Vilniaus m., Vilniaus m. sav.</t>
  </si>
  <si>
    <t>2025-11-24 09:54:22</t>
  </si>
  <si>
    <t>Melioratorių g. 51, Vilniaus m., Vilniaus m. sav.</t>
  </si>
  <si>
    <t>S. Žukausko g. 35, Vilniaus m., Vilniaus m. sav.</t>
  </si>
  <si>
    <t>2025-11-24 09:54:44</t>
  </si>
  <si>
    <t>2025-11-24 10:10:36</t>
  </si>
  <si>
    <t>2025-11-24 09:54:46</t>
  </si>
  <si>
    <t>2025-11-24 09:54:50</t>
  </si>
  <si>
    <t>2025-11-24 09:54:51</t>
  </si>
  <si>
    <t>K. Ladygos g. 5, Vilniaus m., Vilniaus m. sav.</t>
  </si>
  <si>
    <t>2025-11-24 09:55:05</t>
  </si>
  <si>
    <t>Melioratorių g. 61A, Vilniaus m., Vilniaus m. sav.</t>
  </si>
  <si>
    <t>2025-11-24 09:55:15</t>
  </si>
  <si>
    <t>2025-11-24 10:32:51</t>
  </si>
  <si>
    <t>2025-11-24 09:55:16</t>
  </si>
  <si>
    <t>Rudens g. 44, Vilniaus m., Vilniaus m. sav.</t>
  </si>
  <si>
    <t>2025-11-24 09:55:18</t>
  </si>
  <si>
    <t>Onos Miciūtės g. 23, Vilniaus m., Vilniaus m. sav.</t>
  </si>
  <si>
    <t>2025-11-24 09:55:20</t>
  </si>
  <si>
    <t>S. Stanevičiaus g. 82, Vilniaus m., Vilniaus m. sav.</t>
  </si>
  <si>
    <t>2025-11-24 09:55:21</t>
  </si>
  <si>
    <t>2025-11-24 09:55:24</t>
  </si>
  <si>
    <t>Metelių g. 4, Vilniaus m., Vilniaus m. sav.</t>
  </si>
  <si>
    <t>Rygos g. 46, Vilniaus m., Vilniaus m. sav.</t>
  </si>
  <si>
    <t>2025-11-24 09:55:31</t>
  </si>
  <si>
    <t>2025-11-24 10:05:30</t>
  </si>
  <si>
    <t>2025-11-24 09:55:36</t>
  </si>
  <si>
    <t>Kelmijos Sodų 43-ioji g. 26, Vilniaus m., Vilniaus m. sav.</t>
  </si>
  <si>
    <t>Onos Miciūtės g. 21, Vilniaus m., Vilniaus m. sav.</t>
  </si>
  <si>
    <t>Onos Miciūtės g. 18, Vilniaus m., Vilniaus m. sav.</t>
  </si>
  <si>
    <t>2025-11-24 09:55:49</t>
  </si>
  <si>
    <t>Melioratorių g. 67, Vilniaus m., Vilniaus m. sav.</t>
  </si>
  <si>
    <t>2025-11-24 09:56:01</t>
  </si>
  <si>
    <t>Girių g. 31, Vilniaus m., Vilniaus m. sav.</t>
  </si>
  <si>
    <t>2025-11-24 09:56:05</t>
  </si>
  <si>
    <t>2025-11-24 09:56:10</t>
  </si>
  <si>
    <t>2025-11-24 09:56:11</t>
  </si>
  <si>
    <t>2025-11-24 09:56:22</t>
  </si>
  <si>
    <t>2025-11-24 09:56:23</t>
  </si>
  <si>
    <t>Mykolo Sleževičiaus g. 11, Vilniaus m., Vilniaus m. sav.</t>
  </si>
  <si>
    <t>2025-11-24 09:56:24</t>
  </si>
  <si>
    <t>Onos Miciūtės g. 19, Vilniaus m., Vilniaus m. sav.</t>
  </si>
  <si>
    <t>Onos Miciūtės g. 16, Vilniaus m., Vilniaus m. sav.</t>
  </si>
  <si>
    <t>2025-11-24 09:56:28</t>
  </si>
  <si>
    <t>Rudens g. 38, Vilniaus m., Vilniaus m. sav.</t>
  </si>
  <si>
    <t>2025-11-24 09:56:30</t>
  </si>
  <si>
    <t>2025-11-24 09:56:35</t>
  </si>
  <si>
    <t>2025-11-24 09:56:40</t>
  </si>
  <si>
    <t>Onos Miciūtės g. 14, Vilniaus m., Vilniaus m. sav.</t>
  </si>
  <si>
    <t>2025-11-24 09:56:46</t>
  </si>
  <si>
    <t>Onos Miciūtės g. 20, Vilniaus m., Vilniaus m. sav.</t>
  </si>
  <si>
    <t>2025-11-24 09:56:52</t>
  </si>
  <si>
    <t>Padekaniškių g. 46, Vilniaus m., Vilniaus m. sav.</t>
  </si>
  <si>
    <t>2025-11-24 09:56:54</t>
  </si>
  <si>
    <t>Bajorų Kelio 2-oji g. 16, Vilniaus m., Vilniaus m. sav.</t>
  </si>
  <si>
    <t>2025-11-24 09:56:59</t>
  </si>
  <si>
    <t>Melioratorių g. 69, Vilniaus m., Vilniaus m. sav.</t>
  </si>
  <si>
    <t>2025-11-24 09:57:05</t>
  </si>
  <si>
    <t>Melioratorių g. 65, Vilniaus m., Vilniaus m. sav.</t>
  </si>
  <si>
    <t>2025-11-24 09:57:08</t>
  </si>
  <si>
    <t>2025-11-24 10:05:36</t>
  </si>
  <si>
    <t>2025-11-24 09:57:10</t>
  </si>
  <si>
    <t>Odminių g. 3, Vilniaus m., Vilniaus m. sav.</t>
  </si>
  <si>
    <t>2025-11-24 09:57:15</t>
  </si>
  <si>
    <t>2025-11-24 09:57:16</t>
  </si>
  <si>
    <t>Onos Miciūtės g. 17, Vilniaus m., Vilniaus m. sav.</t>
  </si>
  <si>
    <t>2025-11-24 09:57:19</t>
  </si>
  <si>
    <t>2025-11-24 09:57:35</t>
  </si>
  <si>
    <t>Melioratorių g. 71-2, Vilniaus m., Vilniaus m. sav.</t>
  </si>
  <si>
    <t>2025-11-24 09:57:36</t>
  </si>
  <si>
    <t>2025-11-24 09:57:39</t>
  </si>
  <si>
    <t>2025-11-24 09:57:43</t>
  </si>
  <si>
    <t>S. Stanevičiaus g. 92, Vilniaus m., Vilniaus m. sav.</t>
  </si>
  <si>
    <t>2025-11-24 09:57:44</t>
  </si>
  <si>
    <t>2025-11-24 09:57:53</t>
  </si>
  <si>
    <t>2025-11-24 09:57:56</t>
  </si>
  <si>
    <t>Onos Miciūtės g. 11, Vilniaus m., Vilniaus m. sav.</t>
  </si>
  <si>
    <t>Onos Miciūtės g. 12, Vilniaus m., Vilniaus m. sav.</t>
  </si>
  <si>
    <t>2025-11-24 09:58:06</t>
  </si>
  <si>
    <t>Onos Miciūtės g. 15, Vilniaus m., Vilniaus m. sav.</t>
  </si>
  <si>
    <t>2025-11-24 10:10:29</t>
  </si>
  <si>
    <t>2025-11-24 09:58:07</t>
  </si>
  <si>
    <t>2025-11-24 09:58:10</t>
  </si>
  <si>
    <t>A. Mickevičiaus g. 5, Vilniaus m., Vilniaus m. sav.</t>
  </si>
  <si>
    <t>Bajorų Kelio 2-oji g. 12, Vilniaus m., Vilniaus m. sav.</t>
  </si>
  <si>
    <t>2025-11-24 09:58:13</t>
  </si>
  <si>
    <t>Visorių g. 33, Vilniaus m., Vilniaus m. sav.</t>
  </si>
  <si>
    <t>2025-11-24 09:58:15</t>
  </si>
  <si>
    <t>Melioratorių g. 61, Vilniaus m., Vilniaus m. sav.</t>
  </si>
  <si>
    <t>2025-11-24 09:58:16</t>
  </si>
  <si>
    <t>Onos Miciūtės g. 13, Vilniaus m., Vilniaus m. sav.</t>
  </si>
  <si>
    <t>2025-11-24 09:58:22</t>
  </si>
  <si>
    <t>L. Stuokos-Gucevičiaus g. 1, Vilniaus m., Vilniaus m. sav.</t>
  </si>
  <si>
    <t>2025-11-24 09:58:24</t>
  </si>
  <si>
    <t>Gineitiškių g. 47, Vilniaus m., Vilniaus m. sav.</t>
  </si>
  <si>
    <t>2025-11-24 09:58:30</t>
  </si>
  <si>
    <t>2025-11-24 12:15:35</t>
  </si>
  <si>
    <t>Žemynos g. 13, Vilniaus m., Vilniaus m. sav.</t>
  </si>
  <si>
    <t>2025-11-24 09:58:31</t>
  </si>
  <si>
    <t>Rudens g. 35A, Vilniaus m., Vilniaus m. sav.</t>
  </si>
  <si>
    <t>2025-11-24 09:58:34</t>
  </si>
  <si>
    <t>2025-11-24 09:58:35</t>
  </si>
  <si>
    <t>2025-11-24 09:58:41</t>
  </si>
  <si>
    <t>2025-11-24 09:58:45</t>
  </si>
  <si>
    <t>Melioratorių g. 53, Vilniaus m., Vilniaus m. sav.</t>
  </si>
  <si>
    <t>2025-11-24 09:58:46</t>
  </si>
  <si>
    <t>2025-11-24 09:58:50</t>
  </si>
  <si>
    <t>Bajorų Kelio 2-oji g. 1, Vilniaus m., Vilniaus m. sav.</t>
  </si>
  <si>
    <t>S. Stanevičiaus g. 72, Vilniaus m., Vilniaus m. sav.</t>
  </si>
  <si>
    <t>2025-11-24 09:58:53</t>
  </si>
  <si>
    <t>Statybininkų g. 9, Vilniaus m., Vilniaus m. sav.</t>
  </si>
  <si>
    <t>2025-11-24 09:58:54</t>
  </si>
  <si>
    <t>2025-11-24 09:59:02</t>
  </si>
  <si>
    <t>Bajorų Kelio 2-oji g. 10, Vilniaus m., Vilniaus m. sav.</t>
  </si>
  <si>
    <t>2025-11-24 09:59:12</t>
  </si>
  <si>
    <t>2025-11-24 09:59:13</t>
  </si>
  <si>
    <t>Srovės g. 14, Vilniaus m., Vilniaus m. sav.</t>
  </si>
  <si>
    <t>2025-11-24 09:59:14</t>
  </si>
  <si>
    <t>2025-11-24 09:59:19</t>
  </si>
  <si>
    <t>2025-11-24 09:59:22</t>
  </si>
  <si>
    <t>Rudens g. 36, Vilniaus m., Vilniaus m. sav.</t>
  </si>
  <si>
    <t>2025-11-24 09:59:26</t>
  </si>
  <si>
    <t>Prano Vaičaičio g. 3, Vilniaus m., Vilniaus m. sav.</t>
  </si>
  <si>
    <t>2025-11-24 09:59:27</t>
  </si>
  <si>
    <t>2025-11-24 09:59:33</t>
  </si>
  <si>
    <t>Melioratorių g. 49, Vilniaus m., Vilniaus m. sav.</t>
  </si>
  <si>
    <t>2025-11-24 09:59:37</t>
  </si>
  <si>
    <t>2025-11-24 09:59:39</t>
  </si>
  <si>
    <t>Visorių g. 20, Vilniaus m., Vilniaus m. sav.</t>
  </si>
  <si>
    <t>2025-11-24 09:59:41</t>
  </si>
  <si>
    <t>Melioratorių g. 42, Vilniaus m., Vilniaus m. sav.</t>
  </si>
  <si>
    <t>2025-11-24 10:06:45</t>
  </si>
  <si>
    <t>2025-11-24 09:59:42</t>
  </si>
  <si>
    <t>Gilužio g. 67, Vilniaus m., Vilniaus m. sav.</t>
  </si>
  <si>
    <t>2025-11-24 10:05:55</t>
  </si>
  <si>
    <t>2025-11-24 09:59:47</t>
  </si>
  <si>
    <t>Rudens g. 33C, Vilniaus m., Vilniaus m. sav.</t>
  </si>
  <si>
    <t>2025-11-24 09:59:52</t>
  </si>
  <si>
    <t>2025-11-24 12:19:12</t>
  </si>
  <si>
    <t>2025-11-24 09:59:53</t>
  </si>
  <si>
    <t>2025-11-24 10:00:00</t>
  </si>
  <si>
    <t>Rygos g. 43A, Vilniaus m., Vilniaus m. sav.</t>
  </si>
  <si>
    <t>2025-11-24 10:00:01</t>
  </si>
  <si>
    <t>Loretos Asanavičiūtės g. 46, Vilniaus m., Vilniaus m. sav.</t>
  </si>
  <si>
    <t>2025-11-24 10:00:02</t>
  </si>
  <si>
    <t>Prano Vaičaičio g. 1, Vilniaus m., Vilniaus m. sav.</t>
  </si>
  <si>
    <t>2025-11-24 10:00:07</t>
  </si>
  <si>
    <t>Melioratorių g. 40, Vilniaus m., Vilniaus m. sav.</t>
  </si>
  <si>
    <t>2025-11-24 10:06:46</t>
  </si>
  <si>
    <t>2025-11-24 10:00:11</t>
  </si>
  <si>
    <t>2025-11-24 10:00:20</t>
  </si>
  <si>
    <t>2025-11-24 10:43:59</t>
  </si>
  <si>
    <t>Žarijų g. 6A, Vilniaus m., Vilniaus m. sav.</t>
  </si>
  <si>
    <t>2025-11-24 10:00:25</t>
  </si>
  <si>
    <t>Melioratorių g. 38, Vilniaus m., Vilniaus m. sav.</t>
  </si>
  <si>
    <t>2025-11-24 10:00:32</t>
  </si>
  <si>
    <t>2025-11-24 12:15:37</t>
  </si>
  <si>
    <t>M. Mažvydo g. 7, Vilniaus m., Vilniaus m. sav.</t>
  </si>
  <si>
    <t>2025-11-24 10:00:38</t>
  </si>
  <si>
    <t>Bajorų Kelio 2-oji g. 3, Vilniaus m., Vilniaus m. sav.</t>
  </si>
  <si>
    <t>2025-11-24 10:10:30</t>
  </si>
  <si>
    <t>2025-11-24 10:00:41</t>
  </si>
  <si>
    <t>2025-11-24 10:00:43</t>
  </si>
  <si>
    <t>2025-11-24 10:00:44</t>
  </si>
  <si>
    <t>Rudens g. 32A-2, Vilniaus m., Vilniaus m. sav.</t>
  </si>
  <si>
    <t>2025-11-24 10:00:45</t>
  </si>
  <si>
    <t>2025-11-24 10:00:48</t>
  </si>
  <si>
    <t>2025-11-24 10:00:49</t>
  </si>
  <si>
    <t>Servečės g. 2, Vilniaus m., Vilniaus m. sav.</t>
  </si>
  <si>
    <t>2025-11-24 10:00:52</t>
  </si>
  <si>
    <t>2025-11-24 10:00:55</t>
  </si>
  <si>
    <t>2025-11-24 10:00:57</t>
  </si>
  <si>
    <t>2025-11-24 10:00:59</t>
  </si>
  <si>
    <t>2025-11-24 10:01:03</t>
  </si>
  <si>
    <t>2025-11-24 10:06:33</t>
  </si>
  <si>
    <t>2025-11-24 10:01:04</t>
  </si>
  <si>
    <t>Sėlių g. 64, Vilniaus m., Vilniaus m. sav.</t>
  </si>
  <si>
    <t>2025-11-24 10:01:08</t>
  </si>
  <si>
    <t>Žirmūnų g. 58, Vilniaus m., Vilniaus m. sav.</t>
  </si>
  <si>
    <t>2025-11-24 10:01:10</t>
  </si>
  <si>
    <t>Rudens g. 32-2, Vilniaus m., Vilniaus m. sav.</t>
  </si>
  <si>
    <t>2025-11-24 10:01:11</t>
  </si>
  <si>
    <t>Melioratorių g. 41, Vilniaus m., Vilniaus m. sav.</t>
  </si>
  <si>
    <t>2025-11-24 10:01:12</t>
  </si>
  <si>
    <t>2025-11-24 10:01:17</t>
  </si>
  <si>
    <t>Melioratorių g. 43, Vilniaus m., Vilniaus m. sav.</t>
  </si>
  <si>
    <t>2025-11-24 10:01:22</t>
  </si>
  <si>
    <t>Vaidoto Daunio g. 12, Vilniaus m., Vilniaus m. sav.</t>
  </si>
  <si>
    <t>2025-11-24 10:01:25</t>
  </si>
  <si>
    <t>Rudens g. 33, Vilniaus m., Vilniaus m. sav.</t>
  </si>
  <si>
    <t>2025-11-24 10:07:46</t>
  </si>
  <si>
    <t>2025-11-24 10:01:26</t>
  </si>
  <si>
    <t>A. Mickevičiaus g. 17, Vilniaus m., Vilniaus m. sav.</t>
  </si>
  <si>
    <t>2025-11-24 10:01:33</t>
  </si>
  <si>
    <t>2025-11-24 12:19:13</t>
  </si>
  <si>
    <t>2025-11-24 10:07:47</t>
  </si>
  <si>
    <t>2025-11-24 10:01:34</t>
  </si>
  <si>
    <t>2025-11-24 10:01:37</t>
  </si>
  <si>
    <t>S. Stanevičiaus g. 47, Vilniaus m., Vilniaus m. sav.</t>
  </si>
  <si>
    <t>2025-11-24 10:01:39</t>
  </si>
  <si>
    <t>2025-11-24 10:01:44</t>
  </si>
  <si>
    <t>Bajorų Kelio 1-oji g. 8, Vilniaus m., Vilniaus m. sav.</t>
  </si>
  <si>
    <t>2025-11-24 10:01:49</t>
  </si>
  <si>
    <t>2025-11-24 10:01:52</t>
  </si>
  <si>
    <t>2025-11-24 10:01:53</t>
  </si>
  <si>
    <t>2025-11-24 10:01:57</t>
  </si>
  <si>
    <t>2025-11-24 10:02:01</t>
  </si>
  <si>
    <t>Rudens g. 33B, Vilniaus m., Vilniaus m. sav.</t>
  </si>
  <si>
    <t>2025-11-24 10:07:49</t>
  </si>
  <si>
    <t>Melioratorių g. 30, Vilniaus m., Vilniaus m. sav.</t>
  </si>
  <si>
    <t>2025-11-24 10:02:06</t>
  </si>
  <si>
    <t>2025-11-24 10:02:07</t>
  </si>
  <si>
    <t>Melioratorių g. 32, Vilniaus m., Vilniaus m. sav.</t>
  </si>
  <si>
    <t>2025-11-24 10:02:13</t>
  </si>
  <si>
    <t>2025-11-24 10:02:17</t>
  </si>
  <si>
    <t>Kelmijos Sodų 28-oji g. 16B, Vilniaus m., Vilniaus m. sav.</t>
  </si>
  <si>
    <t>2025-11-24 10:02:20</t>
  </si>
  <si>
    <t>Loretos Asanavičiūtės g. 44, Vilniaus m., Vilniaus m. sav.</t>
  </si>
  <si>
    <t>2025-11-24 10:05:00</t>
  </si>
  <si>
    <t>Gilužio g. 61, Vilniaus m., Vilniaus m. sav.</t>
  </si>
  <si>
    <t>2025-11-24 10:02:30</t>
  </si>
  <si>
    <t>2025-11-24 10:07:53</t>
  </si>
  <si>
    <t>2025-11-24 10:02:38</t>
  </si>
  <si>
    <t>Bajorų Kelio 1-oji g. 11, Vilniaus m., Vilniaus m. sav.</t>
  </si>
  <si>
    <t>2025-11-24 10:10:32</t>
  </si>
  <si>
    <t>2025-11-24 10:02:46</t>
  </si>
  <si>
    <t>2025-11-24 10:03:52</t>
  </si>
  <si>
    <t>Bajorų Kelio 1-oji g. 4, Vilniaus m., Vilniaus m. sav.</t>
  </si>
  <si>
    <t>2025-11-24 10:02:47</t>
  </si>
  <si>
    <t>Gedimino pr. 2, Vilniaus m., Vilniaus m. sav.</t>
  </si>
  <si>
    <t>2025-11-24 10:02:48</t>
  </si>
  <si>
    <t>Vaidoto Daunio g. 33-1, Vilniaus m., Vilniaus m. sav.</t>
  </si>
  <si>
    <t>2025-11-24 10:02:49</t>
  </si>
  <si>
    <t>2025-11-24 10:02:55</t>
  </si>
  <si>
    <t>Melioratorių g. 44, Vilniaus m., Vilniaus m. sav.</t>
  </si>
  <si>
    <t>2025-11-24 10:07:15</t>
  </si>
  <si>
    <t>2025-11-24 10:02:56</t>
  </si>
  <si>
    <t>J. Tiškevičiaus g. 24, Vilniaus m., Vilniaus m. sav.</t>
  </si>
  <si>
    <t>2025-11-24 10:02:59</t>
  </si>
  <si>
    <t>Melioratorių g. 46-1, Vilniaus m., Vilniaus m. sav.</t>
  </si>
  <si>
    <t>2025-11-24 10:03:01</t>
  </si>
  <si>
    <t>2025-11-24 10:03:05</t>
  </si>
  <si>
    <t>Melioratorių g. 57, Vilniaus m., Vilniaus m. sav.</t>
  </si>
  <si>
    <t>2025-11-24 10:06:56</t>
  </si>
  <si>
    <t>2025-11-24 10:03:09</t>
  </si>
  <si>
    <t>Melioratorių g. 46, Vilniaus m., Vilniaus m. sav.</t>
  </si>
  <si>
    <t>2025-11-24 10:06:57</t>
  </si>
  <si>
    <t>2025-11-24 10:03:14</t>
  </si>
  <si>
    <t>Melioratorių g. 71, Vilniaus m., Vilniaus m. sav.</t>
  </si>
  <si>
    <t>2025-11-24 10:03:18</t>
  </si>
  <si>
    <t>Melioratorių g. 48, Vilniaus m., Vilniaus m. sav.</t>
  </si>
  <si>
    <t>2025-11-24 10:07:01</t>
  </si>
  <si>
    <t>2025-11-24 10:03:24</t>
  </si>
  <si>
    <t>Bajorų Kelio 1-oji g. 17, Vilniaus m., Vilniaus m. sav.</t>
  </si>
  <si>
    <t>2025-11-24 10:10:34</t>
  </si>
  <si>
    <t>Mechanikų g. 29, Vilniaus m., Vilniaus m. sav.</t>
  </si>
  <si>
    <t>2025-11-24 10:03:32</t>
  </si>
  <si>
    <t>2025-11-24 10:03:34</t>
  </si>
  <si>
    <t>2025-11-24 10:03:46</t>
  </si>
  <si>
    <t>2025-11-24 10:03:35</t>
  </si>
  <si>
    <t>Kelmijos Sodų 29-oji g. 9A, Vilniaus m., Vilniaus m. sav.</t>
  </si>
  <si>
    <t>2025-11-24 10:03:38</t>
  </si>
  <si>
    <t>Rudens g. 30A, Vilniaus m., Vilniaus m. sav.</t>
  </si>
  <si>
    <t>2025-11-24 10:07:54</t>
  </si>
  <si>
    <t>2025-11-24 10:03:40</t>
  </si>
  <si>
    <t>2025-11-24 10:03:41</t>
  </si>
  <si>
    <t>2025-11-24 10:03:43</t>
  </si>
  <si>
    <t>Vykinto g. 10A, Vilniaus m., Vilniaus m. sav.</t>
  </si>
  <si>
    <t>M. Jankaus g. 10, Vilniaus m., Vilniaus m. sav.</t>
  </si>
  <si>
    <t>2025-11-24 10:03:53</t>
  </si>
  <si>
    <t>Rudens g. 30D, Vilniaus m., Vilniaus m. sav.</t>
  </si>
  <si>
    <t>2025-11-24 10:07:57</t>
  </si>
  <si>
    <t>2025-11-24 10:03:54</t>
  </si>
  <si>
    <t>Bajorų Kelio 1-oji g. 10, Vilniaus m., Vilniaus m. sav.</t>
  </si>
  <si>
    <t>2025-11-24 10:10:35</t>
  </si>
  <si>
    <t>2025-11-24 10:03:55</t>
  </si>
  <si>
    <t>Kelmijos Sodų 29-oji g. 11, Vilniaus m., Vilniaus m. sav.</t>
  </si>
  <si>
    <t>2025-11-24 10:04:08</t>
  </si>
  <si>
    <t>2025-11-24 10:04:09</t>
  </si>
  <si>
    <t>2025-11-24 10:04:10</t>
  </si>
  <si>
    <t>Vilniaus m. DGA5</t>
  </si>
  <si>
    <t>2025-11-24 10:04:12</t>
  </si>
  <si>
    <t>2025-11-24 10:04:14</t>
  </si>
  <si>
    <t>Visorių Sodų 21-oji g. 14, Vilniaus m., Vilniaus m. sav.</t>
  </si>
  <si>
    <t>2025-11-24 10:04:16</t>
  </si>
  <si>
    <t>Mechanikų g. 39, Vilniaus m., Vilniaus m. sav.</t>
  </si>
  <si>
    <t>2025-11-24 10:04:19</t>
  </si>
  <si>
    <t>2025-11-24 10:04:20</t>
  </si>
  <si>
    <t>Žalioji g. 27, Vilniaus m., Vilniaus m. sav.</t>
  </si>
  <si>
    <t>Mechanikų g. 52, Vilniaus m., Vilniaus m. sav.</t>
  </si>
  <si>
    <t>2025-11-24 10:07:19</t>
  </si>
  <si>
    <t>2025-11-24 10:04:24</t>
  </si>
  <si>
    <t>2025-11-24 10:07:21</t>
  </si>
  <si>
    <t>2025-11-24 10:04:31</t>
  </si>
  <si>
    <t>Gilužio g. 35, Vilniaus m., Vilniaus m. sav.</t>
  </si>
  <si>
    <t>2025-11-24 10:04:32</t>
  </si>
  <si>
    <t>Visorių Sodų 18-oji g. 1, Vilniaus m., Vilniaus m. sav.</t>
  </si>
  <si>
    <t>2025-11-24 10:04:34</t>
  </si>
  <si>
    <t>2025-11-24 10:43:49</t>
  </si>
  <si>
    <t>S. Stanevičiaus g. 39, Vilniaus m., Vilniaus m. sav.</t>
  </si>
  <si>
    <t>2025-11-24 10:04:37</t>
  </si>
  <si>
    <t>2025-11-24 10:14:42</t>
  </si>
  <si>
    <t>2025-11-24 10:04:39</t>
  </si>
  <si>
    <t>Rudens g. 30E, Vilniaus m., Vilniaus m. sav.</t>
  </si>
  <si>
    <t>2025-11-24 10:07:59</t>
  </si>
  <si>
    <t>2025-11-24 10:04:41</t>
  </si>
  <si>
    <t>Kelmijos Sodų 29-oji g. 18, Vilniaus m., Vilniaus m. sav.</t>
  </si>
  <si>
    <t>2025-11-24 10:04:44</t>
  </si>
  <si>
    <t>2025-11-24 10:04:45</t>
  </si>
  <si>
    <t>Rudens g. 30B-2, Vilniaus m., Vilniaus m. sav.</t>
  </si>
  <si>
    <t>2025-11-24 10:08:02</t>
  </si>
  <si>
    <t>2025-11-24 10:04:46</t>
  </si>
  <si>
    <t>Bajorų Kelio 1-oji g. 19, Vilniaus m., Vilniaus m. sav.</t>
  </si>
  <si>
    <t>2025-11-24 10:04:48</t>
  </si>
  <si>
    <t>2025-11-24 10:05:01</t>
  </si>
  <si>
    <t>2025-11-24 10:04:49</t>
  </si>
  <si>
    <t>2025-11-24 10:04:52</t>
  </si>
  <si>
    <t>2025-11-24 10:04:54</t>
  </si>
  <si>
    <t>2025-11-24 10:04:55</t>
  </si>
  <si>
    <t>2025-11-24 10:04:56</t>
  </si>
  <si>
    <t>Bajorų Kelio 1-oji g. 12, Vilniaus m., Vilniaus m. sav.</t>
  </si>
  <si>
    <t>2025-11-24 10:17:01</t>
  </si>
  <si>
    <t>2025-11-24 10:05:08</t>
  </si>
  <si>
    <t>2025-11-24 10:05:14</t>
  </si>
  <si>
    <t>Rudens g. 30B-1, Vilniaus m., Vilniaus m. sav.</t>
  </si>
  <si>
    <t>2025-11-24 10:17:05</t>
  </si>
  <si>
    <t>2025-11-24 10:05:31</t>
  </si>
  <si>
    <t>Apso g. 2, Vilniaus m., Vilniaus m. sav.</t>
  </si>
  <si>
    <t>2025-11-24 10:05:46</t>
  </si>
  <si>
    <t>Stepono Batoro g. 78, Vilniaus m., Vilniaus m. sav.</t>
  </si>
  <si>
    <t>Uždaryti užtvarai/konteinerinės patalposNukopijuota į maršrutą nr. 300597 vartotojo Valytė Dremeikienė.</t>
  </si>
  <si>
    <t>2025-11-24 10:05:48</t>
  </si>
  <si>
    <t>Vaidoto Daunio g. 37, Vilniaus m., Vilniaus m. sav.</t>
  </si>
  <si>
    <t>2025-11-24 10:05:51</t>
  </si>
  <si>
    <t>Rudens g. 30C, Vilniaus m., Vilniaus m. sav.</t>
  </si>
  <si>
    <t>2025-11-24 10:06:01</t>
  </si>
  <si>
    <t>2025-11-24 10:06:04</t>
  </si>
  <si>
    <t>2025-11-24 10:06:05</t>
  </si>
  <si>
    <t>2025-11-24 10:06:10</t>
  </si>
  <si>
    <t>Bajorų Kelio 1-oji g. 14, Vilniaus m., Vilniaus m. sav.</t>
  </si>
  <si>
    <t>2025-11-24 10:06:11</t>
  </si>
  <si>
    <t>2025-11-24 10:06:12</t>
  </si>
  <si>
    <t>Vaidoto Daunio g. 40, Vilniaus m., Vilniaus m. sav.</t>
  </si>
  <si>
    <t>2025-11-24 10:06:17</t>
  </si>
  <si>
    <t>Apso g. 10, Vilniaus m., Vilniaus m. sav.</t>
  </si>
  <si>
    <t>2025-11-24 10:06:19</t>
  </si>
  <si>
    <t>2025-11-24 10:06:20</t>
  </si>
  <si>
    <t>Naugarduko g. 58, Vilniaus m., Vilniaus m. sav.</t>
  </si>
  <si>
    <t>2025-11-24 10:06:23</t>
  </si>
  <si>
    <t>S. Skapo g. 10, Vilniaus m., Vilniaus m. sav.</t>
  </si>
  <si>
    <t>2025-11-24 10:06:27</t>
  </si>
  <si>
    <t>Kelmijos Sodų 29-oji g. 31, Vilniaus m., Vilniaus m. sav.</t>
  </si>
  <si>
    <t>2025-11-24 10:06:29</t>
  </si>
  <si>
    <t>Apso g. 8, Vilniaus m., Vilniaus m. sav.</t>
  </si>
  <si>
    <t>2025-11-24 10:06:37</t>
  </si>
  <si>
    <t>2025-11-24 10:06:43</t>
  </si>
  <si>
    <t>Stepono Batoro g. 44, Vilniaus m., Vilniaus m. sav.</t>
  </si>
  <si>
    <t>2025-11-24 10:06:44</t>
  </si>
  <si>
    <t>2025-11-24 10:06:47</t>
  </si>
  <si>
    <t>Didlaukio g. 35, Vilniaus m., Vilniaus m. sav.</t>
  </si>
  <si>
    <t>2025-11-24 10:06:50</t>
  </si>
  <si>
    <t>2025-11-24 12:00:34</t>
  </si>
  <si>
    <t>Užubalių g. 9, Vilniaus m., Vilniaus m. sav.</t>
  </si>
  <si>
    <t>2025-11-24 10:06:53</t>
  </si>
  <si>
    <t>2025-11-24 10:06:55</t>
  </si>
  <si>
    <t>2025-11-24 10:17:23</t>
  </si>
  <si>
    <t>2025-11-24 10:06:58</t>
  </si>
  <si>
    <t>Justiniškių g. 14C-1, Vilniaus m., Vilniaus m. sav.</t>
  </si>
  <si>
    <t>2025-11-24 10:16:58</t>
  </si>
  <si>
    <t>2025-11-24 10:17:07</t>
  </si>
  <si>
    <t>2025-11-24 10:07:03</t>
  </si>
  <si>
    <t>2025-11-24 10:07:04</t>
  </si>
  <si>
    <t>Mykolo Sleževičiaus g. 13, Vilniaus m., Vilniaus m. sav.</t>
  </si>
  <si>
    <t>Vaidoto Daunio g. 48, Vilniaus m., Vilniaus m. sav.</t>
  </si>
  <si>
    <t>Vaidoto Daunio g. 46, Vilniaus m., Vilniaus m. sav.</t>
  </si>
  <si>
    <t>2025-11-24 10:07:08</t>
  </si>
  <si>
    <t>Sėlių g. 68A, Vilniaus m., Vilniaus m. sav.</t>
  </si>
  <si>
    <t>2025-11-24 10:07:11</t>
  </si>
  <si>
    <t>2025-11-24 10:14:43</t>
  </si>
  <si>
    <t>Kelmijos Sodų 29-oji g. 41, Vilniaus m., Vilniaus m. sav.</t>
  </si>
  <si>
    <t>Loretos Asanavičiūtės g. 38, Vilniaus m., Vilniaus m. sav.</t>
  </si>
  <si>
    <t>2025-11-24 10:07:18</t>
  </si>
  <si>
    <t>S. Stanevičiaus g. 35, Vilniaus m., Vilniaus m. sav.</t>
  </si>
  <si>
    <t>S. Skapo g. 5, Vilniaus m., Vilniaus m. sav.</t>
  </si>
  <si>
    <t>Apso g. 16, Vilniaus m., Vilniaus m. sav.</t>
  </si>
  <si>
    <t>2025-11-24 10:07:36</t>
  </si>
  <si>
    <t>Birutės g. 16, Vilniaus m., Vilniaus m. sav.</t>
  </si>
  <si>
    <t>Rudens g. 32A-1, Vilniaus m., Vilniaus m. sav.</t>
  </si>
  <si>
    <t>Bajorų Kelio 1-oji g. 20, Vilniaus m., Vilniaus m. sav.</t>
  </si>
  <si>
    <t>2025-11-24 10:07:51</t>
  </si>
  <si>
    <t>Apso g. 20, Vilniaus m., Vilniaus m. sav.</t>
  </si>
  <si>
    <t>Kelmijos Sodų 24-oji g. 5A, Vilniaus m., Vilniaus m. sav.</t>
  </si>
  <si>
    <t>2025-11-24 10:08:00</t>
  </si>
  <si>
    <t>Rudens g. 32-1, Vilniaus m., Vilniaus m. sav.</t>
  </si>
  <si>
    <t>Vaidoto Daunio g. 42, Vilniaus m., Vilniaus m. sav.</t>
  </si>
  <si>
    <t>2025-11-24 10:08:06</t>
  </si>
  <si>
    <t>Vaidoto Daunio g. 36, Vilniaus m., Vilniaus m. sav.</t>
  </si>
  <si>
    <t>2025-11-24 12:19:14</t>
  </si>
  <si>
    <t>2025-11-24 10:08:08</t>
  </si>
  <si>
    <t>Bajorų Kelio 1-oji g. 29, Vilniaus m., Vilniaus m. sav.</t>
  </si>
  <si>
    <t>Tolminkiemio g. 37, Vilniaus m., Vilniaus m. sav.</t>
  </si>
  <si>
    <t>2025-11-24 10:17:06</t>
  </si>
  <si>
    <t>2025-11-24 10:17:33</t>
  </si>
  <si>
    <t>2025-11-24 10:08:15</t>
  </si>
  <si>
    <t>Apso g. 22, Vilniaus m., Vilniaus m. sav.</t>
  </si>
  <si>
    <t>2025-11-24 10:08:19</t>
  </si>
  <si>
    <t>2025-11-24 10:08:28</t>
  </si>
  <si>
    <t>Vaidoto Daunio g. 52, Vilniaus m., Vilniaus m. sav.</t>
  </si>
  <si>
    <t>2025-11-24 10:08:33</t>
  </si>
  <si>
    <t>Kelmijos Sodų 24-oji g. 3A, Vilniaus m., Vilniaus m. sav.</t>
  </si>
  <si>
    <t>S. Stanevičiaus g. 29, Vilniaus m., Vilniaus m. sav.</t>
  </si>
  <si>
    <t>2025-11-24 10:08:37</t>
  </si>
  <si>
    <t>Kelmijos Sodų 30-oji g. 25, Vilniaus m., Vilniaus m. sav.</t>
  </si>
  <si>
    <t>2025-11-24 10:08:42</t>
  </si>
  <si>
    <t>Vaidoto Daunio g. 54, Vilniaus m., Vilniaus m. sav.</t>
  </si>
  <si>
    <t>2025-11-24 10:08:53</t>
  </si>
  <si>
    <t>2025-11-24 10:08:44</t>
  </si>
  <si>
    <t>2025-11-24 10:08:48</t>
  </si>
  <si>
    <t>2025-11-24 10:08:50</t>
  </si>
  <si>
    <t>Justiniškių g. 14B, Vilniaus m., Vilniaus m. sav.</t>
  </si>
  <si>
    <t>2025-11-24 10:08:51</t>
  </si>
  <si>
    <t>Apso g. 26, Vilniaus m., Vilniaus m. sav.</t>
  </si>
  <si>
    <t>2025-11-24 10:08:55</t>
  </si>
  <si>
    <t>Stepono Batoro g. 40, Vilniaus m., Vilniaus m. sav.</t>
  </si>
  <si>
    <t>2025-11-24 10:19:10</t>
  </si>
  <si>
    <t>2025-11-24 10:08:58</t>
  </si>
  <si>
    <t>Vaidoto Daunio g. 66, Vilniaus m., Vilniaus m. sav.</t>
  </si>
  <si>
    <t>2025-11-24 10:09:00</t>
  </si>
  <si>
    <t>2025-11-24 10:09:05</t>
  </si>
  <si>
    <t>S. Skapo g. 3, Vilniaus m., Vilniaus m. sav.</t>
  </si>
  <si>
    <t>Apso g. 28, Vilniaus m., Vilniaus m. sav.</t>
  </si>
  <si>
    <t>2025-11-24 10:09:12</t>
  </si>
  <si>
    <t>Birutės g. 20A, Vilniaus m., Vilniaus m. sav.</t>
  </si>
  <si>
    <t>2025-11-24 10:09:16</t>
  </si>
  <si>
    <t>Vaidoto Daunio g. 70, Vilniaus m., Vilniaus m. sav.</t>
  </si>
  <si>
    <t>2025-11-24 10:09:27</t>
  </si>
  <si>
    <t>S. Skapo g. 8, Vilniaus m., Vilniaus m. sav.</t>
  </si>
  <si>
    <t>2025-11-24 10:09:30</t>
  </si>
  <si>
    <t>2025-11-24 10:09:31</t>
  </si>
  <si>
    <t>Rudens g. 33D, Vilniaus m., Vilniaus m. sav.</t>
  </si>
  <si>
    <t>2025-11-24 10:09:36</t>
  </si>
  <si>
    <t>Vaidoto Daunio g. 56, Vilniaus m., Vilniaus m. sav.</t>
  </si>
  <si>
    <t>2025-11-24 10:17:37</t>
  </si>
  <si>
    <t>2025-11-24 10:09:38</t>
  </si>
  <si>
    <t>Bajorų Kelio 1-oji g. 35, Vilniaus m., Vilniaus m. sav.</t>
  </si>
  <si>
    <t>2025-11-24 10:09:49</t>
  </si>
  <si>
    <t>Loretos Asanavičiūtės g. 36, Vilniaus m., Vilniaus m. sav.</t>
  </si>
  <si>
    <t>2025-11-24 10:09:50</t>
  </si>
  <si>
    <t>2025-11-24 10:09:51</t>
  </si>
  <si>
    <t>2025-11-24 10:09:54</t>
  </si>
  <si>
    <t>Vaidoto Daunio g. 62, Vilniaus m., Vilniaus m. sav.</t>
  </si>
  <si>
    <t>2025-11-24 10:10:04</t>
  </si>
  <si>
    <t>2025-11-24 10:09:57</t>
  </si>
  <si>
    <t>2025-11-24 10:17:39</t>
  </si>
  <si>
    <t>2025-11-24 10:10:07</t>
  </si>
  <si>
    <t>Apso g. 24, Vilniaus m., Vilniaus m. sav.</t>
  </si>
  <si>
    <t>2025-11-24 10:10:08</t>
  </si>
  <si>
    <t>2025-11-24 10:17:08</t>
  </si>
  <si>
    <t>2025-11-24 10:10:14</t>
  </si>
  <si>
    <t>Vaidoto Daunio g. 68, Vilniaus m., Vilniaus m. sav.</t>
  </si>
  <si>
    <t>Bajorų Kelio 1-oji g. 24, Vilniaus m., Vilniaus m. sav.</t>
  </si>
  <si>
    <t>2025-11-24 10:10:22</t>
  </si>
  <si>
    <t>Rudens g. 31A, Vilniaus m., Vilniaus m. sav.</t>
  </si>
  <si>
    <t>2025-11-24 10:10:24</t>
  </si>
  <si>
    <t>2025-11-24 10:56:18</t>
  </si>
  <si>
    <t>Justiniškių g. 10, Vilniaus m., Vilniaus m. sav.</t>
  </si>
  <si>
    <t>2025-11-24 10:55:34</t>
  </si>
  <si>
    <t>2025-11-24 10:17:42</t>
  </si>
  <si>
    <t>A. Mickevičiaus g. 20, Vilniaus m., Vilniaus m. sav.</t>
  </si>
  <si>
    <t>2025-11-24 10:10:51</t>
  </si>
  <si>
    <t>2025-11-24 10:10:54</t>
  </si>
  <si>
    <t>Vaidoto Daunio g. 78, Vilniaus m., Vilniaus m. sav.</t>
  </si>
  <si>
    <t>2025-11-24 10:10:58</t>
  </si>
  <si>
    <t>Bajorų Kelio 1-oji g. 26, Vilniaus m., Vilniaus m. sav.</t>
  </si>
  <si>
    <t>Rudens g. 31, Vilniaus m., Vilniaus m. sav.</t>
  </si>
  <si>
    <t>2025-11-24 10:17:43</t>
  </si>
  <si>
    <t>2025-11-24 10:10:59</t>
  </si>
  <si>
    <t>2025-11-24 10:11:00</t>
  </si>
  <si>
    <t>Vaidoto Daunio g. 78-2, Vilniaus m., Vilniaus m. sav.</t>
  </si>
  <si>
    <t>2025-11-24 10:11:01</t>
  </si>
  <si>
    <t>A. Mickevičiaus g. 23, Vilniaus m., Vilniaus m. sav.</t>
  </si>
  <si>
    <t>2025-11-24 10:11:03</t>
  </si>
  <si>
    <t>S. Skapo g. 6, Vilniaus m., Vilniaus m. sav.</t>
  </si>
  <si>
    <t>2025-11-24 10:11:09</t>
  </si>
  <si>
    <t>2025-11-24 10:11:13</t>
  </si>
  <si>
    <t>Dusinėnų g. 23, Vilniaus m., Vilniaus m. sav.</t>
  </si>
  <si>
    <t>2025-11-24 10:11:17</t>
  </si>
  <si>
    <t>Pilkalnio g. 20, Vilniaus m., Vilniaus m. sav.</t>
  </si>
  <si>
    <t>2025-11-24 10:11:24</t>
  </si>
  <si>
    <t>2025-11-24 10:11:27</t>
  </si>
  <si>
    <t>Dusinėnų g. 25, Vilniaus m., Vilniaus m. sav.</t>
  </si>
  <si>
    <t>2025-11-24 10:11:30</t>
  </si>
  <si>
    <t>Bajorų Kelio 1-oji g. 43, Vilniaus m., Vilniaus m. sav.</t>
  </si>
  <si>
    <t>2025-11-24 10:11:32</t>
  </si>
  <si>
    <t>Vinkšnų g. 6, Vilniaus m., Vilniaus m. sav.</t>
  </si>
  <si>
    <t>2025-11-24 10:11:33</t>
  </si>
  <si>
    <t>Dusinėnų g. 27, Vilniaus m., Vilniaus m. sav.</t>
  </si>
  <si>
    <t>2025-11-24 10:11:36</t>
  </si>
  <si>
    <t>Didlaukio g. 23, Vilniaus m., Vilniaus m. sav.</t>
  </si>
  <si>
    <t>2025-11-24 10:11:40</t>
  </si>
  <si>
    <t>S. Stanevičiaus g. 15, Vilniaus m., Vilniaus m. sav.</t>
  </si>
  <si>
    <t>2025-11-24 10:11:44</t>
  </si>
  <si>
    <t>Rudens g. 29A, Vilniaus m., Vilniaus m. sav.</t>
  </si>
  <si>
    <t>2025-11-24 10:11:45</t>
  </si>
  <si>
    <t>2025-11-24 10:17:47</t>
  </si>
  <si>
    <t>2025-11-24 10:11:48</t>
  </si>
  <si>
    <t>2025-11-24 11:16:26</t>
  </si>
  <si>
    <t>2025-11-24 10:11:50</t>
  </si>
  <si>
    <t>Bajorų Kelio 1-oji g. 28, Vilniaus m., Vilniaus m. sav.</t>
  </si>
  <si>
    <t>2025-11-24 10:11:54</t>
  </si>
  <si>
    <t>2025-11-24 10:11:57</t>
  </si>
  <si>
    <t>2025-11-24 10:11:59</t>
  </si>
  <si>
    <t>Gamyklos g. 16, Vilniaus m., Vilniaus m. sav.</t>
  </si>
  <si>
    <t>2025-11-24 10:12:00</t>
  </si>
  <si>
    <t>2025-11-24 10:12:13</t>
  </si>
  <si>
    <t>Vėtrungių g.  16, Vilniaus m., Vilniaus m. sav.</t>
  </si>
  <si>
    <t>2025-11-24 10:12:15</t>
  </si>
  <si>
    <t>2025-11-24 10:17:49</t>
  </si>
  <si>
    <t>Dusinėnų g. 36, Vilniaus m., Vilniaus m. sav.</t>
  </si>
  <si>
    <t>2025-11-24 10:12:17</t>
  </si>
  <si>
    <t>2025-11-24 10:12:20</t>
  </si>
  <si>
    <t>2025-11-24 10:12:21</t>
  </si>
  <si>
    <t>Dusinėnų g. 38, Vilniaus m., Vilniaus m. sav.</t>
  </si>
  <si>
    <t>2025-11-24 10:12:23</t>
  </si>
  <si>
    <t>2025-11-24 12:15:45</t>
  </si>
  <si>
    <t>2025-11-24 10:12:25</t>
  </si>
  <si>
    <t>2025-11-24 10:12:26</t>
  </si>
  <si>
    <t>Mykolo Sleževičiaus g. 7, Vilniaus m., Vilniaus m. sav.</t>
  </si>
  <si>
    <t>2025-11-24 10:12:35</t>
  </si>
  <si>
    <t>2025-11-24 10:12:39</t>
  </si>
  <si>
    <t>Bajorų Kelio 1-oji g. 49, Vilniaus m., Vilniaus m. sav.</t>
  </si>
  <si>
    <t>2025-11-24 10:12:44</t>
  </si>
  <si>
    <t>2025-11-24 10:12:46</t>
  </si>
  <si>
    <t>Rolando Jankausko g. 11, Vilniaus m., Vilniaus m. sav.</t>
  </si>
  <si>
    <t>2025-11-24 10:16:56</t>
  </si>
  <si>
    <t>2025-11-24 10:17:52</t>
  </si>
  <si>
    <t>Rudens g. 29B-1, Vilniaus m., Vilniaus m. sav.</t>
  </si>
  <si>
    <t>2025-11-24 10:12:59</t>
  </si>
  <si>
    <t>Rudens g. 29, Vilniaus m., Vilniaus m. sav.</t>
  </si>
  <si>
    <t>2025-11-24 10:13:04</t>
  </si>
  <si>
    <t>2025-11-24 10:17:57</t>
  </si>
  <si>
    <t>2025-11-24 10:13:06</t>
  </si>
  <si>
    <t>2025-11-24 10:13:07</t>
  </si>
  <si>
    <t>Traidenio g. 28, Vilniaus m., Vilniaus m. sav.</t>
  </si>
  <si>
    <t>2025-11-24 10:13:11</t>
  </si>
  <si>
    <t>Bajorų Kelio 1-oji g. 32, Vilniaus m., Vilniaus m. sav.</t>
  </si>
  <si>
    <t>Trobų g. 10, Vilniaus m., Vilniaus m. sav.</t>
  </si>
  <si>
    <t>2025-11-24 10:13:15</t>
  </si>
  <si>
    <t>2025-11-24 10:13:18</t>
  </si>
  <si>
    <t>M. Počobuto g. 2, Vilniaus m., Vilniaus m. sav.</t>
  </si>
  <si>
    <t>2025-11-24 10:13:19</t>
  </si>
  <si>
    <t>Rudens g. 29B-2, Vilniaus m., Vilniaus m. sav.</t>
  </si>
  <si>
    <t>2025-11-24 10:13:22</t>
  </si>
  <si>
    <t>S. Stanevičiaus g. 19, Vilniaus m., Vilniaus m. sav.</t>
  </si>
  <si>
    <t>2025-11-24 10:13:23</t>
  </si>
  <si>
    <t>2025-11-24 10:13:25</t>
  </si>
  <si>
    <t>2025-11-24 10:13:26</t>
  </si>
  <si>
    <t>Didžioji g. 5, Vilniaus m., Vilniaus m. sav.</t>
  </si>
  <si>
    <t>2025-11-24 10:13:27</t>
  </si>
  <si>
    <t>2025-11-24 10:13:29</t>
  </si>
  <si>
    <t>Kalvarijų g. 1, Vilniaus m., Vilniaus m. sav.</t>
  </si>
  <si>
    <t>2025-11-24 10:13:30</t>
  </si>
  <si>
    <t>2025-11-24 10:13:33</t>
  </si>
  <si>
    <t>Trobų g. 8, Vilniaus m., Vilniaus m. sav.</t>
  </si>
  <si>
    <t>2025-11-24 10:13:40</t>
  </si>
  <si>
    <t>2025-11-24 10:13:50</t>
  </si>
  <si>
    <t>2025-11-24 10:13:56</t>
  </si>
  <si>
    <t>2025-11-24 10:13:57</t>
  </si>
  <si>
    <t>Kelmijos Sodų 33-ioji g. 46, Vilniaus m., Vilniaus m. sav.</t>
  </si>
  <si>
    <t>2025-11-24 10:14:00</t>
  </si>
  <si>
    <t>2025-11-24 10:14:01</t>
  </si>
  <si>
    <t>Saulėtekio al. 39A, Vilniaus m., Vilniaus m. sav.</t>
  </si>
  <si>
    <t>Saulėtekio al. 48A, Vilniaus m., Vilniaus m. sav.</t>
  </si>
  <si>
    <t>Trobų g. 6, Vilniaus m., Vilniaus m. sav.</t>
  </si>
  <si>
    <t>2025-11-24 10:22:52</t>
  </si>
  <si>
    <t>Traidenio g. 34, Vilniaus m., Vilniaus m. sav.</t>
  </si>
  <si>
    <t>2025-11-24 10:14:23</t>
  </si>
  <si>
    <t>Švitrigailos g. 36, Vilniaus m., Vilniaus m. sav.</t>
  </si>
  <si>
    <t>2025-11-24 10:14:25</t>
  </si>
  <si>
    <t>2025-11-24 10:14:32</t>
  </si>
  <si>
    <t>2025-11-24 10:14:33</t>
  </si>
  <si>
    <t>Filaretų g. 83B, Vilniaus m., Vilniaus m. sav.</t>
  </si>
  <si>
    <t>2025-11-24 10:14:36</t>
  </si>
  <si>
    <t>2025-11-24 10:14:37</t>
  </si>
  <si>
    <t>2025-11-24 10:14:39</t>
  </si>
  <si>
    <t>Trobų g. 4, Vilniaus m., Vilniaus m. sav.</t>
  </si>
  <si>
    <t>Medeinos g. 3, Vilniaus m., Vilniaus m. sav.</t>
  </si>
  <si>
    <t>2025-11-24 10:14:53</t>
  </si>
  <si>
    <t>Trobų g. 2, Vilniaus m., Vilniaus m. sav.</t>
  </si>
  <si>
    <t>2025-11-24 10:15:04</t>
  </si>
  <si>
    <t>Žalioji a. 3, Vilniaus m., Vilniaus m. sav.</t>
  </si>
  <si>
    <t>2025-11-24 10:15:07</t>
  </si>
  <si>
    <t>2025-11-24 10:22:39</t>
  </si>
  <si>
    <t>2025-11-24 10:15:11</t>
  </si>
  <si>
    <t>Bajorų Kelio 1-oji g. 47, Vilniaus m., Vilniaus m. sav.</t>
  </si>
  <si>
    <t>Žirmūnų g. 6, Vilniaus m., Vilniaus m. sav.</t>
  </si>
  <si>
    <t>2025-11-24 10:15:18</t>
  </si>
  <si>
    <t>Gamyklos g. 8, Vilniaus m., Vilniaus m. sav.</t>
  </si>
  <si>
    <t>2025-11-24 10:15:20</t>
  </si>
  <si>
    <t>Filaretų g. 83-1, Vilniaus m., Vilniaus m. sav.</t>
  </si>
  <si>
    <t>2025-11-24 10:15:32</t>
  </si>
  <si>
    <t>Visorių Sodų 23-ioji g. 7, Vilniaus m., Vilniaus m. sav.</t>
  </si>
  <si>
    <t>Visorių Sodų 23-ioji g. 8, Vilniaus m., Vilniaus m. sav.</t>
  </si>
  <si>
    <t>2025-11-24 10:15:33</t>
  </si>
  <si>
    <t>Bajorų Kelio 1-oji g. 53, Vilniaus m., Vilniaus m. sav.</t>
  </si>
  <si>
    <t>2025-11-24 10:15:39</t>
  </si>
  <si>
    <t>Katros g 11-1, Vilniaus m., Vilniaus m. sav.</t>
  </si>
  <si>
    <t>2025-11-24 10:15:43</t>
  </si>
  <si>
    <t>2025-11-24 10:15:45</t>
  </si>
  <si>
    <t>Katros g. 11, Vilniaus m., Vilniaus m. sav.</t>
  </si>
  <si>
    <t>2025-11-24 10:15:51</t>
  </si>
  <si>
    <t>Žvejų g. 14, Vilniaus m., Vilniaus m. sav.</t>
  </si>
  <si>
    <t>2025-11-24 10:16:11</t>
  </si>
  <si>
    <t>Rolando Jankausko g. 15, Vilniaus m., Vilniaus m. sav.</t>
  </si>
  <si>
    <t>2025-11-24 10:16:15</t>
  </si>
  <si>
    <t>2025-11-24 10:18:07</t>
  </si>
  <si>
    <t>Filaretų g. 36, Vilniaus m., Vilniaus m. sav.</t>
  </si>
  <si>
    <t>2025-11-24 10:16:17</t>
  </si>
  <si>
    <t>Visorių Sodų 23-ioji g. 6, Vilniaus m., Vilniaus m. sav.</t>
  </si>
  <si>
    <t>2025-11-24 10:16:32</t>
  </si>
  <si>
    <t>2025-11-24 10:16:33</t>
  </si>
  <si>
    <t>Katros g. 7, Vilniaus m., Vilniaus m. sav.</t>
  </si>
  <si>
    <t>2025-11-24 10:16:41</t>
  </si>
  <si>
    <t>2025-11-24 10:27:56</t>
  </si>
  <si>
    <t>2025-11-24 10:16:48</t>
  </si>
  <si>
    <t>Blindžių g. 31, Vilniaus m., Vilniaus m. sav.</t>
  </si>
  <si>
    <t>2025-11-24 10:16:51</t>
  </si>
  <si>
    <t>Filaretų g. 81A, Vilniaus m., Vilniaus m. sav.</t>
  </si>
  <si>
    <t>Filaretų g. 83-2, Vilniaus m., Vilniaus m. sav.</t>
  </si>
  <si>
    <t>2025-11-24 10:29:05</t>
  </si>
  <si>
    <t>2025-11-24 10:27:52</t>
  </si>
  <si>
    <t>2025-11-24 10:29:10</t>
  </si>
  <si>
    <t>2025-11-24 10:17:04</t>
  </si>
  <si>
    <t>S. Stanevičiaus g. 5, Vilniaus m., Vilniaus m. sav.</t>
  </si>
  <si>
    <t>Saulėtekio al. 61, Vilniaus m., Vilniaus m. sav.</t>
  </si>
  <si>
    <t>Pilkalnio g. 45, Vilniaus m., Vilniaus m. sav.</t>
  </si>
  <si>
    <t>V. A. Graičiūno g. 28, Vilniaus m., Vilniaus m. sav.</t>
  </si>
  <si>
    <t>Mechanikų g. 7H, Vilniaus m., Vilniaus m. sav.</t>
  </si>
  <si>
    <t>2025-11-24 10:17:17</t>
  </si>
  <si>
    <t>Žirmūnų g. 8, Vilniaus m., Vilniaus m. sav.</t>
  </si>
  <si>
    <t>Kelmijos Sodų 30-oji g. 31, Vilniaus m., Vilniaus m. sav.</t>
  </si>
  <si>
    <t>Žirmūnų g. 18, Vilniaus m., Vilniaus m. sav.</t>
  </si>
  <si>
    <t>Bajorų Kelio 1-oji g. 36, Vilniaus m., Vilniaus m. sav.</t>
  </si>
  <si>
    <t>2025-11-24 10:17:44</t>
  </si>
  <si>
    <t>2025-11-24 10:56:09</t>
  </si>
  <si>
    <t>Bajorų Kelio 1-oji g. 44, Vilniaus m., Vilniaus m. sav.</t>
  </si>
  <si>
    <t>Pušyno kel. 2, Vilniaus m., Vilniaus m. sav.</t>
  </si>
  <si>
    <t>Mechanikų g. 7, Vilniaus m., Vilniaus m. sav.</t>
  </si>
  <si>
    <t>2025-11-24 10:18:12</t>
  </si>
  <si>
    <t>Rinktinės g. 2, Vilniaus m., Vilniaus m. sav.</t>
  </si>
  <si>
    <t>2025-11-24 10:18:13</t>
  </si>
  <si>
    <t>2025-11-24 10:18:19</t>
  </si>
  <si>
    <t>2025-11-24 10:18:20</t>
  </si>
  <si>
    <t>Taikos g. 70, Vilniaus m., Vilniaus m. sav.</t>
  </si>
  <si>
    <t>2025-11-24 10:18:24</t>
  </si>
  <si>
    <t>2025-11-24 10:18:25</t>
  </si>
  <si>
    <t>Šleževičiaus g. 7, Vilniaus m., Vilniaus m. sav.</t>
  </si>
  <si>
    <t>2025-11-24 10:27:58</t>
  </si>
  <si>
    <t>Latvių g. 20, Vilniaus m., Vilniaus m. sav.</t>
  </si>
  <si>
    <t>Onos Lukauskaitės-Poškienės g. 26, Vilniaus m., Vilniaus m. sav.</t>
  </si>
  <si>
    <t>2025-11-24 10:18:27</t>
  </si>
  <si>
    <t>2025-11-24 10:18:28</t>
  </si>
  <si>
    <t>2025-11-24 10:30:55</t>
  </si>
  <si>
    <t>2025-11-24 10:18:33</t>
  </si>
  <si>
    <t>2025-11-24 10:18:35</t>
  </si>
  <si>
    <t>2025-11-24 10:18:42</t>
  </si>
  <si>
    <t>2025-11-24 10:18:45</t>
  </si>
  <si>
    <t>2025-11-24 10:24:10</t>
  </si>
  <si>
    <t>Bajorų Kelio 1-oji g. 48, Vilniaus m., Vilniaus m. sav.</t>
  </si>
  <si>
    <t>2025-11-24 10:18:48</t>
  </si>
  <si>
    <t>2025-11-24 10:18:49</t>
  </si>
  <si>
    <t>2025-11-24 10:18:51</t>
  </si>
  <si>
    <t>2025-11-24 10:18:53</t>
  </si>
  <si>
    <t>2025-11-24 10:24:11</t>
  </si>
  <si>
    <t>2025-11-24 11:16:31</t>
  </si>
  <si>
    <t>2025-11-24 10:18:57</t>
  </si>
  <si>
    <t>Naugarduko g. 25, Vilniaus m., Vilniaus m. sav.</t>
  </si>
  <si>
    <t>2025-11-24 10:18:59</t>
  </si>
  <si>
    <t>2025-11-24 10:19:02</t>
  </si>
  <si>
    <t>Mechanikų g. 9A, Vilniaus m., Vilniaus m. sav.</t>
  </si>
  <si>
    <t>2025-11-24 10:19:03</t>
  </si>
  <si>
    <t>Dusinėnų g. 21, Vilniaus m., Vilniaus m. sav.</t>
  </si>
  <si>
    <t>2025-11-24 10:19:04</t>
  </si>
  <si>
    <t>Filaretų g. 79, Vilniaus m., Vilniaus m. sav.</t>
  </si>
  <si>
    <t>2025-11-24 10:30:58</t>
  </si>
  <si>
    <t>2025-11-24 10:19:05</t>
  </si>
  <si>
    <t>2025-11-24 10:19:15</t>
  </si>
  <si>
    <t>Onos Lukauskaitės-Poškienės g. 24-2, Vilniaus m., Vilniaus m. sav.</t>
  </si>
  <si>
    <t>2025-11-24 10:19:19</t>
  </si>
  <si>
    <t>Mechanikų g. 28, Vilniaus m., Vilniaus m. sav.</t>
  </si>
  <si>
    <t>2025-11-24 10:27:14</t>
  </si>
  <si>
    <t>2025-11-24 10:19:20</t>
  </si>
  <si>
    <t>Baltupio g. 51, Vilniaus m., Vilniaus m. sav.</t>
  </si>
  <si>
    <t>2025-11-24 10:19:21</t>
  </si>
  <si>
    <t>Salininkų g. 129A, Vilniaus m., Vilniaus m. sav.</t>
  </si>
  <si>
    <t>Kelmijos Sodų 30-oji g. 6, Vilniaus m., Vilniaus m. sav.</t>
  </si>
  <si>
    <t>2025-11-24 10:27:17</t>
  </si>
  <si>
    <t>2025-11-24 10:19:22</t>
  </si>
  <si>
    <t>2025-11-24 10:29:15</t>
  </si>
  <si>
    <t>2025-11-24 10:19:34</t>
  </si>
  <si>
    <t>Mechanikų g. 9, Vilniaus m., Vilniaus m. sav.</t>
  </si>
  <si>
    <t>2025-11-24 10:19:40</t>
  </si>
  <si>
    <t>2025-11-24 12:19:19</t>
  </si>
  <si>
    <t>2025-11-24 10:31:00</t>
  </si>
  <si>
    <t>2025-11-24 10:19:41</t>
  </si>
  <si>
    <t>Bajorų Kelio 1-oji g. 59, Vilniaus m., Vilniaus m. sav.</t>
  </si>
  <si>
    <t>2025-11-24 10:19:44</t>
  </si>
  <si>
    <t>2025-11-24 10:19:48</t>
  </si>
  <si>
    <t>Loretos Asanavičiūtės g. 18, Vilniaus m., Vilniaus m. sav.</t>
  </si>
  <si>
    <t>2025-11-24 10:19:49</t>
  </si>
  <si>
    <t>Dusinėnų g. 19, Vilniaus m., Vilniaus m. sav.</t>
  </si>
  <si>
    <t>2025-11-24 10:19:50</t>
  </si>
  <si>
    <t>2025-11-24 10:19:55</t>
  </si>
  <si>
    <t>2025-11-24 10:52:44</t>
  </si>
  <si>
    <t>Onos Lukauskaitės-Poškienės g. 24-1, Vilniaus m., Vilniaus m. sav.</t>
  </si>
  <si>
    <t>2025-11-24 10:31:02</t>
  </si>
  <si>
    <t>2025-11-24 10:19:58</t>
  </si>
  <si>
    <t>Švarco g. 1, Vilniaus m., Vilniaus m. sav.</t>
  </si>
  <si>
    <t>Pylimėlių g. 7D, Vilniaus m., Vilniaus m. sav.</t>
  </si>
  <si>
    <t>2025-11-24 10:20:01</t>
  </si>
  <si>
    <t>Bajorų Kelio 1-oji g. 57, Vilniaus m., Vilniaus m. sav.</t>
  </si>
  <si>
    <t>Bajorų Kelio 1-oji g. 60, Vilniaus m., Vilniaus m. sav.</t>
  </si>
  <si>
    <t>2025-11-24 10:20:03</t>
  </si>
  <si>
    <t>Ateities g. 25B, Vilniaus m., Vilniaus m. sav.</t>
  </si>
  <si>
    <t>2025-11-24 10:20:07</t>
  </si>
  <si>
    <t>2025-11-24 10:20:12</t>
  </si>
  <si>
    <t>2025-11-24 10:20:16</t>
  </si>
  <si>
    <t>2025-11-24 10:20:21</t>
  </si>
  <si>
    <t>2025-11-24 10:20:29</t>
  </si>
  <si>
    <t>Dusinėnų g. 17, Vilniaus m., Vilniaus m. sav.</t>
  </si>
  <si>
    <t>2025-11-24 10:20:30</t>
  </si>
  <si>
    <t>Olandų g. 16, Vilniaus m., Vilniaus m. sav.</t>
  </si>
  <si>
    <t>2025-11-24 10:20:35</t>
  </si>
  <si>
    <t>Onos Lukauskaitės-Poškienės g. 22-1, Vilniaus m., Vilniaus m. sav.</t>
  </si>
  <si>
    <t>2025-11-24 10:31:07</t>
  </si>
  <si>
    <t>2025-11-24 10:20:38</t>
  </si>
  <si>
    <t>Mechanikų g. 15A, Vilniaus m., Vilniaus m. sav.</t>
  </si>
  <si>
    <t>2025-11-24 10:20:40</t>
  </si>
  <si>
    <t>Latvių g. 50, Vilniaus m., Vilniaus m. sav.</t>
  </si>
  <si>
    <t>2025-11-24 10:20:52</t>
  </si>
  <si>
    <t>2025-11-24 10:20:57</t>
  </si>
  <si>
    <t>Filaretų g. 77A, Vilniaus m., Vilniaus m. sav.</t>
  </si>
  <si>
    <t>2025-11-24 10:20:58</t>
  </si>
  <si>
    <t>2025-11-24 10:21:05</t>
  </si>
  <si>
    <t>Dusinėnų g. 15, Vilniaus m., Vilniaus m. sav.</t>
  </si>
  <si>
    <t>2025-11-24 10:21:06</t>
  </si>
  <si>
    <t>Pušyno kel. 23, Vilniaus m., Vilniaus m. sav.</t>
  </si>
  <si>
    <t>2025-11-24 11:04:28</t>
  </si>
  <si>
    <t>2025-11-24 10:21:11</t>
  </si>
  <si>
    <t>2025-11-24 10:21:13</t>
  </si>
  <si>
    <t>2025-11-24 10:21:14</t>
  </si>
  <si>
    <t>Mechanikų g. 15, Vilniaus m., Vilniaus m. sav.</t>
  </si>
  <si>
    <t>2025-11-24 10:21:17</t>
  </si>
  <si>
    <t>2025-11-24 10:21:19</t>
  </si>
  <si>
    <t>2025-11-24 10:21:20</t>
  </si>
  <si>
    <t>2025-11-24 10:21:21</t>
  </si>
  <si>
    <t>Dusinėnų g. 20, Vilniaus m., Vilniaus m. sav.</t>
  </si>
  <si>
    <t>2025-11-24 10:21:27</t>
  </si>
  <si>
    <t>2025-11-24 10:21:32</t>
  </si>
  <si>
    <t>2025-11-24 10:21:33</t>
  </si>
  <si>
    <t>2025-11-24 10:21:39</t>
  </si>
  <si>
    <t>Dusinėnų g. 18, Vilniaus m., Vilniaus m. sav.</t>
  </si>
  <si>
    <t>2025-11-24 10:29:03</t>
  </si>
  <si>
    <t>2025-11-24 10:21:40</t>
  </si>
  <si>
    <t>Pylimėlių g. 26, Vilniaus m., Vilniaus m. sav.</t>
  </si>
  <si>
    <t>2025-11-24 10:21:45</t>
  </si>
  <si>
    <t>Onos Lukauskaitės-Poškienės g. 18-1, Vilniaus m., Vilniaus m. sav.</t>
  </si>
  <si>
    <t>2025-11-24 10:21:49</t>
  </si>
  <si>
    <t>Dusinėnų g. 13, Vilniaus m., Vilniaus m. sav.</t>
  </si>
  <si>
    <t>2025-11-24 10:21:50</t>
  </si>
  <si>
    <t>Mechanikų g. 17, Vilniaus m., Vilniaus m. sav.</t>
  </si>
  <si>
    <t>2025-11-24 10:21:58</t>
  </si>
  <si>
    <t>Mechanikų g. 26, Vilniaus m., Vilniaus m. sav.</t>
  </si>
  <si>
    <t>2025-11-24 10:22:01</t>
  </si>
  <si>
    <t>Onos Lukauskaitės-Poškienės g. 18-2, Vilniaus m., Vilniaus m. sav.</t>
  </si>
  <si>
    <t>2025-11-24 10:22:09</t>
  </si>
  <si>
    <t>Pranciškaus Žvirkos g. 1, Vilniaus m., Vilniaus m. sav.</t>
  </si>
  <si>
    <t>2025-11-24 10:22:11</t>
  </si>
  <si>
    <t>Žirmūnų g. 26, Vilniaus m., Vilniaus m. sav.</t>
  </si>
  <si>
    <t>2025-11-24 10:22:12</t>
  </si>
  <si>
    <t>Mechanikų g. 32, Vilniaus m., Vilniaus m. sav.</t>
  </si>
  <si>
    <t>2025-11-24 10:22:13</t>
  </si>
  <si>
    <t>2025-11-24 10:22:15</t>
  </si>
  <si>
    <t>2025-11-24 10:22:18</t>
  </si>
  <si>
    <t>Mechanikų g. 19, Vilniaus m., Vilniaus m. sav.</t>
  </si>
  <si>
    <t>2025-11-24 10:29:00</t>
  </si>
  <si>
    <t>2025-11-24 10:22:19</t>
  </si>
  <si>
    <t>2025-11-24 12:08:04</t>
  </si>
  <si>
    <t>Filaretų g. 77, Vilniaus m., Vilniaus m. sav.</t>
  </si>
  <si>
    <t>2025-11-24 10:22:24</t>
  </si>
  <si>
    <t>Filaretų g. 77-1, Vilniaus m., Vilniaus m. sav.</t>
  </si>
  <si>
    <t>2025-11-24 10:32:54</t>
  </si>
  <si>
    <t>2025-11-24 10:22:25</t>
  </si>
  <si>
    <t>2025-11-24 10:22:28</t>
  </si>
  <si>
    <t>Laisvės pr. 46, Vilniaus m., Vilniaus m. sav.</t>
  </si>
  <si>
    <t>2025-11-24 10:22:31</t>
  </si>
  <si>
    <t>Gineitiškių g. 29C, Vilniaus m., Vilniaus m. sav.</t>
  </si>
  <si>
    <t>2025-11-24 10:29:11</t>
  </si>
  <si>
    <t>Loretos Asanavičiūtės g. 8, Vilniaus m., Vilniaus m. sav.</t>
  </si>
  <si>
    <t>Gineitiškių g. 33C, Vilniaus m., Vilniaus m. sav.</t>
  </si>
  <si>
    <t>Gineitiškių g. 31-1, Vilniaus m., Vilniaus m. sav.</t>
  </si>
  <si>
    <t>2025-11-24 10:29:13</t>
  </si>
  <si>
    <t>Onos Lukauskaitės-Poškienės g. 16-1, Vilniaus m., Vilniaus m. sav.</t>
  </si>
  <si>
    <t>2025-11-24 10:22:40</t>
  </si>
  <si>
    <t>Mechanikų g. 29A, Vilniaus m., Vilniaus m. sav.</t>
  </si>
  <si>
    <t>2025-11-24 10:22:41</t>
  </si>
  <si>
    <t>Dusinėnų g. 11, Vilniaus m., Vilniaus m. sav.</t>
  </si>
  <si>
    <t>2025-11-24 10:22:42</t>
  </si>
  <si>
    <t>Gaono g. 8, Vilniaus m., Vilniaus m. sav.</t>
  </si>
  <si>
    <t>2025-11-24 10:22:49</t>
  </si>
  <si>
    <t>2025-11-24 10:32:33</t>
  </si>
  <si>
    <t>Ateities g. 21C, Vilniaus m., Vilniaus m. sav.</t>
  </si>
  <si>
    <t>2025-11-24 10:22:54</t>
  </si>
  <si>
    <t>Filaretų g. 77-2, Vilniaus m., Vilniaus m. sav.</t>
  </si>
  <si>
    <t>2025-11-24 10:32:55</t>
  </si>
  <si>
    <t>2025-11-24 10:22:55</t>
  </si>
  <si>
    <t>2025-11-24 10:22:56</t>
  </si>
  <si>
    <t>Gineitiškių g. 29B, Vilniaus m., Vilniaus m. sav.</t>
  </si>
  <si>
    <t>2025-11-24 10:22:57</t>
  </si>
  <si>
    <t>2025-11-24 10:29:19</t>
  </si>
  <si>
    <t>2025-11-24 10:23:01</t>
  </si>
  <si>
    <t>Dusinėnų g. 16, Vilniaus m., Vilniaus m. sav.</t>
  </si>
  <si>
    <t>2025-11-24 10:23:05</t>
  </si>
  <si>
    <t>2025-11-24 10:32:56</t>
  </si>
  <si>
    <t>2025-11-24 10:23:09</t>
  </si>
  <si>
    <t>Dusinėnų g. 9, Vilniaus m., Vilniaus m. sav.</t>
  </si>
  <si>
    <t>2025-11-24 10:23:10</t>
  </si>
  <si>
    <t>Mechanikų g. 27, Vilniaus m., Vilniaus m. sav.</t>
  </si>
  <si>
    <t>2025-11-24 10:23:11</t>
  </si>
  <si>
    <t>2025-11-24 10:23:13</t>
  </si>
  <si>
    <t>2025-11-24 10:23:16</t>
  </si>
  <si>
    <t>2025-11-24 10:23:19</t>
  </si>
  <si>
    <t>Dusinėnų g. 7, Vilniaus m., Vilniaus m. sav.</t>
  </si>
  <si>
    <t>2025-11-24 10:27:27</t>
  </si>
  <si>
    <t>2025-11-24 10:23:23</t>
  </si>
  <si>
    <t>2025-11-24 10:33:00</t>
  </si>
  <si>
    <t>2025-11-24 10:23:25</t>
  </si>
  <si>
    <t>2025-11-24 10:23:26</t>
  </si>
  <si>
    <t>2025-11-24 10:23:27</t>
  </si>
  <si>
    <t>2025-11-24 10:23:28</t>
  </si>
  <si>
    <t>2025-11-24 10:34:47</t>
  </si>
  <si>
    <t>2025-11-24 10:23:29</t>
  </si>
  <si>
    <t>2025-11-24 10:23:30</t>
  </si>
  <si>
    <t>2025-11-24 10:34:49</t>
  </si>
  <si>
    <t>2025-11-24 10:23:37</t>
  </si>
  <si>
    <t>Gineitiškių g. 33A, Vilniaus m., Vilniaus m. sav.</t>
  </si>
  <si>
    <t>2025-11-24 10:29:20</t>
  </si>
  <si>
    <t>Dusinėnų g. 5, Vilniaus m., Vilniaus m. sav.</t>
  </si>
  <si>
    <t>2025-11-24 10:23:38</t>
  </si>
  <si>
    <t>2025-11-24 10:23:39</t>
  </si>
  <si>
    <t>2025-11-24 10:23:40</t>
  </si>
  <si>
    <t>2025-11-24 10:34:54</t>
  </si>
  <si>
    <t>2025-11-24 10:23:41</t>
  </si>
  <si>
    <t>Sėlių g. 10, Vilniaus m., Vilniaus m. sav.</t>
  </si>
  <si>
    <t>2025-11-24 10:34:55</t>
  </si>
  <si>
    <t>2025-11-24 10:23:43</t>
  </si>
  <si>
    <t>2025-11-24 10:34:56</t>
  </si>
  <si>
    <t>Dusinėnų g. 10, Vilniaus m., Vilniaus m. sav.</t>
  </si>
  <si>
    <t>2025-11-24 10:23:45</t>
  </si>
  <si>
    <t>2025-11-24 10:23:47</t>
  </si>
  <si>
    <t>Pylimėlių g. 25D, Vilniaus m., Vilniaus m. sav.</t>
  </si>
  <si>
    <t>2025-11-24 10:23:50</t>
  </si>
  <si>
    <t>Mechanikų g. 31, Vilniaus m., Vilniaus m. sav.</t>
  </si>
  <si>
    <t>2025-11-24 10:23:52</t>
  </si>
  <si>
    <t>2025-11-24 10:23:53</t>
  </si>
  <si>
    <t>Filaretų g. 66, Vilniaus m., Vilniaus m. sav.</t>
  </si>
  <si>
    <t>2025-11-24 12:00:36</t>
  </si>
  <si>
    <t>M. Mažvydo g. 30, Vilniaus m., Vilniaus m. sav.</t>
  </si>
  <si>
    <t>2025-11-24 10:29:04</t>
  </si>
  <si>
    <t>Dusinėnų g. 3, Vilniaus m., Vilniaus m. sav.</t>
  </si>
  <si>
    <t>2025-11-24 10:24:13</t>
  </si>
  <si>
    <t>Gineitiškių g. 33-2, Vilniaus m., Vilniaus m. sav.</t>
  </si>
  <si>
    <t>2025-11-24 10:24:19</t>
  </si>
  <si>
    <t>Vaikų g. 7, Vilniaus m., Vilniaus m. sav.</t>
  </si>
  <si>
    <t>2025-11-24 10:24:20</t>
  </si>
  <si>
    <t>2025-11-24 10:24:21</t>
  </si>
  <si>
    <t>Loretos Asanavičiūtės g. 5, Vilniaus m., Vilniaus m. sav.</t>
  </si>
  <si>
    <t>2025-11-24 10:24:22</t>
  </si>
  <si>
    <t>A. Mickevičiaus g. 32, Vilniaus m., Vilniaus m. sav.</t>
  </si>
  <si>
    <t>2025-11-24 10:24:27</t>
  </si>
  <si>
    <t>2025-11-24 10:27:19</t>
  </si>
  <si>
    <t>2025-11-24 10:24:30</t>
  </si>
  <si>
    <t>Vėtrungių g. 99, Vilniaus m., Vilniaus m. sav.</t>
  </si>
  <si>
    <t>2025-11-24 10:24:35</t>
  </si>
  <si>
    <t>2025-11-24 10:24:37</t>
  </si>
  <si>
    <t>2025-11-24 10:24:40</t>
  </si>
  <si>
    <t>2025-11-24 10:24:41</t>
  </si>
  <si>
    <t>2025-11-24 10:24:42</t>
  </si>
  <si>
    <t>2025-11-24 10:34:59</t>
  </si>
  <si>
    <t>2025-11-24 10:24:43</t>
  </si>
  <si>
    <t>2025-11-24 10:24:44</t>
  </si>
  <si>
    <t>Olimpiečių g. 1, Vilniaus m., Vilniaus m. sav.</t>
  </si>
  <si>
    <t>2025-11-24 10:24:45</t>
  </si>
  <si>
    <t>2025-11-24 10:24:47</t>
  </si>
  <si>
    <t>2025-11-24 10:24:48</t>
  </si>
  <si>
    <t>Dusinėnų g. 8, Vilniaus m., Vilniaus m. sav.</t>
  </si>
  <si>
    <t>2025-11-24 10:27:32</t>
  </si>
  <si>
    <t>2025-11-24 10:24:49</t>
  </si>
  <si>
    <t>Gineitiškių g. 29, Vilniaus m., Vilniaus m. sav.</t>
  </si>
  <si>
    <t>2025-11-24 10:29:30</t>
  </si>
  <si>
    <t>2025-11-24 12:15:48</t>
  </si>
  <si>
    <t>2025-11-24 10:29:25</t>
  </si>
  <si>
    <t>2025-11-24 10:24:50</t>
  </si>
  <si>
    <t>Mechanikų g. 39-1, Vilniaus m., Vilniaus m. sav.</t>
  </si>
  <si>
    <t>Mechanikų g. 39-2, Vilniaus m., Vilniaus m. sav.</t>
  </si>
  <si>
    <t>2025-11-24 10:24:51</t>
  </si>
  <si>
    <t>Žirmūnų g. 30C, Vilniaus m., Vilniaus m. sav.</t>
  </si>
  <si>
    <t>2025-11-24 10:24:52</t>
  </si>
  <si>
    <t>2025-11-24 10:24:53</t>
  </si>
  <si>
    <t>2025-11-24 10:24:54</t>
  </si>
  <si>
    <t>2025-11-24 10:32:52</t>
  </si>
  <si>
    <t>Pavilnionių g. 34, Vilniaus m., Vilniaus m. sav.</t>
  </si>
  <si>
    <t>2025-11-24 10:24:55</t>
  </si>
  <si>
    <t>J. Tiškevičiaus g. 187, Vilniaus m., Vilniaus m. sav.</t>
  </si>
  <si>
    <t>2025-11-24 10:24:57</t>
  </si>
  <si>
    <t>2025-11-24 10:25:04</t>
  </si>
  <si>
    <t>2025-11-24 10:25:09</t>
  </si>
  <si>
    <t>Vaikų g. 9, Vilniaus m., Vilniaus m. sav.</t>
  </si>
  <si>
    <t>2025-11-24 10:25:12</t>
  </si>
  <si>
    <t>2025-11-24 10:25:13</t>
  </si>
  <si>
    <t>2025-11-24 10:25:15</t>
  </si>
  <si>
    <t>2025-11-24 10:25:18</t>
  </si>
  <si>
    <t>Vasaros g. 5, Vilniaus m., Vilniaus m. sav.</t>
  </si>
  <si>
    <t>2025-11-24 10:25:20</t>
  </si>
  <si>
    <t>Rygos g. 41, Vilniaus m., Vilniaus m. sav.</t>
  </si>
  <si>
    <t>2025-11-24 10:25:25</t>
  </si>
  <si>
    <t>2025-11-24 10:25:30</t>
  </si>
  <si>
    <t>2025-11-24 10:25:32</t>
  </si>
  <si>
    <t>Baltupio g. 39, Vilniaus m., Vilniaus m. sav.</t>
  </si>
  <si>
    <t>2025-11-24 10:25:33</t>
  </si>
  <si>
    <t>2025-11-24 10:25:35</t>
  </si>
  <si>
    <t>2025-11-24 10:25:50</t>
  </si>
  <si>
    <t>2025-11-24 10:25:59</t>
  </si>
  <si>
    <t>2025-11-24 10:26:03</t>
  </si>
  <si>
    <t>2025-11-24 10:26:05</t>
  </si>
  <si>
    <t>Mechanikų g. 50, Vilniaus m., Vilniaus m. sav.</t>
  </si>
  <si>
    <t>2025-11-24 10:26:06</t>
  </si>
  <si>
    <t>2025-11-24 10:26:08</t>
  </si>
  <si>
    <t>2025-11-24 10:26:11</t>
  </si>
  <si>
    <t>Mechanikų g. 37, Vilniaus m., Vilniaus m. sav.</t>
  </si>
  <si>
    <t>2025-11-24 10:26:12</t>
  </si>
  <si>
    <t>2025-11-24 10:26:17</t>
  </si>
  <si>
    <t>2025-11-24 10:26:19</t>
  </si>
  <si>
    <t>Gaono g. 7, Vilniaus m., Vilniaus m. sav.</t>
  </si>
  <si>
    <t>2025-11-24 10:26:21</t>
  </si>
  <si>
    <t>Pylimėlių g. 29J, Vilniaus m., Vilniaus m. sav.</t>
  </si>
  <si>
    <t>2025-11-24 10:26:23</t>
  </si>
  <si>
    <t>2025-11-24 10:26:29</t>
  </si>
  <si>
    <t>2025-11-24 10:26:30</t>
  </si>
  <si>
    <t>Mechanikų g. 48, Vilniaus m., Vilniaus m. sav.</t>
  </si>
  <si>
    <t>2025-11-24 10:26:35</t>
  </si>
  <si>
    <t>Mokslininkų g. 5-22, Vilniaus m., Vilniaus m. sav.</t>
  </si>
  <si>
    <t>2025-11-24 10:26:36</t>
  </si>
  <si>
    <t>2025-11-24 10:26:43</t>
  </si>
  <si>
    <t>2025-11-24 11:04:52</t>
  </si>
  <si>
    <t>2025-11-24 10:27:55</t>
  </si>
  <si>
    <t>2025-11-24 10:26:45</t>
  </si>
  <si>
    <t>Pranciškaus Žvirkos g. 8, Vilniaus m., Vilniaus m. sav.</t>
  </si>
  <si>
    <t>2025-11-24 10:26:50</t>
  </si>
  <si>
    <t>Mechanikų g. 46, Vilniaus m., Vilniaus m. sav.</t>
  </si>
  <si>
    <t>2025-11-24 10:26:56</t>
  </si>
  <si>
    <t>2025-11-24 10:26:57</t>
  </si>
  <si>
    <t>Mechanikų g. 33, Vilniaus m., Vilniaus m. sav.</t>
  </si>
  <si>
    <t>2025-11-24 10:27:01</t>
  </si>
  <si>
    <t>2025-11-24 10:27:02</t>
  </si>
  <si>
    <t>Pylimėlių g. 29, Vilniaus m., Vilniaus m. sav.</t>
  </si>
  <si>
    <t>2025-11-24 10:27:12</t>
  </si>
  <si>
    <t>Ugniagesių g. 14, Vilniaus m., Vilniaus m. sav.</t>
  </si>
  <si>
    <t>2025-11-24 10:27:15</t>
  </si>
  <si>
    <t>Filaretų g. 77G, Vilniaus m., Vilniaus m. sav.</t>
  </si>
  <si>
    <t>Mechanikų g. 44, Vilniaus m., Vilniaus m. sav.</t>
  </si>
  <si>
    <t>2025-11-24 10:37:05</t>
  </si>
  <si>
    <t>Gineitiškių g. 19, Vilniaus m., Vilniaus m. sav.</t>
  </si>
  <si>
    <t>2025-11-24 10:27:33</t>
  </si>
  <si>
    <t>Filaretų g. 77F, Vilniaus m., Vilniaus m. sav.</t>
  </si>
  <si>
    <t>2025-11-24 10:27:40</t>
  </si>
  <si>
    <t>2025-11-24 10:27:42</t>
  </si>
  <si>
    <t>Mechanikų g. 42, Vilniaus m., Vilniaus m. sav.</t>
  </si>
  <si>
    <t>2025-11-24 10:27:45</t>
  </si>
  <si>
    <t>2025-11-24 10:27:48</t>
  </si>
  <si>
    <t>2025-11-24 10:27:46</t>
  </si>
  <si>
    <t>2025-11-24 10:27:50</t>
  </si>
  <si>
    <t>Žirmūnų g. 32, Vilniaus m., Vilniaus m. sav.</t>
  </si>
  <si>
    <t>2025-11-24 11:11:19</t>
  </si>
  <si>
    <t>M. Mažvydo g. 29, Vilniaus m., Vilniaus m. sav.</t>
  </si>
  <si>
    <t>2025-11-24 10:27:59</t>
  </si>
  <si>
    <t>2025-11-24 10:37:12</t>
  </si>
  <si>
    <t>Gaono g. 6, Vilniaus m., Vilniaus m. sav.</t>
  </si>
  <si>
    <t>Mokslininkų g. 5-9, Vilniaus m., Vilniaus m. sav.</t>
  </si>
  <si>
    <t>2025-11-24 10:28:00</t>
  </si>
  <si>
    <t>Mėnulio g. 18, Vilniaus m., Vilniaus m. sav.</t>
  </si>
  <si>
    <t>2025-11-24 10:28:01</t>
  </si>
  <si>
    <t>Guobų g. 2, Vilniaus m., Vilniaus m. sav.</t>
  </si>
  <si>
    <t>2025-11-24 10:28:05</t>
  </si>
  <si>
    <t>2025-11-24 10:28:07</t>
  </si>
  <si>
    <t>2025-11-24 10:48:55</t>
  </si>
  <si>
    <t>2025-11-24 10:28:08</t>
  </si>
  <si>
    <t>Upės g. 23, Vilniaus m., Vilniaus m. sav.</t>
  </si>
  <si>
    <t>Mechanikų g. 38, Vilniaus m., Vilniaus m. sav.</t>
  </si>
  <si>
    <t>2025-11-24 10:28:10</t>
  </si>
  <si>
    <t>Mechanikų g. 25, Vilniaus m., Vilniaus m. sav.</t>
  </si>
  <si>
    <t>2025-11-24 10:28:14</t>
  </si>
  <si>
    <t>2025-11-24 10:28:15</t>
  </si>
  <si>
    <t>2025-11-24 10:28:16</t>
  </si>
  <si>
    <t>2025-11-24 10:28:18</t>
  </si>
  <si>
    <t>Baltupio g. 45, Vilniaus m., Vilniaus m. sav.</t>
  </si>
  <si>
    <t>2025-11-24 10:28:20</t>
  </si>
  <si>
    <t>2025-11-24 10:28:27</t>
  </si>
  <si>
    <t>Mechanikų g. 23, Vilniaus m., Vilniaus m. sav.</t>
  </si>
  <si>
    <t>2025-11-24 10:37:20</t>
  </si>
  <si>
    <t>2025-11-24 10:28:30</t>
  </si>
  <si>
    <t>2025-11-24 10:28:31</t>
  </si>
  <si>
    <t>Mechanikų g. 36, Vilniaus m., Vilniaus m. sav.</t>
  </si>
  <si>
    <t>2025-11-24 10:37:22</t>
  </si>
  <si>
    <t>2025-11-24 10:28:33</t>
  </si>
  <si>
    <t>2025-11-24 10:28:34</t>
  </si>
  <si>
    <t>Justiniškių g. 144C, Vilniaus m., Vilniaus m. sav.</t>
  </si>
  <si>
    <t>2025-11-24 10:28:35</t>
  </si>
  <si>
    <t>Mechanikų g. 21, Vilniaus m., Vilniaus m. sav.</t>
  </si>
  <si>
    <t>2025-11-24 10:28:39</t>
  </si>
  <si>
    <t>Mechanikų g. 34, Vilniaus m., Vilniaus m. sav.</t>
  </si>
  <si>
    <t>2025-11-24 10:37:25</t>
  </si>
  <si>
    <t>2025-11-24 10:28:45</t>
  </si>
  <si>
    <t>2025-11-24 10:37:26</t>
  </si>
  <si>
    <t>2025-11-24 10:29:01</t>
  </si>
  <si>
    <t>L. Sapiegos g. 1, Vilniaus m., Vilniaus m. sav.</t>
  </si>
  <si>
    <t>2025-11-24 10:43:35</t>
  </si>
  <si>
    <t>Mokslininkų g. 5-20, Vilniaus m., Vilniaus m. sav.</t>
  </si>
  <si>
    <t>2025-11-24 10:29:07</t>
  </si>
  <si>
    <t>2025-11-24 11:16:39</t>
  </si>
  <si>
    <t>2025-11-24 10:37:28</t>
  </si>
  <si>
    <t>2025-11-24 10:29:09</t>
  </si>
  <si>
    <t>2025-11-24 11:16:41</t>
  </si>
  <si>
    <t>Mokslininkų g. 5-10, Vilniaus m., Vilniaus m. sav.</t>
  </si>
  <si>
    <t>2025-11-24 11:16:45</t>
  </si>
  <si>
    <t>2025-11-24 10:29:14</t>
  </si>
  <si>
    <t>A. Mickevičiaus g. 10, Vilniaus m., Vilniaus m. sav.</t>
  </si>
  <si>
    <t>Mokslininkų g. 5-15, Vilniaus m., Vilniaus m. sav.</t>
  </si>
  <si>
    <t>2025-11-24 10:29:17</t>
  </si>
  <si>
    <t>Mokslininkų g. 9-5, Vilniaus m., Vilniaus m. sav.</t>
  </si>
  <si>
    <t>Prano Ancevičiaus g. 6-2, Vilniaus m., Vilniaus m. sav.</t>
  </si>
  <si>
    <t>2025-11-24 10:29:23</t>
  </si>
  <si>
    <t>Gineitiškių g. 35-2, Vilniaus m., Vilniaus m. sav.</t>
  </si>
  <si>
    <t>2025-11-24 10:29:27</t>
  </si>
  <si>
    <t>Vaikų g. 16, Vilniaus m., Vilniaus m. sav.</t>
  </si>
  <si>
    <t>2025-11-24 10:29:33</t>
  </si>
  <si>
    <t>2025-11-24 10:37:32</t>
  </si>
  <si>
    <t>2025-11-24 10:29:38</t>
  </si>
  <si>
    <t>Kauno g. 16, Vilniaus m., Vilniaus m. sav.</t>
  </si>
  <si>
    <t>2025-11-24 10:29:40</t>
  </si>
  <si>
    <t>2025-11-24 10:29:42</t>
  </si>
  <si>
    <t>2025-11-24 10:32:14</t>
  </si>
  <si>
    <t>Miglos g. 1, Vilniaus m., Vilniaus m. sav.</t>
  </si>
  <si>
    <t>2025-11-24 10:29:44</t>
  </si>
  <si>
    <t>Filaretų g. 64A-2, Vilniaus m., Vilniaus m. sav.</t>
  </si>
  <si>
    <t>2025-11-24 11:04:30</t>
  </si>
  <si>
    <t>M. Katkaus g. 9, Vilniaus m., Vilniaus m. sav.</t>
  </si>
  <si>
    <t>2025-11-24 10:29:45</t>
  </si>
  <si>
    <t>2025-11-24 10:29:51</t>
  </si>
  <si>
    <t>Mechanikų g. 24, Vilniaus m., Vilniaus m. sav.</t>
  </si>
  <si>
    <t>2025-11-24 10:29:54</t>
  </si>
  <si>
    <t>2025-11-24 10:29:56</t>
  </si>
  <si>
    <t>2025-11-24 10:29:57</t>
  </si>
  <si>
    <t>2025-11-24 10:29:58</t>
  </si>
  <si>
    <t>Taikos g. 259, Vilniaus m., Vilniaus m. sav.</t>
  </si>
  <si>
    <t>2025-11-24 10:30:00</t>
  </si>
  <si>
    <t>2025-11-24 10:30:03</t>
  </si>
  <si>
    <t>2025-11-24 10:30:06</t>
  </si>
  <si>
    <t>2025-11-24 10:37:37</t>
  </si>
  <si>
    <t>Gineitiškių g. 35-1, Vilniaus m., Vilniaus m. sav.</t>
  </si>
  <si>
    <t>2025-11-24 10:30:07</t>
  </si>
  <si>
    <t>2025-11-24 10:30:14</t>
  </si>
  <si>
    <t>2025-11-24 10:34:23</t>
  </si>
  <si>
    <t>2025-11-24 10:30:15</t>
  </si>
  <si>
    <t>Filaretų g. 60B, Vilniaus m., Vilniaus m. sav.</t>
  </si>
  <si>
    <t>2025-11-24 10:30:16</t>
  </si>
  <si>
    <t>2025-11-24 10:41:12</t>
  </si>
  <si>
    <t>2025-11-24 10:30:18</t>
  </si>
  <si>
    <t>Mechanikų g. 20, Vilniaus m., Vilniaus m. sav.</t>
  </si>
  <si>
    <t>2025-11-24 10:30:20</t>
  </si>
  <si>
    <t>M. Katkaus g. 2C, Vilniaus m., Vilniaus m. sav.</t>
  </si>
  <si>
    <t>2025-11-24 10:30:26</t>
  </si>
  <si>
    <t>Mechanikų g. 11, Vilniaus m., Vilniaus m. sav.</t>
  </si>
  <si>
    <t>2025-11-24 10:38:26</t>
  </si>
  <si>
    <t>2025-11-24 10:30:27</t>
  </si>
  <si>
    <t>Didžioji g. 1, Vilniaus m., Vilniaus m. sav.</t>
  </si>
  <si>
    <t>2025-11-24 10:30:29</t>
  </si>
  <si>
    <t>2025-11-24 11:12:43</t>
  </si>
  <si>
    <t>Onos Lukauskaitės-Poškienės g. 2-2, Vilniaus m., Vilniaus m. sav.</t>
  </si>
  <si>
    <t>2025-11-24 10:30:32</t>
  </si>
  <si>
    <t>Mechanikų g. 18, Vilniaus m., Vilniaus m. sav.</t>
  </si>
  <si>
    <t>2025-11-24 10:30:34</t>
  </si>
  <si>
    <t>Ugniagesių g. 12, Vilniaus m., Vilniaus m. sav.</t>
  </si>
  <si>
    <t>2025-11-24 10:30:39</t>
  </si>
  <si>
    <t>2025-11-24 10:30:40</t>
  </si>
  <si>
    <t>2025-11-24 10:30:41</t>
  </si>
  <si>
    <t>Viršupio Sodų 13-oji g. 55B, Vilniaus m., Vilniaus m. sav.</t>
  </si>
  <si>
    <t>2025-11-24 10:42:22</t>
  </si>
  <si>
    <t>2025-11-24 11:17:46</t>
  </si>
  <si>
    <t>2025-11-24 10:30:42</t>
  </si>
  <si>
    <t>2025-11-24 10:30:47</t>
  </si>
  <si>
    <t>2025-11-24 10:30:49</t>
  </si>
  <si>
    <t>2025-11-24 10:30:50</t>
  </si>
  <si>
    <t>2025-11-24 10:30:51</t>
  </si>
  <si>
    <t>2025-11-24 11:17:51</t>
  </si>
  <si>
    <t>2025-11-24 10:30:52</t>
  </si>
  <si>
    <t>S. Stanevičiaus g. 64, Vilniaus m., Vilniaus m. sav.</t>
  </si>
  <si>
    <t>Žvejų g. 14A, Vilniaus m., Vilniaus m. sav.</t>
  </si>
  <si>
    <t>2025-11-24 10:30:57</t>
  </si>
  <si>
    <t>Gineitiškių g. 37-2, Vilniaus m., Vilniaus m. sav.</t>
  </si>
  <si>
    <t>2025-11-24 10:41:15</t>
  </si>
  <si>
    <t>Karaliaučiaus g. 26, Vilniaus m., Vilniaus m. sav.</t>
  </si>
  <si>
    <t>Mechanikų g. 14, Vilniaus m., Vilniaus m. sav.</t>
  </si>
  <si>
    <t>2025-11-24 10:50:07</t>
  </si>
  <si>
    <t>Mechanikų g. 16, Vilniaus m., Vilniaus m. sav.</t>
  </si>
  <si>
    <t>Ateities g. 6B, Vilniaus m., Vilniaus m. sav.</t>
  </si>
  <si>
    <t>2025-11-24 10:31:15</t>
  </si>
  <si>
    <t>2025-11-24 10:31:16</t>
  </si>
  <si>
    <t>2025-11-24 10:31:17</t>
  </si>
  <si>
    <t>2025-11-24 10:31:20</t>
  </si>
  <si>
    <t>Medeinos g. 29, Vilniaus m., Vilniaus m. sav.</t>
  </si>
  <si>
    <t>2025-11-24 10:41:25</t>
  </si>
  <si>
    <t>2025-11-24 10:31:21</t>
  </si>
  <si>
    <t>2025-11-24 10:31:28</t>
  </si>
  <si>
    <t>2025-11-24 10:31:29</t>
  </si>
  <si>
    <t>2025-11-24 11:12:57</t>
  </si>
  <si>
    <t>Didžioji g. 3, Vilniaus m., Vilniaus m. sav.</t>
  </si>
  <si>
    <t>O. Lukauskaitės-Poškienės g. 2-1, Vilniaus m., Vilniaus m. sav.</t>
  </si>
  <si>
    <t>2025-11-24 10:31:31</t>
  </si>
  <si>
    <t>2025-11-24 10:31:32</t>
  </si>
  <si>
    <t>2025-11-24 10:31:33</t>
  </si>
  <si>
    <t>Fizikų g. 3-2, Vilniaus m., Vilniaus m. sav.</t>
  </si>
  <si>
    <t>2025-11-24 11:17:53</t>
  </si>
  <si>
    <t>2025-11-24 10:31:35</t>
  </si>
  <si>
    <t>Pylimo g. 46, Vilniaus m., Vilniaus m. sav.</t>
  </si>
  <si>
    <t>2025-11-24 10:31:36</t>
  </si>
  <si>
    <t>2025-11-24 10:31:38</t>
  </si>
  <si>
    <t>Gineitiškių g. 37-1, Vilniaus m., Vilniaus m. sav.</t>
  </si>
  <si>
    <t>2025-11-24 10:31:43</t>
  </si>
  <si>
    <t>2025-11-24 10:31:45</t>
  </si>
  <si>
    <t>Nemenčinės pl. 61A, Vilniaus m., Vilniaus m. sav.</t>
  </si>
  <si>
    <t>2025-11-24 10:41:26</t>
  </si>
  <si>
    <t>2025-11-24 10:31:46</t>
  </si>
  <si>
    <t>Liongino Baliukevičiaus-Dzūko g. 50, Vilniaus m., Vilniaus m. sav.</t>
  </si>
  <si>
    <t>2025-11-24 10:31:47</t>
  </si>
  <si>
    <t>Kalviškių g. 1, Vilniaus m., Vilniaus m. sav.</t>
  </si>
  <si>
    <t>2025-11-24 10:31:49</t>
  </si>
  <si>
    <t>Karaliaučiaus g. 28, Vilniaus m., Vilniaus m. sav.</t>
  </si>
  <si>
    <t>2025-11-24 10:31:55</t>
  </si>
  <si>
    <t>2025-11-24 10:32:00</t>
  </si>
  <si>
    <t>L. Sapiegos g. 13, Vilniaus m., Vilniaus m. sav.</t>
  </si>
  <si>
    <t>2025-11-24 10:32:02</t>
  </si>
  <si>
    <t>Filaretų g. 60A, Vilniaus m., Vilniaus m. sav.</t>
  </si>
  <si>
    <t>2025-11-24 10:43:09</t>
  </si>
  <si>
    <t>2025-11-24 10:32:03</t>
  </si>
  <si>
    <t>2025-11-24 10:42:24</t>
  </si>
  <si>
    <t>2025-11-24 10:32:07</t>
  </si>
  <si>
    <t>2025-11-24 10:32:08</t>
  </si>
  <si>
    <t>2025-11-24 11:17:54</t>
  </si>
  <si>
    <t>2025-11-24 10:32:12</t>
  </si>
  <si>
    <t>2025-11-24 11:17:55</t>
  </si>
  <si>
    <t>2025-11-24 10:32:18</t>
  </si>
  <si>
    <t>2025-11-24 10:32:22</t>
  </si>
  <si>
    <t>Didlaukio g. 39, Vilniaus m., Vilniaus m. sav.</t>
  </si>
  <si>
    <t>Filaretų g. 75A-2, Vilniaus m., Vilniaus m. sav.</t>
  </si>
  <si>
    <t>2025-11-24 10:32:34</t>
  </si>
  <si>
    <t>2025-11-24 11:13:55</t>
  </si>
  <si>
    <t>2025-11-24 10:32:38</t>
  </si>
  <si>
    <t>2025-11-24 12:19:21</t>
  </si>
  <si>
    <t>2025-11-24 10:43:12</t>
  </si>
  <si>
    <t>2025-11-24 10:32:39</t>
  </si>
  <si>
    <t>2025-11-24 10:32:45</t>
  </si>
  <si>
    <t>Visorių g. 7, Vilniaus m., Vilniaus m. sav.</t>
  </si>
  <si>
    <t>Tuskulėnų g. 21, Vilniaus m., Vilniaus m. sav.</t>
  </si>
  <si>
    <t>Visorių g. 9-2, Vilniaus m., Vilniaus m. sav.</t>
  </si>
  <si>
    <t>Paribio g. 26, Vilniaus m., Vilniaus m. sav.</t>
  </si>
  <si>
    <t>Ugniagesių g. 8, Vilniaus m., Vilniaus m. sav.</t>
  </si>
  <si>
    <t>Filaretų g. 60, Vilniaus m., Vilniaus m. sav.</t>
  </si>
  <si>
    <t>Algimanto Petro Kavoliuko g. 32A, Vilniaus m., Vilniaus m. sav.</t>
  </si>
  <si>
    <t>2025-11-24 10:41:02</t>
  </si>
  <si>
    <t>2025-11-24 10:33:04</t>
  </si>
  <si>
    <t>J. Kairiūkščio g. 3H, Vilniaus m., Vilniaus m. sav.</t>
  </si>
  <si>
    <t>2025-11-24 10:33:07</t>
  </si>
  <si>
    <t>2025-11-24 10:33:11</t>
  </si>
  <si>
    <t>2025-11-24 10:33:15</t>
  </si>
  <si>
    <t>2025-11-24 10:37:04</t>
  </si>
  <si>
    <t>2025-11-24 10:33:18</t>
  </si>
  <si>
    <t>2025-11-24 10:33:19</t>
  </si>
  <si>
    <t>2025-11-24 10:33:20</t>
  </si>
  <si>
    <t>Gineitiškių g. 41, Vilniaus m., Vilniaus m. sav.</t>
  </si>
  <si>
    <t>2025-11-24 10:33:21</t>
  </si>
  <si>
    <t>2025-11-24 11:14:04</t>
  </si>
  <si>
    <t>2025-11-24 10:33:24</t>
  </si>
  <si>
    <t>M. Katkaus g. 1, Vilniaus m., Vilniaus m. sav.</t>
  </si>
  <si>
    <t>2025-11-24 10:33:25</t>
  </si>
  <si>
    <t>2025-11-24 10:41:04</t>
  </si>
  <si>
    <t>2025-11-24 10:41:29</t>
  </si>
  <si>
    <t>2025-11-24 10:33:29</t>
  </si>
  <si>
    <t>Aguonų g. 8D, Vilniaus m., Vilniaus m. sav.</t>
  </si>
  <si>
    <t>2025-11-24 10:33:31</t>
  </si>
  <si>
    <t>2025-11-24 10:33:32</t>
  </si>
  <si>
    <t>2025-11-24 10:37:09</t>
  </si>
  <si>
    <t>2025-11-24 10:33:35</t>
  </si>
  <si>
    <t>2025-11-24 10:33:37</t>
  </si>
  <si>
    <t>2025-11-24 10:33:38</t>
  </si>
  <si>
    <t>2025-11-24 10:33:40</t>
  </si>
  <si>
    <t>2025-11-24 10:33:41</t>
  </si>
  <si>
    <t>2025-11-24 10:33:42</t>
  </si>
  <si>
    <t>2025-11-24 10:33:46</t>
  </si>
  <si>
    <t>2025-11-24 10:34:10</t>
  </si>
  <si>
    <t>J. Kairiūkščio g. 3, Vilniaus m., Vilniaus m. sav.</t>
  </si>
  <si>
    <t>2025-11-24 11:18:01</t>
  </si>
  <si>
    <t>2025-11-24 10:33:47</t>
  </si>
  <si>
    <t>2025-11-24 10:33:48</t>
  </si>
  <si>
    <t>2025-11-24 10:33:51</t>
  </si>
  <si>
    <t>Visorių g. 5-4, Vilniaus m., Vilniaus m. sav.</t>
  </si>
  <si>
    <t>2025-11-24 10:33:53</t>
  </si>
  <si>
    <t>2025-11-24 10:34:01</t>
  </si>
  <si>
    <t>2025-11-24 10:42:48</t>
  </si>
  <si>
    <t>2025-11-24 10:34:03</t>
  </si>
  <si>
    <t>2025-11-24 10:34:04</t>
  </si>
  <si>
    <t>Filaretų g. 58, Vilniaus m., Vilniaus m. sav.</t>
  </si>
  <si>
    <t>Jaunystės g. 14, Vilniaus m., Vilniaus m. sav.</t>
  </si>
  <si>
    <t>2025-11-24 10:34:16</t>
  </si>
  <si>
    <t>2025-11-24 10:43:20</t>
  </si>
  <si>
    <t>2025-11-24 10:34:17</t>
  </si>
  <si>
    <t>2025-11-24 10:34:18</t>
  </si>
  <si>
    <t>2025-11-24 10:44:01</t>
  </si>
  <si>
    <t>Mechanikų g. 12, Vilniaus m., Vilniaus m. sav.</t>
  </si>
  <si>
    <t>2025-11-24 10:42:42</t>
  </si>
  <si>
    <t>Didžioji g. 6, Vilniaus m., Vilniaus m. sav.</t>
  </si>
  <si>
    <t>2025-11-24 10:34:25</t>
  </si>
  <si>
    <t>2025-11-24 10:34:28</t>
  </si>
  <si>
    <t>2025-11-24 10:34:30</t>
  </si>
  <si>
    <t>Kirtimų g. 41, Vilniaus m., Vilniaus m. sav.</t>
  </si>
  <si>
    <t>2025-11-24 10:50:09</t>
  </si>
  <si>
    <t>2025-11-24 10:34:31</t>
  </si>
  <si>
    <t>Visorių g. 7-1, Vilniaus m., Vilniaus m. sav.</t>
  </si>
  <si>
    <t>2025-11-24 10:34:33</t>
  </si>
  <si>
    <t>2025-11-24 10:34:37</t>
  </si>
  <si>
    <t>Visorių g. 5-2, Vilniaus m., Vilniaus m. sav.</t>
  </si>
  <si>
    <t>2025-11-24 10:34:39</t>
  </si>
  <si>
    <t>Algirdo g. 37, Vilniaus m., Vilniaus m. sav.</t>
  </si>
  <si>
    <t>2025-11-24 10:34:43</t>
  </si>
  <si>
    <t>Visorių g. 5-3, Vilniaus m., Vilniaus m. sav.</t>
  </si>
  <si>
    <t>Visorių g. 5-5, Vilniaus m., Vilniaus m. sav.</t>
  </si>
  <si>
    <t>Mechanikų g. 8, Vilniaus m., Vilniaus m. sav.</t>
  </si>
  <si>
    <t>A. Juozapavičiaus g. 13, Vilniaus m., Vilniaus m. sav.</t>
  </si>
  <si>
    <t>Mechanikų g. 10, Vilniaus m., Vilniaus m. sav.</t>
  </si>
  <si>
    <t>2025-11-24 10:35:06</t>
  </si>
  <si>
    <t>Stalių g. 1, Vilniaus m., Vilniaus m. sav.</t>
  </si>
  <si>
    <t>Medeinos g. 27, Vilniaus m., Vilniaus m. sav.</t>
  </si>
  <si>
    <t>2025-11-24 10:35:11</t>
  </si>
  <si>
    <t>2025-11-24 10:35:14</t>
  </si>
  <si>
    <t>Didlaukio g. 74, Vilniaus m., Vilniaus m. sav.</t>
  </si>
  <si>
    <t>2025-11-24 10:35:17</t>
  </si>
  <si>
    <t>2025-11-24 10:35:19</t>
  </si>
  <si>
    <t>2025-11-24 10:35:24</t>
  </si>
  <si>
    <t>2025-11-24 10:35:32</t>
  </si>
  <si>
    <t>2025-11-24 10:43:22</t>
  </si>
  <si>
    <t>2025-11-24 10:35:40</t>
  </si>
  <si>
    <t>2025-11-24 12:04:40</t>
  </si>
  <si>
    <t>2025-11-24 10:35:42</t>
  </si>
  <si>
    <t>2025-11-24 10:43:24</t>
  </si>
  <si>
    <t>2025-11-24 10:35:43</t>
  </si>
  <si>
    <t>2025-11-24 10:35:53</t>
  </si>
  <si>
    <t>Pupinės g. 11, Vilniaus m., Vilniaus m. sav.</t>
  </si>
  <si>
    <t>2025-11-24 10:35:55</t>
  </si>
  <si>
    <t>2025-11-24 10:35:58</t>
  </si>
  <si>
    <t>2025-11-24 12:15:50</t>
  </si>
  <si>
    <t>Vidautiškių g. 17, Vilniaus m., Vilniaus m. sav.</t>
  </si>
  <si>
    <t>2025-11-24 10:36:01</t>
  </si>
  <si>
    <t>Prano Ancevičiaus g. 1, Vilniaus m., Vilniaus m. sav.</t>
  </si>
  <si>
    <t>2025-11-24 10:36:03</t>
  </si>
  <si>
    <t>Vištyčio g. 7, Vilniaus m., Vilniaus m. sav.</t>
  </si>
  <si>
    <t>2025-11-24 10:41:32</t>
  </si>
  <si>
    <t>2025-11-24 10:36:04</t>
  </si>
  <si>
    <t>Vidautiškių g. 19, Vilniaus m., Vilniaus m. sav.</t>
  </si>
  <si>
    <t>2025-11-24 10:36:05</t>
  </si>
  <si>
    <t>2025-11-24 10:36:07</t>
  </si>
  <si>
    <t>2025-11-24 10:36:15</t>
  </si>
  <si>
    <t>2025-11-24 10:36:18</t>
  </si>
  <si>
    <t>2025-11-24 10:36:19</t>
  </si>
  <si>
    <t>V. Sezemano g. 7, Vilniaus m., Vilniaus m. sav.</t>
  </si>
  <si>
    <t>2025-11-24 10:36:21</t>
  </si>
  <si>
    <t>2025-11-24 10:36:32</t>
  </si>
  <si>
    <t>2025-11-24 10:36:34</t>
  </si>
  <si>
    <t>Vidautiškių g. 15, Vilniaus m., Vilniaus m. sav.</t>
  </si>
  <si>
    <t>2025-11-24 10:41:36</t>
  </si>
  <si>
    <t>2025-11-24 10:36:35</t>
  </si>
  <si>
    <t>2025-11-24 10:36:39</t>
  </si>
  <si>
    <t>2025-11-24 10:36:41</t>
  </si>
  <si>
    <t>Onos Lukauskaitės-Poškienės g. 6-1, Vilniaus m., Vilniaus m. sav.</t>
  </si>
  <si>
    <t>Onos Lukauskaitės-Poškienės g. 6-2, Vilniaus m., Vilniaus m. sav.</t>
  </si>
  <si>
    <t>2025-11-24 10:36:42</t>
  </si>
  <si>
    <t>J. Kairiūkščio g. 13, Vilniaus m., Vilniaus m. sav.</t>
  </si>
  <si>
    <t>2025-11-24 10:36:43</t>
  </si>
  <si>
    <t>Metelių g. 10, Vilniaus m., Vilniaus m. sav.</t>
  </si>
  <si>
    <t>2025-11-24 10:36:45</t>
  </si>
  <si>
    <t>2025-11-24 10:36:47</t>
  </si>
  <si>
    <t>2025-11-24 10:36:51</t>
  </si>
  <si>
    <t>2025-11-24 10:43:27</t>
  </si>
  <si>
    <t>Pylimėlių g. 38, Vilniaus m., Vilniaus m. sav.</t>
  </si>
  <si>
    <t>Didžioji g. 10, Vilniaus m., Vilniaus m. sav.</t>
  </si>
  <si>
    <t>Medeinos g. 14, Vilniaus m., Vilniaus m. sav.</t>
  </si>
  <si>
    <t>2025-11-24 10:37:15</t>
  </si>
  <si>
    <t>2025-11-24 10:37:18</t>
  </si>
  <si>
    <t>Tuskulėnų g. 5, Vilniaus m., Vilniaus m. sav.</t>
  </si>
  <si>
    <t>Vidautiškių g. 21, Vilniaus m., Vilniaus m. sav.</t>
  </si>
  <si>
    <t>2025-11-24 10:37:21</t>
  </si>
  <si>
    <t>Girulių g. 7, Vilniaus m., Vilniaus m. sav.</t>
  </si>
  <si>
    <t>2025-11-24 10:37:27</t>
  </si>
  <si>
    <t>Mechanikų g. 6, Vilniaus m., Vilniaus m. sav.</t>
  </si>
  <si>
    <t>2025-11-24 10:37:29</t>
  </si>
  <si>
    <t>2025-11-24 10:37:31</t>
  </si>
  <si>
    <t>2025-11-24 10:37:34</t>
  </si>
  <si>
    <t>2025-11-24 10:37:36</t>
  </si>
  <si>
    <t>2025-11-24 10:37:39</t>
  </si>
  <si>
    <t>2025-11-24 10:37:41</t>
  </si>
  <si>
    <t>Onos Lukauskaitės-Poškienės g. 10-1, Vilniaus m., Vilniaus m. sav.</t>
  </si>
  <si>
    <t>2025-11-24 10:37:42</t>
  </si>
  <si>
    <t>2025-11-24 10:37:50</t>
  </si>
  <si>
    <t>Tuskulėnų g. 3, Vilniaus m., Vilniaus m. sav.</t>
  </si>
  <si>
    <t>Stalių g. 3, Vilniaus m., Vilniaus m. sav.</t>
  </si>
  <si>
    <t>2025-11-24 10:43:29</t>
  </si>
  <si>
    <t>2025-11-24 10:37:51</t>
  </si>
  <si>
    <t>2025-11-24 10:37:55</t>
  </si>
  <si>
    <t>Filaretų g. 75A-1, Vilniaus m., Vilniaus m. sav.</t>
  </si>
  <si>
    <t>2025-11-24 10:37:56</t>
  </si>
  <si>
    <t>Vidautiškių g. 23, Vilniaus m., Vilniaus m. sav.</t>
  </si>
  <si>
    <t>2025-11-24 10:37:59</t>
  </si>
  <si>
    <t>Kelmijos Sodų 28-oji g. 13, Vilniaus m., Vilniaus m. sav.</t>
  </si>
  <si>
    <t>2025-11-24 10:38:00</t>
  </si>
  <si>
    <t>2025-11-24 10:38:01</t>
  </si>
  <si>
    <t>2025-11-24 10:41:48</t>
  </si>
  <si>
    <t>2025-11-24 10:38:07</t>
  </si>
  <si>
    <t>2025-11-24 10:38:11</t>
  </si>
  <si>
    <t>2025-11-24 10:38:13</t>
  </si>
  <si>
    <t>2025-11-24 10:38:15</t>
  </si>
  <si>
    <t>2025-11-24 10:38:16</t>
  </si>
  <si>
    <t>V. Sezemano g. 9, Vilniaus m., Vilniaus m. sav.</t>
  </si>
  <si>
    <t>2025-11-24 10:42:26</t>
  </si>
  <si>
    <t>2025-11-24 10:38:17</t>
  </si>
  <si>
    <t>2025-11-24 11:13:56</t>
  </si>
  <si>
    <t>2025-11-24 10:38:19</t>
  </si>
  <si>
    <t>2025-11-24 10:38:20</t>
  </si>
  <si>
    <t>Vištyčio g. 3, Vilniaus m., Vilniaus m. sav.</t>
  </si>
  <si>
    <t>2025-11-24 10:38:23</t>
  </si>
  <si>
    <t>Antakalnio g. 27, Vilniaus m., Vilniaus m. sav.</t>
  </si>
  <si>
    <t>2025-11-24 10:38:31</t>
  </si>
  <si>
    <t>2025-11-24 10:38:41</t>
  </si>
  <si>
    <t>Saltoniškių g. 7A, Vilniaus m., Vilniaus m. sav.</t>
  </si>
  <si>
    <t>2025-11-24 10:38:42</t>
  </si>
  <si>
    <t>P. Žadeikos g. 14A, Vilniaus m., Vilniaus m. sav.</t>
  </si>
  <si>
    <t>2025-11-24 10:38:46</t>
  </si>
  <si>
    <t>2025-11-24 10:38:47</t>
  </si>
  <si>
    <t>Pašilaičių g. 21, Vilniaus m., Vilniaus m. sav.</t>
  </si>
  <si>
    <t>2025-11-24 10:42:49</t>
  </si>
  <si>
    <t>2025-11-24 10:38:52</t>
  </si>
  <si>
    <t>2025-11-24 10:38:53</t>
  </si>
  <si>
    <t>2025-11-24 10:38:58</t>
  </si>
  <si>
    <t>Vidautiškių g. 25, Vilniaus m., Vilniaus m. sav.</t>
  </si>
  <si>
    <t>2025-11-24 10:39:01</t>
  </si>
  <si>
    <t>2025-11-24 10:53:14</t>
  </si>
  <si>
    <t>Saltoniškių g. 7B, Vilniaus m., Vilniaus m. sav.</t>
  </si>
  <si>
    <t>2025-11-24 10:39:09</t>
  </si>
  <si>
    <t>2025-11-24 10:39:10</t>
  </si>
  <si>
    <t>2025-11-24 10:39:13</t>
  </si>
  <si>
    <t>2025-11-24 10:39:16</t>
  </si>
  <si>
    <t>Vidautiškių g. 27, Vilniaus m., Vilniaus m. sav.</t>
  </si>
  <si>
    <t>2025-11-24 10:39:21</t>
  </si>
  <si>
    <t>2025-11-24 10:39:22</t>
  </si>
  <si>
    <t>2025-11-24 10:39:27</t>
  </si>
  <si>
    <t>2025-11-24 10:39:32</t>
  </si>
  <si>
    <t>2025-11-24 10:39:33</t>
  </si>
  <si>
    <t>2025-11-24 10:39:37</t>
  </si>
  <si>
    <t>2025-11-24 10:39:40</t>
  </si>
  <si>
    <t>2025-11-24 10:39:49</t>
  </si>
  <si>
    <t>2025-11-24 10:39:43</t>
  </si>
  <si>
    <t>2025-11-24 10:39:51</t>
  </si>
  <si>
    <t>Stalių g. 3A, Vilniaus m., Vilniaus m. sav.</t>
  </si>
  <si>
    <t>2025-11-24 10:39:52</t>
  </si>
  <si>
    <t>2025-11-24 10:39:54</t>
  </si>
  <si>
    <t>2025-11-24 10:39:55</t>
  </si>
  <si>
    <t>2025-11-24 10:43:41</t>
  </si>
  <si>
    <t>2025-11-24 10:39:57</t>
  </si>
  <si>
    <t>2025-11-24 10:39:59</t>
  </si>
  <si>
    <t>2025-11-24 10:40:00</t>
  </si>
  <si>
    <t>Medeinos g. 25, Vilniaus m., Vilniaus m. sav.</t>
  </si>
  <si>
    <t>2025-11-24 10:41:30</t>
  </si>
  <si>
    <t>2025-11-24 10:40:02</t>
  </si>
  <si>
    <t>2025-11-24 11:24:07</t>
  </si>
  <si>
    <t>2025-11-24 10:40:04</t>
  </si>
  <si>
    <t>Dusinėnų g. 182, Vilniaus m., Vilniaus m. sav.</t>
  </si>
  <si>
    <t>Dusinėnų g. 180, Vilniaus m., Vilniaus m. sav.</t>
  </si>
  <si>
    <t>Algimanto Petro Kavoliuko g. 14, Vilniaus m., Vilniaus m. sav.</t>
  </si>
  <si>
    <t>2025-11-24 10:40:05</t>
  </si>
  <si>
    <t>Katros g. 11-1, Vilniaus m., Vilniaus m. sav.</t>
  </si>
  <si>
    <t>2025-11-24 10:40:06</t>
  </si>
  <si>
    <t>2025-11-24 10:40:09</t>
  </si>
  <si>
    <t>Katros g. 11-2, Vilniaus m., Vilniaus m. sav.</t>
  </si>
  <si>
    <t>2025-11-24 10:40:13</t>
  </si>
  <si>
    <t>2025-11-24 11:23:16</t>
  </si>
  <si>
    <t>Prano Ancevičiaus g. 56, Vilniaus m., Vilniaus m. sav.</t>
  </si>
  <si>
    <t>2025-11-24 10:40:14</t>
  </si>
  <si>
    <t>Karaimų g. 4, Vilniaus m., Vilniaus m. sav.</t>
  </si>
  <si>
    <t>2025-11-24 10:40:16</t>
  </si>
  <si>
    <t>2025-11-24 10:40:17</t>
  </si>
  <si>
    <t>2025-11-24 10:40:18</t>
  </si>
  <si>
    <t>2025-11-24 10:40:19</t>
  </si>
  <si>
    <t>Vidautiškių g. 7, Vilniaus m., Vilniaus m. sav.</t>
  </si>
  <si>
    <t>2025-11-24 10:41:56</t>
  </si>
  <si>
    <t>2025-11-24 10:41:57</t>
  </si>
  <si>
    <t>2025-11-24 10:40:20</t>
  </si>
  <si>
    <t>Dusinėnų g. 166, Vilniaus m., Vilniaus m. sav.</t>
  </si>
  <si>
    <t>2025-11-24 10:40:24</t>
  </si>
  <si>
    <t>Vidautiškių g. 29, Vilniaus m., Vilniaus m. sav.</t>
  </si>
  <si>
    <t>2025-11-24 10:40:26</t>
  </si>
  <si>
    <t>2025-11-24 10:40:29</t>
  </si>
  <si>
    <t>2025-11-24 10:40:30</t>
  </si>
  <si>
    <t>2025-11-24 10:40:32</t>
  </si>
  <si>
    <t>Didžioji g. 7, Vilniaus m., Vilniaus m. sav.</t>
  </si>
  <si>
    <t>2025-11-24 10:40:35</t>
  </si>
  <si>
    <t>2025-11-24 10:40:38</t>
  </si>
  <si>
    <t>2025-11-24 11:24:08</t>
  </si>
  <si>
    <t>2025-11-24 10:40:40</t>
  </si>
  <si>
    <t>Dusinėnų g. 178, Vilniaus m., Vilniaus m. sav.</t>
  </si>
  <si>
    <t>2025-11-24 10:42:06</t>
  </si>
  <si>
    <t>2025-11-24 10:40:48</t>
  </si>
  <si>
    <t>Dusinėnų g. 178A, Vilniaus m., Vilniaus m. sav.</t>
  </si>
  <si>
    <t>2025-11-24 10:40:49</t>
  </si>
  <si>
    <t>Pupinės g. 1B, Vilniaus m., Vilniaus m. sav.</t>
  </si>
  <si>
    <t>Didlaukio g. 48, Vilniaus m., Vilniaus m. sav.</t>
  </si>
  <si>
    <t>2025-11-24 10:40:55</t>
  </si>
  <si>
    <t>2025-11-24 10:40:57</t>
  </si>
  <si>
    <t>Prano Ancevičiaus g. 58, Vilniaus m., Vilniaus m. sav.</t>
  </si>
  <si>
    <t>2025-11-24 10:41:00</t>
  </si>
  <si>
    <t>2025-11-24 10:53:58</t>
  </si>
  <si>
    <t>Dusinėnų g. 176, Vilniaus m., Vilniaus m. sav.</t>
  </si>
  <si>
    <t>Stalių g. 4, Vilniaus m., Vilniaus m. sav.</t>
  </si>
  <si>
    <t>2025-11-24 10:41:23</t>
  </si>
  <si>
    <t>Prano Ancevičiaus g. 56-1, Vilniaus m., Vilniaus m. sav.</t>
  </si>
  <si>
    <t>Stalių g. 4A, Vilniaus m., Vilniaus m. sav.</t>
  </si>
  <si>
    <t>2025-11-24 10:54:06</t>
  </si>
  <si>
    <t>Naugarduko g. 37, Vilniaus m., Vilniaus m. sav.</t>
  </si>
  <si>
    <t>2025-11-24 10:41:35</t>
  </si>
  <si>
    <t>Dusinėnų g. 172, Vilniaus m., Vilniaus m. sav.</t>
  </si>
  <si>
    <t>2025-11-24 10:41:38</t>
  </si>
  <si>
    <t>Rinktinės g. 1A, Vilniaus m., Vilniaus m. sav.</t>
  </si>
  <si>
    <t>Fizikų g. 55, Vilniaus m., Vilniaus m. sav.</t>
  </si>
  <si>
    <t>2025-11-24 11:01:47</t>
  </si>
  <si>
    <t>2025-11-24 10:42:11</t>
  </si>
  <si>
    <t>2025-11-24 10:42:12</t>
  </si>
  <si>
    <t>Dusinėnų g. 154, Vilniaus m., Vilniaus m. sav.</t>
  </si>
  <si>
    <t>2025-11-24 10:42:21</t>
  </si>
  <si>
    <t>Dusinėnų g. 160, Vilniaus m., Vilniaus m. sav.</t>
  </si>
  <si>
    <t>2025-11-24 10:46:50</t>
  </si>
  <si>
    <t>Aguonų g. 22, Vilniaus m., Vilniaus m. sav.</t>
  </si>
  <si>
    <t>Dusinėnų g. 162, Vilniaus m., Vilniaus m. sav.</t>
  </si>
  <si>
    <t>2025-11-24 10:48:32</t>
  </si>
  <si>
    <t>2025-11-24 10:42:28</t>
  </si>
  <si>
    <t>Dusinėnų g. 170, Vilniaus m., Vilniaus m. sav.</t>
  </si>
  <si>
    <t>2025-11-24 10:42:33</t>
  </si>
  <si>
    <t>M. Mažvydo g. 25, Vilniaus m., Vilniaus m. sav.</t>
  </si>
  <si>
    <t>2025-11-24 10:42:34</t>
  </si>
  <si>
    <t>2025-11-24 10:43:50</t>
  </si>
  <si>
    <t>2025-11-24 10:42:35</t>
  </si>
  <si>
    <t>2025-11-24 10:42:36</t>
  </si>
  <si>
    <t>2025-11-24 10:42:38</t>
  </si>
  <si>
    <t>2025-11-24 11:26:26</t>
  </si>
  <si>
    <t>2025-11-24 10:42:40</t>
  </si>
  <si>
    <t>2025-11-24 10:42:44</t>
  </si>
  <si>
    <t>Vytauto g. 43, Vilniaus m., Vilniaus m. sav.</t>
  </si>
  <si>
    <t>2025-11-24 10:42:46</t>
  </si>
  <si>
    <t>2025-11-24 11:18:20</t>
  </si>
  <si>
    <t>Stalių g. 5, Vilniaus m., Vilniaus m. sav.</t>
  </si>
  <si>
    <t>2025-11-24 10:42:47</t>
  </si>
  <si>
    <t>2025-11-24 10:54:13</t>
  </si>
  <si>
    <t>Vidautiškių g. 35, Vilniaus m., Vilniaus m. sav.</t>
  </si>
  <si>
    <t>2025-11-24 10:42:56</t>
  </si>
  <si>
    <t>Dusinėnų g. 152, Vilniaus m., Vilniaus m. sav.</t>
  </si>
  <si>
    <t>2025-11-24 10:42:57</t>
  </si>
  <si>
    <t>Stalių g. 4B, Vilniaus m., Vilniaus m. sav.</t>
  </si>
  <si>
    <t>2025-11-24 10:54:15</t>
  </si>
  <si>
    <t>2025-11-24 10:42:58</t>
  </si>
  <si>
    <t>Dusinėnų g. 150, Vilniaus m., Vilniaus m. sav.</t>
  </si>
  <si>
    <t>2025-11-24 10:48:36</t>
  </si>
  <si>
    <t>2025-11-24 10:42:59</t>
  </si>
  <si>
    <t>2025-11-24 10:43:02</t>
  </si>
  <si>
    <t>2025-11-24 10:43:18</t>
  </si>
  <si>
    <t>Stalių g. 4-1, Vilniaus m., Vilniaus m. sav.</t>
  </si>
  <si>
    <t>2025-11-24 10:55:59</t>
  </si>
  <si>
    <t>Dusinėnų g. 158, Vilniaus m., Vilniaus m. sav.</t>
  </si>
  <si>
    <t>2025-11-24 10:43:23</t>
  </si>
  <si>
    <t>2025-11-24 12:15:52</t>
  </si>
  <si>
    <t>Vidautiškių g. 47, Vilniaus m., Vilniaus m. sav.</t>
  </si>
  <si>
    <t>2025-11-24 11:26:27</t>
  </si>
  <si>
    <t>Piromonto g. 7, Vilniaus m., Vilniaus m. sav.</t>
  </si>
  <si>
    <t>2025-11-24 10:43:34</t>
  </si>
  <si>
    <t>2025-11-24 10:43:38</t>
  </si>
  <si>
    <t>2025-11-24 10:43:45</t>
  </si>
  <si>
    <t>2025-11-24 10:43:46</t>
  </si>
  <si>
    <t>Stalių g. 6, Vilniaus m., Vilniaus m. sav.</t>
  </si>
  <si>
    <t>2025-11-24 10:56:02</t>
  </si>
  <si>
    <t>Žemynos g. 18, Vilniaus m., Vilniaus m. sav.</t>
  </si>
  <si>
    <t>Dusinėnų g. 140, Vilniaus m., Vilniaus m. sav.</t>
  </si>
  <si>
    <t>2025-11-24 10:48:40</t>
  </si>
  <si>
    <t>2025-11-24 10:43:51</t>
  </si>
  <si>
    <t>2025-11-24 10:43:54</t>
  </si>
  <si>
    <t>2025-11-24 10:43:55</t>
  </si>
  <si>
    <t>2025-11-24 10:56:04</t>
  </si>
  <si>
    <t>2025-11-24 10:43:56</t>
  </si>
  <si>
    <t>Rinktinės g. 3A, Vilniaus m., Vilniaus m. sav.</t>
  </si>
  <si>
    <t>2025-11-24 10:43:57</t>
  </si>
  <si>
    <t>Minties g. 52, Vilniaus m., Vilniaus m. sav.</t>
  </si>
  <si>
    <t>Antakalnio g. 37, Vilniaus m., Vilniaus m. sav.</t>
  </si>
  <si>
    <t>2025-11-24 10:44:04</t>
  </si>
  <si>
    <t>2025-11-24 10:44:08</t>
  </si>
  <si>
    <t>2025-11-24 10:44:09</t>
  </si>
  <si>
    <t>2025-11-24 10:53:59</t>
  </si>
  <si>
    <t>2025-11-24 10:44:16</t>
  </si>
  <si>
    <t>2025-11-24 10:44:18</t>
  </si>
  <si>
    <t>Šeimyniškių g. 21C, Vilniaus m., Vilniaus m. sav.</t>
  </si>
  <si>
    <t>2025-11-24 10:44:20</t>
  </si>
  <si>
    <t>2025-11-24 10:44:24</t>
  </si>
  <si>
    <t>Stalių g. 8, Vilniaus m., Vilniaus m. sav.</t>
  </si>
  <si>
    <t>2025-11-24 10:56:05</t>
  </si>
  <si>
    <t>2025-11-24 10:44:26</t>
  </si>
  <si>
    <t>2025-11-24 10:44:27</t>
  </si>
  <si>
    <t>Didlaukio g. 42, Vilniaus m., Vilniaus m. sav.</t>
  </si>
  <si>
    <t>2025-11-24 10:44:28</t>
  </si>
  <si>
    <t>2025-11-24 10:44:29</t>
  </si>
  <si>
    <t>2025-11-24 10:44:30</t>
  </si>
  <si>
    <t>2025-11-24 10:44:32</t>
  </si>
  <si>
    <t>2025-11-24 10:44:33</t>
  </si>
  <si>
    <t>2025-11-24 10:44:37</t>
  </si>
  <si>
    <t>2025-11-24 10:44:38</t>
  </si>
  <si>
    <t>E. Pliaterytės g. 24, Vilniaus m., Vilniaus m. sav.</t>
  </si>
  <si>
    <t>2025-11-24 10:44:40</t>
  </si>
  <si>
    <t>Dusinėnų g. 130, Vilniaus m., Vilniaus m. sav.</t>
  </si>
  <si>
    <t>2025-11-24 10:44:44</t>
  </si>
  <si>
    <t>Dusinėnų g. 134, Vilniaus m., Vilniaus m. sav.</t>
  </si>
  <si>
    <t>2025-11-24 10:44:46</t>
  </si>
  <si>
    <t>2025-11-24 11:26:28</t>
  </si>
  <si>
    <t>2025-11-24 10:44:47</t>
  </si>
  <si>
    <t>2025-11-24 10:53:16</t>
  </si>
  <si>
    <t>Saltoniškių g. 7C, Vilniaus m., Vilniaus m. sav.</t>
  </si>
  <si>
    <t>2025-11-24 10:44:48</t>
  </si>
  <si>
    <t>2025-11-24 10:44:50</t>
  </si>
  <si>
    <t>Dusinėnų g. 128, Vilniaus m., Vilniaus m. sav.</t>
  </si>
  <si>
    <t>2025-11-24 10:48:44</t>
  </si>
  <si>
    <t>2025-11-24 10:44:51</t>
  </si>
  <si>
    <t>Vaivadiškių g. 2, Vilniaus m., Vilniaus m. sav.</t>
  </si>
  <si>
    <t>2025-11-24 10:44:55</t>
  </si>
  <si>
    <t>2025-11-24 10:56:07</t>
  </si>
  <si>
    <t>2025-11-24 10:44:59</t>
  </si>
  <si>
    <t>2025-11-24 10:45:00</t>
  </si>
  <si>
    <t>Vidautiškių g. 57, Vilniaus m., Vilniaus m. sav.</t>
  </si>
  <si>
    <t>2025-11-24 10:45:05</t>
  </si>
  <si>
    <t>Juodkrantės g. 7, Vilniaus m., Vilniaus m. sav.</t>
  </si>
  <si>
    <t>2025-11-24 10:45:11</t>
  </si>
  <si>
    <t>Kelmijos Sodų 20-oji g. 16, Vilniaus m., Vilniaus m. sav.</t>
  </si>
  <si>
    <t>2025-11-24 10:45:14</t>
  </si>
  <si>
    <t>2025-11-24 10:45:17</t>
  </si>
  <si>
    <t>2025-11-24 10:45:20</t>
  </si>
  <si>
    <t>M. Rėmerio g. 2, Vilniaus m., Vilniaus m. sav.</t>
  </si>
  <si>
    <t>2025-11-24 10:45:22</t>
  </si>
  <si>
    <t>Dusinėnų g. 85-1, Vilniaus m., Vilniaus m. sav.</t>
  </si>
  <si>
    <t>2025-11-24 10:45:25</t>
  </si>
  <si>
    <t>Kelmijos Sodų 20-oji g. 20, Vilniaus m., Vilniaus m. sav.</t>
  </si>
  <si>
    <t>2025-11-24 10:45:29</t>
  </si>
  <si>
    <t>2025-11-24 10:45:31</t>
  </si>
  <si>
    <t>V. A. Graičiūno g. 2A, Vilniaus m., Vilniaus m. sav.</t>
  </si>
  <si>
    <t>2025-11-24 10:45:32</t>
  </si>
  <si>
    <t>Dusinėnų g. 83, Vilniaus m., Vilniaus m. sav.</t>
  </si>
  <si>
    <t>2025-11-24 10:45:35</t>
  </si>
  <si>
    <t>Dusinėnų g. 144, Vilniaus m., Vilniaus m. sav.</t>
  </si>
  <si>
    <t>2025-11-24 10:52:15</t>
  </si>
  <si>
    <t>Saltoniškių g. 54, Vilniaus m., Vilniaus m. sav.</t>
  </si>
  <si>
    <t>2025-11-24 10:45:36</t>
  </si>
  <si>
    <t>Stalių g. 8-2, Vilniaus m., Vilniaus m. sav.</t>
  </si>
  <si>
    <t>2025-11-24 10:45:45</t>
  </si>
  <si>
    <t>2025-11-24 10:45:48</t>
  </si>
  <si>
    <t>Dusinėnų g. 85-2, Vilniaus m., Vilniaus m. sav.</t>
  </si>
  <si>
    <t>2025-11-24 10:45:54</t>
  </si>
  <si>
    <t>Dusinėnų g. 83-2, Vilniaus m., Vilniaus m. sav.</t>
  </si>
  <si>
    <t>2025-11-24 10:45:57</t>
  </si>
  <si>
    <t>2025-11-24 10:46:54</t>
  </si>
  <si>
    <t>2025-11-24 10:45:59</t>
  </si>
  <si>
    <t>2025-11-24 10:46:00</t>
  </si>
  <si>
    <t>Vykdomi infrastruktūros darbaiNukopijuota į maršrutą nr. 300306 vartotojo Valytė Dremeikienė.</t>
  </si>
  <si>
    <t>2025-11-24 10:46:03</t>
  </si>
  <si>
    <t>2025-11-24 10:46:01</t>
  </si>
  <si>
    <t>V. A. Graičiūno g. 2B, Vilniaus m., Vilniaus m. sav.</t>
  </si>
  <si>
    <t>2025-11-24 10:46:11</t>
  </si>
  <si>
    <t>2025-11-24 10:46:19</t>
  </si>
  <si>
    <t>2025-11-24 10:46:21</t>
  </si>
  <si>
    <t>Didlaukio g. 21, Vilniaus m., Vilniaus m. sav.</t>
  </si>
  <si>
    <t>2025-11-24 10:46:24</t>
  </si>
  <si>
    <t>2025-11-24 10:46:23</t>
  </si>
  <si>
    <t>Kelmijos Sodų 43-ioji 21, Vilniaus m., Vilniaus m. sav.</t>
  </si>
  <si>
    <t>2025-11-24 10:46:26</t>
  </si>
  <si>
    <t>2025-11-24 10:46:27</t>
  </si>
  <si>
    <t>2025-11-24 10:46:29</t>
  </si>
  <si>
    <t>2025-11-24 10:46:31</t>
  </si>
  <si>
    <t>2025-11-24 10:46:32</t>
  </si>
  <si>
    <t>2025-11-24 10:46:34</t>
  </si>
  <si>
    <t>Didžioji g. 17, Vilniaus m., Vilniaus m. sav.</t>
  </si>
  <si>
    <t>2025-11-24 10:46:35</t>
  </si>
  <si>
    <t>2025-11-24 10:46:36</t>
  </si>
  <si>
    <t>2025-11-24 10:46:37</t>
  </si>
  <si>
    <t>2025-11-24 10:46:40</t>
  </si>
  <si>
    <t>2025-11-24 10:46:42</t>
  </si>
  <si>
    <t>Augustų g. 5, Vilniaus m., Vilniaus m. sav.</t>
  </si>
  <si>
    <t>2025-11-24 10:46:44</t>
  </si>
  <si>
    <t>Dusinėnų g. 148, Vilniaus m., Vilniaus m. sav.</t>
  </si>
  <si>
    <t>2025-11-24 10:57:09</t>
  </si>
  <si>
    <t>2025-11-24 10:46:58</t>
  </si>
  <si>
    <t>Ateities g. 10B, Vilniaus m., Vilniaus m. sav.</t>
  </si>
  <si>
    <t>2025-11-24 10:47:01</t>
  </si>
  <si>
    <t>2025-11-24 10:47:06</t>
  </si>
  <si>
    <t>2025-11-24 11:11:27</t>
  </si>
  <si>
    <t>2025-11-24 10:57:12</t>
  </si>
  <si>
    <t>2025-11-24 10:47:09</t>
  </si>
  <si>
    <t>Piromonto g. 5, Vilniaus m., Vilniaus m. sav.</t>
  </si>
  <si>
    <t>2025-11-24 10:47:12</t>
  </si>
  <si>
    <t>Dusinėnų g. 146, Vilniaus m., Vilniaus m. sav.</t>
  </si>
  <si>
    <t>2025-11-24 10:47:17</t>
  </si>
  <si>
    <t>2025-11-24 10:47:18</t>
  </si>
  <si>
    <t>Stalių g. 8B-1, Vilniaus m., Vilniaus m. sav.</t>
  </si>
  <si>
    <t>2025-11-24 10:56:12</t>
  </si>
  <si>
    <t>2025-11-24 10:47:23</t>
  </si>
  <si>
    <t>2025-11-24 10:51:53</t>
  </si>
  <si>
    <t>Augustų g. 7, Vilniaus m., Vilniaus m. sav.</t>
  </si>
  <si>
    <t>2025-11-24 10:47:24</t>
  </si>
  <si>
    <t>2025-11-24 10:47:25</t>
  </si>
  <si>
    <t>2025-11-24 10:47:27</t>
  </si>
  <si>
    <t>2025-11-24 10:47:28</t>
  </si>
  <si>
    <t>2025-11-24 10:56:13</t>
  </si>
  <si>
    <t>2025-11-24 10:47:33</t>
  </si>
  <si>
    <t>2025-11-24 10:56:15</t>
  </si>
  <si>
    <t>2025-11-24 10:47:36</t>
  </si>
  <si>
    <t>Dusinėnų g. 116, Vilniaus m., Vilniaus m. sav.</t>
  </si>
  <si>
    <t>2025-11-24 10:47:42</t>
  </si>
  <si>
    <t>Dusinėnų g. 118, Vilniaus m., Vilniaus m. sav.</t>
  </si>
  <si>
    <t>2025-11-24 10:57:16</t>
  </si>
  <si>
    <t>2025-11-24 10:47:44</t>
  </si>
  <si>
    <t>2025-11-24 10:47:47</t>
  </si>
  <si>
    <t>2025-11-24 10:47:53</t>
  </si>
  <si>
    <t>2025-11-24 10:47:57</t>
  </si>
  <si>
    <t>2025-11-24 10:48:00</t>
  </si>
  <si>
    <t>Augustų g. 13, Vilniaus m., Vilniaus m. sav.</t>
  </si>
  <si>
    <t>2025-11-24 10:48:03</t>
  </si>
  <si>
    <t>2025-11-24 11:09:22</t>
  </si>
  <si>
    <t>2025-11-24 10:48:04</t>
  </si>
  <si>
    <t>2025-11-24 10:48:08</t>
  </si>
  <si>
    <t>2025-11-24 10:48:12</t>
  </si>
  <si>
    <t>Dusinėnų g. 120, Vilniaus m., Vilniaus m. sav.</t>
  </si>
  <si>
    <t>2025-11-24 10:48:14</t>
  </si>
  <si>
    <t>2025-11-24 11:26:30</t>
  </si>
  <si>
    <t>2025-11-24 10:48:17</t>
  </si>
  <si>
    <t>2025-11-24 10:48:24</t>
  </si>
  <si>
    <t>Arklių g. 26, Vilniaus m., Vilniaus m. sav.</t>
  </si>
  <si>
    <t>2025-11-24 10:48:25</t>
  </si>
  <si>
    <t>2025-11-24 10:48:29</t>
  </si>
  <si>
    <t>A. Juozapavičiaus g. 28, Vilniaus m., Vilniaus m. sav.</t>
  </si>
  <si>
    <t>Tolminkiemio g. 14, Vilniaus m., Vilniaus m. sav.</t>
  </si>
  <si>
    <t>2025-11-24 10:48:37</t>
  </si>
  <si>
    <t>2025-11-24 10:48:39</t>
  </si>
  <si>
    <t>Stalių g. 8B-2, Vilniaus m., Vilniaus m. sav.</t>
  </si>
  <si>
    <t>Arklių g. 20, Vilniaus m., Vilniaus m. sav.</t>
  </si>
  <si>
    <t>2025-11-24 10:48:45</t>
  </si>
  <si>
    <t>2025-11-24 10:48:47</t>
  </si>
  <si>
    <t>2025-11-24 10:48:54</t>
  </si>
  <si>
    <t>2025-11-24 10:48:58</t>
  </si>
  <si>
    <t>Dusinėnų g. 110, Vilniaus m., Vilniaus m. sav.</t>
  </si>
  <si>
    <t>2025-11-24 10:49:04</t>
  </si>
  <si>
    <t>2025-11-24 10:49:06</t>
  </si>
  <si>
    <t>Karmelitų g. 4, Vilniaus m., Vilniaus m. sav.</t>
  </si>
  <si>
    <t>2025-11-24 10:49:07</t>
  </si>
  <si>
    <t>2025-11-24 10:49:12</t>
  </si>
  <si>
    <t>Antakalnio g. 12, Vilniaus m., Vilniaus m. sav.</t>
  </si>
  <si>
    <t>2025-11-24 10:49:16</t>
  </si>
  <si>
    <t>Arklių g. 10, Vilniaus m., Vilniaus m. sav.</t>
  </si>
  <si>
    <t>2025-11-24 10:49:20</t>
  </si>
  <si>
    <t>Šv. Stepono g. 27A, Vilniaus m., Vilniaus m. sav.</t>
  </si>
  <si>
    <t>2025-11-24 10:49:23</t>
  </si>
  <si>
    <t>2025-11-24 10:49:28</t>
  </si>
  <si>
    <t>Dusinėnų g. 108, Vilniaus m., Vilniaus m. sav.</t>
  </si>
  <si>
    <t>2025-11-24 10:49:35</t>
  </si>
  <si>
    <t>Saulėtekio al. 17, Vilniaus m., Vilniaus m. sav.</t>
  </si>
  <si>
    <t>2025-11-24 10:49:44</t>
  </si>
  <si>
    <t>2025-11-24 10:49:45</t>
  </si>
  <si>
    <t>2025-11-24 10:49:47</t>
  </si>
  <si>
    <t>Didlaukio g. 21A, Vilniaus m., Vilniaus m. sav.</t>
  </si>
  <si>
    <t>2025-11-24 10:49:49</t>
  </si>
  <si>
    <t>2025-11-24 10:49:51</t>
  </si>
  <si>
    <t>2025-11-24 10:49:52</t>
  </si>
  <si>
    <t>2025-11-24 10:49:56</t>
  </si>
  <si>
    <t>2025-11-24 10:50:03</t>
  </si>
  <si>
    <t>Dusinėnų g. 88, Vilniaus m., Vilniaus m. sav.</t>
  </si>
  <si>
    <t>2025-11-24 10:50:04</t>
  </si>
  <si>
    <t>Šv. Stepono g. 25, Vilniaus m., Vilniaus m. sav.</t>
  </si>
  <si>
    <t>Stalių g. 10, Vilniaus m., Vilniaus m. sav.</t>
  </si>
  <si>
    <t>2025-11-24 10:50:16</t>
  </si>
  <si>
    <t>2025-11-24 11:18:23</t>
  </si>
  <si>
    <t>2025-11-24 10:50:17</t>
  </si>
  <si>
    <t>2025-11-24 10:50:18</t>
  </si>
  <si>
    <t>2025-11-24 11:18:27</t>
  </si>
  <si>
    <t>2025-11-24 10:50:22</t>
  </si>
  <si>
    <t>2025-11-24 10:50:24</t>
  </si>
  <si>
    <t>2025-11-24 10:50:25</t>
  </si>
  <si>
    <t>Vakarinė g. 2, Vilniaus m., Vilniaus m. sav.</t>
  </si>
  <si>
    <t>2025-11-24 10:50:27</t>
  </si>
  <si>
    <t>Žemynos g. 26, Vilniaus m., Vilniaus m. sav.</t>
  </si>
  <si>
    <t>2025-11-24 10:54:09</t>
  </si>
  <si>
    <t>2025-11-24 10:50:28</t>
  </si>
  <si>
    <t>2025-11-24 10:50:30</t>
  </si>
  <si>
    <t>2025-11-24 10:50:34</t>
  </si>
  <si>
    <t>Dusinėnų g. 86, Vilniaus m., Vilniaus m. sav.</t>
  </si>
  <si>
    <t>2025-11-24 10:50:38</t>
  </si>
  <si>
    <t>2025-11-24 10:50:40</t>
  </si>
  <si>
    <t>Augustų g. 37, Vilniaus m., Vilniaus m. sav.</t>
  </si>
  <si>
    <t>2025-11-24 10:50:42</t>
  </si>
  <si>
    <t>2025-11-24 11:35:56</t>
  </si>
  <si>
    <t>2025-11-24 10:50:44</t>
  </si>
  <si>
    <t>Etmonų g. 6, Vilniaus m., Vilniaus m. sav.</t>
  </si>
  <si>
    <t>2025-11-24 11:18:32</t>
  </si>
  <si>
    <t>2025-11-24 10:50:45</t>
  </si>
  <si>
    <t>Visorių g. 25A, Vilniaus m., Vilniaus m. sav.</t>
  </si>
  <si>
    <t>2025-11-24 10:50:46</t>
  </si>
  <si>
    <t>2025-11-24 10:50:48</t>
  </si>
  <si>
    <t>2025-11-24 10:50:54</t>
  </si>
  <si>
    <t>2025-11-24 10:50:56</t>
  </si>
  <si>
    <t>2025-11-24 10:50:58</t>
  </si>
  <si>
    <t>2025-11-24 10:51:01</t>
  </si>
  <si>
    <t>Tolminkiemio g. 18, Vilniaus m., Vilniaus m. sav.</t>
  </si>
  <si>
    <t>2025-11-24 10:54:31</t>
  </si>
  <si>
    <t>2025-11-24 10:51:06</t>
  </si>
  <si>
    <t>2025-11-24 10:54:32</t>
  </si>
  <si>
    <t>2025-11-24 10:51:09</t>
  </si>
  <si>
    <t>Miglos g. 65, Vilniaus m., Vilniaus m. sav.</t>
  </si>
  <si>
    <t>Dusinėnų g. 84, Vilniaus m., Vilniaus m. sav.</t>
  </si>
  <si>
    <t>2025-11-24 10:51:12</t>
  </si>
  <si>
    <t>2025-11-24 10:56:19</t>
  </si>
  <si>
    <t>2025-11-24 10:51:17</t>
  </si>
  <si>
    <t>Stalių g. 7, Vilniaus m., Vilniaus m. sav.</t>
  </si>
  <si>
    <t>2025-11-24 10:56:20</t>
  </si>
  <si>
    <t>2025-11-24 10:51:19</t>
  </si>
  <si>
    <t>2025-11-24 10:51:24</t>
  </si>
  <si>
    <t>Ukmergės g. 283, Vilniaus m., Vilniaus m. sav.</t>
  </si>
  <si>
    <t>2025-11-24 10:51:26</t>
  </si>
  <si>
    <t>2025-11-24 10:51:29</t>
  </si>
  <si>
    <t>2025-11-24 10:51:40</t>
  </si>
  <si>
    <t>Didžioji g. 35, Vilniaus m., Vilniaus m. sav.</t>
  </si>
  <si>
    <t>Antakalnio g. 4A, Vilniaus m., Vilniaus m. sav.</t>
  </si>
  <si>
    <t>2025-11-24 10:51:41</t>
  </si>
  <si>
    <t>2025-11-24 10:57:11</t>
  </si>
  <si>
    <t>2025-11-24 10:51:45</t>
  </si>
  <si>
    <t>2025-11-24 10:57:13</t>
  </si>
  <si>
    <t>2025-11-24 10:51:49</t>
  </si>
  <si>
    <t>Dusinėnų g. 80, Vilniaus m., Vilniaus m. sav.</t>
  </si>
  <si>
    <t>2025-11-24 10:51:50</t>
  </si>
  <si>
    <t>Kelmijos Sodų 19-oji g. 48, Vilniaus m., Vilniaus m. sav.</t>
  </si>
  <si>
    <t>2025-11-24 10:51:58</t>
  </si>
  <si>
    <t>2025-11-24 11:33:11</t>
  </si>
  <si>
    <t>2025-11-24 10:51:59</t>
  </si>
  <si>
    <t>Dusinėnų g. 56, Vilniaus m., Vilniaus m. sav.</t>
  </si>
  <si>
    <t>2025-11-24 10:52:03</t>
  </si>
  <si>
    <t>2025-11-24 10:52:04</t>
  </si>
  <si>
    <t>Didžioji g. 39, Vilniaus m., Vilniaus m. sav.</t>
  </si>
  <si>
    <t>2025-11-24 10:52:07</t>
  </si>
  <si>
    <t>2025-11-24 10:52:10</t>
  </si>
  <si>
    <t>Žiogų g. 19, Vilniaus m., Vilniaus m. sav.</t>
  </si>
  <si>
    <t>2025-11-24 10:56:22</t>
  </si>
  <si>
    <t>2025-11-24 10:52:12</t>
  </si>
  <si>
    <t>2025-11-24 10:52:14</t>
  </si>
  <si>
    <t>Salininkų g. 147, Vilniaus m., Vilniaus m. sav.</t>
  </si>
  <si>
    <t>Saulėtekio al. 43, Vilniaus m., Vilniaus m. sav.</t>
  </si>
  <si>
    <t>2025-11-24 10:56:23</t>
  </si>
  <si>
    <t>2025-11-24 10:52:16</t>
  </si>
  <si>
    <t>2025-11-24 10:52:18</t>
  </si>
  <si>
    <t>2025-11-24 10:52:21</t>
  </si>
  <si>
    <t>2025-11-24 10:56:24</t>
  </si>
  <si>
    <t>2025-11-24 10:52:22</t>
  </si>
  <si>
    <t>2025-11-24 10:52:23</t>
  </si>
  <si>
    <t>Juodšilių g. 1A, Vilniaus m., Vilniaus m. sav.</t>
  </si>
  <si>
    <t>2025-11-24 10:52:25</t>
  </si>
  <si>
    <t>2025-11-24 10:52:29</t>
  </si>
  <si>
    <t>Dusinėnų g. 78, Vilniaus m., Vilniaus m. sav.</t>
  </si>
  <si>
    <t>2025-11-24 10:52:33</t>
  </si>
  <si>
    <t>2025-11-24 10:52:34</t>
  </si>
  <si>
    <t>2025-11-24 10:52:38</t>
  </si>
  <si>
    <t>Ukmergės g. 285, Vilniaus m., Vilniaus m. sav.</t>
  </si>
  <si>
    <t>2025-11-24 10:52:47</t>
  </si>
  <si>
    <t>Dusinėnų g. 76, Vilniaus m., Vilniaus m. sav.</t>
  </si>
  <si>
    <t>2025-11-24 10:52:50</t>
  </si>
  <si>
    <t>2025-11-24 10:52:51</t>
  </si>
  <si>
    <t>2025-11-24 10:52:53</t>
  </si>
  <si>
    <t>2025-11-24 10:52:54</t>
  </si>
  <si>
    <t>2025-11-24 10:53:10</t>
  </si>
  <si>
    <t>Miglos g. 61A, Vilniaus m., Vilniaus m. sav.</t>
  </si>
  <si>
    <t>Ukmergės g. 283B, Vilniaus m., Vilniaus m. sav.</t>
  </si>
  <si>
    <t>2025-11-24 10:55:21</t>
  </si>
  <si>
    <t>2025-11-24 10:53:21</t>
  </si>
  <si>
    <t>2025-11-24 10:53:23</t>
  </si>
  <si>
    <t>2025-11-24 10:53:24</t>
  </si>
  <si>
    <t>A. Juozapavičiaus g. 9A, Vilniaus m., Vilniaus m. sav.</t>
  </si>
  <si>
    <t>2025-11-24 10:53:30</t>
  </si>
  <si>
    <t>2025-11-24 10:53:35</t>
  </si>
  <si>
    <t>Dusinėnų g. 62, Vilniaus m., Vilniaus m. sav.</t>
  </si>
  <si>
    <t>2025-11-24 10:53:39</t>
  </si>
  <si>
    <t>2025-11-24 10:53:41</t>
  </si>
  <si>
    <t>Dusinėnų g. 70, Vilniaus m., Vilniaus m. sav.</t>
  </si>
  <si>
    <t>2025-11-24 10:53:51</t>
  </si>
  <si>
    <t>Žiogų g. 21, Vilniaus m., Vilniaus m. sav.</t>
  </si>
  <si>
    <t>2025-11-24 10:56:25</t>
  </si>
  <si>
    <t>2025-11-24 10:53:52</t>
  </si>
  <si>
    <t>2025-11-24 10:53:55</t>
  </si>
  <si>
    <t>2025-11-24 10:53:56</t>
  </si>
  <si>
    <t>2025-11-24 10:56:27</t>
  </si>
  <si>
    <t>2025-11-24 10:54:05</t>
  </si>
  <si>
    <t>Didlaukio g. 11A, Vilniaus m., Vilniaus m. sav.</t>
  </si>
  <si>
    <t>2025-11-24 11:35:32</t>
  </si>
  <si>
    <t>Mindaugo g. 44, Vilniaus m., Vilniaus m. sav.</t>
  </si>
  <si>
    <t>2025-11-24 11:02:14</t>
  </si>
  <si>
    <t>2025-11-24 10:54:27</t>
  </si>
  <si>
    <t>Žiogų g. 23, Vilniaus m., Vilniaus m. sav.</t>
  </si>
  <si>
    <t>2025-11-24 10:54:37</t>
  </si>
  <si>
    <t>2025-11-24 10:54:38</t>
  </si>
  <si>
    <t>2025-11-24 10:54:45</t>
  </si>
  <si>
    <t>Didžioji g. 40, Vilniaus m., Vilniaus m. sav.</t>
  </si>
  <si>
    <t>Kovo 11-osios g. 39A, Vilniaus m., Vilniaus m. sav.</t>
  </si>
  <si>
    <t>2025-11-24 10:54:49</t>
  </si>
  <si>
    <t>2025-11-24 10:54:53</t>
  </si>
  <si>
    <t>Žiogų g. 9-2, Vilniaus m., Vilniaus m. sav.</t>
  </si>
  <si>
    <t>2025-11-24 10:54:58</t>
  </si>
  <si>
    <t>2025-11-24 10:54:59</t>
  </si>
  <si>
    <t>Perkūnkiemio g. 53, Vilniaus m., Vilniaus m. sav.</t>
  </si>
  <si>
    <t>2025-11-24 11:03:54</t>
  </si>
  <si>
    <t>2025-11-24 10:55:00</t>
  </si>
  <si>
    <t>2025-11-24 10:55:01</t>
  </si>
  <si>
    <t>Baltosios Vokės g. 4, Vilniaus m., Vilniaus m. sav.</t>
  </si>
  <si>
    <t>2025-11-24 10:55:03</t>
  </si>
  <si>
    <t>2025-11-24 10:55:55</t>
  </si>
  <si>
    <t>2025-11-24 11:18:42</t>
  </si>
  <si>
    <t>Gineitiškių g. 45A-2, Vilniaus m., Vilniaus m. sav.</t>
  </si>
  <si>
    <t>2025-11-24 10:55:08</t>
  </si>
  <si>
    <t>Žiogų g. 9-1, Vilniaus m., Vilniaus m. sav.</t>
  </si>
  <si>
    <t>2025-11-24 10:55:09</t>
  </si>
  <si>
    <t>Šv. Kazimiero g. 3, Vilniaus m., Vilniaus m. sav.</t>
  </si>
  <si>
    <t>2025-11-24 10:55:11</t>
  </si>
  <si>
    <t>2025-11-24 10:55:13</t>
  </si>
  <si>
    <t>Plytinės g. 17A, Vilniaus m., Vilniaus m. sav.</t>
  </si>
  <si>
    <t>2025-11-24 11:05:07</t>
  </si>
  <si>
    <t>2025-11-24 10:55:15</t>
  </si>
  <si>
    <t>2025-11-24 10:55:27</t>
  </si>
  <si>
    <t>Tolminkiemio g. 35, Vilniaus m., Vilniaus m. sav.</t>
  </si>
  <si>
    <t>2025-11-24 11:07:39</t>
  </si>
  <si>
    <t>2025-11-24 10:55:29</t>
  </si>
  <si>
    <t>Dusinėnų g. 52, Vilniaus m., Vilniaus m. sav.</t>
  </si>
  <si>
    <t>2025-11-24 10:55:30</t>
  </si>
  <si>
    <t>2025-11-24 10:55:31</t>
  </si>
  <si>
    <t>2025-11-24 10:55:32</t>
  </si>
  <si>
    <t>2025-11-24 10:55:39</t>
  </si>
  <si>
    <t>Žiogų g. 11, Vilniaus m., Vilniaus m. sav.</t>
  </si>
  <si>
    <t>2025-11-24 11:04:15</t>
  </si>
  <si>
    <t>2025-11-24 10:55:52</t>
  </si>
  <si>
    <t>2025-11-24 10:55:54</t>
  </si>
  <si>
    <t>Gineitiškių g. 49-1, Vilniaus m., Vilniaus m. sav.</t>
  </si>
  <si>
    <t>Gineitiškių g. 49, Vilniaus m., Vilniaus m. sav.</t>
  </si>
  <si>
    <t>2025-11-24 11:05:16</t>
  </si>
  <si>
    <t>Dusinėnų g. 50, Vilniaus m., Vilniaus m. sav.</t>
  </si>
  <si>
    <t>Žiogų g. 25, Vilniaus m., Vilniaus m. sav.</t>
  </si>
  <si>
    <t>Saltoniškių g. 21, Vilniaus m., Vilniaus m. sav.</t>
  </si>
  <si>
    <t>2025-11-24 11:04:21</t>
  </si>
  <si>
    <t>2025-11-24 11:05:19</t>
  </si>
  <si>
    <t>2025-11-24 11:04:23</t>
  </si>
  <si>
    <t>2025-11-24 10:56:21</t>
  </si>
  <si>
    <t>2025-11-24 10:56:28</t>
  </si>
  <si>
    <t>Žiogų g. 27, Vilniaus m., Vilniaus m. sav.</t>
  </si>
  <si>
    <t>2025-11-24 10:56:29</t>
  </si>
  <si>
    <t>2025-11-24 10:56:30</t>
  </si>
  <si>
    <t>2025-11-24 10:56:33</t>
  </si>
  <si>
    <t>2025-11-24 10:56:34</t>
  </si>
  <si>
    <t>Jeruzalės g. 7, Vilniaus m., Vilniaus m. sav.</t>
  </si>
  <si>
    <t>2025-11-24 10:56:35</t>
  </si>
  <si>
    <t>Dusinėnų g. 96, Vilniaus m., Vilniaus m. sav.</t>
  </si>
  <si>
    <t>2025-11-24 10:56:37</t>
  </si>
  <si>
    <t>Gariūnų aklg. 4, Vilniaus m., Vilniaus m. sav.</t>
  </si>
  <si>
    <t>2025-11-24 10:56:44</t>
  </si>
  <si>
    <t>2025-11-24 10:56:47</t>
  </si>
  <si>
    <t>2025-11-24 10:56:49</t>
  </si>
  <si>
    <t>2025-11-24 10:56:50</t>
  </si>
  <si>
    <t>Gineitiškių g. 57, Vilniaus m., Vilniaus m. sav.</t>
  </si>
  <si>
    <t>2025-11-24 10:56:55</t>
  </si>
  <si>
    <t>Gineitiškių g. 53C, Vilniaus m., Vilniaus m. sav.</t>
  </si>
  <si>
    <t>2025-11-24 10:56:56</t>
  </si>
  <si>
    <t>Gineitiškių g. 53, Vilniaus m., Vilniaus m. sav.</t>
  </si>
  <si>
    <t>2025-11-24 10:56:57</t>
  </si>
  <si>
    <t>Dusinėnų g. 94, Vilniaus m., Vilniaus m. sav.</t>
  </si>
  <si>
    <t>2025-11-24 10:57:22</t>
  </si>
  <si>
    <t>2025-11-24 10:56:58</t>
  </si>
  <si>
    <t>2025-11-24 10:57:01</t>
  </si>
  <si>
    <t>2025-11-24 10:57:02</t>
  </si>
  <si>
    <t>Didlaukio g. 13, Vilniaus m., Vilniaus m. sav.</t>
  </si>
  <si>
    <t>2025-11-24 10:57:04</t>
  </si>
  <si>
    <t>2025-11-24 10:57:05</t>
  </si>
  <si>
    <t>2025-11-24 11:06:21</t>
  </si>
  <si>
    <t>Saulėtekio al. 32, Vilniaus m., Vilniaus m. sav.</t>
  </si>
  <si>
    <t>2025-11-24 10:57:15</t>
  </si>
  <si>
    <t>Antakalnio g. 124, Vilniaus m., Vilniaus m. sav.</t>
  </si>
  <si>
    <t>Gineitiškių g. 57A, Vilniaus m., Vilniaus m. sav.</t>
  </si>
  <si>
    <t>2025-11-24 11:05:29</t>
  </si>
  <si>
    <t>2025-11-24 11:05:27</t>
  </si>
  <si>
    <t>2025-11-24 10:57:21</t>
  </si>
  <si>
    <t>Žiogų g. 9, Vilniaus m., Vilniaus m. sav.</t>
  </si>
  <si>
    <t>2025-11-24 11:04:27</t>
  </si>
  <si>
    <t>2025-11-24 10:57:25</t>
  </si>
  <si>
    <t>Gineitiškių g. 51, Vilniaus m., Vilniaus m. sav.</t>
  </si>
  <si>
    <t>2025-11-24 10:57:30</t>
  </si>
  <si>
    <t>2025-11-24 10:57:31</t>
  </si>
  <si>
    <t>2025-11-24 10:57:33</t>
  </si>
  <si>
    <t>2025-11-24 10:57:41</t>
  </si>
  <si>
    <t>2025-11-24 10:57:42</t>
  </si>
  <si>
    <t>Ukmergės g. 220, Vilniaus m., Vilniaus m. sav.</t>
  </si>
  <si>
    <t>2025-11-24 10:57:43</t>
  </si>
  <si>
    <t>2025-11-24 10:57:44</t>
  </si>
  <si>
    <t>2025-11-24 10:57:46</t>
  </si>
  <si>
    <t>2025-11-24 10:57:47</t>
  </si>
  <si>
    <t>2025-11-24 10:57:52</t>
  </si>
  <si>
    <t>Žiogų g. 6, Vilniaus m., Vilniaus m. sav.</t>
  </si>
  <si>
    <t>2025-11-24 10:57:53</t>
  </si>
  <si>
    <t>Gineitiškių g. 55, Vilniaus m., Vilniaus m. sav.</t>
  </si>
  <si>
    <t>2025-11-24 10:57:55</t>
  </si>
  <si>
    <t>2025-11-24 10:57:56</t>
  </si>
  <si>
    <t>2025-11-24 10:57:58</t>
  </si>
  <si>
    <t>2025-11-24 10:58:01</t>
  </si>
  <si>
    <t>2025-11-24 11:09:49</t>
  </si>
  <si>
    <t>Dusinėnų g. 42, Vilniaus m., Vilniaus m. sav.</t>
  </si>
  <si>
    <t>2025-11-24 10:58:02</t>
  </si>
  <si>
    <t>2025-11-24 10:58:04</t>
  </si>
  <si>
    <t>2025-11-24 10:58:07</t>
  </si>
  <si>
    <t>2025-11-24 11:09:50</t>
  </si>
  <si>
    <t>2025-11-24 10:58:09</t>
  </si>
  <si>
    <t>Augustijonų g. 8, Vilniaus m., Vilniaus m. sav.</t>
  </si>
  <si>
    <t>2025-11-24 10:58:10</t>
  </si>
  <si>
    <t>2025-11-24 11:06:07</t>
  </si>
  <si>
    <t>2025-11-24 10:58:11</t>
  </si>
  <si>
    <t>2025-11-24 11:32:43</t>
  </si>
  <si>
    <t>Dusinėnų g. 46, Vilniaus m., Vilniaus m. sav.</t>
  </si>
  <si>
    <t>2025-11-24 10:58:15</t>
  </si>
  <si>
    <t>Dusinėnų g. 44, Vilniaus m., Vilniaus m. sav.</t>
  </si>
  <si>
    <t>2025-11-24 10:58:16</t>
  </si>
  <si>
    <t>Ukmergės g. 297A, Vilniaus m., Vilniaus m. sav.</t>
  </si>
  <si>
    <t>2025-11-24 10:58:19</t>
  </si>
  <si>
    <t>Saulės g. 18, Vilniaus m., Vilniaus m. sav.</t>
  </si>
  <si>
    <t>2025-11-24 10:58:23</t>
  </si>
  <si>
    <t>2025-11-24 11:03:47</t>
  </si>
  <si>
    <t>2025-11-24 10:58:25</t>
  </si>
  <si>
    <t>2025-11-24 10:58:30</t>
  </si>
  <si>
    <t>2025-11-24 10:58:35</t>
  </si>
  <si>
    <t>2025-11-24 10:58:36</t>
  </si>
  <si>
    <t>Girulių g. 22, Vilniaus m., Vilniaus m. sav.</t>
  </si>
  <si>
    <t>2025-11-24 11:03:59</t>
  </si>
  <si>
    <t>2025-11-24 10:58:38</t>
  </si>
  <si>
    <t>2025-11-24 11:04:01</t>
  </si>
  <si>
    <t>Užubalių g. 7, Vilniaus m., Vilniaus m. sav.</t>
  </si>
  <si>
    <t>2025-11-24 10:58:43</t>
  </si>
  <si>
    <t>Užubalių g. 5, Vilniaus m., Vilniaus m. sav.</t>
  </si>
  <si>
    <t>2025-11-24 10:58:48</t>
  </si>
  <si>
    <t>Gineitiškių g. 63, Vilniaus m., Vilniaus m. sav.</t>
  </si>
  <si>
    <t>Gineitiškių g. 61, Vilniaus m., Vilniaus m. sav.</t>
  </si>
  <si>
    <t>2025-11-24 10:58:50</t>
  </si>
  <si>
    <t>Kovo 11-osios g. 30, Vilniaus m., Vilniaus m. sav.</t>
  </si>
  <si>
    <t>2025-11-24 10:58:52</t>
  </si>
  <si>
    <t>Stepono Batoro g. 26, Vilniaus m., Vilniaus m. sav.</t>
  </si>
  <si>
    <t>2025-11-24 10:58:53</t>
  </si>
  <si>
    <t>2025-11-24 11:03:13</t>
  </si>
  <si>
    <t>2025-11-24 10:58:56</t>
  </si>
  <si>
    <t>2025-11-24 10:59:04</t>
  </si>
  <si>
    <t>S. Stanevičiaus g. 106, Vilniaus m., Vilniaus m. sav.</t>
  </si>
  <si>
    <t>2025-11-24 10:59:08</t>
  </si>
  <si>
    <t>Mozūriškių g. 17, Vilniaus m., Vilniaus m. sav.</t>
  </si>
  <si>
    <t>2025-11-24 11:07:34</t>
  </si>
  <si>
    <t>2025-11-24 11:06:11</t>
  </si>
  <si>
    <t>2025-11-24 10:59:12</t>
  </si>
  <si>
    <t>Žiogų g. 3, Vilniaus m., Vilniaus m. sav.</t>
  </si>
  <si>
    <t>2025-11-24 10:59:17</t>
  </si>
  <si>
    <t>2025-11-24 10:59:19</t>
  </si>
  <si>
    <t>2025-11-24 10:59:20</t>
  </si>
  <si>
    <t>2025-11-24 11:06:14</t>
  </si>
  <si>
    <t>2025-11-24 10:59:21</t>
  </si>
  <si>
    <t>Dusinėnų g. 39, Vilniaus m., Vilniaus m. sav.</t>
  </si>
  <si>
    <t>2025-11-24 10:59:23</t>
  </si>
  <si>
    <t>Visorių Sodų 22-oji g. 20, Vilniaus m., Vilniaus m. sav.</t>
  </si>
  <si>
    <t>2025-11-24 10:59:24</t>
  </si>
  <si>
    <t>Gineitiškių g. 65, Vilniaus m., Vilniaus m. sav.</t>
  </si>
  <si>
    <t>2025-11-24 11:06:15</t>
  </si>
  <si>
    <t>2025-11-24 10:59:26</t>
  </si>
  <si>
    <t>Mechanikų g. 40, Vilniaus m., Vilniaus m. sav.</t>
  </si>
  <si>
    <t>2025-11-24 10:59:30</t>
  </si>
  <si>
    <t>2025-11-24 10:59:31</t>
  </si>
  <si>
    <t>2025-11-24 10:59:32</t>
  </si>
  <si>
    <t>Sėlių g. 15, Vilniaus m., Vilniaus m. sav.</t>
  </si>
  <si>
    <t>2025-11-24 10:59:36</t>
  </si>
  <si>
    <t>Stepono Batoro g. 26A, Vilniaus m., Vilniaus m. sav.</t>
  </si>
  <si>
    <t>2025-11-24 10:59:37</t>
  </si>
  <si>
    <t>2025-11-24 11:06:17</t>
  </si>
  <si>
    <t>2025-11-24 10:59:39</t>
  </si>
  <si>
    <t>2025-11-24 10:59:46</t>
  </si>
  <si>
    <t>2025-11-24 10:59:47</t>
  </si>
  <si>
    <t>2025-11-24 10:59:52</t>
  </si>
  <si>
    <t>Mechanikų g. 38-1, Vilniaus m., Vilniaus m. sav.</t>
  </si>
  <si>
    <t>2025-11-24 10:59:56</t>
  </si>
  <si>
    <t>Gineitiškių g. 67, Vilniaus m., Vilniaus m. sav.</t>
  </si>
  <si>
    <t>2025-11-24 11:00:00</t>
  </si>
  <si>
    <t>Žiogų g. 7, Vilniaus m., Vilniaus m. sav.</t>
  </si>
  <si>
    <t>2025-11-24 11:00:01</t>
  </si>
  <si>
    <t>2025-11-24 11:00:05</t>
  </si>
  <si>
    <t>2025-11-24 11:00:07</t>
  </si>
  <si>
    <t>Dusinėnų g. 98, Vilniaus m., Vilniaus m. sav.</t>
  </si>
  <si>
    <t>2025-11-24 11:00:08</t>
  </si>
  <si>
    <t>Ukmergės g. 315C, Vilniaus m., Vilniaus m. sav.</t>
  </si>
  <si>
    <t>2025-11-24 11:00:10</t>
  </si>
  <si>
    <t>2025-11-24 11:07:37</t>
  </si>
  <si>
    <t>2025-11-24 11:00:11</t>
  </si>
  <si>
    <t>Žiogų g. 5, Vilniaus m., Vilniaus m. sav.</t>
  </si>
  <si>
    <t>2025-11-24 11:00:14</t>
  </si>
  <si>
    <t>Nepravažiuojamas keliasNukopijuota į maršrutą nr. 300597 vartotojo Valytė Dremeikienė.</t>
  </si>
  <si>
    <t>2025-11-24 11:00:22</t>
  </si>
  <si>
    <t>2025-11-24 11:00:27</t>
  </si>
  <si>
    <t>2025-11-24 11:00:25</t>
  </si>
  <si>
    <t>2025-11-24 11:00:28</t>
  </si>
  <si>
    <t>2025-11-24 11:00:33</t>
  </si>
  <si>
    <t>2025-11-24 11:00:35</t>
  </si>
  <si>
    <t>Dusinėnų g. 100, Vilniaus m., Vilniaus m. sav.</t>
  </si>
  <si>
    <t>2025-11-24 11:00:37</t>
  </si>
  <si>
    <t>Kazio Borutos g. 20, Vilniaus m., Vilniaus m. sav.</t>
  </si>
  <si>
    <t>2025-11-24 11:00:45</t>
  </si>
  <si>
    <t>2025-11-24 11:00:46</t>
  </si>
  <si>
    <t>Didlaukio g. 8, Vilniaus m., Vilniaus m. sav.</t>
  </si>
  <si>
    <t>2025-11-24 11:00:48</t>
  </si>
  <si>
    <t>2025-11-24 11:00:50</t>
  </si>
  <si>
    <t>2025-11-24 11:01:51</t>
  </si>
  <si>
    <t>2025-11-24 11:00:54</t>
  </si>
  <si>
    <t>2025-11-24 11:00:57</t>
  </si>
  <si>
    <t>2025-11-24 12:05:42</t>
  </si>
  <si>
    <t>2025-11-24 11:00:58</t>
  </si>
  <si>
    <t>Žiogų g. 4, Vilniaus m., Vilniaus m. sav.</t>
  </si>
  <si>
    <t>2025-11-24 11:01:01</t>
  </si>
  <si>
    <t>Šeimyniškių g. 9, Vilniaus m., Vilniaus m. sav.</t>
  </si>
  <si>
    <t>2025-11-24 11:01:10</t>
  </si>
  <si>
    <t>2025-11-24 12:09:49</t>
  </si>
  <si>
    <t>Aviečių g. 16, Vilniaus m., Vilniaus m. sav.</t>
  </si>
  <si>
    <t>2025-11-24 11:01:11</t>
  </si>
  <si>
    <t>Dusinėnų g. 43, Vilniaus m., Vilniaus m. sav.</t>
  </si>
  <si>
    <t>2025-11-24 11:01:12</t>
  </si>
  <si>
    <t>2025-11-24 11:01:17</t>
  </si>
  <si>
    <t>2025-11-24 11:01:13</t>
  </si>
  <si>
    <t>Kazio Borutos g. 15, Vilniaus m., Vilniaus m. sav.</t>
  </si>
  <si>
    <t>Gineitiškių g. 69-2, Vilniaus m., Vilniaus m. sav.</t>
  </si>
  <si>
    <t>2025-11-24 11:01:21</t>
  </si>
  <si>
    <t>Gineitiškių g. 69, Vilniaus m., Vilniaus m. sav.</t>
  </si>
  <si>
    <t>2025-11-24 11:01:22</t>
  </si>
  <si>
    <t>2025-11-24 11:06:26</t>
  </si>
  <si>
    <t>2025-11-24 11:01:23</t>
  </si>
  <si>
    <t>2025-11-24 11:01:25</t>
  </si>
  <si>
    <t>2025-11-24 11:01:27</t>
  </si>
  <si>
    <t>Dusinėnų g. 77, Vilniaus m., Vilniaus m. sav.</t>
  </si>
  <si>
    <t>2025-11-24 11:06:30</t>
  </si>
  <si>
    <t>2025-11-24 11:01:28</t>
  </si>
  <si>
    <t>Paribio g. 23, Vilniaus m., Vilniaus m. sav.</t>
  </si>
  <si>
    <t>2025-11-24 11:01:39</t>
  </si>
  <si>
    <t>2025-11-24 11:04:31</t>
  </si>
  <si>
    <t>2025-11-24 11:18:47</t>
  </si>
  <si>
    <t>2025-11-24 11:01:42</t>
  </si>
  <si>
    <t>Tolminkiemio g. 20, Vilniaus m., Vilniaus m. sav.</t>
  </si>
  <si>
    <t>2025-11-24 11:07:41</t>
  </si>
  <si>
    <t>2025-11-24 11:01:44</t>
  </si>
  <si>
    <t>Mechanikų g. 22, Vilniaus m., Vilniaus m. sav.</t>
  </si>
  <si>
    <t>2025-11-24 11:01:46</t>
  </si>
  <si>
    <t>Plytinės g. 19J, Vilniaus m., Vilniaus m. sav.</t>
  </si>
  <si>
    <t>2025-11-24 11:07:42</t>
  </si>
  <si>
    <t>2025-11-24 11:08:13</t>
  </si>
  <si>
    <t>2025-11-24 11:01:53</t>
  </si>
  <si>
    <t>2025-11-24 11:01:56</t>
  </si>
  <si>
    <t>2025-11-24 11:01:58</t>
  </si>
  <si>
    <t>2025-11-24 11:01:59</t>
  </si>
  <si>
    <t>Girulių g. 10A, Vilniaus m., Vilniaus m. sav.</t>
  </si>
  <si>
    <t>2025-11-24 11:02:00</t>
  </si>
  <si>
    <t>S. Stanevičiaus g. 86A, Vilniaus m., Vilniaus m. sav.</t>
  </si>
  <si>
    <t>2025-11-24 11:02:02</t>
  </si>
  <si>
    <t>2025-11-24 11:02:13</t>
  </si>
  <si>
    <t>Gineitiškių g. 75, Vilniaus m., Vilniaus m. sav.</t>
  </si>
  <si>
    <t>2025-11-24 11:02:21</t>
  </si>
  <si>
    <t>Dusinėnų g. 47, Vilniaus m., Vilniaus m. sav.</t>
  </si>
  <si>
    <t>2025-11-24 11:02:24</t>
  </si>
  <si>
    <t>Dubliškių g. 5, Vilniaus m., Vilniaus m. sav.</t>
  </si>
  <si>
    <t>2025-11-24 11:02:33</t>
  </si>
  <si>
    <t>Dusinėnų g. 73, Vilniaus m., Vilniaus m. sav.</t>
  </si>
  <si>
    <t>2025-11-24 11:02:34</t>
  </si>
  <si>
    <t>2025-11-24 12:00:42</t>
  </si>
  <si>
    <t>Gineitiškių g. 71, Vilniaus m., Vilniaus m. sav.</t>
  </si>
  <si>
    <t>2025-11-24 11:02:35</t>
  </si>
  <si>
    <t>2025-11-24 11:02:36</t>
  </si>
  <si>
    <t>2025-11-24 11:02:49</t>
  </si>
  <si>
    <t>K. Borutos g. 9, Vilniaus m., Vilniaus m. sav.</t>
  </si>
  <si>
    <t>2025-11-24 11:02:54</t>
  </si>
  <si>
    <t>2025-11-24 11:02:55</t>
  </si>
  <si>
    <t>2025-11-24 11:02:59</t>
  </si>
  <si>
    <t>Gineitiškių g. 77, Vilniaus m., Vilniaus m. sav.</t>
  </si>
  <si>
    <t>2025-11-24 11:03:00</t>
  </si>
  <si>
    <t>2025-11-24 11:03:04</t>
  </si>
  <si>
    <t>2025-11-24 11:19:12</t>
  </si>
  <si>
    <t>2025-11-24 11:07:31</t>
  </si>
  <si>
    <t>2025-11-24 11:03:10</t>
  </si>
  <si>
    <t>Liepyno g. 16, Vilniaus m., Vilniaus m. sav.</t>
  </si>
  <si>
    <t>Dusinėnų g. 49-1, Vilniaus m., Vilniaus m. sav.</t>
  </si>
  <si>
    <t>2025-11-24 11:03:17</t>
  </si>
  <si>
    <t>Dusinėnų g. 49-2, Vilniaus m., Vilniaus m. sav.</t>
  </si>
  <si>
    <t>2025-11-24 11:03:19</t>
  </si>
  <si>
    <t>Kelmijos Sodų 18-oji g. 36, Vilniaus m., Vilniaus m. sav.</t>
  </si>
  <si>
    <t>2025-11-24 11:03:28</t>
  </si>
  <si>
    <t>Didlaukio g. 3, Vilniaus m., Vilniaus m. sav.</t>
  </si>
  <si>
    <t>2025-11-24 11:03:30</t>
  </si>
  <si>
    <t>2025-11-24 11:03:33</t>
  </si>
  <si>
    <t>2025-11-24 11:03:35</t>
  </si>
  <si>
    <t>2025-11-24 11:03:37</t>
  </si>
  <si>
    <t>Žiogų g. 29, Vilniaus m., Vilniaus m. sav.</t>
  </si>
  <si>
    <t>2025-11-24 11:03:38</t>
  </si>
  <si>
    <t>2025-11-24 11:03:39</t>
  </si>
  <si>
    <t>2025-11-24 11:03:45</t>
  </si>
  <si>
    <t>Gineitiškių g. 79, Vilniaus m., Vilniaus m. sav.</t>
  </si>
  <si>
    <t>2025-11-24 11:07:33</t>
  </si>
  <si>
    <t>2025-11-24 11:03:51</t>
  </si>
  <si>
    <t>2025-11-24 12:06:29</t>
  </si>
  <si>
    <t>Dusinėnų g. 67, Vilniaus m., Vilniaus m. sav.</t>
  </si>
  <si>
    <t>2025-11-24 11:03:48</t>
  </si>
  <si>
    <t>Žiogų g. 8, Vilniaus m., Vilniaus m. sav.</t>
  </si>
  <si>
    <t>2025-11-24 11:03:50</t>
  </si>
  <si>
    <t>2025-11-24 11:03:53</t>
  </si>
  <si>
    <t>A. Juozapavičiaus g. 9, Vilniaus m., Vilniaus m. sav.</t>
  </si>
  <si>
    <t>Kelmijos Sodų 18-oji g. 39, Vilniaus m., Vilniaus m. sav.</t>
  </si>
  <si>
    <t>2025-11-24 11:04:10</t>
  </si>
  <si>
    <t>Paberžės g. 20, Vilniaus m., Vilniaus m. sav.</t>
  </si>
  <si>
    <t>Avižų g. 51, Vilniaus m., Vilniaus m. sav.</t>
  </si>
  <si>
    <t>2025-11-24 11:04:16</t>
  </si>
  <si>
    <t>Gariūnų g. 16A, Vilniaus m., Vilniaus m. sav.</t>
  </si>
  <si>
    <t>Kelmijos Sodų 18-oji g. 34, Vilniaus m., Vilniaus m. sav.</t>
  </si>
  <si>
    <t>2025-11-24 11:09:52</t>
  </si>
  <si>
    <t>2025-11-24 11:06:24</t>
  </si>
  <si>
    <t>Verdingio g. 10, Vilniaus m., Vilniaus m. sav.</t>
  </si>
  <si>
    <t>Lokių g. 3, Vilniaus m., Vilniaus m. sav.</t>
  </si>
  <si>
    <t>2025-11-24 12:10:35</t>
  </si>
  <si>
    <t>Gineitiškių g. 81, Vilniaus m., Vilniaus m. sav.</t>
  </si>
  <si>
    <t>2025-11-24 11:15:02</t>
  </si>
  <si>
    <t>2025-11-24 11:04:36</t>
  </si>
  <si>
    <t>2025-11-24 11:04:41</t>
  </si>
  <si>
    <t>Žirgo g. 2, Vilniaus m., Vilniaus m. sav.</t>
  </si>
  <si>
    <t>2025-11-24 11:04:47</t>
  </si>
  <si>
    <t>Visorių Sodų 21-oji g. 12A, Vilniaus m., Vilniaus m. sav.</t>
  </si>
  <si>
    <t>Plytinės g. 27, Vilniaus m., Vilniaus m. sav.</t>
  </si>
  <si>
    <t>2025-11-24 11:04:57</t>
  </si>
  <si>
    <t>2025-11-24 11:04:59</t>
  </si>
  <si>
    <t>2025-11-24 11:05:00</t>
  </si>
  <si>
    <t>2025-11-24 11:05:04</t>
  </si>
  <si>
    <t>2025-11-24 12:19:33</t>
  </si>
  <si>
    <t>Žiogų g. 29A, Vilniaus m., Vilniaus m. sav.</t>
  </si>
  <si>
    <t>2025-11-24 11:05:05</t>
  </si>
  <si>
    <t>Paribio g. 2, Vilniaus m., Vilniaus m. sav.</t>
  </si>
  <si>
    <t>Pylimėlių g. 2-2, Vilniaus m., Vilniaus m. sav.</t>
  </si>
  <si>
    <t>2025-11-24 11:11:33</t>
  </si>
  <si>
    <t>Dusinėnų g. 53, Vilniaus m., Vilniaus m. sav.</t>
  </si>
  <si>
    <t>2025-11-24 11:09:53</t>
  </si>
  <si>
    <t>Dusinėnų g. 55, Vilniaus m., Vilniaus m. sav.</t>
  </si>
  <si>
    <t>Gineitiškių g. 83, Vilniaus m., Vilniaus m. sav.</t>
  </si>
  <si>
    <t>2025-11-24 11:16:10</t>
  </si>
  <si>
    <t>Kalvarijų g. 9A, Vilniaus m., Vilniaus m. sav.</t>
  </si>
  <si>
    <t xml:space="preserve">Netinkamas naudoti konteineris
</t>
  </si>
  <si>
    <t>2025-11-24 11:05:42</t>
  </si>
  <si>
    <t>2025-11-24 11:05:35</t>
  </si>
  <si>
    <t>2025-11-24 11:05:36</t>
  </si>
  <si>
    <t>2025-11-24 11:05:37</t>
  </si>
  <si>
    <t>Naugarduko g. 24, Vilniaus m., Vilniaus m. sav.</t>
  </si>
  <si>
    <t>2025-11-24 11:05:38</t>
  </si>
  <si>
    <t>2025-11-24 11:05:40</t>
  </si>
  <si>
    <t>Gineitiškių g. 83A, Vilniaus m., Vilniaus m. sav.</t>
  </si>
  <si>
    <t>Žiogų g. 29B, Vilniaus m., Vilniaus m. sav.</t>
  </si>
  <si>
    <t>2025-11-24 11:15:10</t>
  </si>
  <si>
    <t>2025-11-24 11:05:41</t>
  </si>
  <si>
    <t>2025-11-24 11:05:43</t>
  </si>
  <si>
    <t>Dusinėnų g. 61, Vilniaus m., Vilniaus m. sav.</t>
  </si>
  <si>
    <t>2025-11-24 11:05:47</t>
  </si>
  <si>
    <t>Dusinėnų g. 63, Vilniaus m., Vilniaus m. sav.</t>
  </si>
  <si>
    <t>2025-11-24 11:05:51</t>
  </si>
  <si>
    <t>Dusinėnų g. 57, Vilniaus m., Vilniaus m. sav.</t>
  </si>
  <si>
    <t>2025-11-24 11:05:53</t>
  </si>
  <si>
    <t>Dusinėnų g. 59, Vilniaus m., Vilniaus m. sav.</t>
  </si>
  <si>
    <t>2025-11-24 11:09:59</t>
  </si>
  <si>
    <t>2025-11-24 11:05:57</t>
  </si>
  <si>
    <t>Juozapo Strumilos g. 8, Vilniaus m., Vilniaus m. sav.</t>
  </si>
  <si>
    <t>2025-11-24 11:05:59</t>
  </si>
  <si>
    <t>A. Juozapavičiaus g. 5, Vilniaus m., Vilniaus m. sav.</t>
  </si>
  <si>
    <t>Lazdynėlių g. 8, Vilniaus m., Vilniaus m. sav.</t>
  </si>
  <si>
    <t>Lentvario g. 2A, Vilniaus m., Vilniaus m. sav.</t>
  </si>
  <si>
    <t>2025-11-24 11:06:16</t>
  </si>
  <si>
    <t>Bokšto g. 7, Vilniaus m., Vilniaus m. sav.</t>
  </si>
  <si>
    <t>2025-11-24 11:06:20</t>
  </si>
  <si>
    <t>Maksimiškių g. 4, Vilniaus m., Vilniaus m. sav.</t>
  </si>
  <si>
    <t>2025-11-24 11:15:15</t>
  </si>
  <si>
    <t>2025-11-24 11:06:29</t>
  </si>
  <si>
    <t>Kelmijos Sodų 1-oji g. 5, Vilniaus m., Vilniaus m. sav.</t>
  </si>
  <si>
    <t>2025-11-24 11:06:31</t>
  </si>
  <si>
    <t>Danės g. 7, Vilniaus m., Vilniaus m. sav.</t>
  </si>
  <si>
    <t>2025-11-24 11:07:43</t>
  </si>
  <si>
    <t>2025-11-24 11:06:34</t>
  </si>
  <si>
    <t>2025-11-24 12:09:51</t>
  </si>
  <si>
    <t>Mokyklos g. 21, Vilniaus m., Vilniaus m. sav.</t>
  </si>
  <si>
    <t>2025-11-24 11:06:38</t>
  </si>
  <si>
    <t>Pilaitės pr. 27, Vilniaus m., Vilniaus m. sav.</t>
  </si>
  <si>
    <t>2025-11-24 11:07:38</t>
  </si>
  <si>
    <t>2025-11-24 11:06:39</t>
  </si>
  <si>
    <t>2025-11-24 11:06:42</t>
  </si>
  <si>
    <t>Žiogų g. 10-2, Vilniaus m., Vilniaus m. sav.</t>
  </si>
  <si>
    <t>2025-11-24 11:15:17</t>
  </si>
  <si>
    <t>2025-11-24 11:06:47</t>
  </si>
  <si>
    <t>Žiogų g. 31A, Vilniaus m., Vilniaus m. sav.</t>
  </si>
  <si>
    <t>Juozapo Strumilos g. 60, Vilniaus m., Vilniaus m. sav.</t>
  </si>
  <si>
    <t>2025-11-24 11:06:49</t>
  </si>
  <si>
    <t>Gineitiškių g. 89, Vilniaus m., Vilniaus m. sav.</t>
  </si>
  <si>
    <t>2025-11-24 11:06:50</t>
  </si>
  <si>
    <t>2025-11-24 11:06:51</t>
  </si>
  <si>
    <t>2025-11-24 11:16:20</t>
  </si>
  <si>
    <t>2025-11-24 11:06:52</t>
  </si>
  <si>
    <t>2025-11-24 11:06:55</t>
  </si>
  <si>
    <t>Verdingio g.  9, Vilniaus m., Vilniaus m. sav.</t>
  </si>
  <si>
    <t>2025-11-24 11:06:59</t>
  </si>
  <si>
    <t>Mechanikų g. 7A, Vilniaus m., Vilniaus m. sav.</t>
  </si>
  <si>
    <t>2025-11-24 11:07:02</t>
  </si>
  <si>
    <t>2025-11-24 11:07:03</t>
  </si>
  <si>
    <t>Girulių g. 5, Vilniaus m., Vilniaus m. sav.</t>
  </si>
  <si>
    <t>2025-11-24 11:07:08</t>
  </si>
  <si>
    <t>Žiogų g. 8-1, Vilniaus m., Vilniaus m. sav.</t>
  </si>
  <si>
    <t>2025-11-24 11:15:20</t>
  </si>
  <si>
    <t>2025-11-24 11:07:10</t>
  </si>
  <si>
    <t>2025-11-24 11:07:12</t>
  </si>
  <si>
    <t>2025-11-24 11:15:21</t>
  </si>
  <si>
    <t>2025-11-24 11:07:14</t>
  </si>
  <si>
    <t>2025-11-24 11:07:15</t>
  </si>
  <si>
    <t>2025-11-24 11:15:22</t>
  </si>
  <si>
    <t>2025-11-24 11:07:35</t>
  </si>
  <si>
    <t>Žiogų g. 10, Vilniaus m., Vilniaus m. sav.</t>
  </si>
  <si>
    <t>A. Juozapavičiaus g. 10, Vilniaus m., Vilniaus m. sav.</t>
  </si>
  <si>
    <t>2025-11-24 11:07:47</t>
  </si>
  <si>
    <t>2025-11-24 11:07:48</t>
  </si>
  <si>
    <t>J. Strumilos g. 54, Vilniaus m., Vilniaus m. sav.</t>
  </si>
  <si>
    <t>2025-11-24 11:07:49</t>
  </si>
  <si>
    <t>Algirdo g. 22, Vilniaus m., Vilniaus m. sav.</t>
  </si>
  <si>
    <t>2025-11-24 11:07:53</t>
  </si>
  <si>
    <t>2025-11-24 11:09:58</t>
  </si>
  <si>
    <t>Algirdo g. 20, Vilniaus m., Vilniaus m. sav.</t>
  </si>
  <si>
    <t>2025-11-24 11:07:56</t>
  </si>
  <si>
    <t>2025-11-24 11:07:57</t>
  </si>
  <si>
    <t>2025-11-24 11:08:00</t>
  </si>
  <si>
    <t>2025-11-24 11:08:01</t>
  </si>
  <si>
    <t>Gedvydžių g. 25A, Vilniaus m., Vilniaus m. sav.</t>
  </si>
  <si>
    <t>Gineitiškių g. 85, Vilniaus m., Vilniaus m. sav.</t>
  </si>
  <si>
    <t>2025-11-24 11:16:55</t>
  </si>
  <si>
    <t>2025-11-24 11:08:03</t>
  </si>
  <si>
    <t>Kelmijos Sodų 17-oji g. 31, Vilniaus m., Vilniaus m. sav.</t>
  </si>
  <si>
    <t>2025-11-24 11:08:29</t>
  </si>
  <si>
    <t>Žiogų g. 31-1, Vilniaus m., Vilniaus m. sav.</t>
  </si>
  <si>
    <t>2025-11-24 11:08:33</t>
  </si>
  <si>
    <t>Juozapo Strumilos g. 52, Vilniaus m., Vilniaus m. sav.</t>
  </si>
  <si>
    <t>2025-11-24 11:08:44</t>
  </si>
  <si>
    <t>2025-11-24 11:08:47</t>
  </si>
  <si>
    <t>J. Strumilos g. 12, Vilniaus m., Vilniaus m. sav.</t>
  </si>
  <si>
    <t>2025-11-24 11:08:49</t>
  </si>
  <si>
    <t>Kazio Borutos g. 6-2, Vilniaus m., Vilniaus m. sav.</t>
  </si>
  <si>
    <t>2025-11-24 11:08:52</t>
  </si>
  <si>
    <t>2025-11-24 11:08:53</t>
  </si>
  <si>
    <t>Žirgo g. 1, Vilniaus m., Vilniaus m. sav.</t>
  </si>
  <si>
    <t>Juozapo Strumilos g. 14, Vilniaus m., Vilniaus m. sav.</t>
  </si>
  <si>
    <t>2025-11-24 11:08:55</t>
  </si>
  <si>
    <t>2025-11-24 11:09:02</t>
  </si>
  <si>
    <t>Kalvarijų g. 3, Vilniaus m., Vilniaus m. sav.</t>
  </si>
  <si>
    <t>2025-11-24 11:09:06</t>
  </si>
  <si>
    <t>2025-11-24 11:09:25</t>
  </si>
  <si>
    <t>2025-11-24 11:09:30</t>
  </si>
  <si>
    <t>Kelmijos Sodų 15-oji g. 1, Vilniaus m., Vilniaus m. sav.</t>
  </si>
  <si>
    <t>2025-11-24 11:09:33</t>
  </si>
  <si>
    <t>Juozapo Strumilos g. 50, Vilniaus m., Vilniaus m. sav.</t>
  </si>
  <si>
    <t>2025-11-24 11:09:35</t>
  </si>
  <si>
    <t>Žiogų g. 33-1, Vilniaus m., Vilniaus m. sav.</t>
  </si>
  <si>
    <t>2025-11-24 11:15:43</t>
  </si>
  <si>
    <t>2025-11-24 11:09:39</t>
  </si>
  <si>
    <t>2025-11-24 11:09:45</t>
  </si>
  <si>
    <t>Kazio Borutos g. 7, Vilniaus m., Vilniaus m. sav.</t>
  </si>
  <si>
    <t>2025-11-24 11:09:48</t>
  </si>
  <si>
    <t>Įsruties g. 46, Vilniaus m., Vilniaus m. sav.</t>
  </si>
  <si>
    <t>2025-11-24 11:17:28</t>
  </si>
  <si>
    <t>Žiogų g. 33, Vilniaus m., Vilniaus m. sav.</t>
  </si>
  <si>
    <t>Gineitiškių g. 87, Vilniaus m., Vilniaus m. sav.</t>
  </si>
  <si>
    <t>Papilėnų g. 2, Vilniaus m., Vilniaus m. sav.</t>
  </si>
  <si>
    <t>Kazio Borutos g. 6-1, Vilniaus m., Vilniaus m. sav.</t>
  </si>
  <si>
    <t>2025-11-24 11:10:01</t>
  </si>
  <si>
    <t>2025-11-24 11:10:05</t>
  </si>
  <si>
    <t>J. Strumilos g. 42, Vilniaus m., Vilniaus m. sav.</t>
  </si>
  <si>
    <t>2025-11-24 11:10:09</t>
  </si>
  <si>
    <t>2025-11-24 11:19:17</t>
  </si>
  <si>
    <t>Lazdynėlių g. 17, Vilniaus m., Vilniaus m. sav.</t>
  </si>
  <si>
    <t>2025-11-24 11:10:15</t>
  </si>
  <si>
    <t>2025-11-24 11:10:16</t>
  </si>
  <si>
    <t>Danielių g. 6, Vilniaus m., Vilniaus m. sav.</t>
  </si>
  <si>
    <t>2025-11-24 11:10:19</t>
  </si>
  <si>
    <t>2025-11-24 11:10:20</t>
  </si>
  <si>
    <t>2025-11-24 11:10:21</t>
  </si>
  <si>
    <t>2025-11-24 11:10:25</t>
  </si>
  <si>
    <t>Eitminų g. 12, Vilniaus m., Vilniaus m. sav.</t>
  </si>
  <si>
    <t>2025-11-24 11:10:29</t>
  </si>
  <si>
    <t>2025-11-24 11:10:31</t>
  </si>
  <si>
    <t>Žiogų g. 14, Vilniaus m., Vilniaus m. sav.</t>
  </si>
  <si>
    <t>2025-11-24 11:15:45</t>
  </si>
  <si>
    <t>2025-11-24 11:10:35</t>
  </si>
  <si>
    <t>Juozapo Strumilos g. 44, Vilniaus m., Vilniaus m. sav.</t>
  </si>
  <si>
    <t>2025-11-24 11:20:57</t>
  </si>
  <si>
    <t>2025-11-24 11:10:36</t>
  </si>
  <si>
    <t>2025-11-24 11:10:39</t>
  </si>
  <si>
    <t>2025-11-24 11:20:56</t>
  </si>
  <si>
    <t>Juozapo Strumilos g. 46, Vilniaus m., Vilniaus m. sav.</t>
  </si>
  <si>
    <t>2025-11-24 11:21:03</t>
  </si>
  <si>
    <t>2025-11-24 11:10:43</t>
  </si>
  <si>
    <t>2025-11-24 11:10:45</t>
  </si>
  <si>
    <t>Kazio Borutos g. 4, Vilniaus m., Vilniaus m. sav.</t>
  </si>
  <si>
    <t>2025-11-24 11:10:46</t>
  </si>
  <si>
    <t>2025-11-24 11:11:02</t>
  </si>
  <si>
    <t>Žiogų g. 12, Vilniaus m., Vilniaus m. sav.</t>
  </si>
  <si>
    <t>2025-11-24 11:15:48</t>
  </si>
  <si>
    <t>2025-11-24 11:11:03</t>
  </si>
  <si>
    <t>2025-11-24 11:11:05</t>
  </si>
  <si>
    <t>Medžiakalnio g. 18-2, Vilniaus m., Vilniaus m. sav.</t>
  </si>
  <si>
    <t>2025-11-24 11:11:07</t>
  </si>
  <si>
    <t>2025-11-24 11:11:09</t>
  </si>
  <si>
    <t>2025-11-24 11:11:10</t>
  </si>
  <si>
    <t>2025-11-24 11:11:12</t>
  </si>
  <si>
    <t>2025-11-24 11:11:14</t>
  </si>
  <si>
    <t>J. Strumilos g. 40, Vilniaus m., Vilniaus m. sav.</t>
  </si>
  <si>
    <t>Medžiakalnio g. 18-1, Vilniaus m., Vilniaus m. sav.</t>
  </si>
  <si>
    <t>2025-11-24 11:17:07</t>
  </si>
  <si>
    <t>2025-11-24 11:11:20</t>
  </si>
  <si>
    <t>2025-11-24 11:11:21</t>
  </si>
  <si>
    <t>Kazio Borutos g. 2-1, Vilniaus m., Vilniaus m. sav.</t>
  </si>
  <si>
    <t>2025-11-24 11:11:23</t>
  </si>
  <si>
    <t>Dusinėnų g. 133, Vilniaus m., Vilniaus m. sav.</t>
  </si>
  <si>
    <t>L. Sapiegos g. 4, Vilniaus m., Vilniaus m. sav.</t>
  </si>
  <si>
    <t>2025-11-24 11:11:29</t>
  </si>
  <si>
    <t>J. Strumilos g. 18, Vilniaus m., Vilniaus m. sav.</t>
  </si>
  <si>
    <t>Visorių Sodų 1-oji g. 22, Vilniaus m., Vilniaus m. sav.</t>
  </si>
  <si>
    <t>2025-11-24 11:11:39</t>
  </si>
  <si>
    <t>2025-11-24 11:11:35</t>
  </si>
  <si>
    <t>J. Strumilos g. 16, Vilniaus m., Vilniaus m. sav.</t>
  </si>
  <si>
    <t>2025-11-24 11:11:38</t>
  </si>
  <si>
    <t>2025-11-24 12:08:20</t>
  </si>
  <si>
    <t>Žiogų g. 35, Vilniaus m., Vilniaus m. sav.</t>
  </si>
  <si>
    <t>Vilniaus m. DGA1</t>
  </si>
  <si>
    <t>2025-11-24 11:11:40</t>
  </si>
  <si>
    <t>2025-11-24 12:08:21</t>
  </si>
  <si>
    <t>Keramikų g. 4, Vilniaus m., Vilniaus m. sav.</t>
  </si>
  <si>
    <t>2025-11-24 11:11:41</t>
  </si>
  <si>
    <t>Lvovo g. 17B, Vilniaus m., Vilniaus m. sav.</t>
  </si>
  <si>
    <t>2025-11-24 11:11:42</t>
  </si>
  <si>
    <t>2025-11-24 11:11:43</t>
  </si>
  <si>
    <t>2025-11-24 11:11:44</t>
  </si>
  <si>
    <t>2025-11-24 11:11:45</t>
  </si>
  <si>
    <t>Kalvarijų g. 277, Vilniaus m., Vilniaus m. sav.</t>
  </si>
  <si>
    <t>2025-11-24 11:11:59</t>
  </si>
  <si>
    <t>Dusinėnų g. 137, Vilniaus m., Vilniaus m. sav.</t>
  </si>
  <si>
    <t>2025-11-24 11:12:00</t>
  </si>
  <si>
    <t>2025-11-24 11:12:08</t>
  </si>
  <si>
    <t>Kelmijos Sodų 14-oji g. 10, Vilniaus m., Vilniaus m. sav.</t>
  </si>
  <si>
    <t>2025-11-24 11:12:09</t>
  </si>
  <si>
    <t>Juozapo Strumilos g. 38, Vilniaus m., Vilniaus m. sav.</t>
  </si>
  <si>
    <t>2025-11-24 11:12:18</t>
  </si>
  <si>
    <t>2025-11-24 11:12:19</t>
  </si>
  <si>
    <t>2025-11-24 11:12:20</t>
  </si>
  <si>
    <t>Užupio g. 14, Vilniaus m., Vilniaus m. sav.</t>
  </si>
  <si>
    <t>2025-11-24 11:12:26</t>
  </si>
  <si>
    <t>2025-11-24 11:12:29</t>
  </si>
  <si>
    <t>Dusinėnų g. 143, Vilniaus m., Vilniaus m. sav.</t>
  </si>
  <si>
    <t>2025-11-24 11:12:36</t>
  </si>
  <si>
    <t>2025-11-24 12:00:45</t>
  </si>
  <si>
    <t>2025-11-24 11:12:38</t>
  </si>
  <si>
    <t>2025-11-24 11:12:39</t>
  </si>
  <si>
    <t>Dusinėnų g. 141-1, Vilniaus m., Vilniaus m. sav.</t>
  </si>
  <si>
    <t>2025-11-24 11:12:40</t>
  </si>
  <si>
    <t>Žiogų g. 37, Vilniaus m., Vilniaus m. sav.</t>
  </si>
  <si>
    <t>2025-11-24 11:12:41</t>
  </si>
  <si>
    <t>Įsruties g. 25, Vilniaus m., Vilniaus m. sav.</t>
  </si>
  <si>
    <t>2025-11-24 11:17:29</t>
  </si>
  <si>
    <t>2025-11-24 11:12:42</t>
  </si>
  <si>
    <t>Medžiakalnio g. 22, Vilniaus m., Vilniaus m. sav.</t>
  </si>
  <si>
    <t>Medžiakalnio g. 28, Vilniaus m., Vilniaus m. sav.</t>
  </si>
  <si>
    <t>2025-11-24 11:12:49</t>
  </si>
  <si>
    <t>Juozapo Strumilos g. 32-2, Vilniaus m., Vilniaus m. sav.</t>
  </si>
  <si>
    <t>2025-11-24 11:12:50</t>
  </si>
  <si>
    <t>Jeruzalės g. 65, Vilniaus m., Vilniaus m. sav.</t>
  </si>
  <si>
    <t>2025-11-24 11:12:51</t>
  </si>
  <si>
    <t>2025-11-24 11:12:53</t>
  </si>
  <si>
    <t>Juozapo Strumilos g. 34, Vilniaus m., Vilniaus m. sav.</t>
  </si>
  <si>
    <t>Medžiakalnio g. 24, Vilniaus m., Vilniaus m. sav.</t>
  </si>
  <si>
    <t>2025-11-24 11:13:01</t>
  </si>
  <si>
    <t>2025-11-24 11:13:03</t>
  </si>
  <si>
    <t>2025-11-24 11:13:07</t>
  </si>
  <si>
    <t>2025-11-24 11:13:13</t>
  </si>
  <si>
    <t>Kalvarijų g. 29A, Vilniaus m., Vilniaus m. sav.</t>
  </si>
  <si>
    <t>2025-11-24 11:13:15</t>
  </si>
  <si>
    <t>Šarkų g. 15, Vilniaus m., Vilniaus m. sav.</t>
  </si>
  <si>
    <t>2025-11-24 11:15:57</t>
  </si>
  <si>
    <t>2025-11-24 11:13:17</t>
  </si>
  <si>
    <t>2025-11-24 11:13:22</t>
  </si>
  <si>
    <t>Keramikų g. 2B, Vilniaus m., Vilniaus m. sav.</t>
  </si>
  <si>
    <t>2025-11-24 11:13:23</t>
  </si>
  <si>
    <t>Medžiakalnio g. 20, Vilniaus m., Vilniaus m. sav.</t>
  </si>
  <si>
    <t>2025-11-24 11:13:24</t>
  </si>
  <si>
    <t>Paribio g. 30A, Vilniaus m., Vilniaus m. sav.</t>
  </si>
  <si>
    <t>2025-11-24 11:13:27</t>
  </si>
  <si>
    <t>2025-11-24 11:13:28</t>
  </si>
  <si>
    <t>2025-11-24 11:13:33</t>
  </si>
  <si>
    <t>Z. Sierakausko g. 24, Vilniaus m., Vilniaus m. sav.</t>
  </si>
  <si>
    <t>2025-11-24 11:13:35</t>
  </si>
  <si>
    <t>Šarkų g. 13, Vilniaus m., Vilniaus m. sav.</t>
  </si>
  <si>
    <t>2025-11-24 11:15:58</t>
  </si>
  <si>
    <t>2025-11-24 11:13:42</t>
  </si>
  <si>
    <t>Jeruzalės g. 53, Vilniaus m., Vilniaus m. sav.</t>
  </si>
  <si>
    <t>2025-11-24 11:13:45</t>
  </si>
  <si>
    <t>Juozapo Strumilos g. 24, Vilniaus m., Vilniaus m. sav.</t>
  </si>
  <si>
    <t>2025-11-24 11:13:46</t>
  </si>
  <si>
    <t>Užupio g. 16, Vilniaus m., Vilniaus m. sav.</t>
  </si>
  <si>
    <t>2025-11-24 11:13:49</t>
  </si>
  <si>
    <t>Lazdynėlių g. 16A, Vilniaus m., Vilniaus m. sav.</t>
  </si>
  <si>
    <t>2025-11-24 11:13:50</t>
  </si>
  <si>
    <t>Savanorių pr. 6A, Vilniaus m., Vilniaus m. sav.</t>
  </si>
  <si>
    <t>2025-11-24 11:13:53</t>
  </si>
  <si>
    <t>Juozapo Strumilos g. 26, Vilniaus m., Vilniaus m. sav.</t>
  </si>
  <si>
    <t>2025-11-24 11:21:09</t>
  </si>
  <si>
    <t>2025-11-24 11:13:58</t>
  </si>
  <si>
    <t>Jeruzalės g. 39, Vilniaus m., Vilniaus m. sav.</t>
  </si>
  <si>
    <t>2025-11-24 11:13:59</t>
  </si>
  <si>
    <t>Kelmijos Sodų 36-oji g. 1, Vilniaus m., Vilniaus m. sav.</t>
  </si>
  <si>
    <t>Medžiakalnio g. 30, Vilniaus m., Vilniaus m. sav.</t>
  </si>
  <si>
    <t>2025-11-24 11:14:00</t>
  </si>
  <si>
    <t>2025-11-24 11:14:02</t>
  </si>
  <si>
    <t>Jeruzalės g. 57, Vilniaus m., Vilniaus m. sav.</t>
  </si>
  <si>
    <t>2025-11-24 11:14:08</t>
  </si>
  <si>
    <t>Šeimyniškių g. 3A, Vilniaus m., Vilniaus m. sav.</t>
  </si>
  <si>
    <t>2025-11-24 11:14:10</t>
  </si>
  <si>
    <t>2025-11-24 11:14:17</t>
  </si>
  <si>
    <t>Dusinėnų g. 119, Vilniaus m., Vilniaus m. sav.</t>
  </si>
  <si>
    <t>2025-11-24 11:14:18</t>
  </si>
  <si>
    <t>Gelvonų g. 55, Vilniaus m., Vilniaus m. sav.</t>
  </si>
  <si>
    <t>2025-11-24 11:14:21</t>
  </si>
  <si>
    <t>2025-11-24 11:21:00</t>
  </si>
  <si>
    <t>J. Strumilos g. 30, Vilniaus m., Vilniaus m. sav.</t>
  </si>
  <si>
    <t>2025-11-24 11:14:22</t>
  </si>
  <si>
    <t>2025-11-24 11:14:25</t>
  </si>
  <si>
    <t>Vėtrungių g.  45A, Vilniaus m., Vilniaus m. sav.</t>
  </si>
  <si>
    <t>2025-11-24 11:14:29</t>
  </si>
  <si>
    <t>2025-11-24 11:14:41</t>
  </si>
  <si>
    <t>2025-11-24 11:14:42</t>
  </si>
  <si>
    <t>2025-11-24 11:14:44</t>
  </si>
  <si>
    <t>2025-11-24 11:14:49</t>
  </si>
  <si>
    <t>J. Strumilos g. 20, Vilniaus m., Vilniaus m. sav.</t>
  </si>
  <si>
    <t>2025-11-24 11:14:50</t>
  </si>
  <si>
    <t>2025-11-24 11:14:51</t>
  </si>
  <si>
    <t>Pranciškaus Smuglevičiaus g. 1, Vilniaus m., Vilniaus m. sav.</t>
  </si>
  <si>
    <t>2025-11-24 11:14:53</t>
  </si>
  <si>
    <t>2025-11-24 11:17:25</t>
  </si>
  <si>
    <t>2025-11-24 11:14:55</t>
  </si>
  <si>
    <t>Kelmijos Sodų 37-oji g. 20, Vilniaus m., Vilniaus m. sav.</t>
  </si>
  <si>
    <t>2025-11-24 11:24:11</t>
  </si>
  <si>
    <t>Šeimyniškių g. 3, Vilniaus m., Vilniaus m. sav.</t>
  </si>
  <si>
    <t>2025-11-24 11:15:06</t>
  </si>
  <si>
    <t>V. Grybo g. 7, Vilniaus m., Vilniaus m. sav.</t>
  </si>
  <si>
    <t>2025-11-24 11:15:08</t>
  </si>
  <si>
    <t>M. Sleževičiaus g. 7, Vilniaus m., Vilniaus m. sav.</t>
  </si>
  <si>
    <t>2025-11-24 11:26:31</t>
  </si>
  <si>
    <t>2025-11-24 11:15:11</t>
  </si>
  <si>
    <t>Dusinėnų g. 69, Vilniaus m., Vilniaus m. sav.</t>
  </si>
  <si>
    <t>Įsruties g. 23, Vilniaus m., Vilniaus m. sav.</t>
  </si>
  <si>
    <t>Juozapo Strumilos g 32-1, Vilniaus m., Vilniaus m. sav.</t>
  </si>
  <si>
    <t>2025-11-24 11:15:19</t>
  </si>
  <si>
    <t>B. Sruogos g. 15, Vilniaus m., Vilniaus m. sav.</t>
  </si>
  <si>
    <t>2025-11-24 11:25:16</t>
  </si>
  <si>
    <t>2025-11-24 12:06:36</t>
  </si>
  <si>
    <t>Juozapo Strumilos g. 22, Vilniaus m., Vilniaus m. sav.</t>
  </si>
  <si>
    <t>2025-11-24 11:15:27</t>
  </si>
  <si>
    <t>Dusinėnų g. 117, Vilniaus m., Vilniaus m. sav.</t>
  </si>
  <si>
    <t>Dusinėnų g. 105, Vilniaus m., Vilniaus m. sav.</t>
  </si>
  <si>
    <t>2025-11-24 11:21:07</t>
  </si>
  <si>
    <t>S. Stanevičiaus g. 34, Vilniaus m., Vilniaus m. sav.</t>
  </si>
  <si>
    <t>2025-11-24 11:16:00</t>
  </si>
  <si>
    <t>Lazdynėlių g. 16, Vilniaus m., Vilniaus m. sav.</t>
  </si>
  <si>
    <t>Ukmergės g. 319, Vilniaus m., Vilniaus m. sav.</t>
  </si>
  <si>
    <t>Šarkų g. 17, Vilniaus m., Vilniaus m. sav.</t>
  </si>
  <si>
    <t>Dusinėnų g. 109, Vilniaus m., Vilniaus m. sav.</t>
  </si>
  <si>
    <t>Dusinėnų g. 103, Vilniaus m., Vilniaus m. sav.</t>
  </si>
  <si>
    <t>2025-11-24 11:21:17</t>
  </si>
  <si>
    <t>2025-11-24 11:16:49</t>
  </si>
  <si>
    <t>2025-11-24 11:16:50</t>
  </si>
  <si>
    <t>Šarkų g. 17-1, Vilniaus m., Vilniaus m. sav.</t>
  </si>
  <si>
    <t>2025-11-24 11:25:11</t>
  </si>
  <si>
    <t>2025-11-24 11:25:14</t>
  </si>
  <si>
    <t>2025-11-24 11:17:01</t>
  </si>
  <si>
    <t>2025-11-24 11:17:27</t>
  </si>
  <si>
    <t>Dusinėnų g. 91, Vilniaus m., Vilniaus m. sav.</t>
  </si>
  <si>
    <t>2025-11-24 12:06:37</t>
  </si>
  <si>
    <t>Dusinėnų g. 113, Vilniaus m., Vilniaus m. sav.</t>
  </si>
  <si>
    <t>2025-11-24 11:21:18</t>
  </si>
  <si>
    <t>Dusinėnų g. 93, Vilniaus m., Vilniaus m. sav.</t>
  </si>
  <si>
    <t>Šeimyniškių g. 21, Vilniaus m., Vilniaus m. sav.</t>
  </si>
  <si>
    <t>2025-11-24 11:17:39</t>
  </si>
  <si>
    <t>Varnalaukio g. 94, Vilniaus m., Vilniaus m. sav.</t>
  </si>
  <si>
    <t>2025-11-24 11:17:43</t>
  </si>
  <si>
    <t>Dusinėnų g. 125, Vilniaus m., Vilniaus m. sav.</t>
  </si>
  <si>
    <t>2025-11-24 11:17:48</t>
  </si>
  <si>
    <t>Užupio g. 13, Vilniaus m., Vilniaus m. sav.</t>
  </si>
  <si>
    <t>Varnalaukio g. 94A, Vilniaus m., Vilniaus m. sav.</t>
  </si>
  <si>
    <t>2025-11-24 11:25:09</t>
  </si>
  <si>
    <t>2025-11-24 11:25:13</t>
  </si>
  <si>
    <t>2025-11-24 12:15:58</t>
  </si>
  <si>
    <t>2025-11-24 11:18:03</t>
  </si>
  <si>
    <t>Dusinėnų g. 95, Vilniaus m., Vilniaus m. sav.</t>
  </si>
  <si>
    <t>2025-11-24 11:18:05</t>
  </si>
  <si>
    <t>2025-11-24 11:18:07</t>
  </si>
  <si>
    <t>2025-11-24 11:18:17</t>
  </si>
  <si>
    <t>M. K. Oginskio g. 5, Vilniaus m., Vilniaus m. sav.</t>
  </si>
  <si>
    <t>2025-11-24 11:25:17</t>
  </si>
  <si>
    <t>Dociškių g. 5, Vilniaus m., Vilniaus m. sav.</t>
  </si>
  <si>
    <t>2025-11-24 11:18:26</t>
  </si>
  <si>
    <t>Savanorių pr. 6, Vilniaus m., Vilniaus m. sav.</t>
  </si>
  <si>
    <t>Šarkų g. 18-2, Vilniaus m., Vilniaus m. sav.</t>
  </si>
  <si>
    <t>Šarkų g. 18, Vilniaus m., Vilniaus m. sav.</t>
  </si>
  <si>
    <t>2025-11-24 11:25:18</t>
  </si>
  <si>
    <t>2025-11-24 11:18:39</t>
  </si>
  <si>
    <t>2025-11-24 11:18:54</t>
  </si>
  <si>
    <t>Liongino Baliukevičiaus-Dzūko g. 64, Vilniaus m., Vilniaus m. sav.</t>
  </si>
  <si>
    <t>2025-11-24 11:19:04</t>
  </si>
  <si>
    <t>Liongino Baliukevičiaus-Dzūko g. 36, Vilniaus m., Vilniaus m. sav.</t>
  </si>
  <si>
    <t>2025-11-24 11:19:10</t>
  </si>
  <si>
    <t>Mokslininkų g. 9A, Vilniaus m., Vilniaus m. sav.</t>
  </si>
  <si>
    <t>2025-11-24 11:19:11</t>
  </si>
  <si>
    <t>Eitminų g. 14, Vilniaus m., Vilniaus m. sav.</t>
  </si>
  <si>
    <t>2025-11-24 11:19:15</t>
  </si>
  <si>
    <t>Įsruties g. 19, Vilniaus m., Vilniaus m. sav.</t>
  </si>
  <si>
    <t>Nočios g. 7, Vilniaus m., Vilniaus m. sav.</t>
  </si>
  <si>
    <t>2025-11-24 11:19:21</t>
  </si>
  <si>
    <t>Rastinėnų g. 34, Vilniaus m., Vilniaus m. sav.</t>
  </si>
  <si>
    <t>2025-11-24 11:19:22</t>
  </si>
  <si>
    <t>2025-11-24 11:19:24</t>
  </si>
  <si>
    <t>Tolminkiemio g. 1, Vilniaus m., Vilniaus m. sav.</t>
  </si>
  <si>
    <t>2025-11-24 11:25:38</t>
  </si>
  <si>
    <t>2025-11-24 11:19:30</t>
  </si>
  <si>
    <t>Liongino Baliukevičiaus-Dzūko g. 26, Vilniaus m., Vilniaus m. sav.</t>
  </si>
  <si>
    <t>2025-11-24 11:19:34</t>
  </si>
  <si>
    <t>2025-11-24 11:19:40</t>
  </si>
  <si>
    <t>Raitininkų g. 4, Vilniaus m., Vilniaus m. sav.</t>
  </si>
  <si>
    <t>2025-11-24 11:19:41</t>
  </si>
  <si>
    <t>2025-11-24 11:19:43</t>
  </si>
  <si>
    <t>2025-11-24 11:19:44</t>
  </si>
  <si>
    <t>2025-11-24 12:10:00</t>
  </si>
  <si>
    <t>Liongino Baliukevičiaus-Dzūko g. 28, Vilniaus m., Vilniaus m. sav.</t>
  </si>
  <si>
    <t>Liongino Baliukevičiaus-Dzūko g. 68, Vilniaus m., Vilniaus m. sav.</t>
  </si>
  <si>
    <t>2025-11-24 11:19:45</t>
  </si>
  <si>
    <t>2025-11-24 11:19:48</t>
  </si>
  <si>
    <t>2025-11-24 11:19:50</t>
  </si>
  <si>
    <t>Lazdynėlių g. 18, Vilniaus m., Vilniaus m. sav.</t>
  </si>
  <si>
    <t>2025-11-24 11:19:51</t>
  </si>
  <si>
    <t>2025-11-24 11:20:01</t>
  </si>
  <si>
    <t>Vilkpėdės g. 3, Vilniaus m., Vilniaus m. sav.</t>
  </si>
  <si>
    <t>Šarkų g. 25, Vilniaus m., Vilniaus m. sav.</t>
  </si>
  <si>
    <t>2025-11-24 11:20:08</t>
  </si>
  <si>
    <t>2025-11-24 11:20:03</t>
  </si>
  <si>
    <t>A. Juozapavičiaus g. 6, Vilniaus m., Vilniaus m. sav.</t>
  </si>
  <si>
    <t>Rastinėnų g. 36, Vilniaus m., Vilniaus m. sav.</t>
  </si>
  <si>
    <t>2025-11-24 11:25:22</t>
  </si>
  <si>
    <t>2025-11-24 11:25:21</t>
  </si>
  <si>
    <t>2025-11-24 11:20:09</t>
  </si>
  <si>
    <t>2025-11-24 11:20:12</t>
  </si>
  <si>
    <t>2025-11-24 11:20:13</t>
  </si>
  <si>
    <t>2025-11-24 11:23:17</t>
  </si>
  <si>
    <t>2025-11-24 11:29:19</t>
  </si>
  <si>
    <t>Dociškių g. 7, Vilniaus m., Vilniaus m. sav.</t>
  </si>
  <si>
    <t>2025-11-24 11:20:16</t>
  </si>
  <si>
    <t>2025-11-24 11:20:17</t>
  </si>
  <si>
    <t>2025-11-24 11:20:18</t>
  </si>
  <si>
    <t>2025-11-24 11:25:23</t>
  </si>
  <si>
    <t>2025-11-24 11:20:24</t>
  </si>
  <si>
    <t>2025-11-24 11:20:31</t>
  </si>
  <si>
    <t>Melioratorių g. 2, Vilniaus m., Vilniaus m. sav.</t>
  </si>
  <si>
    <t>Dusinėnų g 91, Vilniaus m., Vilniaus m. sav.</t>
  </si>
  <si>
    <t>2025-11-24 11:20:36</t>
  </si>
  <si>
    <t>Šarkų g. 23, Vilniaus m., Vilniaus m. sav.</t>
  </si>
  <si>
    <t>2025-11-24 11:20:40</t>
  </si>
  <si>
    <t>Liongino Baliukevičiaus-Dzūko g. 34, Vilniaus m., Vilniaus m. sav.</t>
  </si>
  <si>
    <t>2025-11-24 11:20:46</t>
  </si>
  <si>
    <t>2025-11-24 11:20:52</t>
  </si>
  <si>
    <t>2025-11-24 11:20:47</t>
  </si>
  <si>
    <t>2025-11-24 11:20:49</t>
  </si>
  <si>
    <t>2025-11-24 11:20:53</t>
  </si>
  <si>
    <t>Rastinėnų g. 38, Vilniaus m., Vilniaus m. sav.</t>
  </si>
  <si>
    <t>Terminalo g. 8, Vilniaus m., Vilniaus m. sav.</t>
  </si>
  <si>
    <t>Ribiškių tak. 50, Vilniaus m., Vilniaus m. sav.</t>
  </si>
  <si>
    <t>2025-11-24 11:25:27</t>
  </si>
  <si>
    <t xml:space="preserve">Užpildytas netinkamomis atliekomis
</t>
  </si>
  <si>
    <t>2025-11-24 13:07:00</t>
  </si>
  <si>
    <t>Šarkų g. 22, Vilniaus m., Vilniaus m. sav.</t>
  </si>
  <si>
    <t>2025-11-24 11:21:13</t>
  </si>
  <si>
    <t>Noragiškių g. 11-5, Vilniaus m., Vilniaus m. sav.</t>
  </si>
  <si>
    <t>2025-11-24 11:30:11</t>
  </si>
  <si>
    <t>2025-11-24 11:21:22</t>
  </si>
  <si>
    <t>Paribio g. 12, Vilniaus m., Vilniaus m. sav.</t>
  </si>
  <si>
    <t>2025-11-24 11:21:24</t>
  </si>
  <si>
    <t>2025-11-24 11:21:26</t>
  </si>
  <si>
    <t>2025-11-24 11:21:27</t>
  </si>
  <si>
    <t>Eitminų g. 16, Vilniaus m., Vilniaus m. sav.</t>
  </si>
  <si>
    <t>2025-11-24 11:21:28</t>
  </si>
  <si>
    <t>Šarkų g. 20, Vilniaus m., Vilniaus m. sav.</t>
  </si>
  <si>
    <t>2025-11-24 11:21:30</t>
  </si>
  <si>
    <t>2025-11-24 11:21:32</t>
  </si>
  <si>
    <t>2025-11-24 11:21:33</t>
  </si>
  <si>
    <t>2025-11-24 11:27:11</t>
  </si>
  <si>
    <t>2025-11-24 11:21:36</t>
  </si>
  <si>
    <t>2025-11-24 11:21:37</t>
  </si>
  <si>
    <t>2025-11-24 11:21:43</t>
  </si>
  <si>
    <t>2025-11-24 11:21:40</t>
  </si>
  <si>
    <t>Dusinėnų g. 107, Vilniaus m., Vilniaus m. sav.</t>
  </si>
  <si>
    <t>2025-11-24 11:21:44</t>
  </si>
  <si>
    <t>I. Simonaitytės g. 3, Vilniaus m., Vilniaus m. sav.</t>
  </si>
  <si>
    <t>2025-11-24 11:25:43</t>
  </si>
  <si>
    <t>2025-11-24 11:21:46</t>
  </si>
  <si>
    <t>2025-11-24 11:21:55</t>
  </si>
  <si>
    <t>2025-11-24 11:21:47</t>
  </si>
  <si>
    <t>2025-11-24 11:21:49</t>
  </si>
  <si>
    <t>2025-11-24 11:21:53</t>
  </si>
  <si>
    <t>2025-11-24 11:21:54</t>
  </si>
  <si>
    <t>Lentupio g. 8A, Vilniaus m., Vilniaus m. sav.</t>
  </si>
  <si>
    <t>2025-11-24 11:21:58</t>
  </si>
  <si>
    <t>2025-11-24 11:22:00</t>
  </si>
  <si>
    <t>Varnalaukio g. 92, Vilniaus m., Vilniaus m. sav.</t>
  </si>
  <si>
    <t>2025-11-24 11:25:28</t>
  </si>
  <si>
    <t>2025-11-24 11:22:01</t>
  </si>
  <si>
    <t>2025-11-24 11:22:07</t>
  </si>
  <si>
    <t>2025-11-24 11:22:14</t>
  </si>
  <si>
    <t>Dociškių g. 12, Vilniaus m., Vilniaus m. sav.</t>
  </si>
  <si>
    <t>2025-11-24 11:22:22</t>
  </si>
  <si>
    <t>Tolminkiemio g. 11, Vilniaus m., Vilniaus m. sav.</t>
  </si>
  <si>
    <t>2025-11-24 11:25:40</t>
  </si>
  <si>
    <t>2025-11-24 11:22:24</t>
  </si>
  <si>
    <t>2025-11-24 11:22:26</t>
  </si>
  <si>
    <t>2025-11-24 11:22:31</t>
  </si>
  <si>
    <t>2025-11-24 11:22:27</t>
  </si>
  <si>
    <t>2025-11-24 11:22:28</t>
  </si>
  <si>
    <t>Buivydiškių g. 22, Vilniaus m., Vilniaus m. sav.</t>
  </si>
  <si>
    <t>2025-11-24 11:29:22</t>
  </si>
  <si>
    <t>2025-11-24 11:22:32</t>
  </si>
  <si>
    <t>Lietaus g. 6, Vilniaus m., Vilniaus m. sav.</t>
  </si>
  <si>
    <t>2025-11-24 11:22:35</t>
  </si>
  <si>
    <t>2025-11-24 11:22:39</t>
  </si>
  <si>
    <t>2025-11-24 11:22:44</t>
  </si>
  <si>
    <t>Šarkų g. 19-1, Vilniaus m., Vilniaus m. sav.</t>
  </si>
  <si>
    <t>2025-11-24 11:22:46</t>
  </si>
  <si>
    <t>Liongino Baliukevičiaus-Dzūko g. 38, Vilniaus m., Vilniaus m. sav.</t>
  </si>
  <si>
    <t>2025-11-24 11:22:55</t>
  </si>
  <si>
    <t>2025-11-24 11:23:04</t>
  </si>
  <si>
    <t>Raitininkų g. 2B, Vilniaus m., Vilniaus m. sav.</t>
  </si>
  <si>
    <t>2025-11-24 11:23:05</t>
  </si>
  <si>
    <t>2025-11-24 11:23:08</t>
  </si>
  <si>
    <t>2025-11-24 11:23:12</t>
  </si>
  <si>
    <t>2025-11-24 11:23:13</t>
  </si>
  <si>
    <t>Jeruzalės g. 31, Vilniaus m., Vilniaus m. sav.</t>
  </si>
  <si>
    <t>Liongino Baliukevičiaus-Dzūko g. 40, Vilniaus m., Vilniaus m. sav.</t>
  </si>
  <si>
    <t>Šarkų g. 19-2, Vilniaus m., Vilniaus m. sav.</t>
  </si>
  <si>
    <t>2025-11-24 11:23:24</t>
  </si>
  <si>
    <t>Liongino Baliukevičiaus-Dzūko g. 32, Vilniaus m., Vilniaus m. sav.</t>
  </si>
  <si>
    <t>2025-11-24 11:29:27</t>
  </si>
  <si>
    <t>2025-11-24 11:23:27</t>
  </si>
  <si>
    <t>Varnalaukio g. 39D-1, Vilniaus m., Vilniaus m. sav.</t>
  </si>
  <si>
    <t>2025-11-24 11:25:30</t>
  </si>
  <si>
    <t>2025-11-24 11:23:28</t>
  </si>
  <si>
    <t>Liongino Baliukevičiaus-Dzūko g. 30, Vilniaus m., Vilniaus m. sav.</t>
  </si>
  <si>
    <t>2025-11-24 11:29:26</t>
  </si>
  <si>
    <t>2025-11-24 11:25:32</t>
  </si>
  <si>
    <t>2025-11-24 11:23:35</t>
  </si>
  <si>
    <t>2025-11-24 11:23:36</t>
  </si>
  <si>
    <t>Ukmergės g. 369, Vilniaus m., Vilniaus m. sav.</t>
  </si>
  <si>
    <t>2025-11-24 11:23:41</t>
  </si>
  <si>
    <t>Užupio g. 17, Vilniaus m., Vilniaus m. sav.</t>
  </si>
  <si>
    <t>2025-11-24 11:23:44</t>
  </si>
  <si>
    <t>2025-11-24 11:23:45</t>
  </si>
  <si>
    <t>2025-11-24 11:23:46</t>
  </si>
  <si>
    <t>Liongino Baliukevičiaus-Dzūko g. 66, Vilniaus m., Vilniaus m. sav.</t>
  </si>
  <si>
    <t>2025-11-24 11:23:48</t>
  </si>
  <si>
    <t>2025-11-24 11:23:49</t>
  </si>
  <si>
    <t>2025-11-24 11:23:53</t>
  </si>
  <si>
    <t>Noragiškių g. 4, Vilniaus m., Vilniaus m. sav.</t>
  </si>
  <si>
    <t>2025-11-24 11:29:23</t>
  </si>
  <si>
    <t>2025-11-24 11:23:55</t>
  </si>
  <si>
    <t>2025-11-24 11:23:57</t>
  </si>
  <si>
    <t>Šarkų g. 21, Vilniaus m., Vilniaus m. sav.</t>
  </si>
  <si>
    <t>2025-11-24 11:24:02</t>
  </si>
  <si>
    <t>Liongino Baliukevičiaus-Dzūko g. 42, Vilniaus m., Vilniaus m. sav.</t>
  </si>
  <si>
    <t>Šiaurės g. 111, Vilniaus m., Vilniaus m. sav.</t>
  </si>
  <si>
    <t>2025-11-24 11:24:04</t>
  </si>
  <si>
    <t>2025-11-24 11:25:56</t>
  </si>
  <si>
    <t>2025-11-24 11:24:05</t>
  </si>
  <si>
    <t>Šeimyniškių g. 1, Vilniaus m., Vilniaus m. sav.</t>
  </si>
  <si>
    <t>2025-11-24 11:24:12</t>
  </si>
  <si>
    <t>2025-11-24 11:24:17</t>
  </si>
  <si>
    <t>2025-11-24 11:24:18</t>
  </si>
  <si>
    <t>2025-11-24 11:24:19</t>
  </si>
  <si>
    <t>2025-11-24 11:24:25</t>
  </si>
  <si>
    <t>2025-11-24 11:24:28</t>
  </si>
  <si>
    <t>2025-11-24 11:29:37</t>
  </si>
  <si>
    <t>2025-11-24 11:24:29</t>
  </si>
  <si>
    <t>2025-11-24 11:24:32</t>
  </si>
  <si>
    <t>2025-11-24 11:24:38</t>
  </si>
  <si>
    <t>Liongino Baliukevičiaus-Dzūko g. 62, Vilniaus m., Vilniaus m. sav.</t>
  </si>
  <si>
    <t>2025-11-24 11:24:39</t>
  </si>
  <si>
    <t>Varnalaukio g. 37G, Vilniaus m., Vilniaus m. sav.</t>
  </si>
  <si>
    <t>2025-11-24 11:25:34</t>
  </si>
  <si>
    <t>2025-11-24 11:24:41</t>
  </si>
  <si>
    <t>Olimpiečių g. 4, Vilniaus m., Vilniaus m. sav.</t>
  </si>
  <si>
    <t>2025-11-24 11:24:44</t>
  </si>
  <si>
    <t>2025-11-24 12:00:51</t>
  </si>
  <si>
    <t>2025-11-24 11:25:36</t>
  </si>
  <si>
    <t>2025-11-24 11:24:51</t>
  </si>
  <si>
    <t>2025-11-24 11:24:58</t>
  </si>
  <si>
    <t>2025-11-24 11:25:01</t>
  </si>
  <si>
    <t>žuvinto g. 2a-1, Vilniaus m., Vilniaus m. sav.</t>
  </si>
  <si>
    <t>2025-11-24 11:25:08</t>
  </si>
  <si>
    <t>Sviliškių g. 15, Vilniaus m., Vilniaus m. sav.</t>
  </si>
  <si>
    <t>2025-11-24 11:25:45</t>
  </si>
  <si>
    <t>Birbynių g. 26, Vilniaus m., Vilniaus m. sav.</t>
  </si>
  <si>
    <t>2025-11-24 11:25:10</t>
  </si>
  <si>
    <t>Žuvinto g. 2A-14, Vilniaus m., Vilniaus m. sav.</t>
  </si>
  <si>
    <t>Užupio g. 15, Vilniaus m., Vilniaus m. sav.</t>
  </si>
  <si>
    <t>2025-11-24 11:25:12</t>
  </si>
  <si>
    <t>Žuvinto g. 2A-12, Vilniaus m., Vilniaus m. sav.</t>
  </si>
  <si>
    <t>Žuvinto g. 2A-13, Vilniaus m., Vilniaus m. sav.</t>
  </si>
  <si>
    <t>J. Strumilos g. 10, Vilniaus m., Vilniaus m. sav.</t>
  </si>
  <si>
    <t>2025-11-24 11:32:45</t>
  </si>
  <si>
    <t>Liongino Baliukevičiaus-Dzūko g. 60, Vilniaus m., Vilniaus m. sav.</t>
  </si>
  <si>
    <t>Salininkų g. 139, Vilniaus m., Vilniaus m. sav.</t>
  </si>
  <si>
    <t>J. Strumilos g. 8, Vilniaus m., Vilniaus m. sav.</t>
  </si>
  <si>
    <t>2025-11-24 11:29:38</t>
  </si>
  <si>
    <t>2025-11-24 11:25:25</t>
  </si>
  <si>
    <t>2025-11-24 11:25:26</t>
  </si>
  <si>
    <t>Žuvinto g. 5, Vilniaus m., Vilniaus m. sav.</t>
  </si>
  <si>
    <t>Liongino Baliukevičiaus-Dzūko g. 46, Vilniaus m., Vilniaus m. sav.</t>
  </si>
  <si>
    <t>2025-11-24 11:29:40</t>
  </si>
  <si>
    <t>Liongino Baliukevičiaus-Dzūko g. 58, Vilniaus m., Vilniaus m. sav.</t>
  </si>
  <si>
    <t>2025-11-24 11:25:39</t>
  </si>
  <si>
    <t>Jeruzalės g. 45, Vilniaus m., Vilniaus m. sav.</t>
  </si>
  <si>
    <t>Šarkų g. 16, Vilniaus m., Vilniaus m. sav.</t>
  </si>
  <si>
    <t>2025-11-24 11:34:40</t>
  </si>
  <si>
    <t>2025-11-24 11:25:48</t>
  </si>
  <si>
    <t>2025-11-24 11:25:49</t>
  </si>
  <si>
    <t>2025-11-24 11:25:51</t>
  </si>
  <si>
    <t>Žuvinto g. 8-2, Vilniaus m., Vilniaus m. sav.</t>
  </si>
  <si>
    <t>2025-11-24 11:25:53</t>
  </si>
  <si>
    <t>2025-11-24 11:34:41</t>
  </si>
  <si>
    <t>2025-11-24 11:26:01</t>
  </si>
  <si>
    <t>žuvinto g. 2a-6, Vilniaus m., Vilniaus m. sav.</t>
  </si>
  <si>
    <t>2025-11-24 11:26:10</t>
  </si>
  <si>
    <t>2025-11-24 11:26:11</t>
  </si>
  <si>
    <t>2025-11-24 11:26:12</t>
  </si>
  <si>
    <t>2025-11-24 11:26:16</t>
  </si>
  <si>
    <t>2025-11-24 11:26:17</t>
  </si>
  <si>
    <t>žuvinto g. 2A-7, Vilniaus m., Vilniaus m. sav.</t>
  </si>
  <si>
    <t>2025-11-24 11:26:21</t>
  </si>
  <si>
    <t>Klinikų g. 2, Vilniaus m., Vilniaus m. sav.</t>
  </si>
  <si>
    <t>Liongino Baliukevičiaus-Dzūko g. 54, Vilniaus m., Vilniaus m. sav.</t>
  </si>
  <si>
    <t>2025-11-24 11:26:34</t>
  </si>
  <si>
    <t>2025-11-24 11:26:35</t>
  </si>
  <si>
    <t>Lietaus g. 7, Vilniaus m., Vilniaus m. sav.</t>
  </si>
  <si>
    <t>2025-11-24 11:34:30</t>
  </si>
  <si>
    <t>2025-11-24 11:26:37</t>
  </si>
  <si>
    <t>2025-11-24 11:34:50</t>
  </si>
  <si>
    <t>2025-11-24 11:26:40</t>
  </si>
  <si>
    <t>Stirnų g. 32, Vilniaus m., Vilniaus m. sav.</t>
  </si>
  <si>
    <t>2025-11-24 11:26:41</t>
  </si>
  <si>
    <t>2025-11-24 11:26:46</t>
  </si>
  <si>
    <t>Liongino Baliukevičiaus-Dzūko g. 56, Vilniaus m., Vilniaus m. sav.</t>
  </si>
  <si>
    <t>2025-11-24 11:26:52</t>
  </si>
  <si>
    <t>Antakalnio g. 93, Vilniaus m., Vilniaus m. sav.</t>
  </si>
  <si>
    <t>2025-11-24 11:26:56</t>
  </si>
  <si>
    <t>J. Strumilos g. 60, Vilniaus m., Vilniaus m. sav.</t>
  </si>
  <si>
    <t>2025-11-24 11:27:01</t>
  </si>
  <si>
    <t>Raitininkų g. 2A, Vilniaus m., Vilniaus m. sav.</t>
  </si>
  <si>
    <t>2025-11-24 11:27:13</t>
  </si>
  <si>
    <t>Nidos g. 1, Vilniaus m., Vilniaus m. sav.</t>
  </si>
  <si>
    <t>2025-11-24 11:27:19</t>
  </si>
  <si>
    <t>2025-11-24 11:35:12</t>
  </si>
  <si>
    <t>2025-11-24 11:27:20</t>
  </si>
  <si>
    <t>2025-11-24 11:27:26</t>
  </si>
  <si>
    <t>Liongino Baliukevičiaus-Dzūko g. 52, Vilniaus m., Vilniaus m. sav.</t>
  </si>
  <si>
    <t>2025-11-24 11:27:35</t>
  </si>
  <si>
    <t>2025-11-24 11:27:41</t>
  </si>
  <si>
    <t>2025-11-24 11:27:48</t>
  </si>
  <si>
    <t>Šarkų g. 14, Vilniaus m., Vilniaus m. sav.</t>
  </si>
  <si>
    <t>2025-11-24 11:34:51</t>
  </si>
  <si>
    <t>2025-11-24 11:27:49</t>
  </si>
  <si>
    <t>2025-11-24 11:35:13</t>
  </si>
  <si>
    <t>2025-11-24 11:27:52</t>
  </si>
  <si>
    <t>Šiaurės g. 37, Vilniaus m., Vilniaus m. sav.</t>
  </si>
  <si>
    <t>S. Stanevičiaus g. 25A, Vilniaus m., Vilniaus m. sav.</t>
  </si>
  <si>
    <t>2025-11-24 11:27:53</t>
  </si>
  <si>
    <t>2025-11-24 11:34:54</t>
  </si>
  <si>
    <t>2025-11-24 11:27:59</t>
  </si>
  <si>
    <t>2025-11-24 11:28:08</t>
  </si>
  <si>
    <t>2025-11-24 11:34:58</t>
  </si>
  <si>
    <t>2025-11-24 11:28:12</t>
  </si>
  <si>
    <t>2025-11-24 11:28:15</t>
  </si>
  <si>
    <t>Varnalaukio g. 27, Vilniaus m., Vilniaus m. sav.</t>
  </si>
  <si>
    <t>2025-11-24 11:28:17</t>
  </si>
  <si>
    <t>2025-11-24 11:28:19</t>
  </si>
  <si>
    <t>2025-11-24 11:28:22</t>
  </si>
  <si>
    <t>2025-11-24 11:28:32</t>
  </si>
  <si>
    <t>Liongino Baliukevičiaus-Dzūko g. 22, Vilniaus m., Vilniaus m. sav.</t>
  </si>
  <si>
    <t>2025-11-24 11:28:33</t>
  </si>
  <si>
    <t>2025-11-24 11:28:35</t>
  </si>
  <si>
    <t>2025-11-24 11:28:40</t>
  </si>
  <si>
    <t>Šarkų g. 12-2, Vilniaus m., Vilniaus m. sav.</t>
  </si>
  <si>
    <t>2025-11-24 11:28:50</t>
  </si>
  <si>
    <t>2025-11-24 11:28:52</t>
  </si>
  <si>
    <t>2025-11-24 11:28:53</t>
  </si>
  <si>
    <t>2025-11-24 11:28:54</t>
  </si>
  <si>
    <t>2025-11-24 11:28:59</t>
  </si>
  <si>
    <t>Grigalaukio g. 15, Vilniaus m., Vilniaus m. sav.</t>
  </si>
  <si>
    <t>2025-11-24 11:29:04</t>
  </si>
  <si>
    <t>2025-11-24 11:29:05</t>
  </si>
  <si>
    <t>2025-11-24 11:29:12</t>
  </si>
  <si>
    <t>Sporto g. 3, Vilniaus m., Vilniaus m. sav.</t>
  </si>
  <si>
    <t>Vilkų g. . 5, Vilniaus m., Vilniaus m. sav.</t>
  </si>
  <si>
    <t>2025-11-24 11:29:25</t>
  </si>
  <si>
    <t>Šarkų g. 12, Vilniaus m., Vilniaus m. sav.</t>
  </si>
  <si>
    <t>Ozo g. 39, Vilniaus m., Vilniaus m. sav.</t>
  </si>
  <si>
    <t>2025-11-24 11:36:34</t>
  </si>
  <si>
    <t>2025-11-24 11:29:43</t>
  </si>
  <si>
    <t>2025-11-24 11:29:46</t>
  </si>
  <si>
    <t>2025-11-24 11:29:47</t>
  </si>
  <si>
    <t>Filaretų g. 3, Vilniaus m., Vilniaus m. sav.</t>
  </si>
  <si>
    <t>2025-11-24 11:29:48</t>
  </si>
  <si>
    <t>2025-11-24 11:29:50</t>
  </si>
  <si>
    <t>Benykštaičių g. 2, Vilniaus m., Vilniaus m. sav.</t>
  </si>
  <si>
    <t>2025-11-24 11:29:51</t>
  </si>
  <si>
    <t>Olimpiečių g. 8, Vilniaus m., Vilniaus m. sav.</t>
  </si>
  <si>
    <t>2025-11-24 11:29:56</t>
  </si>
  <si>
    <t>2025-11-24 11:29:58</t>
  </si>
  <si>
    <t>2025-11-24 11:30:01</t>
  </si>
  <si>
    <t>2025-11-24 11:30:02</t>
  </si>
  <si>
    <t>2025-11-24 11:34:47</t>
  </si>
  <si>
    <t>Šarkų g. 10, Vilniaus m., Vilniaus m. sav.</t>
  </si>
  <si>
    <t>2025-11-24 11:30:13</t>
  </si>
  <si>
    <t>Vėtrungių g.  105, Vilniaus m., Vilniaus m. sav.</t>
  </si>
  <si>
    <t>2025-11-24 11:30:14</t>
  </si>
  <si>
    <t>Ozo g. 39B, Vilniaus m., Vilniaus m. sav.</t>
  </si>
  <si>
    <t>2025-11-24 11:30:23</t>
  </si>
  <si>
    <t>Šarkų g. 11, Vilniaus m., Vilniaus m. sav.</t>
  </si>
  <si>
    <t>2025-11-24 11:30:26</t>
  </si>
  <si>
    <t>Benykštaičių g. 8, Vilniaus m., Vilniaus m. sav.</t>
  </si>
  <si>
    <t>2025-11-24 11:30:33</t>
  </si>
  <si>
    <t>2025-11-24 11:30:34</t>
  </si>
  <si>
    <t>2025-11-24 12:08:25</t>
  </si>
  <si>
    <t>2025-11-24 11:30:35</t>
  </si>
  <si>
    <t>Ceikinių g. 9, Vilniaus m., Vilniaus m. sav.</t>
  </si>
  <si>
    <t>2025-11-24 11:30:37</t>
  </si>
  <si>
    <t>2025-11-24 11:30:41</t>
  </si>
  <si>
    <t>Lietaus g. 14, Vilniaus m., Vilniaus m. sav.</t>
  </si>
  <si>
    <t>2025-11-24 11:30:44</t>
  </si>
  <si>
    <t>2025-11-24 11:30:50</t>
  </si>
  <si>
    <t>2025-11-24 11:30:53</t>
  </si>
  <si>
    <t>M. Mažvydo g. 12, Vilniaus m., Vilniaus m. sav.</t>
  </si>
  <si>
    <t>2025-11-24 11:30:55</t>
  </si>
  <si>
    <t>2025-11-24 11:30:56</t>
  </si>
  <si>
    <t>M. K. Čiurlionio g. 84, Vilniaus m., Vilniaus m. sav.</t>
  </si>
  <si>
    <t>2025-11-24 11:30:58</t>
  </si>
  <si>
    <t>2025-11-24 11:31:03</t>
  </si>
  <si>
    <t>Vėtrungių g.  107, Vilniaus m., Vilniaus m. sav.</t>
  </si>
  <si>
    <t>2025-11-24 11:31:07</t>
  </si>
  <si>
    <t>2025-11-24 11:31:11</t>
  </si>
  <si>
    <t>2025-11-24 11:31:17</t>
  </si>
  <si>
    <t>Benykštaičių g. 10, Vilniaus m., Vilniaus m. sav.</t>
  </si>
  <si>
    <t>2025-11-24 11:31:18</t>
  </si>
  <si>
    <t>Savanorių pr. 219, Vilniaus m., Vilniaus m. sav.</t>
  </si>
  <si>
    <t>Karaliaučiaus g. 9D, Vilniaus m., Vilniaus m. sav.</t>
  </si>
  <si>
    <t>2025-11-24 11:31:19</t>
  </si>
  <si>
    <t>2025-11-24 11:31:22</t>
  </si>
  <si>
    <t>2025-11-24 11:31:24</t>
  </si>
  <si>
    <t>2025-11-24 11:31:30</t>
  </si>
  <si>
    <t>2025-11-24 11:31:32</t>
  </si>
  <si>
    <t>2025-11-24 11:35:54</t>
  </si>
  <si>
    <t>2025-11-24 11:31:33</t>
  </si>
  <si>
    <t>Filaretų g. 16, Vilniaus m., Vilniaus m. sav.</t>
  </si>
  <si>
    <t>2025-11-24 11:31:36</t>
  </si>
  <si>
    <t>2025-11-24 11:31:44</t>
  </si>
  <si>
    <t>2025-11-24 11:31:37</t>
  </si>
  <si>
    <t>Sporto g. 5, Vilniaus m., Vilniaus m. sav.</t>
  </si>
  <si>
    <t>Sviliškių g. 16, Vilniaus m., Vilniaus m. sav.</t>
  </si>
  <si>
    <t>2025-11-24 11:31:38</t>
  </si>
  <si>
    <t>2025-11-24 11:31:39</t>
  </si>
  <si>
    <t>2025-11-24 11:31:42</t>
  </si>
  <si>
    <t>2025-11-24 11:31:43</t>
  </si>
  <si>
    <t>2025-11-24 11:35:15</t>
  </si>
  <si>
    <t>2025-11-24 11:31:47</t>
  </si>
  <si>
    <t>2025-11-24 11:31:48</t>
  </si>
  <si>
    <t>Šarkų g. 7, Vilniaus m., Vilniaus m. sav.</t>
  </si>
  <si>
    <t>2025-11-24 11:31:53</t>
  </si>
  <si>
    <t>Benykštaičių g. 12, Vilniaus m., Vilniaus m. sav.</t>
  </si>
  <si>
    <t>2025-11-24 11:31:55</t>
  </si>
  <si>
    <t>2025-11-24 11:31:57</t>
  </si>
  <si>
    <t>2025-11-24 11:31:58</t>
  </si>
  <si>
    <t>2025-11-24 11:31:59</t>
  </si>
  <si>
    <t>2025-11-24 11:35:16</t>
  </si>
  <si>
    <t>2025-11-24 11:32:00</t>
  </si>
  <si>
    <t>J. Strumilos g. 50, Vilniaus m., Vilniaus m. sav.</t>
  </si>
  <si>
    <t>2025-11-24 11:32:02</t>
  </si>
  <si>
    <t>P. Vileišio g. 31, Vilniaus m., Vilniaus m. sav.</t>
  </si>
  <si>
    <t>2025-11-24 11:32:04</t>
  </si>
  <si>
    <t>2025-11-24 11:32:07</t>
  </si>
  <si>
    <t>Šarkų g. 9, Vilniaus m., Vilniaus m. sav.</t>
  </si>
  <si>
    <t>2025-11-24 11:32:09</t>
  </si>
  <si>
    <t>Noragiškių g. 16, Vilniaus m., Vilniaus m. sav.</t>
  </si>
  <si>
    <t>2025-11-24 11:32:12</t>
  </si>
  <si>
    <t>2025-11-24 12:39:48</t>
  </si>
  <si>
    <t>Stirnų g. 21, Vilniaus m., Vilniaus m. sav.</t>
  </si>
  <si>
    <t>2025-11-24 11:32:15</t>
  </si>
  <si>
    <t>2025-11-24 11:32:20</t>
  </si>
  <si>
    <t>2025-11-24 11:32:18</t>
  </si>
  <si>
    <t>2025-11-24 11:32:21</t>
  </si>
  <si>
    <t>Liongino Baliukevičiaus-Dzūko g. 14, Vilniaus m., Vilniaus m. sav.</t>
  </si>
  <si>
    <t>2025-11-24 11:32:22</t>
  </si>
  <si>
    <t>2025-11-24 11:32:24</t>
  </si>
  <si>
    <t>Benykštaičių g. 12B, Vilniaus m., Vilniaus m. sav.</t>
  </si>
  <si>
    <t>2025-11-24 11:35:01</t>
  </si>
  <si>
    <t>2025-11-24 11:32:25</t>
  </si>
  <si>
    <t>Šarkų g. 3-1, Vilniaus m., Vilniaus m. sav.</t>
  </si>
  <si>
    <t>2025-11-24 11:32:33</t>
  </si>
  <si>
    <t>2025-11-24 11:32:35</t>
  </si>
  <si>
    <t>Šarkų g. 5, Vilniaus m., Vilniaus m. sav.</t>
  </si>
  <si>
    <t>2025-11-24 11:32:38</t>
  </si>
  <si>
    <t>Žolyno g. 15, Vilniaus m., Vilniaus m. sav.</t>
  </si>
  <si>
    <t>2025-11-24 11:32:52</t>
  </si>
  <si>
    <t>Noragiškių g. 16-7, Vilniaus m., Vilniaus m. sav.</t>
  </si>
  <si>
    <t>2025-11-24 11:32:49</t>
  </si>
  <si>
    <t>2025-11-24 11:32:54</t>
  </si>
  <si>
    <t>2025-11-24 11:32:55</t>
  </si>
  <si>
    <t>2025-11-24 11:33:01</t>
  </si>
  <si>
    <t>2025-11-24 11:33:10</t>
  </si>
  <si>
    <t>Liongino Baliukevičiaus-Dzūko g. 12, Vilniaus m., Vilniaus m. sav.</t>
  </si>
  <si>
    <t>2025-11-24 11:33:04</t>
  </si>
  <si>
    <t>2025-11-24 11:33:05</t>
  </si>
  <si>
    <t>Benykštaičių g. 12C, Vilniaus m., Vilniaus m. sav.</t>
  </si>
  <si>
    <t>Benykštaičių g. 12A, Vilniaus m., Vilniaus m. sav.</t>
  </si>
  <si>
    <t>2025-11-24 11:35:03</t>
  </si>
  <si>
    <t>Vėtrungių g.  109, Vilniaus m., Vilniaus m. sav.</t>
  </si>
  <si>
    <t>Šarkų g. 6, Vilniaus m., Vilniaus m. sav.</t>
  </si>
  <si>
    <t>2025-11-24 11:33:15</t>
  </si>
  <si>
    <t>2025-11-24 11:33:20</t>
  </si>
  <si>
    <t>2025-11-24 11:33:27</t>
  </si>
  <si>
    <t>Sporto g. 12, Vilniaus m., Vilniaus m. sav.</t>
  </si>
  <si>
    <t>2025-11-24 11:33:28</t>
  </si>
  <si>
    <t>2025-11-24 11:33:30</t>
  </si>
  <si>
    <t>2025-11-24 11:33:33</t>
  </si>
  <si>
    <t>2025-11-24 11:33:34</t>
  </si>
  <si>
    <t>2025-11-24 11:33:39</t>
  </si>
  <si>
    <t>2025-11-24 11:33:42</t>
  </si>
  <si>
    <t>2025-11-24 11:33:45</t>
  </si>
  <si>
    <t>2025-11-24 11:33:53</t>
  </si>
  <si>
    <t>2025-11-24 11:33:54</t>
  </si>
  <si>
    <t>2025-11-24 11:33:56</t>
  </si>
  <si>
    <t>2025-11-24 11:34:00</t>
  </si>
  <si>
    <t>Varpų g. 6B, Vilniaus m., Vilniaus m. sav.</t>
  </si>
  <si>
    <t>Varpų g. 6A, Vilniaus m., Vilniaus m. sav.</t>
  </si>
  <si>
    <t>2025-11-24 12:27:24</t>
  </si>
  <si>
    <t>2025-11-24 11:34:01</t>
  </si>
  <si>
    <t>Benykštaičių g. 14B, Vilniaus m., Vilniaus m. sav.</t>
  </si>
  <si>
    <t>2025-11-24 11:34:02</t>
  </si>
  <si>
    <t>2025-11-24 11:34:06</t>
  </si>
  <si>
    <t>2025-11-24 11:35:10</t>
  </si>
  <si>
    <t>2025-11-24 11:34:11</t>
  </si>
  <si>
    <t>2025-11-24 11:34:12</t>
  </si>
  <si>
    <t>Karaliaučiaus g. 3A, Vilniaus m., Vilniaus m. sav.</t>
  </si>
  <si>
    <t>2025-11-24 11:34:21</t>
  </si>
  <si>
    <t>2025-11-24 11:34:22</t>
  </si>
  <si>
    <t>2025-11-24 11:34:24</t>
  </si>
  <si>
    <t>Šarkų g. 8, Vilniaus m., Vilniaus m. sav.</t>
  </si>
  <si>
    <t>Varpų g. 4A, Vilniaus m., Vilniaus m. sav.</t>
  </si>
  <si>
    <t>2025-11-24 11:34:44</t>
  </si>
  <si>
    <t>2025-11-24 11:46:22</t>
  </si>
  <si>
    <t>Benykštaičių g. 16, Vilniaus m., Vilniaus m. sav.</t>
  </si>
  <si>
    <t>Šarkų g. 8-1, Vilniaus m., Vilniaus m. sav.</t>
  </si>
  <si>
    <t>Lazdynėlių g. 28, Vilniaus m., Vilniaus m. sav.</t>
  </si>
  <si>
    <t>2025-11-24 11:34:55</t>
  </si>
  <si>
    <t>P. Baublio g. 5, Vilniaus m., Vilniaus m. sav.</t>
  </si>
  <si>
    <t>2025-11-24 11:35:00</t>
  </si>
  <si>
    <t>Rinktinės g. 18, Vilniaus m., Vilniaus m. sav.</t>
  </si>
  <si>
    <t>Dociškių g. 15, Vilniaus m., Vilniaus m. sav.</t>
  </si>
  <si>
    <t>2025-11-24 11:35:17</t>
  </si>
  <si>
    <t>M. K. Čiurlionio g. 84A, Vilniaus m., Vilniaus m. sav.</t>
  </si>
  <si>
    <t>2025-11-24 11:35:21</t>
  </si>
  <si>
    <t>2025-11-24 12:19:41</t>
  </si>
  <si>
    <t>2025-11-24 11:35:22</t>
  </si>
  <si>
    <t>2025-11-24 11:35:23</t>
  </si>
  <si>
    <t>Benykštaičių g. 18, Vilniaus m., Vilniaus m. sav.</t>
  </si>
  <si>
    <t>Šarkų g. 4, Vilniaus m., Vilniaus m. sav.</t>
  </si>
  <si>
    <t>2025-11-24 11:35:34</t>
  </si>
  <si>
    <t>Liongino Baliukevičiaus-Dzūko g. 108, Vilniaus m., Vilniaus m. sav.</t>
  </si>
  <si>
    <t>2025-11-24 11:35:35</t>
  </si>
  <si>
    <t>2025-11-24 11:35:40</t>
  </si>
  <si>
    <t>2025-11-24 11:35:42</t>
  </si>
  <si>
    <t>J. Strumilos g. 38, Vilniaus m., Vilniaus m. sav.</t>
  </si>
  <si>
    <t>2025-11-24 11:35:44</t>
  </si>
  <si>
    <t>2025-11-24 11:35:47</t>
  </si>
  <si>
    <t>2025-11-24 11:36:06</t>
  </si>
  <si>
    <t>2025-11-24 11:36:11</t>
  </si>
  <si>
    <t>Siesikų g. 21, Vilniaus m., Vilniaus m. sav.</t>
  </si>
  <si>
    <t>2025-11-24 11:36:13</t>
  </si>
  <si>
    <t>2025-11-24 11:36:19</t>
  </si>
  <si>
    <t>A. Kojelavičiaus g. 216, Vilniaus m., Vilniaus m. sav.</t>
  </si>
  <si>
    <t>2025-11-24 11:36:25</t>
  </si>
  <si>
    <t>Benykštaičių g. 36-1, Vilniaus m., Vilniaus m. sav.</t>
  </si>
  <si>
    <t>2025-11-24 11:36:26</t>
  </si>
  <si>
    <t>Benykštaičių g. 36-2, Vilniaus m., Vilniaus m. sav.</t>
  </si>
  <si>
    <t>2025-11-24 11:36:27</t>
  </si>
  <si>
    <t>2025-11-24 11:36:28</t>
  </si>
  <si>
    <t>2025-11-24 11:43:12</t>
  </si>
  <si>
    <t>2025-11-24 11:36:29</t>
  </si>
  <si>
    <t>2025-11-24 11:43:13</t>
  </si>
  <si>
    <t>2025-11-24 11:36:31</t>
  </si>
  <si>
    <t>Liongino Baliukevičiaus-Dzūko g. 24-2, Vilniaus m., Vilniaus m. sav.</t>
  </si>
  <si>
    <t>L. Giros g. 18, Vilniaus m., Vilniaus m. sav.</t>
  </si>
  <si>
    <t>M. Mažvydo g. 10, Vilniaus m., Vilniaus m. sav.</t>
  </si>
  <si>
    <t>2025-11-24 11:43:43</t>
  </si>
  <si>
    <t>2025-11-24 11:36:35</t>
  </si>
  <si>
    <t>2025-11-24 11:36:38</t>
  </si>
  <si>
    <t>2025-11-24 11:36:39</t>
  </si>
  <si>
    <t>2025-11-24 12:08:34</t>
  </si>
  <si>
    <t>2025-11-24 11:44:19</t>
  </si>
  <si>
    <t>2025-11-24 11:36:41</t>
  </si>
  <si>
    <t>2025-11-24 11:36:43</t>
  </si>
  <si>
    <t>Ateities g. 55, Vilniaus m., Vilniaus m. sav.</t>
  </si>
  <si>
    <t>2025-11-24 11:36:48</t>
  </si>
  <si>
    <t>J. Strumilos g. 32-1, Vilniaus m., Vilniaus m. sav.</t>
  </si>
  <si>
    <t>2025-11-24 11:36:51</t>
  </si>
  <si>
    <t>Liongino Baliukevičiaus-Dzūko g. 16, Vilniaus m., Vilniaus m. sav.</t>
  </si>
  <si>
    <t>2025-11-24 11:36:53</t>
  </si>
  <si>
    <t>2025-11-24 11:37:03</t>
  </si>
  <si>
    <t>Liongino Baliukevičiaus-Dzūko g. 20, Vilniaus m., Vilniaus m. sav.</t>
  </si>
  <si>
    <t>2025-11-24 11:37:08</t>
  </si>
  <si>
    <t>J. Strumilos g. 36, Vilniaus m., Vilniaus m. sav.</t>
  </si>
  <si>
    <t>2025-11-24 11:37:16</t>
  </si>
  <si>
    <t>S. Stanevičiaus g. 51, Vilniaus m., Vilniaus m. sav.</t>
  </si>
  <si>
    <t>2025-11-24 11:37:20</t>
  </si>
  <si>
    <t>2025-11-24 12:10:37</t>
  </si>
  <si>
    <t>2025-11-24 11:37:26</t>
  </si>
  <si>
    <t>Bitėnų g. 2C, Vilniaus m., Vilniaus m. sav.</t>
  </si>
  <si>
    <t>2025-11-24 11:37:27</t>
  </si>
  <si>
    <t>2025-11-24 11:37:43</t>
  </si>
  <si>
    <t>2025-11-24 11:37:30</t>
  </si>
  <si>
    <t>J. Strumilos g. 34-1, Vilniaus m., Vilniaus m. sav.</t>
  </si>
  <si>
    <t>2025-11-24 11:37:34</t>
  </si>
  <si>
    <t>J. Strumilos g. 34-2, Vilniaus m., Vilniaus m. sav.</t>
  </si>
  <si>
    <t>2025-11-24 11:37:37</t>
  </si>
  <si>
    <t>Peteliškių g. 16, Vilniaus m., Vilniaus m. sav.</t>
  </si>
  <si>
    <t>2025-11-24 11:37:39</t>
  </si>
  <si>
    <t>Ateities g. 53, Vilniaus m., Vilniaus m. sav.</t>
  </si>
  <si>
    <t>2025-11-24 11:37:42</t>
  </si>
  <si>
    <t>Filaretų g. 19, Vilniaus m., Vilniaus m. sav.</t>
  </si>
  <si>
    <t>Iždo g. 11, Vilniaus m., Vilniaus m. sav.</t>
  </si>
  <si>
    <t>2025-11-24 11:37:44</t>
  </si>
  <si>
    <t>2025-11-24 11:37:45</t>
  </si>
  <si>
    <t>Verkių g. 68C, Vilniaus m., Vilniaus m. sav.</t>
  </si>
  <si>
    <t>2025-11-24 11:37:50</t>
  </si>
  <si>
    <t>Žolyno g. 47, Vilniaus m., Vilniaus m. sav.</t>
  </si>
  <si>
    <t>2025-11-24 11:45:41</t>
  </si>
  <si>
    <t>2025-11-24 11:37:53</t>
  </si>
  <si>
    <t>2025-11-24 11:38:09</t>
  </si>
  <si>
    <t>2025-11-24 11:38:14</t>
  </si>
  <si>
    <t>Siesikų g. 13, Vilniaus m., Vilniaus m. sav.</t>
  </si>
  <si>
    <t>2025-11-24 11:38:27</t>
  </si>
  <si>
    <t>2025-11-24 11:38:39</t>
  </si>
  <si>
    <t>2025-11-24 11:38:41</t>
  </si>
  <si>
    <t>2025-11-24 11:38:47</t>
  </si>
  <si>
    <t>2025-11-24 11:38:52</t>
  </si>
  <si>
    <t>2025-11-24 11:38:57</t>
  </si>
  <si>
    <t>Liongino Baliukevičiaus-Dzūko g. 24-1, Vilniaus m., Vilniaus m. sav.</t>
  </si>
  <si>
    <t>2025-11-24 11:38:58</t>
  </si>
  <si>
    <t>2025-11-24 11:39:01</t>
  </si>
  <si>
    <t>J. Strumilos g. 24, Vilniaus m., Vilniaus m. sav.</t>
  </si>
  <si>
    <t>2025-11-24 11:39:07</t>
  </si>
  <si>
    <t>2025-11-24 11:39:12</t>
  </si>
  <si>
    <t>2025-11-24 11:39:15</t>
  </si>
  <si>
    <t>2025-11-24 11:39:18</t>
  </si>
  <si>
    <t>Lazdynėlių g. 65, Vilniaus m., Vilniaus m. sav.</t>
  </si>
  <si>
    <t>2025-11-24 11:39:23</t>
  </si>
  <si>
    <t>J. Strumilos g. 26, Vilniaus m., Vilniaus m. sav.</t>
  </si>
  <si>
    <t>2025-11-24 11:39:27</t>
  </si>
  <si>
    <t>2025-11-24 11:39:30</t>
  </si>
  <si>
    <t>2025-11-24 12:36:05</t>
  </si>
  <si>
    <t>Rinktinės g. 46, Vilniaus m., Vilniaus m. sav.</t>
  </si>
  <si>
    <t>2025-11-24 11:39:34</t>
  </si>
  <si>
    <t>2025-11-24 11:39:39</t>
  </si>
  <si>
    <t>M. Mažvydo g. 3, Vilniaus m., Vilniaus m. sav.</t>
  </si>
  <si>
    <t>2025-11-24 11:43:44</t>
  </si>
  <si>
    <t>2025-11-24 11:39:43</t>
  </si>
  <si>
    <t>Ateities g. 45, Vilniaus m., Vilniaus m. sav.</t>
  </si>
  <si>
    <t>2025-11-24 11:39:56</t>
  </si>
  <si>
    <t>Studentų g. 39, Vilniaus m., Vilniaus m. sav.</t>
  </si>
  <si>
    <t>2025-11-24 11:40:01</t>
  </si>
  <si>
    <t>Upytės g. 10, Vilniaus m., Vilniaus m. sav.</t>
  </si>
  <si>
    <t>2025-11-24 11:40:05</t>
  </si>
  <si>
    <t>2025-11-24 11:40:12</t>
  </si>
  <si>
    <t>Rinktinės g. 16, Vilniaus m., Vilniaus m. sav.</t>
  </si>
  <si>
    <t>2025-11-24 11:40:13</t>
  </si>
  <si>
    <t>Ateities g. 49, Vilniaus m., Vilniaus m. sav.</t>
  </si>
  <si>
    <t>2025-11-24 11:40:14</t>
  </si>
  <si>
    <t>Juozo Kamarausko g. 1B, Vilniaus m., Vilniaus m. sav.</t>
  </si>
  <si>
    <t>2025-11-24 11:40:20</t>
  </si>
  <si>
    <t>2025-11-24 11:40:23</t>
  </si>
  <si>
    <t>2025-11-24 11:40:25</t>
  </si>
  <si>
    <t>Olandų g. 54, Vilniaus m., Vilniaus m. sav.</t>
  </si>
  <si>
    <t>Ateities g. 43, Vilniaus m., Vilniaus m. sav.</t>
  </si>
  <si>
    <t>Ateities g. 47, Vilniaus m., Vilniaus m. sav.</t>
  </si>
  <si>
    <t>2025-11-24 11:40:32</t>
  </si>
  <si>
    <t>Upytės g. 8, Vilniaus m., Vilniaus m. sav.</t>
  </si>
  <si>
    <t>2025-11-24 11:40:41</t>
  </si>
  <si>
    <t>2025-11-24 11:40:45</t>
  </si>
  <si>
    <t>2025-11-24 11:40:46</t>
  </si>
  <si>
    <t>2025-11-24 11:40:48</t>
  </si>
  <si>
    <t>Švyturio g. 3, Vilniaus m., Vilniaus m. sav.</t>
  </si>
  <si>
    <t>2025-11-24 11:40:49</t>
  </si>
  <si>
    <t>Kelmijos Sodų 55-oji g. 7, Vilniaus m., Vilniaus m. sav.</t>
  </si>
  <si>
    <t>2025-11-24 11:40:58</t>
  </si>
  <si>
    <t>Ukmergės g. 298A, Vilniaus m., Vilniaus m. sav.</t>
  </si>
  <si>
    <t>2025-11-24 11:41:01</t>
  </si>
  <si>
    <t>2025-11-24 11:41:14</t>
  </si>
  <si>
    <t>Virbeliškių g. 3, Vilniaus m., Vilniaus m. sav.</t>
  </si>
  <si>
    <t>2025-11-24 11:41:17</t>
  </si>
  <si>
    <t>2025-11-24 11:41:22</t>
  </si>
  <si>
    <t>Ceikinių g. 3, Vilniaus m., Vilniaus m. sav.</t>
  </si>
  <si>
    <t>2025-11-24 11:41:24</t>
  </si>
  <si>
    <t>Polocko g. 56, Vilniaus m., Vilniaus m. sav.</t>
  </si>
  <si>
    <t>2025-11-24 11:41:26</t>
  </si>
  <si>
    <t>Salotės g. 59, Vilniaus m., Vilniaus m. sav.</t>
  </si>
  <si>
    <t>2025-11-24 11:43:42</t>
  </si>
  <si>
    <t>2025-11-24 11:41:31</t>
  </si>
  <si>
    <t>2025-11-24 11:41:32</t>
  </si>
  <si>
    <t>Polocko g. 48, Vilniaus m., Vilniaus m. sav.</t>
  </si>
  <si>
    <t>S. Stanevičiaus g. 55, Vilniaus m., Vilniaus m. sav.</t>
  </si>
  <si>
    <t>2025-11-24 11:41:40</t>
  </si>
  <si>
    <t>J. Tiškevičiaus g. 22, Vilniaus m., Vilniaus m. sav.</t>
  </si>
  <si>
    <t>2025-11-24 11:41:41</t>
  </si>
  <si>
    <t>Terminalo g. 6, Vilniaus m., Vilniaus m. sav.</t>
  </si>
  <si>
    <t>2025-11-24 11:41:47</t>
  </si>
  <si>
    <t>Želvos g. 30-1, Vilniaus m., Vilniaus m. sav.</t>
  </si>
  <si>
    <t>Nepravažiuojamas keliasNukopijuota į maršrutą nr. 300306 vartotojo Valytė Dremeikienė.</t>
  </si>
  <si>
    <t>2025-11-24 11:41:51</t>
  </si>
  <si>
    <t>2025-11-24 11:41:49</t>
  </si>
  <si>
    <t>Ateities g. 41, Vilniaus m., Vilniaus m. sav.</t>
  </si>
  <si>
    <t>J. Strumilos g. 22, Vilniaus m., Vilniaus m. sav.</t>
  </si>
  <si>
    <t>2025-11-24 11:42:03</t>
  </si>
  <si>
    <t>Želvos g. 44, Vilniaus m., Vilniaus m. sav.</t>
  </si>
  <si>
    <t>2025-11-24 11:42:07</t>
  </si>
  <si>
    <t>2025-11-24 11:42:04</t>
  </si>
  <si>
    <t>2025-11-24 12:08:35</t>
  </si>
  <si>
    <t>Stepono Batoro g. 12, Vilniaus m., Vilniaus m. sav.</t>
  </si>
  <si>
    <t>2025-11-24 11:42:09</t>
  </si>
  <si>
    <t>2025-11-24 11:42:11</t>
  </si>
  <si>
    <t>2025-11-24 11:42:12</t>
  </si>
  <si>
    <t>Juozo Kamarausko g. 1C, Vilniaus m., Vilniaus m. sav.</t>
  </si>
  <si>
    <t>2025-11-24 11:43:37</t>
  </si>
  <si>
    <t>Priegliaus g. 5, Vilniaus m., Vilniaus m. sav.</t>
  </si>
  <si>
    <t>2025-11-24 11:42:17</t>
  </si>
  <si>
    <t>2025-11-24 12:10:40</t>
  </si>
  <si>
    <t>2025-11-24 11:42:18</t>
  </si>
  <si>
    <t>Stepono Batoro g. 14-2, Vilniaus m., Vilniaus m. sav.</t>
  </si>
  <si>
    <t>2025-11-24 11:44:52</t>
  </si>
  <si>
    <t>2025-11-24 11:42:23</t>
  </si>
  <si>
    <t>2025-11-24 11:42:26</t>
  </si>
  <si>
    <t>Rinktinės g. 38C, Vilniaus m., Vilniaus m. sav.</t>
  </si>
  <si>
    <t>2025-11-24 11:42:31</t>
  </si>
  <si>
    <t>Lazdynėlių g. 32A, Vilniaus m., Vilniaus m. sav.</t>
  </si>
  <si>
    <t>2025-11-24 11:42:37</t>
  </si>
  <si>
    <t>2025-11-24 11:42:38</t>
  </si>
  <si>
    <t>A. Juozapavičiaus g. 12, Vilniaus m., Vilniaus m. sav.</t>
  </si>
  <si>
    <t>2025-11-24 11:42:41</t>
  </si>
  <si>
    <t>2025-11-24 11:42:42</t>
  </si>
  <si>
    <t>2025-11-24 11:42:59</t>
  </si>
  <si>
    <t>Ateities g. 39, Vilniaus m., Vilniaus m. sav.</t>
  </si>
  <si>
    <t>2025-11-24 11:43:01</t>
  </si>
  <si>
    <t>Ateities g. 35, Vilniaus m., Vilniaus m. sav.</t>
  </si>
  <si>
    <t>A. Kojelavičiaus g. 1, Vilniaus m., Vilniaus m. sav.</t>
  </si>
  <si>
    <t>2025-11-24 11:53:19</t>
  </si>
  <si>
    <t>Savanorių pr. 7, Vilniaus m., Vilniaus m. sav.</t>
  </si>
  <si>
    <t>2025-11-24 11:43:17</t>
  </si>
  <si>
    <t>2025-11-24 11:43:20</t>
  </si>
  <si>
    <t>Želvos g. 11A, Vilniaus m., Vilniaus m. sav.</t>
  </si>
  <si>
    <t>2025-11-24 11:43:24</t>
  </si>
  <si>
    <t>2025-11-24 11:43:28</t>
  </si>
  <si>
    <t>2025-11-24 11:43:39</t>
  </si>
  <si>
    <t>Filaretų g. 61A, Vilniaus m., Vilniaus m. sav.</t>
  </si>
  <si>
    <t>Salotės g. 27, Vilniaus m., Vilniaus m. sav.</t>
  </si>
  <si>
    <t>2025-11-24 11:52:39</t>
  </si>
  <si>
    <t>2025-11-24 11:43:52</t>
  </si>
  <si>
    <t>2025-11-24 11:43:53</t>
  </si>
  <si>
    <t>Tuščias konteineris</t>
  </si>
  <si>
    <t>Ateities g. 35A, Vilniaus m., Vilniaus m. sav.</t>
  </si>
  <si>
    <t>2025-11-24 11:43:54</t>
  </si>
  <si>
    <t>Benykštaičių g. 60, Vilniaus m., Vilniaus m. sav.</t>
  </si>
  <si>
    <t>2025-11-24 11:52:09</t>
  </si>
  <si>
    <t>2025-11-24 11:43:59</t>
  </si>
  <si>
    <t>2025-11-24 11:44:03</t>
  </si>
  <si>
    <t>2025-11-24 11:44:07</t>
  </si>
  <si>
    <t>2025-11-24 11:44:09</t>
  </si>
  <si>
    <t>2025-11-24 11:44:29</t>
  </si>
  <si>
    <t>2025-11-24 11:44:41</t>
  </si>
  <si>
    <t>Kareivių g. 16, Vilniaus m., Vilniaus m. sav.</t>
  </si>
  <si>
    <t>2025-11-24 11:44:43</t>
  </si>
  <si>
    <t>Rinktinės g. 13, Vilniaus m., Vilniaus m. sav.</t>
  </si>
  <si>
    <t>2025-11-24 11:44:54</t>
  </si>
  <si>
    <t>Ukmergės g. 373, Vilniaus m., Vilniaus m. sav.</t>
  </si>
  <si>
    <t>2025-11-24 11:44:57</t>
  </si>
  <si>
    <t>Terminalo g. 12, Vilniaus m., Vilniaus m. sav.</t>
  </si>
  <si>
    <t>2025-11-24 11:45:00</t>
  </si>
  <si>
    <t>2025-11-24 11:45:06</t>
  </si>
  <si>
    <t>M. Mažvydo g. 1, Vilniaus m., Vilniaus m. sav.</t>
  </si>
  <si>
    <t>2025-11-24 11:45:07</t>
  </si>
  <si>
    <t>2025-11-24 11:45:13</t>
  </si>
  <si>
    <t>2025-11-24 11:45:15</t>
  </si>
  <si>
    <t>2025-11-24 11:45:26</t>
  </si>
  <si>
    <t>Bitėnų g. 12, Vilniaus m., Vilniaus m. sav.</t>
  </si>
  <si>
    <t>2025-11-24 11:52:40</t>
  </si>
  <si>
    <t>2025-11-24 11:45:30</t>
  </si>
  <si>
    <t>Žolyno g. 22, Vilniaus m., Vilniaus m. sav.</t>
  </si>
  <si>
    <t>2025-11-24 11:56:27</t>
  </si>
  <si>
    <t>Peteliškių g. 32, Vilniaus m., Vilniaus m. sav.</t>
  </si>
  <si>
    <t>2025-11-24 11:45:46</t>
  </si>
  <si>
    <t>2025-11-24 11:45:53</t>
  </si>
  <si>
    <t>2025-11-24 12:36:06</t>
  </si>
  <si>
    <t>2025-11-24 11:45:55</t>
  </si>
  <si>
    <t>2025-11-24 11:45:59</t>
  </si>
  <si>
    <t>2025-11-24 11:46:01</t>
  </si>
  <si>
    <t>2025-11-24 11:46:03</t>
  </si>
  <si>
    <t>Meistrų g. 16, Vilniaus m., Vilniaus m. sav.</t>
  </si>
  <si>
    <t>2025-11-24 11:46:10</t>
  </si>
  <si>
    <t>2025-11-24 11:46:11</t>
  </si>
  <si>
    <t>Bitėnų g. 10, Vilniaus m., Vilniaus m. sav.</t>
  </si>
  <si>
    <t>2025-11-24 11:52:41</t>
  </si>
  <si>
    <t>2025-11-24 11:46:38</t>
  </si>
  <si>
    <t>2025-11-24 12:39:49</t>
  </si>
  <si>
    <t>Virbeliškių g. 7, Vilniaus m., Vilniaus m. sav.</t>
  </si>
  <si>
    <t>2025-11-24 11:46:47</t>
  </si>
  <si>
    <t>2025-11-24 12:04:21</t>
  </si>
  <si>
    <t>Lazdynėlių g. 38B, Vilniaus m., Vilniaus m. sav.</t>
  </si>
  <si>
    <t>2025-11-24 11:52:01</t>
  </si>
  <si>
    <t>2025-11-24 11:46:48</t>
  </si>
  <si>
    <t>2025-11-24 11:53:57</t>
  </si>
  <si>
    <t>2025-11-24 11:46:54</t>
  </si>
  <si>
    <t>2025-11-24 11:53:58</t>
  </si>
  <si>
    <t>2025-11-24 12:04:57</t>
  </si>
  <si>
    <t>2025-11-24 11:47:00</t>
  </si>
  <si>
    <t>Kelmijos Sodų 57-oji g. 23, Vilniaus m., Vilniaus m. sav.</t>
  </si>
  <si>
    <t>2025-11-24 11:47:01</t>
  </si>
  <si>
    <t>Smėlio g. 9, Vilniaus m., Vilniaus m. sav.</t>
  </si>
  <si>
    <t>2025-11-24 11:47:08</t>
  </si>
  <si>
    <t>Bitėnų g. 8, Vilniaus m., Vilniaus m. sav.</t>
  </si>
  <si>
    <t>2025-11-24 11:47:12</t>
  </si>
  <si>
    <t>2025-11-24 11:47:21</t>
  </si>
  <si>
    <t>M. Bukšos g. 10, Vilniaus m., Vilniaus m. sav.</t>
  </si>
  <si>
    <t>2025-11-24 11:47:23</t>
  </si>
  <si>
    <t>2025-11-24 11:47:26</t>
  </si>
  <si>
    <t>2025-11-24 11:47:35</t>
  </si>
  <si>
    <t>2025-11-24 11:47:36</t>
  </si>
  <si>
    <t>2025-11-24 11:47:41</t>
  </si>
  <si>
    <t>2025-11-24 11:54:00</t>
  </si>
  <si>
    <t>2025-11-24 11:47:44</t>
  </si>
  <si>
    <t>2025-11-24 11:47:47</t>
  </si>
  <si>
    <t>Žirmūnų g. 111, Vilniaus m., Vilniaus m. sav.</t>
  </si>
  <si>
    <t>2025-11-24 11:47:51</t>
  </si>
  <si>
    <t>2025-11-24 11:48:00</t>
  </si>
  <si>
    <t>2025-11-24 11:48:16</t>
  </si>
  <si>
    <t>2025-11-24 11:48:10</t>
  </si>
  <si>
    <t>Gailašių g. 2-2, Vilniaus m., Vilniaus m. sav.</t>
  </si>
  <si>
    <t>2025-11-24 11:48:20</t>
  </si>
  <si>
    <t>Peteliškių g. 36, Vilniaus m., Vilniaus m. sav.</t>
  </si>
  <si>
    <t>Visorių g. 6A, Vilniaus m., Vilniaus m. sav.</t>
  </si>
  <si>
    <t>2025-11-24 11:48:25</t>
  </si>
  <si>
    <t>2025-11-24 11:48:26</t>
  </si>
  <si>
    <t>2025-11-24 11:48:28</t>
  </si>
  <si>
    <t>2025-11-24 11:48:29</t>
  </si>
  <si>
    <t>Meistrų g. 13, Vilniaus m., Vilniaus m. sav.</t>
  </si>
  <si>
    <t>Rinktinės g. 19, Vilniaus m., Vilniaus m. sav.</t>
  </si>
  <si>
    <t>2025-11-24 11:48:30</t>
  </si>
  <si>
    <t>2025-11-24 11:48:36</t>
  </si>
  <si>
    <t>Gailašių g. 2, Vilniaus m., Vilniaus m. sav.</t>
  </si>
  <si>
    <t>2025-11-24 11:48:39</t>
  </si>
  <si>
    <t>2025-11-24 11:48:40</t>
  </si>
  <si>
    <t>Bitėnų g. 6, Vilniaus m., Vilniaus m. sav.</t>
  </si>
  <si>
    <t>2025-11-24 11:52:45</t>
  </si>
  <si>
    <t>2025-11-24 11:48:41</t>
  </si>
  <si>
    <t>2025-11-24 11:48:44</t>
  </si>
  <si>
    <t>M. K. Paco g. 5, Vilniaus m., Vilniaus m. sav.</t>
  </si>
  <si>
    <t>2025-11-24 11:48:45</t>
  </si>
  <si>
    <t>M. Mažvydo g. 8, Vilniaus m., Vilniaus m. sav.</t>
  </si>
  <si>
    <t>2025-11-24 11:48:46</t>
  </si>
  <si>
    <t>2025-11-24 11:48:48</t>
  </si>
  <si>
    <t>M. Mažvydo g. 6A, Vilniaus m., Vilniaus m. sav.</t>
  </si>
  <si>
    <t>2025-11-24 11:52:51</t>
  </si>
  <si>
    <t>2025-11-24 11:48:53</t>
  </si>
  <si>
    <t>2025-11-24 11:48:56</t>
  </si>
  <si>
    <t>2025-11-24 11:49:00</t>
  </si>
  <si>
    <t>Filaretų g. 113B, Vilniaus m., Vilniaus m. sav.</t>
  </si>
  <si>
    <t>2025-11-24 11:53:20</t>
  </si>
  <si>
    <t>2025-11-24 11:49:01</t>
  </si>
  <si>
    <t>Bitėnų g. 4, Vilniaus m., Vilniaus m. sav.</t>
  </si>
  <si>
    <t>Lazdynėlių g. 38, Vilniaus m., Vilniaus m. sav.</t>
  </si>
  <si>
    <t>2025-11-24 11:49:07</t>
  </si>
  <si>
    <t>2025-11-24 11:49:10</t>
  </si>
  <si>
    <t>2025-11-24 11:49:13</t>
  </si>
  <si>
    <t>Žirmūnų g. 76, Vilniaus m., Vilniaus m. sav.</t>
  </si>
  <si>
    <t>Virbeliškių g. 5, Vilniaus m., Vilniaus m. sav.</t>
  </si>
  <si>
    <t>2025-11-24 11:49:16</t>
  </si>
  <si>
    <t>Peteliškių g. 38, Vilniaus m., Vilniaus m. sav.</t>
  </si>
  <si>
    <t>2025-11-24 11:49:21</t>
  </si>
  <si>
    <t>2025-11-24 11:54:06</t>
  </si>
  <si>
    <t>2025-11-24 11:49:25</t>
  </si>
  <si>
    <t>Kelmijos Sodų 2-oji g. 19, Vilniaus m., Vilniaus m. sav.</t>
  </si>
  <si>
    <t>2025-11-24 11:49:37</t>
  </si>
  <si>
    <t>2025-11-24 11:49:32</t>
  </si>
  <si>
    <t>Gailašių g. 4B, Vilniaus m., Vilniaus m. sav.</t>
  </si>
  <si>
    <t>2025-11-24 11:49:36</t>
  </si>
  <si>
    <t>2025-11-24 11:49:39</t>
  </si>
  <si>
    <t>2025-11-24 11:52:25</t>
  </si>
  <si>
    <t>2025-11-24 11:49:43</t>
  </si>
  <si>
    <t>2025-11-24 11:49:47</t>
  </si>
  <si>
    <t>2025-11-24 11:49:51</t>
  </si>
  <si>
    <t>Kelmijos Sodų 2-oji g. 16, Vilniaus m., Vilniaus m. sav.</t>
  </si>
  <si>
    <t>2025-11-24 11:50:06</t>
  </si>
  <si>
    <t>2025-11-24 11:50:02</t>
  </si>
  <si>
    <t>Vandentiekio g. 60, Vilniaus m., Vilniaus m. sav.</t>
  </si>
  <si>
    <t>2025-11-24 11:50:03</t>
  </si>
  <si>
    <t>Gailašių g. 4A, Vilniaus m., Vilniaus m. sav.</t>
  </si>
  <si>
    <t>2025-11-24 11:50:05</t>
  </si>
  <si>
    <t>2025-11-24 12:41:02</t>
  </si>
  <si>
    <t>Kelmijos Sodų 86-oji g. 4, Vilniaus m., Vilniaus m. sav.</t>
  </si>
  <si>
    <t>2025-11-24 11:50:08</t>
  </si>
  <si>
    <t>2025-11-24 11:50:12</t>
  </si>
  <si>
    <t>2025-11-24 11:50:13</t>
  </si>
  <si>
    <t>Gailašių g. 6, Vilniaus m., Vilniaus m. sav.</t>
  </si>
  <si>
    <t>2025-11-24 11:50:15</t>
  </si>
  <si>
    <t>Rinktinės g. 5, Vilniaus m., Vilniaus m. sav.</t>
  </si>
  <si>
    <t>Kelmijos Sodų 2-oji g. 3, Vilniaus m., Vilniaus m. sav.</t>
  </si>
  <si>
    <t>2025-11-24 11:50:17</t>
  </si>
  <si>
    <t>2025-11-24 11:52:29</t>
  </si>
  <si>
    <t>2025-11-24 11:50:18</t>
  </si>
  <si>
    <t>Peteliškių g. 42-1, Vilniaus m., Vilniaus m. sav.</t>
  </si>
  <si>
    <t>2025-11-24 11:50:19</t>
  </si>
  <si>
    <t>2025-11-24 11:50:20</t>
  </si>
  <si>
    <t>2025-11-24 11:52:30</t>
  </si>
  <si>
    <t>2025-11-24 11:50:21</t>
  </si>
  <si>
    <t>2025-11-24 11:50:28</t>
  </si>
  <si>
    <t>Peteliškių g. 42-2, Vilniaus m., Vilniaus m. sav.</t>
  </si>
  <si>
    <t>2025-11-24 11:50:31</t>
  </si>
  <si>
    <t>Antakalnio g. 49, Vilniaus m., Vilniaus m. sav.</t>
  </si>
  <si>
    <t>2025-11-24 11:50:32</t>
  </si>
  <si>
    <t>2025-11-24 11:50:33</t>
  </si>
  <si>
    <t>Kelmijos Sodų 2-oji g. 11, Vilniaus m., Vilniaus m. sav.</t>
  </si>
  <si>
    <t>2025-11-24 11:50:34</t>
  </si>
  <si>
    <t>J. Franko g. 14, Vilniaus m., Vilniaus m. sav.</t>
  </si>
  <si>
    <t>2025-11-24 11:50:38</t>
  </si>
  <si>
    <t>2025-11-24 11:54:11</t>
  </si>
  <si>
    <t>2025-11-24 11:50:44</t>
  </si>
  <si>
    <t>Gailašių g. 8, Vilniaus m., Vilniaus m. sav.</t>
  </si>
  <si>
    <t>2025-11-24 11:50:47</t>
  </si>
  <si>
    <t>2025-11-24 11:50:54</t>
  </si>
  <si>
    <t>2025-11-24 11:50:55</t>
  </si>
  <si>
    <t>Kelmijos Sodų 2-oji g. 10, Vilniaus m., Vilniaus m. sav.</t>
  </si>
  <si>
    <t>2025-11-24 11:51:01</t>
  </si>
  <si>
    <t>2025-11-24 12:04:24</t>
  </si>
  <si>
    <t>2025-11-24 11:51:07</t>
  </si>
  <si>
    <t>2025-11-24 11:51:08</t>
  </si>
  <si>
    <t>Kelmijos Sodų 2-oji g. 8, Vilniaus m., Vilniaus m. sav.</t>
  </si>
  <si>
    <t>2025-11-24 11:52:00</t>
  </si>
  <si>
    <t>2025-11-24 11:51:09</t>
  </si>
  <si>
    <t>2025-11-24 11:51:22</t>
  </si>
  <si>
    <t>Kelmijos Sodų 2-oji g. 9, Vilniaus m., Vilniaus m. sav.</t>
  </si>
  <si>
    <t>2025-11-24 11:51:24</t>
  </si>
  <si>
    <t>Gailašių g. 10, Vilniaus m., Vilniaus m. sav.</t>
  </si>
  <si>
    <t>2025-11-24 11:52:36</t>
  </si>
  <si>
    <t>2025-11-24 11:51:29</t>
  </si>
  <si>
    <t>2025-11-24 12:36:07</t>
  </si>
  <si>
    <t>Krivių g. 54, Vilniaus m., Vilniaus m. sav.</t>
  </si>
  <si>
    <t>2025-11-24 11:51:41</t>
  </si>
  <si>
    <t>2025-11-24 11:52:38</t>
  </si>
  <si>
    <t>2025-11-24 11:51:43</t>
  </si>
  <si>
    <t>Peteliškių g. 48, Vilniaus m., Vilniaus m. sav.</t>
  </si>
  <si>
    <t>2025-11-24 11:54:15</t>
  </si>
  <si>
    <t>2025-11-24 11:51:47</t>
  </si>
  <si>
    <t>2025-11-24 11:51:48</t>
  </si>
  <si>
    <t>Visorių Sodų 4-oji g. 7-2, Vilniaus m., Vilniaus m. sav.</t>
  </si>
  <si>
    <t>2025-11-24 11:51:50</t>
  </si>
  <si>
    <t>2025-11-24 11:54:18</t>
  </si>
  <si>
    <t>Gailašių g. 12, Vilniaus m., Vilniaus m. sav.</t>
  </si>
  <si>
    <t>Krivių g. 53A, Vilniaus m., Vilniaus m. sav.</t>
  </si>
  <si>
    <t>2025-11-24 11:52:04</t>
  </si>
  <si>
    <t>2025-11-24 11:52:06</t>
  </si>
  <si>
    <t>Žirmūnų g. 121, Vilniaus m., Vilniaus m. sav.</t>
  </si>
  <si>
    <t>Grigalaukio g. 34, Vilniaus m., Vilniaus m. sav.</t>
  </si>
  <si>
    <t>2025-11-24 12:01:38</t>
  </si>
  <si>
    <t>Gailašių g. 14-2, Vilniaus m., Vilniaus m. sav.</t>
  </si>
  <si>
    <t>2025-11-24 12:01:41</t>
  </si>
  <si>
    <t>2025-11-24 12:01:44</t>
  </si>
  <si>
    <t>2025-11-24 12:08:42</t>
  </si>
  <si>
    <t>Filaretų g. 46, Vilniaus m., Vilniaus m. sav.</t>
  </si>
  <si>
    <t>Krivių g. 50, Vilniaus m., Vilniaus m. sav.</t>
  </si>
  <si>
    <t>2025-11-24 11:52:42</t>
  </si>
  <si>
    <t>Visorių sodų 4-oji g. 10, Vilniaus m., Vilniaus m. sav.</t>
  </si>
  <si>
    <t>Filaretų g. 48-2, Vilniaus m., Vilniaus m. sav.</t>
  </si>
  <si>
    <t>2025-11-24 11:52:54</t>
  </si>
  <si>
    <t>2025-11-24 11:52:55</t>
  </si>
  <si>
    <t>2025-11-24 11:52:57</t>
  </si>
  <si>
    <t>Gailašių g. 14-1, Vilniaus m., Vilniaus m. sav.</t>
  </si>
  <si>
    <t>Senasis Gardino pl. 30, Vilniaus m., Vilniaus m. sav.</t>
  </si>
  <si>
    <t>2025-11-24 11:52:58</t>
  </si>
  <si>
    <t>2025-11-24 11:53:01</t>
  </si>
  <si>
    <t>Filaretų g. 61, Vilniaus m., Vilniaus m. sav.</t>
  </si>
  <si>
    <t>2025-11-24 11:53:07</t>
  </si>
  <si>
    <t>2025-11-24 11:53:09</t>
  </si>
  <si>
    <t>M. Mažvydo g. 4, Vilniaus m., Vilniaus m. sav.</t>
  </si>
  <si>
    <t>2025-11-24 11:53:10</t>
  </si>
  <si>
    <t>Antakalnio g. 71, Vilniaus m., Vilniaus m. sav.</t>
  </si>
  <si>
    <t>2025-11-24 11:53:12</t>
  </si>
  <si>
    <t>2025-11-24 11:53:13</t>
  </si>
  <si>
    <t>Žaibo g. 15, Vilniaus m., Vilniaus m. sav.</t>
  </si>
  <si>
    <t>2025-11-24 12:01:30</t>
  </si>
  <si>
    <t>2025-11-24 11:53:14</t>
  </si>
  <si>
    <t>2025-11-24 12:03:30</t>
  </si>
  <si>
    <t>2025-11-24 11:53:17</t>
  </si>
  <si>
    <t>J. Franko g. 8, Vilniaus m., Vilniaus m. sav.</t>
  </si>
  <si>
    <t>2025-11-24 11:53:26</t>
  </si>
  <si>
    <t>Mildos g. 5, Vilniaus m., Vilniaus m. sav.</t>
  </si>
  <si>
    <t>2025-11-24 11:53:27</t>
  </si>
  <si>
    <t>Krokuvos g. 5, Vilniaus m., Vilniaus m. sav.</t>
  </si>
  <si>
    <t>2025-11-24 11:53:29</t>
  </si>
  <si>
    <t>2025-11-24 11:53:32</t>
  </si>
  <si>
    <t>Gailašių g. 16-1, Vilniaus m., Vilniaus m. sav.</t>
  </si>
  <si>
    <t>2025-11-24 11:53:34</t>
  </si>
  <si>
    <t>2025-11-24 11:53:35</t>
  </si>
  <si>
    <t>Kelmijos Sodų 1-oji g. 6, Vilniaus m., Vilniaus m. sav.</t>
  </si>
  <si>
    <t>2025-11-24 11:53:37</t>
  </si>
  <si>
    <t>2025-11-24 11:53:38</t>
  </si>
  <si>
    <t>Gailašių g. 16-2, Vilniaus m., Vilniaus m. sav.</t>
  </si>
  <si>
    <t>2025-11-24 11:53:46</t>
  </si>
  <si>
    <t>2025-11-24 11:53:52</t>
  </si>
  <si>
    <t>Nadruvos g. 13, Vilniaus m., Vilniaus m. sav.</t>
  </si>
  <si>
    <t>2025-11-24 12:02:30</t>
  </si>
  <si>
    <t>2025-11-24 11:53:53</t>
  </si>
  <si>
    <t>Kelmijos Sodų 1-oji g. 18, Vilniaus m., Vilniaus m. sav.</t>
  </si>
  <si>
    <t>Filaretų g. 63, Vilniaus m., Vilniaus m. sav.</t>
  </si>
  <si>
    <t>Kelmijos Sodų 1-oji g. 16, Vilniaus m., Vilniaus m. sav.</t>
  </si>
  <si>
    <t>2025-11-24 11:57:08</t>
  </si>
  <si>
    <t>2025-11-24 12:02:06</t>
  </si>
  <si>
    <t>2025-11-24 11:54:09</t>
  </si>
  <si>
    <t>Meistrų g. 9, Vilniaus m., Vilniaus m. sav.</t>
  </si>
  <si>
    <t>2025-11-24 11:54:17</t>
  </si>
  <si>
    <t>Kelmijos Sodų 3-ioji g. 10, Vilniaus m., Vilniaus m. sav.</t>
  </si>
  <si>
    <t>2025-11-24 11:54:22</t>
  </si>
  <si>
    <t>Lyglaukių g. 22, Vilniaus m., Vilniaus m. sav.</t>
  </si>
  <si>
    <t>2025-11-24 12:02:54</t>
  </si>
  <si>
    <t>2025-11-24 11:54:23</t>
  </si>
  <si>
    <t>Kelmijos Sodų 3-ioji g. 2, Vilniaus m., Vilniaus m. sav.</t>
  </si>
  <si>
    <t>Filaretų g. 50, Vilniaus m., Vilniaus m. sav.</t>
  </si>
  <si>
    <t>2025-11-24 11:54:25</t>
  </si>
  <si>
    <t>2025-11-24 11:54:27</t>
  </si>
  <si>
    <t>Rinktinės g. 3, Vilniaus m., Vilniaus m. sav.</t>
  </si>
  <si>
    <t>2025-11-24 11:54:28</t>
  </si>
  <si>
    <t>2025-11-24 11:54:29</t>
  </si>
  <si>
    <t>Kelmijos Sodų 3-ioji g. 5, Vilniaus m., Vilniaus m. sav.</t>
  </si>
  <si>
    <t>2025-11-24 12:05:15</t>
  </si>
  <si>
    <t>2025-11-24 11:54:32</t>
  </si>
  <si>
    <t>Žirmūnų g. 123, Vilniaus m., Vilniaus m. sav.</t>
  </si>
  <si>
    <t>2025-11-24 11:54:33</t>
  </si>
  <si>
    <t>2025-11-24 11:54:34</t>
  </si>
  <si>
    <t>Gailašių g. 18, Vilniaus m., Vilniaus m. sav.</t>
  </si>
  <si>
    <t>2025-11-24 12:02:07</t>
  </si>
  <si>
    <t>J. Franko g. 2, Vilniaus m., Vilniaus m. sav.</t>
  </si>
  <si>
    <t>2025-11-24 11:54:35</t>
  </si>
  <si>
    <t>Kelmijos Sodų 3-ioji g. 6, Vilniaus m., Vilniaus m. sav.</t>
  </si>
  <si>
    <t>2025-11-24 11:57:14</t>
  </si>
  <si>
    <t>2025-11-24 11:54:39</t>
  </si>
  <si>
    <t>2025-11-24 11:54:41</t>
  </si>
  <si>
    <t>Kelmijos Sodų 4-oji g. 2, Vilniaus m., Vilniaus m. sav.</t>
  </si>
  <si>
    <t>2025-11-24 11:54:47</t>
  </si>
  <si>
    <t>Krivių g. 28, Vilniaus m., Vilniaus m. sav.</t>
  </si>
  <si>
    <t>Kelmijos Sodų 4-oji g. 5, Vilniaus m., Vilniaus m. sav.</t>
  </si>
  <si>
    <t>2025-11-24 11:57:17</t>
  </si>
  <si>
    <t>2025-11-24 11:54:48</t>
  </si>
  <si>
    <t>2025-11-24 11:54:52</t>
  </si>
  <si>
    <t>2025-11-24 11:55:05</t>
  </si>
  <si>
    <t>Krivių g. 26, Vilniaus m., Vilniaus m. sav.</t>
  </si>
  <si>
    <t>2025-11-24 11:55:06</t>
  </si>
  <si>
    <t>2025-11-24 11:55:10</t>
  </si>
  <si>
    <t>2025-11-24 11:55:11</t>
  </si>
  <si>
    <t>Kelmijos Sodų 5-oji g. 9, Vilniaus m., Vilniaus m. sav.</t>
  </si>
  <si>
    <t>2025-11-24 11:55:12</t>
  </si>
  <si>
    <t>2025-11-24 11:55:16</t>
  </si>
  <si>
    <t>2025-11-24 11:55:20</t>
  </si>
  <si>
    <t>Gailašių g. 20B-2, Vilniaus m., Vilniaus m. sav.</t>
  </si>
  <si>
    <t>2025-11-24 11:55:21</t>
  </si>
  <si>
    <t>Kelmijos Sodų 5-oji g. 1, Vilniaus m., Vilniaus m. sav.</t>
  </si>
  <si>
    <t>2025-11-24 11:55:22</t>
  </si>
  <si>
    <t>2025-11-24 11:55:26</t>
  </si>
  <si>
    <t>Gailašių g. 20a-1, Vilniaus m., Vilniaus m. sav.</t>
  </si>
  <si>
    <t>Grigalaukio g. 22, Vilniaus m., Vilniaus m. sav.</t>
  </si>
  <si>
    <t>2025-11-24 11:55:28</t>
  </si>
  <si>
    <t>2025-11-24 11:55:29</t>
  </si>
  <si>
    <t>Nadruvos g. 15, Vilniaus m., Vilniaus m. sav.</t>
  </si>
  <si>
    <t>2025-11-24 12:02:32</t>
  </si>
  <si>
    <t>2025-11-24 11:55:31</t>
  </si>
  <si>
    <t>Gailašių g. 20-1, Vilniaus m., Vilniaus m. sav.</t>
  </si>
  <si>
    <t>2025-11-24 12:02:15</t>
  </si>
  <si>
    <t>2025-11-24 11:55:32</t>
  </si>
  <si>
    <t>2025-11-24 11:55:33</t>
  </si>
  <si>
    <t>Kelmijos Sodų 4-oji g. 3, Vilniaus m., Vilniaus m. sav.</t>
  </si>
  <si>
    <t>2025-11-24 11:55:41</t>
  </si>
  <si>
    <t>2025-11-24 12:02:16</t>
  </si>
  <si>
    <t>2025-11-24 11:55:47</t>
  </si>
  <si>
    <t>Krokuvos g. 17A, Vilniaus m., Vilniaus m. sav.</t>
  </si>
  <si>
    <t>2025-11-24 11:55:50</t>
  </si>
  <si>
    <t>2025-11-24 11:55:51</t>
  </si>
  <si>
    <t>Filaretų g. 65, Vilniaus m., Vilniaus m. sav.</t>
  </si>
  <si>
    <t>2025-11-24 11:55:52</t>
  </si>
  <si>
    <t>2025-11-24 11:55:56</t>
  </si>
  <si>
    <t>2025-11-24 12:05:20</t>
  </si>
  <si>
    <t>2025-11-24 11:56:04</t>
  </si>
  <si>
    <t>2025-11-24 12:02:17</t>
  </si>
  <si>
    <t>2025-11-24 11:56:05</t>
  </si>
  <si>
    <t>2025-11-24 11:56:06</t>
  </si>
  <si>
    <t>V. Grybo g. 41B, Vilniaus m., Vilniaus m. sav.</t>
  </si>
  <si>
    <t>2025-11-24 11:56:12</t>
  </si>
  <si>
    <t>2025-11-24 11:56:16</t>
  </si>
  <si>
    <t>2025-11-24 11:56:17</t>
  </si>
  <si>
    <t>Gailašių g. 20-2, Vilniaus m., Vilniaus m. sav.</t>
  </si>
  <si>
    <t>2025-11-24 12:02:21</t>
  </si>
  <si>
    <t>2025-11-24 11:56:21</t>
  </si>
  <si>
    <t>Kelmijos Sodų 6-oji g. 3, Vilniaus m., Vilniaus m. sav.</t>
  </si>
  <si>
    <t>2025-11-24 11:56:26</t>
  </si>
  <si>
    <t>Kelmijos Sodų 6-oji g. 13, Vilniaus m., Vilniaus m. sav.</t>
  </si>
  <si>
    <t>2025-11-24 12:02:22</t>
  </si>
  <si>
    <t>2025-11-24 11:56:28</t>
  </si>
  <si>
    <t>2025-11-24 11:56:31</t>
  </si>
  <si>
    <t>Kelmijos Sodų 6-oji g. 6, Vilniaus m., Vilniaus m. sav.</t>
  </si>
  <si>
    <t>2025-11-24 11:56:33</t>
  </si>
  <si>
    <t>2025-11-24 11:56:34</t>
  </si>
  <si>
    <t>2025-11-24 11:56:35</t>
  </si>
  <si>
    <t>2025-11-24 13:59:08</t>
  </si>
  <si>
    <t>Nadruvos g. 16, Vilniaus m., Vilniaus m. sav.</t>
  </si>
  <si>
    <t>2025-11-24 11:56:37</t>
  </si>
  <si>
    <t>2025-11-24 12:04:54</t>
  </si>
  <si>
    <t>Kelmijos Sodų 6-oji g. 1, Vilniaus m., Vilniaus m. sav.</t>
  </si>
  <si>
    <t>2025-11-24 11:56:42</t>
  </si>
  <si>
    <t>M. Mažvydo g. 2, Vilniaus m., Vilniaus m. sav.</t>
  </si>
  <si>
    <t>2025-11-24 12:02:39</t>
  </si>
  <si>
    <t>2025-11-24 11:56:46</t>
  </si>
  <si>
    <t>2025-11-24 11:56:47</t>
  </si>
  <si>
    <t>Filaretų g. 67, Vilniaus m., Vilniaus m. sav.</t>
  </si>
  <si>
    <t>2025-11-24 11:56:50</t>
  </si>
  <si>
    <t>2025-11-24 11:56:54</t>
  </si>
  <si>
    <t>Santariškių g. 41A, Vilniaus m., Vilniaus m. sav.</t>
  </si>
  <si>
    <t>2025-11-24 11:56:58</t>
  </si>
  <si>
    <t>Žirmūnų g. 88, Vilniaus m., Vilniaus m. sav.</t>
  </si>
  <si>
    <t>2025-11-24 11:56:59</t>
  </si>
  <si>
    <t>2025-11-24 11:57:02</t>
  </si>
  <si>
    <t>Visorių Sodų 4-oji g. 6, Vilniaus m., Vilniaus m. sav.</t>
  </si>
  <si>
    <t>2025-11-24 11:57:04</t>
  </si>
  <si>
    <t>2025-11-24 12:35:40</t>
  </si>
  <si>
    <t>2025-11-24 11:57:07</t>
  </si>
  <si>
    <t>Kelmijos Sodų 7-oji g. 16, Vilniaus m., Vilniaus m. sav.</t>
  </si>
  <si>
    <t>2025-11-24 11:57:13</t>
  </si>
  <si>
    <t>Krivių g. 16, Vilniaus m., Vilniaus m. sav.</t>
  </si>
  <si>
    <t>Kelmijos Sodų 7-oji g. 9, Vilniaus m., Vilniaus m. sav.</t>
  </si>
  <si>
    <t>2025-11-24 11:57:26</t>
  </si>
  <si>
    <t>2025-11-24 11:57:27</t>
  </si>
  <si>
    <t>Kelmijos Sodų 7-oji g. 12, Vilniaus m., Vilniaus m. sav.</t>
  </si>
  <si>
    <t>2025-11-24 11:57:28</t>
  </si>
  <si>
    <t>2025-11-24 11:57:35</t>
  </si>
  <si>
    <t>2025-11-24 12:06:58</t>
  </si>
  <si>
    <t>2025-11-24 11:57:37</t>
  </si>
  <si>
    <t>Kelmijos Sodų 7-oji g. 11, Vilniaus m., Vilniaus m. sav.</t>
  </si>
  <si>
    <t>2025-11-24 11:57:39</t>
  </si>
  <si>
    <t>2025-11-24 11:57:46</t>
  </si>
  <si>
    <t>2025-11-24 12:41:04</t>
  </si>
  <si>
    <t>2025-11-24 11:57:47</t>
  </si>
  <si>
    <t>Kelmijos Sodų 7-oji g. 13, Vilniaus m., Vilniaus m. sav.</t>
  </si>
  <si>
    <t>2025-11-24 11:57:52</t>
  </si>
  <si>
    <t>2025-11-24 11:57:54</t>
  </si>
  <si>
    <t>2025-11-24 11:57:57</t>
  </si>
  <si>
    <t>Kelmijos Sodų 7-oji g. 7, Vilniaus m., Vilniaus m. sav.</t>
  </si>
  <si>
    <t>2025-11-24 11:58:00</t>
  </si>
  <si>
    <t>2025-11-24 12:01:33</t>
  </si>
  <si>
    <t>2025-11-24 11:58:02</t>
  </si>
  <si>
    <t>2025-11-24 11:58:03</t>
  </si>
  <si>
    <t>Kelmijos Sodų 7-oji g. 1, Vilniaus m., Vilniaus m. sav.</t>
  </si>
  <si>
    <t>2025-11-24 11:58:08</t>
  </si>
  <si>
    <t>2025-11-24 11:58:09</t>
  </si>
  <si>
    <t>Filaretų g. 67A, Vilniaus m., Vilniaus m. sav.</t>
  </si>
  <si>
    <t>2025-11-24 11:58:10</t>
  </si>
  <si>
    <t>2025-11-24 11:58:18</t>
  </si>
  <si>
    <t>Meistrų g. 8, Vilniaus m., Vilniaus m. sav.</t>
  </si>
  <si>
    <t>2025-11-24 11:58:28</t>
  </si>
  <si>
    <t>Budiniškių g. 9, Vilniaus m., Vilniaus m. sav.</t>
  </si>
  <si>
    <t>2025-11-24 11:58:29</t>
  </si>
  <si>
    <t>Vilniaus m. DGA2</t>
  </si>
  <si>
    <t>2025-11-24 11:58:31</t>
  </si>
  <si>
    <t>2025-11-24 11:58:38</t>
  </si>
  <si>
    <t>2025-11-24 11:58:42</t>
  </si>
  <si>
    <t>2025-11-24 11:58:43</t>
  </si>
  <si>
    <t>Kelmijos Sodų 8-oji g. 6, Vilniaus m., Vilniaus m. sav.</t>
  </si>
  <si>
    <t>2025-11-24 11:58:50</t>
  </si>
  <si>
    <t>Filaretų g. 52, Vilniaus m., Vilniaus m. sav.</t>
  </si>
  <si>
    <t>2025-11-24 11:58:52</t>
  </si>
  <si>
    <t>2025-11-24 11:58:53</t>
  </si>
  <si>
    <t>Antakalnio g. 120, Vilniaus m., Vilniaus m. sav.</t>
  </si>
  <si>
    <t>2025-11-24 12:04:53</t>
  </si>
  <si>
    <t>2025-11-24 11:58:55</t>
  </si>
  <si>
    <t>Salininkų Sodų 9-oji g. 1, Vilniaus m., Vilniaus m. sav.</t>
  </si>
  <si>
    <t>2025-11-24 12:07:03</t>
  </si>
  <si>
    <t>2025-11-24 11:58:58</t>
  </si>
  <si>
    <t>2025-11-24 11:58:59</t>
  </si>
  <si>
    <t>Kelmijos Sodų 8-oji g. 7, Vilniaus m., Vilniaus m. sav.</t>
  </si>
  <si>
    <t>2025-11-24 12:07:13</t>
  </si>
  <si>
    <t>2025-11-24 11:59:03</t>
  </si>
  <si>
    <t>Kelmijos Sodų 8-oji g. 8, Vilniaus m., Vilniaus m. sav.</t>
  </si>
  <si>
    <t>2025-11-24 11:59:14</t>
  </si>
  <si>
    <t>Germanto g. 1, Vilniaus m., Vilniaus m. sav.</t>
  </si>
  <si>
    <t>2025-11-24 11:59:31</t>
  </si>
  <si>
    <t>Filaretų g. 50A, Vilniaus m., Vilniaus m. sav.</t>
  </si>
  <si>
    <t>2025-11-24 12:07:04</t>
  </si>
  <si>
    <t>2025-11-24 11:59:34</t>
  </si>
  <si>
    <t>Bitėnų g. 3B, Vilniaus m., Vilniaus m. sav.</t>
  </si>
  <si>
    <t>2025-11-24 12:02:34</t>
  </si>
  <si>
    <t>2025-11-24 11:59:38</t>
  </si>
  <si>
    <t>Germanto g. 9, Vilniaus m., Vilniaus m. sav.</t>
  </si>
  <si>
    <t>2025-11-24 11:59:42</t>
  </si>
  <si>
    <t>2025-11-24 11:59:48</t>
  </si>
  <si>
    <t>2025-11-24 11:59:58</t>
  </si>
  <si>
    <t>2025-11-24 12:00:02</t>
  </si>
  <si>
    <t>2025-11-24 12:52:54</t>
  </si>
  <si>
    <t>2025-11-24 12:00:03</t>
  </si>
  <si>
    <t>Kelmijos Sodų 9-oji g. 17, Vilniaus m., Vilniaus m. sav.</t>
  </si>
  <si>
    <t>2025-11-24 12:00:09</t>
  </si>
  <si>
    <t>Žaibo g. 3, Vilniaus m., Vilniaus m. sav.</t>
  </si>
  <si>
    <t>2025-11-24 12:00:10</t>
  </si>
  <si>
    <t>Šeimyniškių g. 19A, Vilniaus m., Vilniaus m. sav.</t>
  </si>
  <si>
    <t>2025-11-24 12:00:19</t>
  </si>
  <si>
    <t>Kovo 11-osios g. 52, Grigiškės, Vilniaus m. sav.</t>
  </si>
  <si>
    <t>2025-11-24 12:00:20</t>
  </si>
  <si>
    <t>2025-11-24 12:00:22</t>
  </si>
  <si>
    <t>Filaretų g. 69, Vilniaus m., Vilniaus m. sav.</t>
  </si>
  <si>
    <t>Filaretų g. 54A, Vilniaus m., Vilniaus m. sav.</t>
  </si>
  <si>
    <t>2025-11-24 12:00:26</t>
  </si>
  <si>
    <t>Krivių g. 10, Vilniaus m., Vilniaus m. sav.</t>
  </si>
  <si>
    <t>Budiniškių g. 5, Vilniaus m., Vilniaus m. sav.</t>
  </si>
  <si>
    <t>Kanklių g. 10B, Vilniaus m., Vilniaus m. sav.</t>
  </si>
  <si>
    <t>2025-11-24 12:01:50</t>
  </si>
  <si>
    <t>Kelmijos Sodų 9-oji g. 19, Vilniaus m., Vilniaus m. sav.</t>
  </si>
  <si>
    <t>2025-11-24 12:00:48</t>
  </si>
  <si>
    <t>Kelmijos Sodų 9-oji g. 21, Vilniaus m., Vilniaus m. sav.</t>
  </si>
  <si>
    <t>2025-11-24 12:00:54</t>
  </si>
  <si>
    <t>Santariškių g. 53, Vilniaus m., Vilniaus m. sav.</t>
  </si>
  <si>
    <t>2025-11-24 12:01:04</t>
  </si>
  <si>
    <t>2025-11-24 12:01:08</t>
  </si>
  <si>
    <t>2025-11-24 12:01:09</t>
  </si>
  <si>
    <t>Šeimyniškių g. 19, Vilniaus m., Vilniaus m. sav.</t>
  </si>
  <si>
    <t>2025-11-24 12:01:14</t>
  </si>
  <si>
    <t>2025-11-24 12:01:19</t>
  </si>
  <si>
    <t>Kelmijos Sodų 9-oji g. 20, Vilniaus m., Vilniaus m. sav.</t>
  </si>
  <si>
    <t>2025-11-24 12:01:26</t>
  </si>
  <si>
    <t>2025-11-24 12:01:28</t>
  </si>
  <si>
    <t>Filaretų g. 54, Vilniaus m., Vilniaus m. sav.</t>
  </si>
  <si>
    <t>2025-11-24 12:01:29</t>
  </si>
  <si>
    <t>Salininkų Sodų 2-oji g. 18, Vilniaus m., Vilniaus m. sav.</t>
  </si>
  <si>
    <t>Juozo Kamarausko g. 8, Vilniaus m., Vilniaus m. sav.</t>
  </si>
  <si>
    <t>2025-11-24 12:01:32</t>
  </si>
  <si>
    <t>Stalupėnų g. 22, Vilniaus m., Vilniaus m. sav.</t>
  </si>
  <si>
    <t>2025-11-24 12:01:34</t>
  </si>
  <si>
    <t>2025-11-24 12:01:36</t>
  </si>
  <si>
    <t>Noragiškių g. 50, Vilniaus m., Vilniaus m. sav.</t>
  </si>
  <si>
    <t>2025-11-24 12:04:30</t>
  </si>
  <si>
    <t>2025-11-24 12:01:58</t>
  </si>
  <si>
    <t>2025-11-24 12:02:02</t>
  </si>
  <si>
    <t>2025-11-24 12:02:04</t>
  </si>
  <si>
    <t>Konstitucijos pr. 15, Vilniaus m., Vilniaus m. sav.</t>
  </si>
  <si>
    <t>Vėjo g. 12, Vilniaus m., Vilniaus m. sav.</t>
  </si>
  <si>
    <t>2025-11-24 12:02:08</t>
  </si>
  <si>
    <t>Kelmijos Sodų 9-oji g. 26, Vilniaus m., Vilniaus m. sav.</t>
  </si>
  <si>
    <t>2025-11-24 12:17:52</t>
  </si>
  <si>
    <t>2025-11-24 12:52:37</t>
  </si>
  <si>
    <t>2025-11-24 12:06:11</t>
  </si>
  <si>
    <t>Rudens g. 35B, Vilniaus m., Vilniaus m. sav.</t>
  </si>
  <si>
    <t>Žirmūnų g. 96, Vilniaus m., Vilniaus m. sav.</t>
  </si>
  <si>
    <t>2025-11-24 12:02:45</t>
  </si>
  <si>
    <t>Filaretų g. 71, Vilniaus m., Vilniaus m. sav.</t>
  </si>
  <si>
    <t>2025-11-24 12:02:50</t>
  </si>
  <si>
    <t>2025-11-24 12:17:57</t>
  </si>
  <si>
    <t>Gailašių g. 24-1, Vilniaus m., Vilniaus m. sav.</t>
  </si>
  <si>
    <t>Gailašių g. 24A-2, Vilniaus m., Vilniaus m. sav.</t>
  </si>
  <si>
    <t>Gailašių g. 24A-1, Vilniaus m., Vilniaus m. sav.</t>
  </si>
  <si>
    <t>2025-11-24 12:02:55</t>
  </si>
  <si>
    <t>Juozo Kamarausko g. 10, Vilniaus m., Vilniaus m. sav.</t>
  </si>
  <si>
    <t>Juozo Kamarausko g. 12, Vilniaus m., Vilniaus m. sav.</t>
  </si>
  <si>
    <t>2025-11-24 12:17:47</t>
  </si>
  <si>
    <t>2025-11-24 12:02:56</t>
  </si>
  <si>
    <t>Užupio g. 21B, Vilniaus m., Vilniaus m. sav.</t>
  </si>
  <si>
    <t>2025-11-24 12:02:58</t>
  </si>
  <si>
    <t>Noragiškių g. 56A, Vilniaus m., Vilniaus m. sav.</t>
  </si>
  <si>
    <t>2025-11-24 12:03:00</t>
  </si>
  <si>
    <t>Baltosios Vokės g. 45, Vilniaus m., Vilniaus m. sav.</t>
  </si>
  <si>
    <t>2025-11-24 12:03:01</t>
  </si>
  <si>
    <t>Kelmijos Sodų 9-oji g. 31, Vilniaus m., Vilniaus m. sav.</t>
  </si>
  <si>
    <t>2025-11-24 12:03:04</t>
  </si>
  <si>
    <t>2025-11-24 12:03:05</t>
  </si>
  <si>
    <t>Kelmijos Sodų 8-oji g. 21, Vilniaus m., Vilniaus m. sav.</t>
  </si>
  <si>
    <t>2025-11-24 12:03:10</t>
  </si>
  <si>
    <t>2025-11-24 12:17:25</t>
  </si>
  <si>
    <t>2025-11-24 12:03:11</t>
  </si>
  <si>
    <t>Filaretų g. 73-2, Vilniaus m., Vilniaus m. sav.</t>
  </si>
  <si>
    <t>2025-11-24 12:03:12</t>
  </si>
  <si>
    <t>Metalo g. 15A, Vilniaus m., Vilniaus m. sav.</t>
  </si>
  <si>
    <t>2025-11-24 12:03:14</t>
  </si>
  <si>
    <t>2025-11-24 12:03:15</t>
  </si>
  <si>
    <t>2025-11-24 12:03:18</t>
  </si>
  <si>
    <t>Bitėnų g. 3F, Vilniaus m., Vilniaus m. sav.</t>
  </si>
  <si>
    <t>2025-11-24 12:03:20</t>
  </si>
  <si>
    <t>Šviesos g. 4, Grigiškės, Vilniaus m. sav.</t>
  </si>
  <si>
    <t>2025-11-24 12:03:23</t>
  </si>
  <si>
    <t>Muitinės g. 30, Vilniaus m., Vilniaus m. sav.</t>
  </si>
  <si>
    <t>2025-11-24 12:03:27</t>
  </si>
  <si>
    <t>P. Vileišio g. 17, Vilniaus m., Vilniaus m. sav.</t>
  </si>
  <si>
    <t>2025-11-24 12:03:31</t>
  </si>
  <si>
    <t>2025-11-24 12:03:36</t>
  </si>
  <si>
    <t>2025-11-24 12:03:42</t>
  </si>
  <si>
    <t>2025-11-24 12:03:44</t>
  </si>
  <si>
    <t>2025-11-24 12:03:46</t>
  </si>
  <si>
    <t>2025-11-24 12:18:01</t>
  </si>
  <si>
    <t>2025-11-24 12:03:54</t>
  </si>
  <si>
    <t>2025-11-24 12:03:56</t>
  </si>
  <si>
    <t>2025-11-24 12:03:59</t>
  </si>
  <si>
    <t>2025-11-24 12:04:00</t>
  </si>
  <si>
    <t>2025-11-24 12:04:04</t>
  </si>
  <si>
    <t>2025-11-24 12:04:09</t>
  </si>
  <si>
    <t>Vėtrungių g.  41, Vilniaus m., Vilniaus m. sav.</t>
  </si>
  <si>
    <t>2025-11-24 12:04:18</t>
  </si>
  <si>
    <t>Grigalaukio g. 35, Vilniaus m., Vilniaus m. sav.</t>
  </si>
  <si>
    <t>Gailašių g. 24-2, Vilniaus m., Vilniaus m. sav.</t>
  </si>
  <si>
    <t>Užupio g. 23, Vilniaus m., Vilniaus m. sav.</t>
  </si>
  <si>
    <t>2025-11-24 12:04:32</t>
  </si>
  <si>
    <t>Bistryčios g. 17, Vilniaus m., Vilniaus m. sav.</t>
  </si>
  <si>
    <t>Lazdynėlių g. 83, Vilniaus m., Vilniaus m. sav.</t>
  </si>
  <si>
    <t>2025-11-24 12:05:00</t>
  </si>
  <si>
    <t>2025-11-24 12:05:02</t>
  </si>
  <si>
    <t>Gailašių g. 26-1, Vilniaus m., Vilniaus m. sav.</t>
  </si>
  <si>
    <t>2025-11-24 12:05:16</t>
  </si>
  <si>
    <t>2025-11-24 12:05:19</t>
  </si>
  <si>
    <t>Filaretų g. 56, Vilniaus m., Vilniaus m. sav.</t>
  </si>
  <si>
    <t>2025-11-24 12:18:05</t>
  </si>
  <si>
    <t>2025-11-24 12:05:29</t>
  </si>
  <si>
    <t>2025-11-24 12:05:46</t>
  </si>
  <si>
    <t>Gailašių g. 26-2, Vilniaus m., Vilniaus m. sav.</t>
  </si>
  <si>
    <t>2025-11-24 12:05:48</t>
  </si>
  <si>
    <t>2025-11-24 12:05:51</t>
  </si>
  <si>
    <t>2025-11-24 12:06:00</t>
  </si>
  <si>
    <t>Filaretų g. 73A, Vilniaus m., Vilniaus m. sav.</t>
  </si>
  <si>
    <t>2025-11-24 12:18:08</t>
  </si>
  <si>
    <t>2025-11-24 12:06:02</t>
  </si>
  <si>
    <t>Visorių Sodų 7-oji g. 7, Vilniaus m., Vilniaus m. sav.</t>
  </si>
  <si>
    <t>2025-11-24 12:06:05</t>
  </si>
  <si>
    <t>2025-11-24 12:06:08</t>
  </si>
  <si>
    <t>2025-11-24 12:06:14</t>
  </si>
  <si>
    <t>2025-11-24 12:06:18</t>
  </si>
  <si>
    <t>2025-11-24 12:06:21</t>
  </si>
  <si>
    <t>Virginijaus Druskio g. 5, Vilniaus m., Vilniaus m. sav.</t>
  </si>
  <si>
    <t>2025-11-24 12:06:22</t>
  </si>
  <si>
    <t>Gailašių g. 28, Vilniaus m., Vilniaus m. sav.</t>
  </si>
  <si>
    <t>2025-11-24 12:18:16</t>
  </si>
  <si>
    <t>2025-11-24 12:06:23</t>
  </si>
  <si>
    <t>Vėtrungių g.  47, Vilniaus m., Vilniaus m. sav.</t>
  </si>
  <si>
    <t>2025-11-24 12:06:26</t>
  </si>
  <si>
    <t>Oršos 4, Vilniaus m., Vilniaus m. sav.</t>
  </si>
  <si>
    <t>2025-11-24 12:06:27</t>
  </si>
  <si>
    <t>2025-11-24 12:18:17</t>
  </si>
  <si>
    <t>Molėtų pl. 47F, Vilniaus m., Vilniaus m. sav.</t>
  </si>
  <si>
    <t>2025-11-24 12:06:40</t>
  </si>
  <si>
    <t>2025-11-24 12:06:48</t>
  </si>
  <si>
    <t>Visorių Sodų 7-oji g. 3, Vilniaus m., Vilniaus m. sav.</t>
  </si>
  <si>
    <t>2025-11-24 12:06:50</t>
  </si>
  <si>
    <t>Bitėnų g. 1A, Vilniaus m., Vilniaus m. sav.</t>
  </si>
  <si>
    <t>Gailašių g. 30-2, Vilniaus m., Vilniaus m. sav.</t>
  </si>
  <si>
    <t>2025-11-24 12:18:19</t>
  </si>
  <si>
    <t>Gailašių g. 30-1, Vilniaus m., Vilniaus m. sav.</t>
  </si>
  <si>
    <t>2025-11-24 12:18:20</t>
  </si>
  <si>
    <t>Šviesos g. 10, Grigiškės, Vilniaus m. sav.</t>
  </si>
  <si>
    <t>Geologų g. 9A, Vilniaus m., Vilniaus m. sav.</t>
  </si>
  <si>
    <t>2025-11-24 12:08:44</t>
  </si>
  <si>
    <t>Antakalnio g. 14, Vilniaus m., Vilniaus m. sav.</t>
  </si>
  <si>
    <t>Nepravažiuojamas keliasNukopijuota į maršrutą nr. 304724 vartotojo Valytė Dremeikienė.</t>
  </si>
  <si>
    <t>2025-11-24 12:07:18</t>
  </si>
  <si>
    <t>2025-11-24 12:18:23</t>
  </si>
  <si>
    <t>2025-11-24 12:07:19</t>
  </si>
  <si>
    <t>2025-11-24 12:07:24</t>
  </si>
  <si>
    <t>2025-11-24 12:07:28</t>
  </si>
  <si>
    <t>2025-11-24 12:07:34</t>
  </si>
  <si>
    <t>Bistryčios g. 16, Vilniaus m., Vilniaus m. sav.</t>
  </si>
  <si>
    <t>2025-11-24 12:07:38</t>
  </si>
  <si>
    <t>2025-11-24 12:07:40</t>
  </si>
  <si>
    <t>2025-11-24 12:52:41</t>
  </si>
  <si>
    <t>Noragiškių g. 53, Vilniaus m., Vilniaus m. sav.</t>
  </si>
  <si>
    <t>2025-11-24 12:27:26</t>
  </si>
  <si>
    <t>Kelmijos Sodų 10-oji g. 29, Vilniaus m., Vilniaus m. sav.</t>
  </si>
  <si>
    <t>Kelmijos Sodų 10-oji g. 27, Vilniaus m., Vilniaus m. sav.</t>
  </si>
  <si>
    <t>Šiaurės g. 2, Vilniaus m., Vilniaus m. sav.</t>
  </si>
  <si>
    <t>2025-11-24 12:07:48</t>
  </si>
  <si>
    <t>2025-11-24 12:07:49</t>
  </si>
  <si>
    <t>Gailašių g. 32-1, Vilniaus m., Vilniaus m. sav.</t>
  </si>
  <si>
    <t>2025-11-24 12:07:50</t>
  </si>
  <si>
    <t>Polocko g. 1, Vilniaus m., Vilniaus m. sav.</t>
  </si>
  <si>
    <t>Noragiškių g. 58, Vilniaus m., Vilniaus m. sav.</t>
  </si>
  <si>
    <t>2025-11-24 12:18:25</t>
  </si>
  <si>
    <t>2025-11-24 12:07:59</t>
  </si>
  <si>
    <t>Nerasta</t>
  </si>
  <si>
    <t>2025-11-24 12:08:08</t>
  </si>
  <si>
    <t>2025-11-24 12:08:16</t>
  </si>
  <si>
    <t>Šeimyniškių g. 21B, Vilniaus m., Vilniaus m. sav.</t>
  </si>
  <si>
    <t>Gailašių g. 32-2, Vilniaus m., Vilniaus m. sav.</t>
  </si>
  <si>
    <t>Kelmijos Sodų 10-oji g. 28, Vilniaus m., Vilniaus m. sav.</t>
  </si>
  <si>
    <t>2025-11-24 12:18:29</t>
  </si>
  <si>
    <t>2025-11-24 12:08:28</t>
  </si>
  <si>
    <t>Dailidžių g. 15, Vilniaus m., Vilniaus m. sav.</t>
  </si>
  <si>
    <t>Birželio 23-iosios g. 6, Vilniaus m., Vilniaus m. sav.</t>
  </si>
  <si>
    <t>Bitėnų g. 1, Vilniaus m., Vilniaus m. sav.</t>
  </si>
  <si>
    <t>2025-11-24 12:52:42</t>
  </si>
  <si>
    <t>Šviesos g. 5, Grigiškės, Vilniaus m. sav.</t>
  </si>
  <si>
    <t>2025-11-24 12:08:45</t>
  </si>
  <si>
    <t>Gailašių g. 34-1, Vilniaus m., Vilniaus m. sav.</t>
  </si>
  <si>
    <t>2025-11-24 12:08:46</t>
  </si>
  <si>
    <t>2025-11-24 12:08:56</t>
  </si>
  <si>
    <t>Geologų g. 7B, Vilniaus m., Vilniaus m. sav.</t>
  </si>
  <si>
    <t>2025-11-24 12:08:57</t>
  </si>
  <si>
    <t>Kelmijos Sodų 10-oji g. 30, Vilniaus m., Vilniaus m. sav.</t>
  </si>
  <si>
    <t>2025-11-24 12:09:08</t>
  </si>
  <si>
    <t>Vėtrungių g.  53, Vilniaus m., Vilniaus m. sav.</t>
  </si>
  <si>
    <t>2025-11-24 12:09:11</t>
  </si>
  <si>
    <t>2025-11-24 12:09:12</t>
  </si>
  <si>
    <t>2025-11-24 12:18:33</t>
  </si>
  <si>
    <t>2025-11-24 12:09:14</t>
  </si>
  <si>
    <t>Polocko g. 12, Vilniaus m., Vilniaus m. sav.</t>
  </si>
  <si>
    <t>2025-11-24 12:09:16</t>
  </si>
  <si>
    <t>Gailašių g. 34-2, Vilniaus m., Vilniaus m. sav.</t>
  </si>
  <si>
    <t>2025-11-24 12:18:36</t>
  </si>
  <si>
    <t>2025-11-24 12:18:35</t>
  </si>
  <si>
    <t>2025-11-24 12:09:18</t>
  </si>
  <si>
    <t>2025-11-24 12:09:20</t>
  </si>
  <si>
    <t>2025-11-24 12:09:23</t>
  </si>
  <si>
    <t>Žalgirio g. 92, Vilniaus m., Vilniaus m. sav.</t>
  </si>
  <si>
    <t>2025-11-24 12:09:27</t>
  </si>
  <si>
    <t>Kelmijos Sodų 10-oji g. 37, Vilniaus m., Vilniaus m. sav.</t>
  </si>
  <si>
    <t>2025-11-24 12:17:05</t>
  </si>
  <si>
    <t>2025-11-24 12:09:31</t>
  </si>
  <si>
    <t>Virginijaus Druskio g. 3, Vilniaus m., Vilniaus m. sav.</t>
  </si>
  <si>
    <t>2025-11-24 12:09:40</t>
  </si>
  <si>
    <t>2025-11-24 12:09:42</t>
  </si>
  <si>
    <t>Gailašių g. 36-1, Vilniaus m., Vilniaus m. sav.</t>
  </si>
  <si>
    <t>2025-11-24 12:18:41</t>
  </si>
  <si>
    <t>2025-11-24 12:18:40</t>
  </si>
  <si>
    <t>2025-11-24 12:09:43</t>
  </si>
  <si>
    <t>Lazdynėlių g. 81, Vilniaus m., Vilniaus m. sav.</t>
  </si>
  <si>
    <t>2025-11-24 12:09:45</t>
  </si>
  <si>
    <t>2025-11-24 12:10:02</t>
  </si>
  <si>
    <t>Vaikų g. 14, Vilniaus m., Vilniaus m. sav.</t>
  </si>
  <si>
    <t>2025-11-24 12:10:12</t>
  </si>
  <si>
    <t>Gailašių g. 36-2, Vilniaus m., Vilniaus m. sav.</t>
  </si>
  <si>
    <t>2025-11-24 12:10:17</t>
  </si>
  <si>
    <t>Gailašių g. 36, Vilniaus m., Vilniaus m. sav.</t>
  </si>
  <si>
    <t>2025-11-24 12:10:18</t>
  </si>
  <si>
    <t>2025-11-24 12:10:27</t>
  </si>
  <si>
    <t>Kelmijos Sodų 10-oji g. 39, Vilniaus m., Vilniaus m. sav.</t>
  </si>
  <si>
    <t>2025-11-24 12:10:30</t>
  </si>
  <si>
    <t>2025-11-24 12:10:31</t>
  </si>
  <si>
    <t>2025-11-24 12:17:33</t>
  </si>
  <si>
    <t>2025-11-24 12:10:42</t>
  </si>
  <si>
    <t>Bitininkų g. 23, Vilniaus m., Vilniaus m. sav.</t>
  </si>
  <si>
    <t>2025-11-24 12:10:58</t>
  </si>
  <si>
    <t>Gailašių g. 38-1, Vilniaus m., Vilniaus m. sav.</t>
  </si>
  <si>
    <t>2025-11-24 12:11:10</t>
  </si>
  <si>
    <t>Mechanikų g. 112, Vilniaus m., Vilniaus m. sav.</t>
  </si>
  <si>
    <t>2025-11-24 12:11:19</t>
  </si>
  <si>
    <t>2025-11-24 12:11:24</t>
  </si>
  <si>
    <t>Gailašių g. 38-2, Vilniaus m., Vilniaus m. sav.</t>
  </si>
  <si>
    <t>2025-11-24 12:19:02</t>
  </si>
  <si>
    <t>2025-11-24 12:11:29</t>
  </si>
  <si>
    <t>2025-11-24 12:11:32</t>
  </si>
  <si>
    <t>Stepono Batoro g. 43, Vilniaus m., Vilniaus m. sav.</t>
  </si>
  <si>
    <t>2025-11-24 12:11:43</t>
  </si>
  <si>
    <t>2025-11-24 12:11:49</t>
  </si>
  <si>
    <t>2025-11-24 12:19:04</t>
  </si>
  <si>
    <t>2025-11-24 12:11:53</t>
  </si>
  <si>
    <t>2025-11-24 12:11:55</t>
  </si>
  <si>
    <t>Gailašių g. 38A-2, Vilniaus m., Vilniaus m. sav.</t>
  </si>
  <si>
    <t>Gailašių g. 38B-1, Vilniaus m., Vilniaus m. sav.</t>
  </si>
  <si>
    <t>2025-11-24 12:11:56</t>
  </si>
  <si>
    <t>Lazdynėlių g. 67, Vilniaus m., Vilniaus m. sav.</t>
  </si>
  <si>
    <t>2025-11-24 12:11:59</t>
  </si>
  <si>
    <t>2025-11-24 12:12:00</t>
  </si>
  <si>
    <t>Gailašių g. 38A-1, Vilniaus m., Vilniaus m. sav.</t>
  </si>
  <si>
    <t>2025-11-24 12:12:01</t>
  </si>
  <si>
    <t>Smolensko g. 15, Vilniaus m., Vilniaus m. sav.</t>
  </si>
  <si>
    <t>2025-11-24 12:12:04</t>
  </si>
  <si>
    <t>Šviesos g. 9, Grigiškės, Vilniaus m. sav.</t>
  </si>
  <si>
    <t>2025-11-24 12:12:06</t>
  </si>
  <si>
    <t>2025-11-24 12:12:12</t>
  </si>
  <si>
    <t>Vaikų g. 15, Vilniaus m., Vilniaus m. sav.</t>
  </si>
  <si>
    <t>2025-11-24 12:12:19</t>
  </si>
  <si>
    <t>2025-11-24 12:12:20</t>
  </si>
  <si>
    <t>Polocko g. 9, Vilniaus m., Vilniaus m. sav.</t>
  </si>
  <si>
    <t>2025-11-24 12:12:21</t>
  </si>
  <si>
    <t>2025-11-24 12:12:22</t>
  </si>
  <si>
    <t>Bajorų Sodų 2-oji g. 23, Vilniaus m., Vilniaus m. sav.</t>
  </si>
  <si>
    <t>2025-11-24 12:12:25</t>
  </si>
  <si>
    <t>Virginijaus Druskio g. 9, Vilniaus m., Vilniaus m. sav.</t>
  </si>
  <si>
    <t>2025-11-24 12:12:29</t>
  </si>
  <si>
    <t>2025-11-24 12:12:30</t>
  </si>
  <si>
    <t>Virginijaus Druskio g. 6, Vilniaus m., Vilniaus m. sav.</t>
  </si>
  <si>
    <t>2025-11-24 12:12:31</t>
  </si>
  <si>
    <t>2025-11-24 12:12:36</t>
  </si>
  <si>
    <t>Gailašių g. 38B-2, Vilniaus m., Vilniaus m. sav.</t>
  </si>
  <si>
    <t>2025-11-24 12:19:09</t>
  </si>
  <si>
    <t>2025-11-24 12:12:37</t>
  </si>
  <si>
    <t>Sporto g. 16, Vilniaus m., Vilniaus m. sav.</t>
  </si>
  <si>
    <t>2025-11-24 12:12:38</t>
  </si>
  <si>
    <t>2025-11-24 12:12:41</t>
  </si>
  <si>
    <t>Metalo g. 5, Vilniaus m., Vilniaus m. sav.</t>
  </si>
  <si>
    <t>2025-11-24 12:12:47</t>
  </si>
  <si>
    <t>2025-11-24 12:12:51</t>
  </si>
  <si>
    <t>2025-11-24 12:12:52</t>
  </si>
  <si>
    <t>2025-11-24 12:12:54</t>
  </si>
  <si>
    <t>2025-11-24 12:13:06</t>
  </si>
  <si>
    <t>2025-11-24 12:13:03</t>
  </si>
  <si>
    <t>Sporto g. 16A, Vilniaus m., Vilniaus m. sav.</t>
  </si>
  <si>
    <t>2025-11-24 12:13:05</t>
  </si>
  <si>
    <t>2025-11-24 12:13:07</t>
  </si>
  <si>
    <t>Kelmijos Sodų 11-oji g. 28, Vilniaus m., Vilniaus m. sav.</t>
  </si>
  <si>
    <t>2025-11-24 12:13:11</t>
  </si>
  <si>
    <t>2025-11-24 12:13:12</t>
  </si>
  <si>
    <t>Eišiškių pl. 76B, Vilniaus m., Vilniaus m. sav.</t>
  </si>
  <si>
    <t>2025-11-24 12:19:16</t>
  </si>
  <si>
    <t>2025-11-24 12:13:17</t>
  </si>
  <si>
    <t>Kelmijos Sodų 11-oji g. 30, Vilniaus m., Vilniaus m. sav.</t>
  </si>
  <si>
    <t>2025-11-24 12:13:20</t>
  </si>
  <si>
    <t>2025-11-24 12:13:34</t>
  </si>
  <si>
    <t>2025-11-24 12:13:37</t>
  </si>
  <si>
    <t>Kelmijos Sodų 11-oji g. 15, Vilniaus m., Vilniaus m. sav.</t>
  </si>
  <si>
    <t>2025-11-24 12:13:46</t>
  </si>
  <si>
    <t>2025-11-24 12:13:55</t>
  </si>
  <si>
    <t>2025-11-24 12:13:57</t>
  </si>
  <si>
    <t>Žirgupės g. 17-1, Vilniaus m., Vilniaus m. sav.</t>
  </si>
  <si>
    <t>2025-11-24 12:13:58</t>
  </si>
  <si>
    <t>2025-11-24 12:13:59</t>
  </si>
  <si>
    <t>Kelmijos Sodų 11-oji g. 26, Vilniaus m., Vilniaus m. sav.</t>
  </si>
  <si>
    <t>2025-11-24 12:14:01</t>
  </si>
  <si>
    <t>2025-11-24 12:14:05</t>
  </si>
  <si>
    <t>Sporto g. 18, Vilniaus m., Vilniaus m. sav.</t>
  </si>
  <si>
    <t>2025-11-24 12:14:07</t>
  </si>
  <si>
    <t>2025-11-24 12:14:19</t>
  </si>
  <si>
    <t>2025-11-24 12:36:18</t>
  </si>
  <si>
    <t>2025-11-24 12:14:20</t>
  </si>
  <si>
    <t>Dailidžių g. 11, Vilniaus m., Vilniaus m. sav.</t>
  </si>
  <si>
    <t>2025-11-24 12:14:26</t>
  </si>
  <si>
    <t>2025-11-24 12:14:27</t>
  </si>
  <si>
    <t>2025-11-24 12:14:28</t>
  </si>
  <si>
    <t>Žirgupės g. 17, Vilniaus m., Vilniaus m. sav.</t>
  </si>
  <si>
    <t>2025-11-24 12:14:29</t>
  </si>
  <si>
    <t>Kelmijos Sodų 11-oji g. 24, Vilniaus m., Vilniaus m. sav.</t>
  </si>
  <si>
    <t>2025-11-24 12:14:34</t>
  </si>
  <si>
    <t>Lazdynėlių g. 69, Vilniaus m., Vilniaus m. sav.</t>
  </si>
  <si>
    <t>2025-11-24 12:14:35</t>
  </si>
  <si>
    <t>Statybininkų g. 3, Vilniaus m., Vilniaus m. sav.</t>
  </si>
  <si>
    <t>2025-11-24 12:14:39</t>
  </si>
  <si>
    <t>Kelmijos Sodų 11-oji g. 13, Vilniaus m., Vilniaus m. sav.</t>
  </si>
  <si>
    <t>2025-11-24 12:14:41</t>
  </si>
  <si>
    <t>Konstitucijos pr. 29, Vilniaus m., Vilniaus m. sav.</t>
  </si>
  <si>
    <t>2025-11-24 12:14:42</t>
  </si>
  <si>
    <t>Zamenhofo g. 5, Vilniaus m., Vilniaus m. sav.</t>
  </si>
  <si>
    <t>2025-11-24 12:14:44</t>
  </si>
  <si>
    <t>P. Vileišio g. 18N, Vilniaus m., Vilniaus m. sav.</t>
  </si>
  <si>
    <t>2025-11-24 12:14:45</t>
  </si>
  <si>
    <t>2025-11-24 12:14:46</t>
  </si>
  <si>
    <t>2025-11-24 12:14:53</t>
  </si>
  <si>
    <t>2025-11-24 12:15:01</t>
  </si>
  <si>
    <t>Dailidžių g. 13A, Vilniaus m., Vilniaus m. sav.</t>
  </si>
  <si>
    <t>2025-11-24 12:15:11</t>
  </si>
  <si>
    <t>Kelmijos Sodų 11-oji g. 22, Vilniaus m., Vilniaus m. sav.</t>
  </si>
  <si>
    <t>2025-11-24 12:15:12</t>
  </si>
  <si>
    <t>Parko g. 19, Vilniaus m., Vilniaus m. sav.</t>
  </si>
  <si>
    <t>Vaikų g. 21, Vilniaus m., Vilniaus m. sav.</t>
  </si>
  <si>
    <t>2025-11-24 12:15:14</t>
  </si>
  <si>
    <t>Žirgupės g. 15-1, Vilniaus m., Vilniaus m. sav.</t>
  </si>
  <si>
    <t>2025-11-24 12:19:23</t>
  </si>
  <si>
    <t>2025-11-24 12:15:16</t>
  </si>
  <si>
    <t>Gabijos g. 38, Vilniaus m., Vilniaus m. sav.</t>
  </si>
  <si>
    <t>2025-11-24 12:15:19</t>
  </si>
  <si>
    <t>2025-11-24 12:15:20</t>
  </si>
  <si>
    <t>Žirgupės g. 15-2, Vilniaus m., Vilniaus m. sav.</t>
  </si>
  <si>
    <t>2025-11-24 12:19:24</t>
  </si>
  <si>
    <t>2025-11-24 12:15:21</t>
  </si>
  <si>
    <t>Gabijos g. 40, Vilniaus m., Vilniaus m. sav.</t>
  </si>
  <si>
    <t>2025-11-24 12:55:18</t>
  </si>
  <si>
    <t>2025-11-24 12:15:24</t>
  </si>
  <si>
    <t>Padekaniškių g. 1, Vilniaus m., Vilniaus m. sav.</t>
  </si>
  <si>
    <t>Giedraičių g. 56, Vilniaus m., Vilniaus m. sav.</t>
  </si>
  <si>
    <t>2025-11-24 12:15:31</t>
  </si>
  <si>
    <t>2025-11-24 12:17:37</t>
  </si>
  <si>
    <t>Sporto g. 7A, Vilniaus m., Vilniaus m. sav.</t>
  </si>
  <si>
    <t>Dailidžių g. 7A, Vilniaus m., Vilniaus m. sav.</t>
  </si>
  <si>
    <t>Virginijaus Druskio g. 10, Vilniaus m., Vilniaus m. sav.</t>
  </si>
  <si>
    <t>2025-11-24 12:16:06</t>
  </si>
  <si>
    <t>2025-11-24 12:16:07</t>
  </si>
  <si>
    <t>2025-11-24 12:41:09</t>
  </si>
  <si>
    <t>2025-11-24 12:16:11</t>
  </si>
  <si>
    <t>2025-11-24 12:16:12</t>
  </si>
  <si>
    <t>Dailidžių g. 8, Vilniaus m., Vilniaus m. sav.</t>
  </si>
  <si>
    <t>2025-11-24 12:16:16</t>
  </si>
  <si>
    <t>Šilo g. 3, Vilniaus m., Vilniaus m. sav.</t>
  </si>
  <si>
    <t>2025-11-24 12:16:19</t>
  </si>
  <si>
    <t>Metalo g. 4, Vilniaus m., Vilniaus m. sav.</t>
  </si>
  <si>
    <t>2025-11-24 12:16:20</t>
  </si>
  <si>
    <t>Šviesos g. 13, Grigiškės, Vilniaus m. sav.</t>
  </si>
  <si>
    <t>2025-11-24 12:17:13</t>
  </si>
  <si>
    <t>2025-11-24 12:16:21</t>
  </si>
  <si>
    <t>2025-11-24 12:16:23</t>
  </si>
  <si>
    <t>2025-11-24 12:32:22</t>
  </si>
  <si>
    <t>2025-11-24 12:16:25</t>
  </si>
  <si>
    <t>2025-11-24 12:16:33</t>
  </si>
  <si>
    <t>2025-11-24 12:16:35</t>
  </si>
  <si>
    <t>Dailidžių g. 6, Vilniaus m., Vilniaus m. sav.</t>
  </si>
  <si>
    <t>2025-11-24 12:32:26</t>
  </si>
  <si>
    <t>2025-11-24 12:16:41</t>
  </si>
  <si>
    <t>2025-11-24 12:21:24</t>
  </si>
  <si>
    <t>2025-11-24 12:16:46</t>
  </si>
  <si>
    <t>2025-11-24 12:32:30</t>
  </si>
  <si>
    <t>2025-11-24 12:16:47</t>
  </si>
  <si>
    <t>2025-11-24 12:16:52</t>
  </si>
  <si>
    <t>Smolensko g. 12, Vilniaus m., Vilniaus m. sav.</t>
  </si>
  <si>
    <t>2025-11-24 12:16:55</t>
  </si>
  <si>
    <t>2025-11-24 12:41:12</t>
  </si>
  <si>
    <t>2025-11-24 12:16:56</t>
  </si>
  <si>
    <t>Žirgupės g. 11, Vilniaus m., Vilniaus m. sav.</t>
  </si>
  <si>
    <t>2025-11-24 12:16:59</t>
  </si>
  <si>
    <t>Dailidžių g. 5, Vilniaus m., Vilniaus m. sav.</t>
  </si>
  <si>
    <t>2025-11-24 12:17:01</t>
  </si>
  <si>
    <t>Kelmijos Sodų 11-oji g. 12, Vilniaus m., Vilniaus m. sav.</t>
  </si>
  <si>
    <t>Sporto g. 7, Vilniaus m., Vilniaus m. sav.</t>
  </si>
  <si>
    <t>2025-11-24 12:17:07</t>
  </si>
  <si>
    <t>Mechanikų g. 93, Vilniaus m., Vilniaus m. sav.</t>
  </si>
  <si>
    <t>2025-11-24 12:17:09</t>
  </si>
  <si>
    <t>Kelmijos Sodų 11-oji g. 16, Vilniaus m., Vilniaus m. sav.</t>
  </si>
  <si>
    <t>2025-11-24 12:17:18</t>
  </si>
  <si>
    <t>2025-11-24 12:17:21</t>
  </si>
  <si>
    <t>2025-11-24 12:17:27</t>
  </si>
  <si>
    <t>2025-11-24 12:17:28</t>
  </si>
  <si>
    <t>Kelmijos Sodų 11-oji g. 10, Vilniaus m., Vilniaus m. sav.</t>
  </si>
  <si>
    <t>Dailidžių g. 8A, Vilniaus m., Vilniaus m. sav.</t>
  </si>
  <si>
    <t>2025-11-24 12:17:42</t>
  </si>
  <si>
    <t>Kelmijos Sodų 11-oji g. 5, Vilniaus m., Vilniaus m. sav.</t>
  </si>
  <si>
    <t>Dailidžių g. 7B, Vilniaus m., Vilniaus m. sav.</t>
  </si>
  <si>
    <t>2025-11-24 12:32:58</t>
  </si>
  <si>
    <t>Žirgupės g. 9, Vilniaus m., Vilniaus m. sav.</t>
  </si>
  <si>
    <t>Parko g. 21-201, Vilniaus m., Vilniaus m. sav.</t>
  </si>
  <si>
    <t>2025-11-24 12:18:18</t>
  </si>
  <si>
    <t>Vėtrungių g.  65, Vilniaus m., Vilniaus m. sav.</t>
  </si>
  <si>
    <t>Giedraičių g. 41, Vilniaus m., Vilniaus m. sav.</t>
  </si>
  <si>
    <t>Kelmijos Sodų 11-oji g. 6, Vilniaus m., Vilniaus m. sav.</t>
  </si>
  <si>
    <t>2025-11-24 12:33:00</t>
  </si>
  <si>
    <t>2025-11-24 12:18:31</t>
  </si>
  <si>
    <t>Kelmijos Sodų 11-oji g. 8, Vilniaus m., Vilniaus m. sav.</t>
  </si>
  <si>
    <t>Žirgupės g. 7A, Vilniaus m., Vilniaus m. sav.</t>
  </si>
  <si>
    <t>2025-11-24 12:29:46</t>
  </si>
  <si>
    <t>2025-11-24 12:18:34</t>
  </si>
  <si>
    <t>Dailidžių g. 12, Vilniaus m., Vilniaus m. sav.</t>
  </si>
  <si>
    <t>2025-11-24 12:29:48</t>
  </si>
  <si>
    <t>2025-11-24 12:18:38</t>
  </si>
  <si>
    <t>2025-11-24 12:29:49</t>
  </si>
  <si>
    <t>Šviesos g. 18, Grigiškės, Vilniaus m. sav.</t>
  </si>
  <si>
    <t>2025-11-24 12:26:48</t>
  </si>
  <si>
    <t>Parko g. 21, Vilniaus m., Vilniaus m. sav.</t>
  </si>
  <si>
    <t>2025-11-24 12:29:36</t>
  </si>
  <si>
    <t>2025-11-24 12:18:45</t>
  </si>
  <si>
    <t>Dailidžių g. 10, Vilniaus m., Vilniaus m. sav.</t>
  </si>
  <si>
    <t>2025-11-24 12:33:07</t>
  </si>
  <si>
    <t>2025-11-24 12:18:48</t>
  </si>
  <si>
    <t>2025-11-24 12:30:00</t>
  </si>
  <si>
    <t>2025-11-24 12:18:55</t>
  </si>
  <si>
    <t>2025-11-24 12:18:57</t>
  </si>
  <si>
    <t>Eišiškių pl. 74, Vilniaus m., Vilniaus m. sav.</t>
  </si>
  <si>
    <t>Žirgupės g. 7, Vilniaus m., Vilniaus m. sav.</t>
  </si>
  <si>
    <t>2025-11-24 12:29:50</t>
  </si>
  <si>
    <t>Giedraičių g. 39, Vilniaus m., Vilniaus m. sav.</t>
  </si>
  <si>
    <t>Pilkalnio g. 3A, Vilniaus m., Vilniaus m. sav.</t>
  </si>
  <si>
    <t>P. Vileišio g. 18A, Vilniaus m., Vilniaus m. sav.</t>
  </si>
  <si>
    <t>Sporto g. 11, Vilniaus m., Vilniaus m. sav.</t>
  </si>
  <si>
    <t>Dailidžių g. 12-2, Vilniaus m., Vilniaus m. sav.</t>
  </si>
  <si>
    <t>Dailidžių g. 9, Vilniaus m., Vilniaus m. sav.</t>
  </si>
  <si>
    <t>Kalviškių g. 2, Vilniaus m., Vilniaus m. sav.</t>
  </si>
  <si>
    <t>2025-11-24 12:19:35</t>
  </si>
  <si>
    <t>2025-11-24 12:29:53</t>
  </si>
  <si>
    <t>2025-11-24 12:19:42</t>
  </si>
  <si>
    <t>Vido Maciulevičiaus g. 30A, Vilniaus m., Vilniaus m. sav.</t>
  </si>
  <si>
    <t>Dailidžių g. 9-2, Vilniaus m., Vilniaus m. sav.</t>
  </si>
  <si>
    <t>2025-11-24 12:33:32</t>
  </si>
  <si>
    <t>2025-11-24 12:19:44</t>
  </si>
  <si>
    <t>Pagubės g. 63, Vilniaus m., Vilniaus m. sav.</t>
  </si>
  <si>
    <t>2025-11-24 12:19:48</t>
  </si>
  <si>
    <t>2025-11-24 12:19:50</t>
  </si>
  <si>
    <t>2025-11-24 12:19:52</t>
  </si>
  <si>
    <t>Kelmijos Sodų 1-oji g. 21, Vilniaus m., Vilniaus m. sav.</t>
  </si>
  <si>
    <t>2025-11-24 12:20:00</t>
  </si>
  <si>
    <t>2025-11-24 12:33:42</t>
  </si>
  <si>
    <t>2025-11-24 12:20:06</t>
  </si>
  <si>
    <t>2025-11-24 13:03:03</t>
  </si>
  <si>
    <t>2025-11-24 12:20:07</t>
  </si>
  <si>
    <t>2025-11-24 12:20:10</t>
  </si>
  <si>
    <t>Dailidžių g. 14, Vilniaus m., Vilniaus m. sav.</t>
  </si>
  <si>
    <t>2025-11-24 12:33:46</t>
  </si>
  <si>
    <t>2025-11-24 12:20:12</t>
  </si>
  <si>
    <t>Žaros g. 6, Vilniaus m., Vilniaus m. sav.</t>
  </si>
  <si>
    <t>2025-11-24 12:20:20</t>
  </si>
  <si>
    <t>Santariškių g. 37, Vilniaus m., Vilniaus m. sav.</t>
  </si>
  <si>
    <t>2025-11-24 12:20:21</t>
  </si>
  <si>
    <t>2025-11-24 12:20:22</t>
  </si>
  <si>
    <t>2025-11-24 12:20:27</t>
  </si>
  <si>
    <t>2025-11-24 12:20:28</t>
  </si>
  <si>
    <t>Kelmijos Sodų 12-oji g. 2, Vilniaus m., Vilniaus m. sav.</t>
  </si>
  <si>
    <t>2025-11-24 12:20:29</t>
  </si>
  <si>
    <t>2025-11-24 13:02:37</t>
  </si>
  <si>
    <t>Santariškių g. 35, Vilniaus m., Vilniaus m. sav.</t>
  </si>
  <si>
    <t>2025-11-24 12:20:30</t>
  </si>
  <si>
    <t>2025-11-24 12:20:34</t>
  </si>
  <si>
    <t>2025-11-24 12:20:35</t>
  </si>
  <si>
    <t>2025-11-24 12:20:50</t>
  </si>
  <si>
    <t>2025-11-24 12:20:52</t>
  </si>
  <si>
    <t>Žirgupės g. 3C, Vilniaus m., Vilniaus m. sav.</t>
  </si>
  <si>
    <t>2025-11-24 12:20:53</t>
  </si>
  <si>
    <t>Santariškių g. 31, Vilniaus m., Vilniaus m. sav.</t>
  </si>
  <si>
    <t>2025-11-24 12:21:00</t>
  </si>
  <si>
    <t>2025-11-24 12:34:03</t>
  </si>
  <si>
    <t>2025-11-24 12:21:04</t>
  </si>
  <si>
    <t>2025-11-24 12:21:11</t>
  </si>
  <si>
    <t>2025-11-24 12:21:13</t>
  </si>
  <si>
    <t>2025-11-24 12:21:17</t>
  </si>
  <si>
    <t>Santariškių g. 29, Vilniaus m., Vilniaus m. sav.</t>
  </si>
  <si>
    <t>2025-11-24 12:21:22</t>
  </si>
  <si>
    <t>2025-11-24 12:21:26</t>
  </si>
  <si>
    <t>Pajautos g. 31, Vilniaus m., Vilniaus m. sav.</t>
  </si>
  <si>
    <t>2025-11-24 12:21:32</t>
  </si>
  <si>
    <t>2025-11-24 12:21:34</t>
  </si>
  <si>
    <t>2025-11-24 12:21:35</t>
  </si>
  <si>
    <t>Linkmenų g. 6, Vilniaus m., Vilniaus m. sav.</t>
  </si>
  <si>
    <t>2025-11-24 12:21:42</t>
  </si>
  <si>
    <t>Kovo 11-osios g. 33, Grigiškės, Vilniaus m. sav.</t>
  </si>
  <si>
    <t>2025-11-24 12:21:43</t>
  </si>
  <si>
    <t>2025-11-24 12:21:44</t>
  </si>
  <si>
    <t>2025-11-24 12:21:46</t>
  </si>
  <si>
    <t>2025-11-24 12:21:48</t>
  </si>
  <si>
    <t>Žirgupės g. 3B, Vilniaus m., Vilniaus m. sav.</t>
  </si>
  <si>
    <t>2025-11-24 12:29:56</t>
  </si>
  <si>
    <t>Žirgupės g. 3, Vilniaus m., Vilniaus m. sav.</t>
  </si>
  <si>
    <t>2025-11-24 12:21:49</t>
  </si>
  <si>
    <t>Eišiškių pl. 76, Vilniaus m., Vilniaus m. sav.</t>
  </si>
  <si>
    <t>2025-11-24 12:21:50</t>
  </si>
  <si>
    <t>2025-11-24 12:21:52</t>
  </si>
  <si>
    <t>2025-11-24 12:34:24</t>
  </si>
  <si>
    <t>2025-11-24 12:21:54</t>
  </si>
  <si>
    <t>Vido Maciulevičiaus g. 24, Vilniaus m., Vilniaus m. sav.</t>
  </si>
  <si>
    <t>2025-11-24 12:21:57</t>
  </si>
  <si>
    <t>Santariškių g. 57, Vilniaus m., Vilniaus m. sav.</t>
  </si>
  <si>
    <t>2025-11-24 12:22:04</t>
  </si>
  <si>
    <t>2025-11-24 12:22:05</t>
  </si>
  <si>
    <t>Santariškių g. 67, Vilniaus m., Vilniaus m. sav.</t>
  </si>
  <si>
    <t>2025-11-24 12:22:08</t>
  </si>
  <si>
    <t>Žirgupės g. 3A, Vilniaus m., Vilniaus m. sav.</t>
  </si>
  <si>
    <t>2025-11-24 12:22:13</t>
  </si>
  <si>
    <t>2025-11-24 12:31:41</t>
  </si>
  <si>
    <t>2025-11-24 12:22:16</t>
  </si>
  <si>
    <t>2025-11-24 12:22:18</t>
  </si>
  <si>
    <t>2025-11-24 12:22:28</t>
  </si>
  <si>
    <t>Kelmijos Sodų 10-oji g. 21, Vilniaus m., Vilniaus m. sav.</t>
  </si>
  <si>
    <t>2025-11-24 12:22:29</t>
  </si>
  <si>
    <t>2025-11-24 13:59:18</t>
  </si>
  <si>
    <t>2025-11-24 12:22:33</t>
  </si>
  <si>
    <t>2025-11-24 12:22:34</t>
  </si>
  <si>
    <t>Kelmijos Sodų 10-oji g. 3, Vilniaus m., Vilniaus m. sav.</t>
  </si>
  <si>
    <t>2025-11-24 12:22:37</t>
  </si>
  <si>
    <t>2025-11-24 12:22:38</t>
  </si>
  <si>
    <t>2025-11-24 12:22:39</t>
  </si>
  <si>
    <t>2025-11-24 12:22:40</t>
  </si>
  <si>
    <t>2025-11-24 12:22:41</t>
  </si>
  <si>
    <t>2025-11-24 12:22:42</t>
  </si>
  <si>
    <t>2025-11-24 12:22:52</t>
  </si>
  <si>
    <t>2025-11-24 12:22:54</t>
  </si>
  <si>
    <t>Kelmijos Sodų 10-oji g. 6, Vilniaus m., Vilniaus m. sav.</t>
  </si>
  <si>
    <t>2025-11-24 12:22:55</t>
  </si>
  <si>
    <t>2025-11-24 12:23:03</t>
  </si>
  <si>
    <t>Santariškių g. 85, Vilniaus m., Vilniaus m. sav.</t>
  </si>
  <si>
    <t>2025-11-24 12:23:05</t>
  </si>
  <si>
    <t>Dariaus ir Girėno g. 113A, Vilniaus m., Vilniaus m. sav.</t>
  </si>
  <si>
    <t>2025-11-24 12:23:10</t>
  </si>
  <si>
    <t>Kelmijos Sodų 10-oji g. 1, Vilniaus m., Vilniaus m. sav.</t>
  </si>
  <si>
    <t>2025-11-24 12:23:13</t>
  </si>
  <si>
    <t>Santariškių g. 109A, Vilniaus m., Vilniaus m. sav.</t>
  </si>
  <si>
    <t>2025-11-24 12:23:15</t>
  </si>
  <si>
    <t>Eišiškių pl. 76C, Vilniaus m., Vilniaus m. sav.</t>
  </si>
  <si>
    <t>2025-11-24 12:23:18</t>
  </si>
  <si>
    <t>2025-11-24 12:23:20</t>
  </si>
  <si>
    <t>Dailidžių g. 13-1, Vilniaus m., Vilniaus m. sav.</t>
  </si>
  <si>
    <t>2025-11-24 12:23:22</t>
  </si>
  <si>
    <t>2025-11-24 12:23:28</t>
  </si>
  <si>
    <t>Olandų g. 3, Vilniaus m., Vilniaus m. sav.</t>
  </si>
  <si>
    <t>2025-11-24 12:55:04</t>
  </si>
  <si>
    <t>2025-11-24 12:23:30</t>
  </si>
  <si>
    <t>Gegliškių g. 2A, Vilniaus m., Vilniaus m. sav.</t>
  </si>
  <si>
    <t>2025-11-24 12:23:32</t>
  </si>
  <si>
    <t>Dailidžių g. 22, Vilniaus m., Vilniaus m. sav.</t>
  </si>
  <si>
    <t>2025-11-24 12:23:34</t>
  </si>
  <si>
    <t>2025-11-24 12:23:37</t>
  </si>
  <si>
    <t>Pupinės g. 8, Vilniaus m., Vilniaus m. sav.</t>
  </si>
  <si>
    <t>2025-11-24 12:23:39</t>
  </si>
  <si>
    <t>Santariškių g. 111, Vilniaus m., Vilniaus m. sav.</t>
  </si>
  <si>
    <t>2025-11-24 12:23:42</t>
  </si>
  <si>
    <t>2025-11-24 12:23:44</t>
  </si>
  <si>
    <t>2025-11-24 12:23:48</t>
  </si>
  <si>
    <t>2025-11-24 14:05:43</t>
  </si>
  <si>
    <t>2025-11-24 12:23:51</t>
  </si>
  <si>
    <t>2025-11-24 12:33:47</t>
  </si>
  <si>
    <t>2025-11-24 12:23:52</t>
  </si>
  <si>
    <t>2025-11-24 12:30:02</t>
  </si>
  <si>
    <t>2025-11-24 12:23:53</t>
  </si>
  <si>
    <t>Vido Maciulevičiaus g. 49, Vilniaus m., Vilniaus m. sav.</t>
  </si>
  <si>
    <t>2025-11-24 12:23:54</t>
  </si>
  <si>
    <t>2025-11-24 12:23:57</t>
  </si>
  <si>
    <t>2025-11-24 12:24:04</t>
  </si>
  <si>
    <t>Kelmijos Sodų 10-oji g. 2, Vilniaus m., Vilniaus m. sav.</t>
  </si>
  <si>
    <t>2025-11-24 12:24:10</t>
  </si>
  <si>
    <t>2025-11-24 13:04:15</t>
  </si>
  <si>
    <t>Kelmijos Sodų 10-oji g. 15, Vilniaus m., Vilniaus m. sav.</t>
  </si>
  <si>
    <t>2025-11-24 12:24:14</t>
  </si>
  <si>
    <t>2025-11-24 12:24:15</t>
  </si>
  <si>
    <t>Santariškių g. 115, Vilniaus m., Vilniaus m. sav.</t>
  </si>
  <si>
    <t>2025-11-24 12:24:16</t>
  </si>
  <si>
    <t>Žirgupės g. 4, Vilniaus m., Vilniaus m. sav.</t>
  </si>
  <si>
    <t>2025-11-24 12:24:19</t>
  </si>
  <si>
    <t>Santariškių g. 59, Vilniaus m., Vilniaus m. sav.</t>
  </si>
  <si>
    <t>2025-11-24 12:24:21</t>
  </si>
  <si>
    <t>2025-11-24 12:24:26</t>
  </si>
  <si>
    <t>2025-11-24 12:32:09</t>
  </si>
  <si>
    <t>2025-11-24 12:24:27</t>
  </si>
  <si>
    <t>2025-11-24 12:24:31</t>
  </si>
  <si>
    <t>Santariškių g. 117, Vilniaus m., Vilniaus m. sav.</t>
  </si>
  <si>
    <t>2025-11-24 12:24:33</t>
  </si>
  <si>
    <t>2025-11-24 12:24:36</t>
  </si>
  <si>
    <t>2025-11-24 12:24:40</t>
  </si>
  <si>
    <t>Kelmijos Sodų 10-oji g. 8, Vilniaus m., Vilniaus m. sav.</t>
  </si>
  <si>
    <t>2025-11-24 12:24:42</t>
  </si>
  <si>
    <t>2025-11-24 12:24:43</t>
  </si>
  <si>
    <t>2025-11-24 12:24:52</t>
  </si>
  <si>
    <t>2025-11-24 12:29:38</t>
  </si>
  <si>
    <t>2025-11-24 12:25:07</t>
  </si>
  <si>
    <t>Žirgupės g. 1A-2, Vilniaus m., Vilniaus m. sav.</t>
  </si>
  <si>
    <t>2025-11-24 12:25:08</t>
  </si>
  <si>
    <t>Žirgupės g. 1A-3, Vilniaus m., Vilniaus m. sav.</t>
  </si>
  <si>
    <t>Žirgupės g. 1A-1, Vilniaus m., Vilniaus m. sav.</t>
  </si>
  <si>
    <t>2025-11-24 12:25:13</t>
  </si>
  <si>
    <t>Žvirgždyno g. 16, Vilniaus m., Vilniaus m. sav.</t>
  </si>
  <si>
    <t>Žvirgždyno g. 20, Vilniaus m., Vilniaus m. sav.</t>
  </si>
  <si>
    <t>2025-11-24 12:25:15</t>
  </si>
  <si>
    <t>2025-11-24 12:25:22</t>
  </si>
  <si>
    <t>2025-11-24 12:26:53</t>
  </si>
  <si>
    <t>2025-11-24 12:25:28</t>
  </si>
  <si>
    <t>Žirgupės g. 1A-5, Vilniaus m., Vilniaus m. sav.</t>
  </si>
  <si>
    <t>2025-11-24 12:25:29</t>
  </si>
  <si>
    <t>Žaliojo Kelio 1-oji g. 2, Vilniaus m., Vilniaus m. sav.</t>
  </si>
  <si>
    <t>2025-11-24 12:25:31</t>
  </si>
  <si>
    <t>P. Vileišio g. 14, Vilniaus m., Vilniaus m. sav.</t>
  </si>
  <si>
    <t>2025-11-24 12:25:32</t>
  </si>
  <si>
    <t>Santariškių g. 63, Vilniaus m., Vilniaus m. sav.</t>
  </si>
  <si>
    <t>2025-11-24 12:25:33</t>
  </si>
  <si>
    <t>2025-11-24 13:59:19</t>
  </si>
  <si>
    <t>2025-11-24 12:25:34</t>
  </si>
  <si>
    <t>2025-11-24 12:25:35</t>
  </si>
  <si>
    <t>2025-11-24 12:25:44</t>
  </si>
  <si>
    <t>Kelmijos Sodų 10-oji g. 12, Vilniaus m., Vilniaus m. sav.</t>
  </si>
  <si>
    <t>2025-11-24 12:25:48</t>
  </si>
  <si>
    <t>2025-11-24 12:25:49</t>
  </si>
  <si>
    <t>2025-11-24 12:25:53</t>
  </si>
  <si>
    <t>2025-11-24 12:32:19</t>
  </si>
  <si>
    <t>2025-11-24 12:25:55</t>
  </si>
  <si>
    <t>2025-11-24 12:25:56</t>
  </si>
  <si>
    <t>Lazdynų g. 52, Vilniaus m., Vilniaus m. sav.</t>
  </si>
  <si>
    <t>2025-11-24 12:26:04</t>
  </si>
  <si>
    <t>2025-11-24 12:34:01</t>
  </si>
  <si>
    <t>2025-11-24 12:26:05</t>
  </si>
  <si>
    <t>Dariaus ir Girėno g. 149, Vilniaus m., Vilniaus m. sav.</t>
  </si>
  <si>
    <t>2025-11-24 12:26:09</t>
  </si>
  <si>
    <t>2025-11-24 12:26:15</t>
  </si>
  <si>
    <t>2025-11-24 12:26:20</t>
  </si>
  <si>
    <t>T. Kosciuškos g. 36A, Vilniaus m., Vilniaus m. sav.</t>
  </si>
  <si>
    <t>2025-11-24 12:26:24</t>
  </si>
  <si>
    <t>Vido Maciulevičiaus g. 20, Vilniaus m., Vilniaus m. sav.</t>
  </si>
  <si>
    <t>2025-11-24 12:26:28</t>
  </si>
  <si>
    <t>Žvirgždyno g. 18, Vilniaus m., Vilniaus m. sav.</t>
  </si>
  <si>
    <t>2025-11-24 12:26:29</t>
  </si>
  <si>
    <t>Linkmenų g. 5, Vilniaus m., Vilniaus m. sav.</t>
  </si>
  <si>
    <t>2025-11-24 12:26:33</t>
  </si>
  <si>
    <t>2025-11-24 12:30:03</t>
  </si>
  <si>
    <t>Lazdynų g. 50, Vilniaus m., Vilniaus m. sav.</t>
  </si>
  <si>
    <t>2025-11-24 12:26:38</t>
  </si>
  <si>
    <t>2025-11-24 12:26:41</t>
  </si>
  <si>
    <t>2025-11-24 12:26:44</t>
  </si>
  <si>
    <t>Kalvarijų g. 178B, Vilniaus m., Vilniaus m. sav.</t>
  </si>
  <si>
    <t>Pupinės g. 6, Vilniaus m., Vilniaus m. sav.</t>
  </si>
  <si>
    <t>2025-11-24 12:26:55</t>
  </si>
  <si>
    <t>Žirgupės g. 1B-1, Vilniaus m., Vilniaus m. sav.</t>
  </si>
  <si>
    <t>2025-11-24 12:27:00</t>
  </si>
  <si>
    <t>2025-11-24 12:34:07</t>
  </si>
  <si>
    <t>2025-11-24 12:27:03</t>
  </si>
  <si>
    <t>2025-11-24 12:34:08</t>
  </si>
  <si>
    <t>2025-11-24 12:27:05</t>
  </si>
  <si>
    <t>2025-11-24 12:27:08</t>
  </si>
  <si>
    <t>2025-11-24 12:34:09</t>
  </si>
  <si>
    <t>2025-11-24 12:27:17</t>
  </si>
  <si>
    <t>Krokuvos g. 60, Vilniaus m., Vilniaus m. sav.</t>
  </si>
  <si>
    <t>2025-11-24 12:27:21</t>
  </si>
  <si>
    <t>Žirgupės g. 1B-2, Vilniaus m., Vilniaus m. sav.</t>
  </si>
  <si>
    <t>Žvirgždyno g. 14, Vilniaus m., Vilniaus m. sav.</t>
  </si>
  <si>
    <t>2025-11-24 12:27:31</t>
  </si>
  <si>
    <t>2025-11-24 12:27:38</t>
  </si>
  <si>
    <t>Kelmijos Sodų 2-oji g. 2, Vilniaus m., Vilniaus m. sav.</t>
  </si>
  <si>
    <t>2025-11-24 12:27:40</t>
  </si>
  <si>
    <t>Dailidžių g. 18, Vilniaus m., Vilniaus m. sav.</t>
  </si>
  <si>
    <t>2025-11-24 12:27:42</t>
  </si>
  <si>
    <t>2025-11-24 12:27:52</t>
  </si>
  <si>
    <t>2025-11-24 12:27:55</t>
  </si>
  <si>
    <t>2025-11-24 12:27:58</t>
  </si>
  <si>
    <t>Žvirgždyno g. 15, Vilniaus m., Vilniaus m. sav.</t>
  </si>
  <si>
    <t>2025-11-24 12:27:59</t>
  </si>
  <si>
    <t>Tolminkiemio g. 2D, Vilniaus m., Vilniaus m. sav.</t>
  </si>
  <si>
    <t>2025-11-24 12:28:03</t>
  </si>
  <si>
    <t>2025-11-24 12:34:37</t>
  </si>
  <si>
    <t>2025-11-24 12:28:06</t>
  </si>
  <si>
    <t>2025-11-24 12:28:12</t>
  </si>
  <si>
    <t>Žvirgždyno g. 16-2, Vilniaus m., Vilniaus m. sav.</t>
  </si>
  <si>
    <t>2025-11-24 12:28:18</t>
  </si>
  <si>
    <t>Žvirgždyno g. 11, Vilniaus m., Vilniaus m. sav.</t>
  </si>
  <si>
    <t>Grendavės g. 34G, Vilniaus m., Vilniaus m. sav.</t>
  </si>
  <si>
    <t>2025-11-24 12:28:24</t>
  </si>
  <si>
    <t>2025-11-24 12:28:30</t>
  </si>
  <si>
    <t>Parko g. 23C, Vilniaus m., Vilniaus m. sav.</t>
  </si>
  <si>
    <t>2025-11-24 12:28:32</t>
  </si>
  <si>
    <t>2025-11-24 12:34:41</t>
  </si>
  <si>
    <t>2025-11-24 12:28:34</t>
  </si>
  <si>
    <t>2025-11-24 12:28:36</t>
  </si>
  <si>
    <t>2025-11-24 12:28:40</t>
  </si>
  <si>
    <t>T. Kosciuškos g. 30, Vilniaus m., Vilniaus m. sav.</t>
  </si>
  <si>
    <t>2025-11-24 12:28:42</t>
  </si>
  <si>
    <t>Vido Maciulevičiaus g. 45, Vilniaus m., Vilniaus m. sav.</t>
  </si>
  <si>
    <t>Gegliškių g. 2, Vilniaus m., Vilniaus m. sav.</t>
  </si>
  <si>
    <t>2025-11-24 12:28:44</t>
  </si>
  <si>
    <t>2025-11-24 12:28:45</t>
  </si>
  <si>
    <t>Pupinės g. 1A, Vilniaus m., Vilniaus m. sav.</t>
  </si>
  <si>
    <t>2025-11-24 12:28:48</t>
  </si>
  <si>
    <t>2025-11-24 12:28:50</t>
  </si>
  <si>
    <t>2025-11-24 12:28:53</t>
  </si>
  <si>
    <t>P. Vileišio g. 9, Vilniaus m., Vilniaus m. sav.</t>
  </si>
  <si>
    <t>2025-11-24 12:28:56</t>
  </si>
  <si>
    <t>2025-11-24 12:34:45</t>
  </si>
  <si>
    <t>2025-11-24 12:28:57</t>
  </si>
  <si>
    <t>2025-11-24 12:29:00</t>
  </si>
  <si>
    <t>Kelmijos Sodų 11-oji g. 34, Vilniaus m., Vilniaus m. sav.</t>
  </si>
  <si>
    <t>2025-11-24 12:29:06</t>
  </si>
  <si>
    <t>2025-11-24 12:29:12</t>
  </si>
  <si>
    <t>Skersinės g. 17, Vilniaus m., Vilniaus m. sav.</t>
  </si>
  <si>
    <t>2025-11-24 12:29:13</t>
  </si>
  <si>
    <t>Žirgupės g. 8, Vilniaus m., Vilniaus m. sav.</t>
  </si>
  <si>
    <t>2025-11-24 12:29:15</t>
  </si>
  <si>
    <t>2025-11-24 12:29:17</t>
  </si>
  <si>
    <t>2025-11-24 12:29:18</t>
  </si>
  <si>
    <t>A. Kojelavičiaus g. 242-2, Vilniaus m., Vilniaus m. sav.</t>
  </si>
  <si>
    <t>2025-11-24 12:29:19</t>
  </si>
  <si>
    <t>2025-11-24 12:29:21</t>
  </si>
  <si>
    <t>Parko g. 23B, Vilniaus m., Vilniaus m. sav.</t>
  </si>
  <si>
    <t>2025-11-24 12:29:52</t>
  </si>
  <si>
    <t>2025-11-24 12:34:22</t>
  </si>
  <si>
    <t>2025-11-24 12:29:23</t>
  </si>
  <si>
    <t>Šatrijos g. 1, Vilniaus m., Vilniaus m. sav.</t>
  </si>
  <si>
    <t>2025-11-24 12:29:28</t>
  </si>
  <si>
    <t>Jaunimo skg. 3, Grigiškės, Vilniaus m. sav.</t>
  </si>
  <si>
    <t>Dailidžių g. 22B, Vilniaus m., Vilniaus m. sav.</t>
  </si>
  <si>
    <t>Parko g. 23A, Vilniaus m., Vilniaus m. sav.</t>
  </si>
  <si>
    <t>Kelmijos Sodų 4-oji g. 8, Vilniaus m., Vilniaus m. sav.</t>
  </si>
  <si>
    <t>Gegliškių g. 4, Vilniaus m., Vilniaus m. sav.</t>
  </si>
  <si>
    <t>2025-11-24 12:50:58</t>
  </si>
  <si>
    <t>Kelmijos Sodų 4-oji g. 9, Vilniaus m., Vilniaus m. sav.</t>
  </si>
  <si>
    <t>Lazdynų g. 17, Vilniaus m., Vilniaus m. sav.</t>
  </si>
  <si>
    <t>Kelmijos Sodų 3-ioji g. 7, Vilniaus m., Vilniaus m. sav.</t>
  </si>
  <si>
    <t>2025-11-24 12:30:27</t>
  </si>
  <si>
    <t>Gegliškių g. 4-2, Vilniaus m., Vilniaus m. sav.</t>
  </si>
  <si>
    <t>2025-11-24 12:29:57</t>
  </si>
  <si>
    <t>2025-11-24 12:51:01</t>
  </si>
  <si>
    <t>2025-11-24 12:30:28</t>
  </si>
  <si>
    <t>Dailidžių g. 18D, Vilniaus m., Vilniaus m. sav.</t>
  </si>
  <si>
    <t>2025-11-24 12:30:04</t>
  </si>
  <si>
    <t>2025-11-24 12:30:30</t>
  </si>
  <si>
    <t>2025-11-24 12:30:07</t>
  </si>
  <si>
    <t>2025-11-24 12:30:08</t>
  </si>
  <si>
    <t>2025-11-24 12:30:10</t>
  </si>
  <si>
    <t>2025-11-24 12:30:11</t>
  </si>
  <si>
    <t>2025-11-24 12:51:04</t>
  </si>
  <si>
    <t>2025-11-24 12:30:14</t>
  </si>
  <si>
    <t>2025-11-24 12:30:18</t>
  </si>
  <si>
    <t>Dailidžių g. 18C, Vilniaus m., Vilniaus m. sav.</t>
  </si>
  <si>
    <t>2025-11-24 12:35:08</t>
  </si>
  <si>
    <t>2025-11-24 12:30:22</t>
  </si>
  <si>
    <t>Gegliškių g. 6-1, Vilniaus m., Vilniaus m. sav.</t>
  </si>
  <si>
    <t>Žvirgždyno g. 3, Vilniaus m., Vilniaus m. sav.</t>
  </si>
  <si>
    <t>2025-11-24 12:30:36</t>
  </si>
  <si>
    <t>2025-11-24 13:13:55</t>
  </si>
  <si>
    <t>2025-11-24 12:30:38</t>
  </si>
  <si>
    <t>2025-11-24 12:30:42</t>
  </si>
  <si>
    <t>2025-11-24 12:30:46</t>
  </si>
  <si>
    <t>2025-11-24 12:30:47</t>
  </si>
  <si>
    <t>Sartų g. 6, Vilniaus m., Vilniaus m. sav.</t>
  </si>
  <si>
    <t>2025-11-24 12:39:00</t>
  </si>
  <si>
    <t>2025-11-24 12:30:48</t>
  </si>
  <si>
    <t>Parko g. 23, Vilniaus m., Vilniaus m. sav.</t>
  </si>
  <si>
    <t>2025-11-24 12:30:51</t>
  </si>
  <si>
    <t>Sartų g. 4, Vilniaus m., Vilniaus m. sav.</t>
  </si>
  <si>
    <t>2025-11-24 12:30:52</t>
  </si>
  <si>
    <t>2025-11-24 12:31:01</t>
  </si>
  <si>
    <t>Gegliškių g. 6-2, Vilniaus m., Vilniaus m. sav.</t>
  </si>
  <si>
    <t>2025-11-24 12:51:08</t>
  </si>
  <si>
    <t>2025-11-24 12:31:08</t>
  </si>
  <si>
    <t>2025-11-24 12:50:45</t>
  </si>
  <si>
    <t>2025-11-24 12:31:10</t>
  </si>
  <si>
    <t>Mechanikų g. 3, Vilniaus m., Vilniaus m. sav.</t>
  </si>
  <si>
    <t>2025-11-24 12:31:22</t>
  </si>
  <si>
    <t>2025-11-24 12:31:25</t>
  </si>
  <si>
    <t>Nemenčinės pl. 16, Vilniaus m., Vilniaus m. sav.</t>
  </si>
  <si>
    <t>2025-11-24 12:31:28</t>
  </si>
  <si>
    <t>Gegliškių g. 8, Vilniaus m., Vilniaus m. sav.</t>
  </si>
  <si>
    <t>2025-11-24 12:31:42</t>
  </si>
  <si>
    <t>2025-11-24 12:31:46</t>
  </si>
  <si>
    <t>2025-11-24 12:31:54</t>
  </si>
  <si>
    <t>2025-11-24 12:31:56</t>
  </si>
  <si>
    <t>2025-11-24 12:31:58</t>
  </si>
  <si>
    <t>Kelmijos Sodų 6-oji g. 16, Vilniaus m., Vilniaus m. sav.</t>
  </si>
  <si>
    <t>2025-11-24 12:32:00</t>
  </si>
  <si>
    <t>2025-11-24 12:32:02</t>
  </si>
  <si>
    <t>2025-11-24 12:32:05</t>
  </si>
  <si>
    <t>Dailidžių g. 13-2, Vilniaus m., Vilniaus m. sav.</t>
  </si>
  <si>
    <t>2025-11-24 12:56:26</t>
  </si>
  <si>
    <t>2025-11-24 12:56:34</t>
  </si>
  <si>
    <t>K. Jauniaus g. 3B, Vilniaus m., Vilniaus m. sav.</t>
  </si>
  <si>
    <t>Gegliškių g. 10, Vilniaus m., Vilniaus m. sav.</t>
  </si>
  <si>
    <t>Loretos Asanavičiūtės g. 23, Vilniaus m., Vilniaus m. sav.</t>
  </si>
  <si>
    <t>2025-11-24 12:32:29</t>
  </si>
  <si>
    <t>Lazdynų g. 4A, Vilniaus m., Vilniaus m. sav.</t>
  </si>
  <si>
    <t>2025-11-24 12:32:32</t>
  </si>
  <si>
    <t>2025-11-24 12:32:33</t>
  </si>
  <si>
    <t>Kęstučio g. 18, Vilniaus m., Vilniaus m. sav.</t>
  </si>
  <si>
    <t>2025-11-24 12:32:34</t>
  </si>
  <si>
    <t>2025-11-24 12:41:19</t>
  </si>
  <si>
    <t>2025-11-24 12:32:41</t>
  </si>
  <si>
    <t>2025-11-24 12:32:42</t>
  </si>
  <si>
    <t>Kelmijos Sodų 12-oji g. 4, Vilniaus m., Vilniaus m. sav.</t>
  </si>
  <si>
    <t>2025-11-24 12:32:51</t>
  </si>
  <si>
    <t>2025-11-24 12:32:56</t>
  </si>
  <si>
    <t>Dailidžių g. 26A, Vilniaus m., Vilniaus m. sav.</t>
  </si>
  <si>
    <t>Gegliškių g. 12, Vilniaus m., Vilniaus m. sav.</t>
  </si>
  <si>
    <t>2025-11-24 12:51:16</t>
  </si>
  <si>
    <t>Dariaus ir Girėno g. 155-1A, Vilniaus m., Vilniaus m. sav.</t>
  </si>
  <si>
    <t>2025-11-24 12:33:05</t>
  </si>
  <si>
    <t>Savanorių pr. 13, Vilniaus m., Vilniaus m. sav.</t>
  </si>
  <si>
    <t>2025-11-24 12:33:14</t>
  </si>
  <si>
    <t>Dailidžių g. 22A, Vilniaus m., Vilniaus m. sav.</t>
  </si>
  <si>
    <t>2025-11-24 12:33:18</t>
  </si>
  <si>
    <t>2025-11-24 12:33:26</t>
  </si>
  <si>
    <t>Kelmijos Sodų 12-oji g. 10, Vilniaus m., Vilniaus m. sav.</t>
  </si>
  <si>
    <t>2025-11-24 12:33:36</t>
  </si>
  <si>
    <t>2025-11-24 12:46:39</t>
  </si>
  <si>
    <t>2025-11-24 12:41:20</t>
  </si>
  <si>
    <t>Kelmijos Sodų 7-oji g. 14, Vilniaus m., Vilniaus m. sav.</t>
  </si>
  <si>
    <t>2025-11-24 12:33:52</t>
  </si>
  <si>
    <t>Kelmijos Sodų 7-oji g. 24, Vilniaus m., Vilniaus m. sav.</t>
  </si>
  <si>
    <t>2025-11-24 12:33:54</t>
  </si>
  <si>
    <t>Tekliūnų g. 3, Vilniaus m., Vilniaus m. sav.</t>
  </si>
  <si>
    <t>Polocko g. 41, Vilniaus m., Vilniaus m. sav.</t>
  </si>
  <si>
    <t>T. Kosciuškos g. 7, Vilniaus m., Vilniaus m. sav.</t>
  </si>
  <si>
    <t>P. Vileišio g. 3A, Vilniaus m., Vilniaus m. sav.</t>
  </si>
  <si>
    <t>Debesijos g. 8A, Vilniaus m., Vilniaus m. sav.</t>
  </si>
  <si>
    <t>Polocko g. 32B, Vilniaus m., Vilniaus m. sav.</t>
  </si>
  <si>
    <t>2025-11-24 12:36:33</t>
  </si>
  <si>
    <t>2025-11-24 12:34:10</t>
  </si>
  <si>
    <t>Kelmijos Sodų 1-oji g. 11, Vilniaus m., Vilniaus m. sav.</t>
  </si>
  <si>
    <t>Kelmijos Sodų 12-oji g. 19, Vilniaus m., Vilniaus m. sav.</t>
  </si>
  <si>
    <t>Polocko g. 32D, Vilniaus m., Vilniaus m. sav.</t>
  </si>
  <si>
    <t>2025-11-24 12:36:38</t>
  </si>
  <si>
    <t>2025-11-24 12:34:25</t>
  </si>
  <si>
    <t>Tekliūnų g. 5, Vilniaus m., Vilniaus m. sav.</t>
  </si>
  <si>
    <t>2025-11-24 12:34:26</t>
  </si>
  <si>
    <t>2025-11-24 12:34:34</t>
  </si>
  <si>
    <t>Kelmijos Sodų 8-oji g. 10, Vilniaus m., Vilniaus m. sav.</t>
  </si>
  <si>
    <t>Tekliūnų g. 7, Vilniaus m., Vilniaus m. sav.</t>
  </si>
  <si>
    <t>2025-11-24 12:34:36</t>
  </si>
  <si>
    <t>Tekliūnų g. 7-2, Vilniaus m., Vilniaus m. sav.</t>
  </si>
  <si>
    <t>2025-11-24 12:34:38</t>
  </si>
  <si>
    <t>2025-11-24 12:34:39</t>
  </si>
  <si>
    <t>2025-11-24 12:51:28</t>
  </si>
  <si>
    <t>2025-11-24 12:34:42</t>
  </si>
  <si>
    <t>Šatrijos g. 7, Vilniaus m., Vilniaus m. sav.</t>
  </si>
  <si>
    <t>2025-11-24 12:34:47</t>
  </si>
  <si>
    <t>2025-11-24 12:34:48</t>
  </si>
  <si>
    <t>2025-11-24 12:34:49</t>
  </si>
  <si>
    <t>2025-11-24 12:34:51</t>
  </si>
  <si>
    <t>2025-11-24 12:34:53</t>
  </si>
  <si>
    <t>2025-11-24 12:35:00</t>
  </si>
  <si>
    <t>Dailidžių g. 26-2, Vilniaus m., Vilniaus m. sav.</t>
  </si>
  <si>
    <t>2025-11-24 12:35:03</t>
  </si>
  <si>
    <t>2025-11-24 12:35:06</t>
  </si>
  <si>
    <t>Kelmijos Sodų 12-oji g. 11, Vilniaus m., Vilniaus m. sav.</t>
  </si>
  <si>
    <t>Polocko g. 32E, Vilniaus m., Vilniaus m. sav.</t>
  </si>
  <si>
    <t>2025-11-24 12:35:14</t>
  </si>
  <si>
    <t>Vilniaus g. 43, Grigiškės, Vilniaus m. sav.</t>
  </si>
  <si>
    <t>2025-11-24 12:35:20</t>
  </si>
  <si>
    <t>2025-11-24 14:05:46</t>
  </si>
  <si>
    <t>2025-11-24 12:56:41</t>
  </si>
  <si>
    <t>2025-11-24 12:35:22</t>
  </si>
  <si>
    <t>Kelmijos Sodų 9-oji g. 4, Vilniaus m., Vilniaus m. sav.</t>
  </si>
  <si>
    <t>2025-11-24 12:35:24</t>
  </si>
  <si>
    <t>Polocko g. 32C, Vilniaus m., Vilniaus m. sav.</t>
  </si>
  <si>
    <t>2025-11-24 12:35:28</t>
  </si>
  <si>
    <t>Dailidžių g. 36, Vilniaus m., Vilniaus m. sav.</t>
  </si>
  <si>
    <t>2025-11-24 12:56:48</t>
  </si>
  <si>
    <t>2025-11-24 12:53:09</t>
  </si>
  <si>
    <t>2025-11-24 12:35:45</t>
  </si>
  <si>
    <t>2025-11-24 12:35:47</t>
  </si>
  <si>
    <t>2025-11-24 12:53:00</t>
  </si>
  <si>
    <t>Olandų g. 21, Vilniaus m., Vilniaus m. sav.</t>
  </si>
  <si>
    <t>2025-11-24 12:35:52</t>
  </si>
  <si>
    <t>Kelmijos Sodų 12-oji g. 42, Vilniaus m., Vilniaus m. sav.</t>
  </si>
  <si>
    <t>Kelmijos Sodų 10-oji g. 10, Vilniaus m., Vilniaus m. sav.</t>
  </si>
  <si>
    <t>2025-11-24 12:35:56</t>
  </si>
  <si>
    <t>2025-11-24 12:35:57</t>
  </si>
  <si>
    <t>Tekliūnų g. 11B, Vilniaus m., Vilniaus m. sav.</t>
  </si>
  <si>
    <t>2025-11-24 12:53:14</t>
  </si>
  <si>
    <t>2025-11-24 12:35:58</t>
  </si>
  <si>
    <t>2025-11-24 12:53:15</t>
  </si>
  <si>
    <t>2025-11-24 12:36:00</t>
  </si>
  <si>
    <t>Dailidžių g. 28-2, Vilniaus m., Vilniaus m. sav.</t>
  </si>
  <si>
    <t>2025-11-24 12:41:22</t>
  </si>
  <si>
    <t>Tekliūnų g. 11A, Vilniaus m., Vilniaus m. sav.</t>
  </si>
  <si>
    <t>2025-11-24 12:36:10</t>
  </si>
  <si>
    <t>2025-11-24 12:46:48</t>
  </si>
  <si>
    <t>2025-11-24 12:36:12</t>
  </si>
  <si>
    <t>2025-11-24 12:53:17</t>
  </si>
  <si>
    <t>2025-11-24 12:36:22</t>
  </si>
  <si>
    <t>2025-11-24 12:36:28</t>
  </si>
  <si>
    <t>2025-11-24 12:53:19</t>
  </si>
  <si>
    <t>Polocko g. 38-1, Vilniaus m., Vilniaus m. sav.</t>
  </si>
  <si>
    <t>2025-11-24 12:36:53</t>
  </si>
  <si>
    <t>2025-11-24 12:36:31</t>
  </si>
  <si>
    <t>Dariaus Gerbutavičiaus g. 6, Vilniaus m., Vilniaus m. sav.</t>
  </si>
  <si>
    <t>2025-11-24 12:36:32</t>
  </si>
  <si>
    <t>Kelmijos Sodų 12-oji g. 41, Vilniaus m., Vilniaus m. sav.</t>
  </si>
  <si>
    <t>Savanorių pr. 11E, Vilniaus m., Vilniaus m. sav.</t>
  </si>
  <si>
    <t>2025-11-24 12:36:36</t>
  </si>
  <si>
    <t>Linksmoji g. 123, Vilniaus m., Vilniaus m. sav.</t>
  </si>
  <si>
    <t>Debesijos g. 2A, Vilniaus m., Vilniaus m. sav.</t>
  </si>
  <si>
    <t>Tekliūnų g. 9, Vilniaus m., Vilniaus m. sav.</t>
  </si>
  <si>
    <t>2025-11-24 12:53:21</t>
  </si>
  <si>
    <t>2025-11-24 12:53:20</t>
  </si>
  <si>
    <t>2025-11-24 12:36:42</t>
  </si>
  <si>
    <t>Kelmijos Sodų 12-oji g. 46, Vilniaus m., Vilniaus m. sav.</t>
  </si>
  <si>
    <t>2025-11-24 12:36:45</t>
  </si>
  <si>
    <t>2025-11-24 12:36:48</t>
  </si>
  <si>
    <t>Tekliūnų g. 11, Vilniaus m., Vilniaus m. sav.</t>
  </si>
  <si>
    <t>2025-11-24 12:36:50</t>
  </si>
  <si>
    <t>Žaliojo kelio 1-oji g. 2, Vilniaus m., Vilniaus m. sav.</t>
  </si>
  <si>
    <t>2025-11-24 12:36:51</t>
  </si>
  <si>
    <t>2025-11-24 12:36:56</t>
  </si>
  <si>
    <t>2025-11-24 12:37:01</t>
  </si>
  <si>
    <t>Pilaitės pr. 42, Vilniaus m., Vilniaus m. sav.</t>
  </si>
  <si>
    <t>2025-11-24 12:37:02</t>
  </si>
  <si>
    <t>2025-11-24 12:37:04</t>
  </si>
  <si>
    <t>Polocko g. 41-2, Vilniaus m., Vilniaus m. sav.</t>
  </si>
  <si>
    <t>2025-11-24 12:37:05</t>
  </si>
  <si>
    <t>T. Kosciuškos g. 9B, Vilniaus m., Vilniaus m. sav.</t>
  </si>
  <si>
    <t>2025-11-24 12:37:06</t>
  </si>
  <si>
    <t>Dailidžių g. 28-1, Vilniaus m., Vilniaus m. sav.</t>
  </si>
  <si>
    <t>2025-11-24 12:37:07</t>
  </si>
  <si>
    <t>2025-11-24 12:37:11</t>
  </si>
  <si>
    <t>2025-11-24 12:37:14</t>
  </si>
  <si>
    <t>Kelmijos Sodų 12-oji g. 52, Vilniaus m., Vilniaus m. sav.</t>
  </si>
  <si>
    <t>2025-11-24 12:37:17</t>
  </si>
  <si>
    <t>Dailidžių g. 26-1, Vilniaus m., Vilniaus m. sav.</t>
  </si>
  <si>
    <t>2025-11-24 12:37:21</t>
  </si>
  <si>
    <t>2025-11-24 12:37:22</t>
  </si>
  <si>
    <t>2025-11-24 12:37:24</t>
  </si>
  <si>
    <t>2025-11-24 12:37:25</t>
  </si>
  <si>
    <t>2025-11-24 12:37:28</t>
  </si>
  <si>
    <t>Bijūnų g. 2, Vilniaus m., Vilniaus m. sav.</t>
  </si>
  <si>
    <t>2025-11-24 12:50:46</t>
  </si>
  <si>
    <t>2025-11-24 12:37:30</t>
  </si>
  <si>
    <t>Kelmijos Sodų 10-oji g. 14, Vilniaus m., Vilniaus m. sav.</t>
  </si>
  <si>
    <t>2025-11-24 12:37:32</t>
  </si>
  <si>
    <t>2025-11-24 12:37:34</t>
  </si>
  <si>
    <t>Polocko g. 34, Vilniaus m., Vilniaus m. sav.</t>
  </si>
  <si>
    <t>2025-11-24 12:37:38</t>
  </si>
  <si>
    <t>Polocko g. 38-2, Vilniaus m., Vilniaus m. sav.</t>
  </si>
  <si>
    <t>2025-11-24 12:37:52</t>
  </si>
  <si>
    <t>2025-11-24 12:37:41</t>
  </si>
  <si>
    <t>Laumėnų g. 2, Vilniaus m., Vilniaus m. sav.</t>
  </si>
  <si>
    <t>2025-11-24 12:37:44</t>
  </si>
  <si>
    <t>Kelmijos Sodų 12-oji g. 54, Vilniaus m., Vilniaus m. sav.</t>
  </si>
  <si>
    <t>Justiniškių g. 107, Vilniaus m., Vilniaus m. sav.</t>
  </si>
  <si>
    <t>2025-11-24 12:37:45</t>
  </si>
  <si>
    <t>2025-11-24 12:37:47</t>
  </si>
  <si>
    <t>Polocko g. 43C, Vilniaus m., Vilniaus m. sav.</t>
  </si>
  <si>
    <t>2025-11-24 12:37:58</t>
  </si>
  <si>
    <t>Jono Kairiūkščio g. 9A, Vilniaus m., Vilniaus m. sav.</t>
  </si>
  <si>
    <t>2025-11-24 12:58:44</t>
  </si>
  <si>
    <t>2025-11-24 12:38:00</t>
  </si>
  <si>
    <t>Tekliūnų g. 13, Vilniaus m., Vilniaus m. sav.</t>
  </si>
  <si>
    <t>2025-11-24 12:38:02</t>
  </si>
  <si>
    <t>2025-11-24 12:38:05</t>
  </si>
  <si>
    <t>2025-11-24 12:53:28</t>
  </si>
  <si>
    <t>2025-11-24 12:53:58</t>
  </si>
  <si>
    <t>2025-11-24 12:38:20</t>
  </si>
  <si>
    <t>2025-11-24 12:38:21</t>
  </si>
  <si>
    <t>2025-11-24 12:38:29</t>
  </si>
  <si>
    <t>Pasakų g. 6, Vilniaus m., Vilniaus m. sav.</t>
  </si>
  <si>
    <t>2025-11-24 12:38:33</t>
  </si>
  <si>
    <t>2025-11-24 12:38:37</t>
  </si>
  <si>
    <t>2025-11-24 12:38:40</t>
  </si>
  <si>
    <t>2025-11-24 12:38:56</t>
  </si>
  <si>
    <t>Tekliūnų g. 15, Vilniaus m., Vilniaus m. sav.</t>
  </si>
  <si>
    <t>2025-11-24 12:38:57</t>
  </si>
  <si>
    <t>2025-11-24 12:39:08</t>
  </si>
  <si>
    <t>Kelmijos Sodų 12-oji g. 51, Vilniaus m., Vilniaus m. sav.</t>
  </si>
  <si>
    <t>2025-11-24 12:39:14</t>
  </si>
  <si>
    <t>2025-11-24 12:54:04</t>
  </si>
  <si>
    <t>2025-11-24 12:39:20</t>
  </si>
  <si>
    <t>2025-11-24 12:39:30</t>
  </si>
  <si>
    <t>Dariaus Gerbutavičiaus g. 10, Vilniaus m., Vilniaus m. sav.</t>
  </si>
  <si>
    <t>2025-11-24 12:52:06</t>
  </si>
  <si>
    <t>2025-11-24 12:39:31</t>
  </si>
  <si>
    <t>2025-11-24 12:39:32</t>
  </si>
  <si>
    <t>Šumsko g. 117-2, Vilniaus m., Vilniaus m. sav.</t>
  </si>
  <si>
    <t>2025-11-24 12:39:35</t>
  </si>
  <si>
    <t>2025-11-24 12:39:47</t>
  </si>
  <si>
    <t>Tekliūnų g. 17, Vilniaus m., Vilniaus m. sav.</t>
  </si>
  <si>
    <t>2025-11-24 12:54:05</t>
  </si>
  <si>
    <t>M. K. Paco g. 3, Vilniaus m., Vilniaus m. sav.</t>
  </si>
  <si>
    <t>2025-11-24 12:40:02</t>
  </si>
  <si>
    <t>Jono Kairiūkščio g. 5, Vilniaus m., Vilniaus m. sav.</t>
  </si>
  <si>
    <t>2025-11-24 12:41:44</t>
  </si>
  <si>
    <t>2025-11-24 12:40:03</t>
  </si>
  <si>
    <t>2025-11-24 12:40:12</t>
  </si>
  <si>
    <t>Petro Rimšos g. 3F, Vilniaus m., Vilniaus m. sav.</t>
  </si>
  <si>
    <t>2025-11-24 12:40:23</t>
  </si>
  <si>
    <t>2025-11-24 12:40:28</t>
  </si>
  <si>
    <t>2025-11-24 12:40:36</t>
  </si>
  <si>
    <t>Dariaus ir Girėno g. 98, Vilniaus m., Vilniaus m. sav.</t>
  </si>
  <si>
    <t>2025-11-24 12:40:46</t>
  </si>
  <si>
    <t>Parko g. 69, Vilniaus m., Vilniaus m. sav.</t>
  </si>
  <si>
    <t>2025-11-24 12:40:49</t>
  </si>
  <si>
    <t>T. Kosciuškos g. 10, Vilniaus m., Vilniaus m. sav.</t>
  </si>
  <si>
    <t>2025-11-24 12:40:51</t>
  </si>
  <si>
    <t>2025-11-24 12:40:53</t>
  </si>
  <si>
    <t>2025-11-24 13:22:33</t>
  </si>
  <si>
    <t>Nugalėtojų g. 1L, Vilniaus m., Vilniaus m. sav.</t>
  </si>
  <si>
    <t>2025-11-24 12:40:58</t>
  </si>
  <si>
    <t>2025-11-24 12:40:54</t>
  </si>
  <si>
    <t>Neužmirštuolių g. 2, Vilniaus m., Vilniaus m. sav.</t>
  </si>
  <si>
    <t>Kelmijos Sodų 11-oji g. 7, Vilniaus m., Vilniaus m. sav.</t>
  </si>
  <si>
    <t>Tekliūnų g. 23, Vilniaus m., Vilniaus m. sav.</t>
  </si>
  <si>
    <t>Tekliūnų g. 19, Vilniaus m., Vilniaus m. sav.</t>
  </si>
  <si>
    <t>Dailidžių g. 30, Vilniaus m., Vilniaus m. sav.</t>
  </si>
  <si>
    <t>Tekliūnų g. 21, Vilniaus m., Vilniaus m. sav.</t>
  </si>
  <si>
    <t>2025-11-24 12:54:12</t>
  </si>
  <si>
    <t>Kelmijos Sodų 15-oji g. 11, Vilniaus m., Vilniaus m. sav.</t>
  </si>
  <si>
    <t>2025-11-24 12:46:55</t>
  </si>
  <si>
    <t>2025-11-24 12:41:27</t>
  </si>
  <si>
    <t>Dailidžių g. 32-2, Vilniaus m., Vilniaus m. sav.</t>
  </si>
  <si>
    <t>2025-11-24 12:41:32</t>
  </si>
  <si>
    <t>2025-11-24 12:41:37</t>
  </si>
  <si>
    <t>Videniškių g. 1, Vilniaus m., Vilniaus m. sav.</t>
  </si>
  <si>
    <t>2025-11-24 12:41:49</t>
  </si>
  <si>
    <t>Savanorių pr. 31, Vilniaus m., Vilniaus m. sav.</t>
  </si>
  <si>
    <t>2025-11-24 12:41:50</t>
  </si>
  <si>
    <t>2025-11-24 12:41:57</t>
  </si>
  <si>
    <t>2025-11-24 13:23:52</t>
  </si>
  <si>
    <t>2025-11-24 12:41:58</t>
  </si>
  <si>
    <t>2025-11-24 12:41:59</t>
  </si>
  <si>
    <t>2025-11-24 12:42:08</t>
  </si>
  <si>
    <t>2025-11-24 13:00:32</t>
  </si>
  <si>
    <t>2025-11-24 12:42:22</t>
  </si>
  <si>
    <t>2025-11-24 12:42:24</t>
  </si>
  <si>
    <t>Dariaus Gerbutavičiaus g. 12, Vilniaus m., Vilniaus m. sav.</t>
  </si>
  <si>
    <t>2025-11-24 12:42:25</t>
  </si>
  <si>
    <t>2025-11-24 12:42:26</t>
  </si>
  <si>
    <t>Tekliūnų g. 6, Vilniaus m., Vilniaus m. sav.</t>
  </si>
  <si>
    <t>2025-11-24 12:42:27</t>
  </si>
  <si>
    <t>2025-11-24 12:42:31</t>
  </si>
  <si>
    <t>2025-11-24 12:42:45</t>
  </si>
  <si>
    <t>2025-11-24 12:42:51</t>
  </si>
  <si>
    <t>2025-11-24 13:04:16</t>
  </si>
  <si>
    <t>2025-11-24 12:42:55</t>
  </si>
  <si>
    <t>2025-11-24 12:42:56</t>
  </si>
  <si>
    <t>Tekliūnų g. 8, Vilniaus m., Vilniaus m. sav.</t>
  </si>
  <si>
    <t>2025-11-24 12:43:01</t>
  </si>
  <si>
    <t>2025-11-24 12:43:02</t>
  </si>
  <si>
    <t>2025-11-24 12:43:09</t>
  </si>
  <si>
    <t>2025-11-24 12:43:10</t>
  </si>
  <si>
    <t>Dailidžių g. 32-1, Vilniaus m., Vilniaus m. sav.</t>
  </si>
  <si>
    <t>2025-11-24 13:00:34</t>
  </si>
  <si>
    <t>2025-11-24 12:43:15</t>
  </si>
  <si>
    <t>Volungės g. 5, Vilniaus m., Vilniaus m. sav.</t>
  </si>
  <si>
    <t>2025-11-24 12:43:20</t>
  </si>
  <si>
    <t>2025-11-24 12:43:26</t>
  </si>
  <si>
    <t>2025-11-24 12:43:32</t>
  </si>
  <si>
    <t>2025-11-24 13:05:07</t>
  </si>
  <si>
    <t>Gurelių g. 38, Vilniaus m., Vilniaus m. sav.</t>
  </si>
  <si>
    <t>2025-11-24 12:43:34</t>
  </si>
  <si>
    <t>Vydūno g. 11A, Vilniaus m., Vilniaus m. sav.</t>
  </si>
  <si>
    <t>2025-11-24 12:54:46</t>
  </si>
  <si>
    <t>2025-11-24 12:43:38</t>
  </si>
  <si>
    <t>Jonažolių g. 4, Vilniaus m., Vilniaus m. sav.</t>
  </si>
  <si>
    <t>2025-11-24 12:43:39</t>
  </si>
  <si>
    <t>Nugalėtojų g. 14P, Vilniaus m., Vilniaus m. sav.</t>
  </si>
  <si>
    <t>2025-11-24 12:43:40</t>
  </si>
  <si>
    <t>2025-11-24 12:43:45</t>
  </si>
  <si>
    <t>2025-11-24 13:23:53</t>
  </si>
  <si>
    <t>Didžiųjų Gulbinų g. 25, Vilniaus m., Vilniaus m. sav.</t>
  </si>
  <si>
    <t>2025-11-24 12:43:50</t>
  </si>
  <si>
    <t>2025-11-24 12:43:51</t>
  </si>
  <si>
    <t>2025-11-24 12:43:54</t>
  </si>
  <si>
    <t>2025-11-24 12:43:55</t>
  </si>
  <si>
    <t>Dailidžių g. 46-1, Vilniaus m., Vilniaus m. sav.</t>
  </si>
  <si>
    <t>2025-11-24 13:00:36</t>
  </si>
  <si>
    <t>2025-11-24 12:44:01</t>
  </si>
  <si>
    <t>Dailidžių g. 46-2, Vilniaus m., Vilniaus m. sav.</t>
  </si>
  <si>
    <t>2025-11-24 12:44:06</t>
  </si>
  <si>
    <t>2025-11-24 12:44:07</t>
  </si>
  <si>
    <t>2025-11-24 12:44:11</t>
  </si>
  <si>
    <t>2025-11-24 12:44:15</t>
  </si>
  <si>
    <t>2025-11-24 12:44:16</t>
  </si>
  <si>
    <t>Linksmoji g. 66, Vilniaus m., Vilniaus m. sav.</t>
  </si>
  <si>
    <t>2025-11-24 12:51:02</t>
  </si>
  <si>
    <t>2025-11-24 12:44:18</t>
  </si>
  <si>
    <t>2025-11-24 12:44:19</t>
  </si>
  <si>
    <t>2025-11-24 12:44:27</t>
  </si>
  <si>
    <t>2025-11-24 12:44:31</t>
  </si>
  <si>
    <t>2025-11-24 12:44:41</t>
  </si>
  <si>
    <t>Taikos g. 66, Vilniaus m., Vilniaus m. sav.</t>
  </si>
  <si>
    <t>2025-11-24 12:44:47</t>
  </si>
  <si>
    <t>Dailidžių g. 34-1, Vilniaus m., Vilniaus m. sav.</t>
  </si>
  <si>
    <t>2025-11-24 12:44:51</t>
  </si>
  <si>
    <t>2025-11-24 12:44:52</t>
  </si>
  <si>
    <t>2025-11-24 12:45:01</t>
  </si>
  <si>
    <t>2025-11-24 12:45:02</t>
  </si>
  <si>
    <t>Lentvario g. 21, Grigiškės, Vilniaus m. sav.</t>
  </si>
  <si>
    <t>2025-11-24 12:45:07</t>
  </si>
  <si>
    <t>2025-11-24 12:45:11</t>
  </si>
  <si>
    <t>Oršos g. 5, Vilniaus m., Vilniaus m. sav.</t>
  </si>
  <si>
    <t>2025-11-24 12:45:28</t>
  </si>
  <si>
    <t>2025-11-24 12:45:31</t>
  </si>
  <si>
    <t>Nugalėtojų g. 26, Vilniaus m., Vilniaus m. sav.</t>
  </si>
  <si>
    <t>2025-11-24 12:45:40</t>
  </si>
  <si>
    <t>Geležinio Vilko g. 23, Vilniaus m., Vilniaus m. sav.</t>
  </si>
  <si>
    <t>Tekliūnų g. 1-2, Vilniaus m., Vilniaus m. sav.</t>
  </si>
  <si>
    <t>2025-11-24 12:45:41</t>
  </si>
  <si>
    <t>Dailidžių g. 42A, Vilniaus m., Vilniaus m. sav.</t>
  </si>
  <si>
    <t>2025-11-24 12:45:43</t>
  </si>
  <si>
    <t>Volungės g. 11, Vilniaus m., Vilniaus m. sav.</t>
  </si>
  <si>
    <t>2025-11-24 12:45:46</t>
  </si>
  <si>
    <t>2025-11-24 12:45:50</t>
  </si>
  <si>
    <t>2025-11-24 12:45:55</t>
  </si>
  <si>
    <t>2025-11-24 12:46:01</t>
  </si>
  <si>
    <t>Tekliūnų g. 1-1, Vilniaus m., Vilniaus m. sav.</t>
  </si>
  <si>
    <t>2025-11-24 12:46:06</t>
  </si>
  <si>
    <t>2025-11-24 12:46:20</t>
  </si>
  <si>
    <t>2025-11-24 12:46:24</t>
  </si>
  <si>
    <t>Agrastų g. 16, Vilniaus m., Vilniaus m. sav.</t>
  </si>
  <si>
    <t>2025-11-24 12:46:29</t>
  </si>
  <si>
    <t>Bukčių g. 11, Vilniaus m., Vilniaus m. sav.</t>
  </si>
  <si>
    <t>2025-11-24 12:46:41</t>
  </si>
  <si>
    <t>Algimanto Petro Kavoliuko g. 12, Vilniaus m., Vilniaus m. sav.</t>
  </si>
  <si>
    <t>2025-11-24 12:52:07</t>
  </si>
  <si>
    <t>Rytų g. 13, Vilniaus m., Vilniaus m. sav.</t>
  </si>
  <si>
    <t>2025-11-24 12:47:07</t>
  </si>
  <si>
    <t>Ryliškių g. 7, Vilniaus m., Vilniaus m. sav.</t>
  </si>
  <si>
    <t>2025-11-24 12:47:12</t>
  </si>
  <si>
    <t>2025-11-24 12:47:13</t>
  </si>
  <si>
    <t>2025-11-24 12:47:17</t>
  </si>
  <si>
    <t>2025-11-24 12:47:46</t>
  </si>
  <si>
    <t>2025-11-24 12:47:48</t>
  </si>
  <si>
    <t>T. Kosciuškos g. 24, Vilniaus m., Vilniaus m. sav.</t>
  </si>
  <si>
    <t>2025-11-24 12:47:49</t>
  </si>
  <si>
    <t>Vydūno g. 4, Vilniaus m., Vilniaus m. sav.</t>
  </si>
  <si>
    <t>2025-11-24 12:47:52</t>
  </si>
  <si>
    <t>2025-11-24 12:47:56</t>
  </si>
  <si>
    <t>2025-11-24 12:47:58</t>
  </si>
  <si>
    <t>Ryliškių g. 10, Vilniaus m., Vilniaus m. sav.</t>
  </si>
  <si>
    <t>2025-11-24 12:54:32</t>
  </si>
  <si>
    <t>2025-11-24 12:48:00</t>
  </si>
  <si>
    <t>2025-11-24 12:48:07</t>
  </si>
  <si>
    <t>Kernavės g. 4, Vilniaus m., Vilniaus m. sav.</t>
  </si>
  <si>
    <t>2025-11-24 12:48:10</t>
  </si>
  <si>
    <t>2025-11-24 12:54:33</t>
  </si>
  <si>
    <t>2025-11-24 12:48:18</t>
  </si>
  <si>
    <t>Taikos g. 44, Vilniaus m., Vilniaus m. sav.</t>
  </si>
  <si>
    <t>2025-11-24 12:48:30</t>
  </si>
  <si>
    <t>Kelmijos Sodų 13-oji g. 4, Vilniaus m., Vilniaus m. sav.</t>
  </si>
  <si>
    <t>2025-11-24 12:48:37</t>
  </si>
  <si>
    <t>Rytų g. 37, Vilniaus m., Vilniaus m. sav.</t>
  </si>
  <si>
    <t>2025-11-24 12:48:39</t>
  </si>
  <si>
    <t>Gegliškių g. 16, Vilniaus m., Vilniaus m. sav.</t>
  </si>
  <si>
    <t>2025-11-24 12:48:49</t>
  </si>
  <si>
    <t>Kelmijos Sodų 14-oji g. 6, Vilniaus m., Vilniaus m. sav.</t>
  </si>
  <si>
    <t>2025-11-24 13:00:57</t>
  </si>
  <si>
    <t>2025-11-24 12:48:55</t>
  </si>
  <si>
    <t>2025-11-24 13:00:59</t>
  </si>
  <si>
    <t>2025-11-24 12:48:59</t>
  </si>
  <si>
    <t>2025-11-24 12:49:00</t>
  </si>
  <si>
    <t>Kelmijos Sodų 13-oji g. 6, Vilniaus m., Vilniaus m. sav.</t>
  </si>
  <si>
    <t>2025-11-24 12:49:01</t>
  </si>
  <si>
    <t>2025-11-24 12:49:07</t>
  </si>
  <si>
    <t>Eišiškių pl. 127, Vilniaus m., Vilniaus m. sav.</t>
  </si>
  <si>
    <t>2025-11-24 12:49:08</t>
  </si>
  <si>
    <t>Konstitucijos pr. 21C, Vilniaus m., Vilniaus m. sav.</t>
  </si>
  <si>
    <t>2025-11-24 12:49:10</t>
  </si>
  <si>
    <t>2025-11-24 12:49:16</t>
  </si>
  <si>
    <t>Gerosios Vilties g. 1A, Vilniaus m., Vilniaus m. sav.</t>
  </si>
  <si>
    <t>Fizikų g. 12, Vilniaus m., Vilniaus m. sav.</t>
  </si>
  <si>
    <t>2025-11-24 12:49:19</t>
  </si>
  <si>
    <t>Kelmijos Sodų 14-oji g. 14, Vilniaus m., Vilniaus m. sav.</t>
  </si>
  <si>
    <t>2025-11-24 12:49:30</t>
  </si>
  <si>
    <t>Kelmijos Sodų 14-oji g. 4, Vilniaus m., Vilniaus m. sav.</t>
  </si>
  <si>
    <t>2025-11-24 12:49:31</t>
  </si>
  <si>
    <t>Gegliškių g. 18, Vilniaus m., Vilniaus m. sav.</t>
  </si>
  <si>
    <t>2025-11-24 12:49:35</t>
  </si>
  <si>
    <t>2025-11-24 12:54:38</t>
  </si>
  <si>
    <t>2025-11-24 12:49:43</t>
  </si>
  <si>
    <t>Dailidžių g. 38, Vilniaus m., Vilniaus m. sav.</t>
  </si>
  <si>
    <t>2025-11-24 12:49:46</t>
  </si>
  <si>
    <t>2025-11-24 12:49:48</t>
  </si>
  <si>
    <t>2025-11-24 12:49:49</t>
  </si>
  <si>
    <t>2025-11-24 12:49:58</t>
  </si>
  <si>
    <t>Fizikų g. 10, Vilniaus m., Vilniaus m. sav.</t>
  </si>
  <si>
    <t>2025-11-24 12:50:07</t>
  </si>
  <si>
    <t>Gegliškių g. 20, Vilniaus m., Vilniaus m. sav.</t>
  </si>
  <si>
    <t>2025-11-24 12:50:08</t>
  </si>
  <si>
    <t>2025-11-24 12:50:11</t>
  </si>
  <si>
    <t>2025-11-24 12:54:40</t>
  </si>
  <si>
    <t>2025-11-24 12:50:13</t>
  </si>
  <si>
    <t>Kelmijos Sodų 14-oji g. 16, Vilniaus m., Vilniaus m. sav.</t>
  </si>
  <si>
    <t>2025-11-24 13:01:00</t>
  </si>
  <si>
    <t>2025-11-24 12:50:19</t>
  </si>
  <si>
    <t>2025-11-24 12:50:20</t>
  </si>
  <si>
    <t>Dailidžių g. 52A-1, Vilniaus m., Vilniaus m. sav.</t>
  </si>
  <si>
    <t>2025-11-24 12:50:25</t>
  </si>
  <si>
    <t>2025-11-24 12:50:32</t>
  </si>
  <si>
    <t>2025-11-24 12:50:44</t>
  </si>
  <si>
    <t>Dailidžių g. 50-3, Vilniaus m., Vilniaus m. sav.</t>
  </si>
  <si>
    <t>Algimanto Petro Kavoliuko g. 13, Vilniaus m., Vilniaus m. sav.</t>
  </si>
  <si>
    <t>Kelmijos Sodų 13-oji g. 23, Vilniaus m., Vilniaus m. sav.</t>
  </si>
  <si>
    <t>Kelmijos Sodų 13-oji g. 25A, Vilniaus m., Vilniaus m. sav.</t>
  </si>
  <si>
    <t>Kelmijos Sodų 13-oji g. 7, Vilniaus m., Vilniaus m. sav.</t>
  </si>
  <si>
    <t>Kelmijos Sodų 13-oji g. 10, Vilniaus m., Vilniaus m. sav.</t>
  </si>
  <si>
    <t>2025-11-24 12:50:49</t>
  </si>
  <si>
    <t>2025-11-24 12:50:54</t>
  </si>
  <si>
    <t>Kelmijos Sodų 13-oji g. 8, Vilniaus m., Vilniaus m. sav.</t>
  </si>
  <si>
    <t>Gegliškių g. 22-1, Vilniaus m., Vilniaus m. sav.</t>
  </si>
  <si>
    <t>Kelmijos Sodų 13-oji g. 12, Vilniaus m., Vilniaus m. sav.</t>
  </si>
  <si>
    <t>Gegliškių g. 21, Vilniaus m., Vilniaus m. sav.</t>
  </si>
  <si>
    <t>2025-11-24 13:14:42</t>
  </si>
  <si>
    <t>Dailidžių g. 52, Vilniaus m., Vilniaus m. sav.</t>
  </si>
  <si>
    <t>2025-11-24 12:51:26</t>
  </si>
  <si>
    <t>2025-11-24 13:14:45</t>
  </si>
  <si>
    <t>2025-11-24 12:51:33</t>
  </si>
  <si>
    <t>2025-11-24 12:51:57</t>
  </si>
  <si>
    <t>2025-11-24 12:51:34</t>
  </si>
  <si>
    <t>2025-11-24 13:32:32</t>
  </si>
  <si>
    <t>2025-11-24 12:51:41</t>
  </si>
  <si>
    <t>2025-11-24 12:51:49</t>
  </si>
  <si>
    <t>2025-11-24 12:52:19</t>
  </si>
  <si>
    <t>2025-11-24 12:51:50</t>
  </si>
  <si>
    <t>Kelmijos Sodų 13-oji g. 24, Vilniaus m., Vilniaus m. sav.</t>
  </si>
  <si>
    <t>2025-11-24 12:51:52</t>
  </si>
  <si>
    <t>Gerosios Vilties g. 3, Vilniaus m., Vilniaus m. sav.</t>
  </si>
  <si>
    <t>2025-11-24 12:51:56</t>
  </si>
  <si>
    <t>Šilo g. 19, Vilniaus m., Vilniaus m. sav.</t>
  </si>
  <si>
    <t>Gailestingųjų Seserų g. 7, Vilniaus m., Vilniaus m. sav.</t>
  </si>
  <si>
    <t>2025-11-24 12:52:01</t>
  </si>
  <si>
    <t>Dailidžių g. 48A, Vilniaus m., Vilniaus m. sav.</t>
  </si>
  <si>
    <t>2025-11-24 12:52:03</t>
  </si>
  <si>
    <t>2025-11-24 12:52:04</t>
  </si>
  <si>
    <t>Piliakalnio g. 7, Vilniaus m., Vilniaus m. sav.</t>
  </si>
  <si>
    <t>Pagubės Sodų 32-oji g. 36, Vilniaus m., Vilniaus m. sav.</t>
  </si>
  <si>
    <t>2025-11-24 12:52:08</t>
  </si>
  <si>
    <t>2025-11-24 12:52:14</t>
  </si>
  <si>
    <t>Kelmiškių g. 28, Vilniaus m., Vilniaus m. sav.</t>
  </si>
  <si>
    <t>2025-11-24 12:52:15</t>
  </si>
  <si>
    <t>2025-11-24 12:52:17</t>
  </si>
  <si>
    <t>Linksmoji g. 3, Vilniaus m., Vilniaus m. sav.</t>
  </si>
  <si>
    <t>2025-11-24 13:17:39</t>
  </si>
  <si>
    <t>2025-11-24 12:52:20</t>
  </si>
  <si>
    <t>2025-11-24 12:52:25</t>
  </si>
  <si>
    <t>2025-11-24 12:52:27</t>
  </si>
  <si>
    <t>Dailidžių g. 50-4, Vilniaus m., Vilniaus m. sav.</t>
  </si>
  <si>
    <t>2025-11-24 12:52:34</t>
  </si>
  <si>
    <t>T. Kosciuškos g. 3, Vilniaus m., Vilniaus m. sav.</t>
  </si>
  <si>
    <t>2025-11-24 12:52:35</t>
  </si>
  <si>
    <t>2025-11-24 12:53:01</t>
  </si>
  <si>
    <t>2025-11-24 13:33:42</t>
  </si>
  <si>
    <t>Kelmijos Sodų 13-oji g. 30, Vilniaus m., Vilniaus m. sav.</t>
  </si>
  <si>
    <t>2025-11-24 12:52:45</t>
  </si>
  <si>
    <t>Kelmiškių g. 26, Vilniaus m., Vilniaus m. sav.</t>
  </si>
  <si>
    <t>2025-11-24 13:14:50</t>
  </si>
  <si>
    <t>2025-11-24 13:14:51</t>
  </si>
  <si>
    <t>2025-11-24 12:52:53</t>
  </si>
  <si>
    <t>Savanorių pr. 55, Vilniaus m., Vilniaus m. sav.</t>
  </si>
  <si>
    <t>Dailidžių g. 50-1, Vilniaus m., Vilniaus m. sav.</t>
  </si>
  <si>
    <t>Kelmijos Sodų 13-oji g. 29, Vilniaus m., Vilniaus m. sav.</t>
  </si>
  <si>
    <t>Algimanto Petro Kavoliuko g. 20, Vilniaus m., Vilniaus m. sav.</t>
  </si>
  <si>
    <t>Bukčių g. 49, Vilniaus m., Vilniaus m. sav.</t>
  </si>
  <si>
    <t>2025-11-24 13:14:31</t>
  </si>
  <si>
    <t>Dailidžių g. 50-2, Vilniaus m., Vilniaus m. sav.</t>
  </si>
  <si>
    <t>2025-11-24 12:53:36</t>
  </si>
  <si>
    <t>Gegliškių g. 24, Vilniaus m., Vilniaus m. sav.</t>
  </si>
  <si>
    <t>2025-11-24 12:53:37</t>
  </si>
  <si>
    <t>2025-11-24 12:53:42</t>
  </si>
  <si>
    <t>2025-11-24 12:53:45</t>
  </si>
  <si>
    <t>2025-11-24 12:53:48</t>
  </si>
  <si>
    <t>Savanorių pr. 53, Vilniaus m., Vilniaus m. sav.</t>
  </si>
  <si>
    <t>2025-11-24 12:53:55</t>
  </si>
  <si>
    <t>Taikos g. 97A, Vilniaus m., Vilniaus m. sav.</t>
  </si>
  <si>
    <t>2025-11-24 12:54:01</t>
  </si>
  <si>
    <t>Dariaus ir Girėno g. 42, Vilniaus m., Vilniaus m. sav.</t>
  </si>
  <si>
    <t>2025-11-24 12:54:02</t>
  </si>
  <si>
    <t>Gegliškių g. 26, Vilniaus m., Vilniaus m. sav.</t>
  </si>
  <si>
    <t>Gegliškių g. 29-1, Vilniaus m., Vilniaus m. sav.</t>
  </si>
  <si>
    <t>Linksmoji g. 7, Vilniaus m., Vilniaus m. sav.</t>
  </si>
  <si>
    <t>2025-11-24 12:54:15</t>
  </si>
  <si>
    <t>Dailidžių g. 48, Vilniaus m., Vilniaus m. sav.</t>
  </si>
  <si>
    <t>2025-11-24 12:54:22</t>
  </si>
  <si>
    <t>Gegliškių g. 29-2, Vilniaus m., Vilniaus m. sav.</t>
  </si>
  <si>
    <t>2025-11-24 13:14:57</t>
  </si>
  <si>
    <t>2025-11-24 13:14:58</t>
  </si>
  <si>
    <t>2025-11-24 12:54:54</t>
  </si>
  <si>
    <t>2025-11-24 12:54:55</t>
  </si>
  <si>
    <t>Bajorų kel. 7, Vilniaus m., Vilniaus m. sav.</t>
  </si>
  <si>
    <t>2025-11-24 12:55:05</t>
  </si>
  <si>
    <t>2025-11-24 12:55:11</t>
  </si>
  <si>
    <t>2025-11-24 12:55:15</t>
  </si>
  <si>
    <t>2025-11-24 12:55:28</t>
  </si>
  <si>
    <t>2025-11-24 12:55:31</t>
  </si>
  <si>
    <t>Kelmijos Sodų 13-oji g. 17, Vilniaus m., Vilniaus m. sav.</t>
  </si>
  <si>
    <t>2025-11-24 12:55:33</t>
  </si>
  <si>
    <t>2025-11-24 12:55:34</t>
  </si>
  <si>
    <t>Gegliškių g. 30, Vilniaus m., Vilniaus m. sav.</t>
  </si>
  <si>
    <t>2025-11-24 12:55:36</t>
  </si>
  <si>
    <t>2025-11-24 12:55:38</t>
  </si>
  <si>
    <t>Algimanto Petro Kavoliuko g. 19, Vilniaus m., Vilniaus m. sav.</t>
  </si>
  <si>
    <t>2025-11-24 12:55:39</t>
  </si>
  <si>
    <t>2025-11-24 12:55:46</t>
  </si>
  <si>
    <t>T. Kosciuškos g. 1A, Vilniaus m., Vilniaus m. sav.</t>
  </si>
  <si>
    <t>2025-11-24 12:55:52</t>
  </si>
  <si>
    <t>2025-11-24 12:55:56</t>
  </si>
  <si>
    <t>2025-11-24 12:56:10</t>
  </si>
  <si>
    <t>2025-11-24 12:56:15</t>
  </si>
  <si>
    <t>2025-11-24 12:56:18</t>
  </si>
  <si>
    <t>2025-11-24 12:56:22</t>
  </si>
  <si>
    <t>2025-11-24 12:56:32</t>
  </si>
  <si>
    <t>Dailidžių g. 46A, Vilniaus m., Vilniaus m. sav.</t>
  </si>
  <si>
    <t>2025-11-24 13:18:02</t>
  </si>
  <si>
    <t>Dailidžių g. 42, Vilniaus m., Vilniaus m. sav.</t>
  </si>
  <si>
    <t>Dailidžių g. 44-2, Vilniaus m., Vilniaus m. sav.</t>
  </si>
  <si>
    <t>2025-11-24 13:18:14</t>
  </si>
  <si>
    <t>Dailidžių g. 40, Vilniaus m., Vilniaus m. sav.</t>
  </si>
  <si>
    <t>Dailidžių g. 46A-1, Vilniaus m., Vilniaus m. sav.</t>
  </si>
  <si>
    <t>Dailidžių g. 44-1, Vilniaus m., Vilniaus m. sav.</t>
  </si>
  <si>
    <t>2025-11-24 13:18:18</t>
  </si>
  <si>
    <t>2025-11-24 12:56:45</t>
  </si>
  <si>
    <t>Taikos g. 84A, Vilniaus m., Vilniaus m. sav.</t>
  </si>
  <si>
    <t>Parko g. 69B, Vilniaus m., Vilniaus m. sav.</t>
  </si>
  <si>
    <t>2025-11-24 12:56:58</t>
  </si>
  <si>
    <t>Konstitucijos pr. 23, Vilniaus m., Vilniaus m. sav.</t>
  </si>
  <si>
    <t>2025-11-24 13:32:33</t>
  </si>
  <si>
    <t>2025-11-24 12:57:04</t>
  </si>
  <si>
    <t>2025-11-24 12:57:05</t>
  </si>
  <si>
    <t>Kintų g. 13, Vilniaus m., Vilniaus m. sav.</t>
  </si>
  <si>
    <t>2025-11-24 12:57:08</t>
  </si>
  <si>
    <t>2025-11-24 12:57:14</t>
  </si>
  <si>
    <t>2025-11-24 12:57:21</t>
  </si>
  <si>
    <t>2025-11-24 12:57:28</t>
  </si>
  <si>
    <t>2025-11-24 12:57:33</t>
  </si>
  <si>
    <t>2025-11-24 12:57:36</t>
  </si>
  <si>
    <t>2025-11-24 12:57:41</t>
  </si>
  <si>
    <t>2025-11-24 12:57:46</t>
  </si>
  <si>
    <t>2025-11-24 12:57:48</t>
  </si>
  <si>
    <t>Algimanto Petro Kavoliuko g. 26, Vilniaus m., Vilniaus m. sav.</t>
  </si>
  <si>
    <t>2025-11-24 12:57:55</t>
  </si>
  <si>
    <t>2025-11-24 12:57:57</t>
  </si>
  <si>
    <t>2025-11-24 12:58:00</t>
  </si>
  <si>
    <t>2025-11-24 12:58:02</t>
  </si>
  <si>
    <t>Gegliškių g. 49-2, Vilniaus m., Vilniaus m. sav.</t>
  </si>
  <si>
    <t>2025-11-24 13:15:05</t>
  </si>
  <si>
    <t>2025-11-24 12:58:03</t>
  </si>
  <si>
    <t>2025-11-24 12:58:20</t>
  </si>
  <si>
    <t>2025-11-24 12:58:38</t>
  </si>
  <si>
    <t>Kelmijos Sodų 11-oji g. 17, Vilniaus m., Vilniaus m. sav.</t>
  </si>
  <si>
    <t>Gegliškių g. 47-2, Vilniaus m., Vilniaus m. sav.</t>
  </si>
  <si>
    <t>2025-11-24 13:15:08</t>
  </si>
  <si>
    <t>2025-11-24 12:58:50</t>
  </si>
  <si>
    <t>Parko g. 60, Vilniaus m., Vilniaus m. sav.</t>
  </si>
  <si>
    <t>2025-11-24 12:58:58</t>
  </si>
  <si>
    <t>Baltupio g. 37A, Vilniaus m., Vilniaus m. sav.</t>
  </si>
  <si>
    <t>2025-11-24 12:59:01</t>
  </si>
  <si>
    <t>2025-11-24 12:59:14</t>
  </si>
  <si>
    <t>Gegliškių g. 45-2, Vilniaus m., Vilniaus m. sav.</t>
  </si>
  <si>
    <t>Gegliškių g. 47-1, Vilniaus m., Vilniaus m. sav.</t>
  </si>
  <si>
    <t>2025-11-24 13:15:13</t>
  </si>
  <si>
    <t>2025-11-24 12:59:26</t>
  </si>
  <si>
    <t>2025-11-24 12:59:29</t>
  </si>
  <si>
    <t>Olandų g. 24C, Vilniaus m., Vilniaus m. sav.</t>
  </si>
  <si>
    <t>2025-11-24 12:59:31</t>
  </si>
  <si>
    <t>2025-11-24 12:59:32</t>
  </si>
  <si>
    <t>2025-11-24 12:59:36</t>
  </si>
  <si>
    <t>2025-11-24 12:59:40</t>
  </si>
  <si>
    <t>2025-11-24 12:59:55</t>
  </si>
  <si>
    <t>2025-11-24 12:59:59</t>
  </si>
  <si>
    <t>Jonažolių g. 5, Vilniaus m., Vilniaus m. sav.</t>
  </si>
  <si>
    <t>2025-11-24 13:00:00</t>
  </si>
  <si>
    <t>Gegliškių g. 45-1, Vilniaus m., Vilniaus m. sav.</t>
  </si>
  <si>
    <t>2025-11-24 13:15:16</t>
  </si>
  <si>
    <t>2025-11-24 13:00:05</t>
  </si>
  <si>
    <t>2025-11-24 13:00:09</t>
  </si>
  <si>
    <t>Geležinio Vilko g. 9A, Vilniaus m., Vilniaus m. sav.</t>
  </si>
  <si>
    <t>2025-11-24 13:00:11</t>
  </si>
  <si>
    <t>Eišiškių pl. 127E, Vilniaus m., Vilniaus m. sav.</t>
  </si>
  <si>
    <t>2025-11-24 13:00:15</t>
  </si>
  <si>
    <t>Gegliškių g. 43-1, Vilniaus m., Vilniaus m. sav.</t>
  </si>
  <si>
    <t>2025-11-24 13:00:20</t>
  </si>
  <si>
    <t>Taikos g. 109, Vilniaus m., Vilniaus m. sav.</t>
  </si>
  <si>
    <t>2025-11-24 13:14:40</t>
  </si>
  <si>
    <t>2025-11-24 13:00:33</t>
  </si>
  <si>
    <t>2025-11-24 13:15:21</t>
  </si>
  <si>
    <t>2025-11-24 13:00:49</t>
  </si>
  <si>
    <t>2025-11-24 13:00:50</t>
  </si>
  <si>
    <t>2025-11-24 13:00:51</t>
  </si>
  <si>
    <t>Gegliškių g. 43-2, Vilniaus m., Vilniaus m. sav.</t>
  </si>
  <si>
    <t>2025-11-24 13:00:53</t>
  </si>
  <si>
    <t>Parko g. 34A, Vilniaus m., Vilniaus m. sav.</t>
  </si>
  <si>
    <t>Juodšilių g. 20A, Vilniaus m., Vilniaus m. sav.</t>
  </si>
  <si>
    <t>2025-11-24 13:01:01</t>
  </si>
  <si>
    <t>Kelmijos Sodų 13-oji g. 26, Vilniaus m., Vilniaus m. sav.</t>
  </si>
  <si>
    <t>2025-11-24 13:01:12</t>
  </si>
  <si>
    <t>Kelmijos Sodų 11-oji g. 42, Vilniaus m., Vilniaus m. sav.</t>
  </si>
  <si>
    <t>2025-11-24 13:01:14</t>
  </si>
  <si>
    <t>2025-11-24 13:01:19</t>
  </si>
  <si>
    <t>2025-11-24 13:01:20</t>
  </si>
  <si>
    <t>2025-11-24 13:01:26</t>
  </si>
  <si>
    <t>2025-11-24 13:01:29</t>
  </si>
  <si>
    <t>2025-11-24 13:01:34</t>
  </si>
  <si>
    <t>Algimanto Petro Kavoliuko g. 32, Vilniaus m., Vilniaus m. sav.</t>
  </si>
  <si>
    <t>2025-11-24 13:01:38</t>
  </si>
  <si>
    <t>2025-11-24 13:01:42</t>
  </si>
  <si>
    <t>2025-11-24 13:01:48</t>
  </si>
  <si>
    <t>2025-11-24 13:02:02</t>
  </si>
  <si>
    <t>2025-11-24 13:02:08</t>
  </si>
  <si>
    <t>Pagubės Sodų 5-oji g. 38, Vilniaus m., Vilniaus m. sav.</t>
  </si>
  <si>
    <t>2025-11-24 13:02:11</t>
  </si>
  <si>
    <t>Žalgirio g. 90A, Vilniaus m., Vilniaus m. sav.</t>
  </si>
  <si>
    <t>2025-11-24 13:02:14</t>
  </si>
  <si>
    <t>2025-11-24 13:11:59</t>
  </si>
  <si>
    <t>2025-11-24 13:02:20</t>
  </si>
  <si>
    <t>Kelmijos Sodų 13-oji g. 11, Vilniaus m., Vilniaus m. sav.</t>
  </si>
  <si>
    <t>2025-11-24 13:02:30</t>
  </si>
  <si>
    <t>Kelmijos Sodų 13-oji g. 15, Vilniaus m., Vilniaus m. sav.</t>
  </si>
  <si>
    <t>2025-11-24 13:12:01</t>
  </si>
  <si>
    <t>2025-11-24 13:02:33</t>
  </si>
  <si>
    <t>Gegliškių g. 34, Vilniaus m., Vilniaus m. sav.</t>
  </si>
  <si>
    <t>2025-11-24 13:15:30</t>
  </si>
  <si>
    <t>2025-11-24 13:19:46</t>
  </si>
  <si>
    <t>2025-11-24 13:02:48</t>
  </si>
  <si>
    <t>Bajorų kel. 9, Vilniaus m., Vilniaus m. sav.</t>
  </si>
  <si>
    <t>Žaros g. 36A, Vilniaus m., Vilniaus m. sav.</t>
  </si>
  <si>
    <t>2025-11-24 13:03:23</t>
  </si>
  <si>
    <t>2025-11-24 13:03:27</t>
  </si>
  <si>
    <t>2025-11-24 13:03:30</t>
  </si>
  <si>
    <t>2025-11-24 13:03:36</t>
  </si>
  <si>
    <t>2025-11-24 13:03:37</t>
  </si>
  <si>
    <t>2025-11-24 13:03:45</t>
  </si>
  <si>
    <t>2025-11-24 13:03:48</t>
  </si>
  <si>
    <t>2025-11-24 13:04:02</t>
  </si>
  <si>
    <t>2025-11-24 13:04:09</t>
  </si>
  <si>
    <t>Taikos g. 117, Vilniaus m., Vilniaus m. sav.</t>
  </si>
  <si>
    <t>2025-11-24 13:14:43</t>
  </si>
  <si>
    <t>2025-11-24 13:04:10</t>
  </si>
  <si>
    <t>Žaros g. 38, Vilniaus m., Vilniaus m. sav.</t>
  </si>
  <si>
    <t>Gegliškių g. 77, Vilniaus m., Vilniaus m. sav.</t>
  </si>
  <si>
    <t>2025-11-24 13:15:31</t>
  </si>
  <si>
    <t>2025-11-24 13:15:32</t>
  </si>
  <si>
    <t>2025-11-24 13:04:23</t>
  </si>
  <si>
    <t>2025-11-24 13:04:32</t>
  </si>
  <si>
    <t>2025-11-24 13:04:54</t>
  </si>
  <si>
    <t>Kelmijos Sodų 10-oji g. 53, Vilniaus m., Vilniaus m. sav.</t>
  </si>
  <si>
    <t>Kelmijos Sodų 10-oji g. 50, Vilniaus m., Vilniaus m. sav.</t>
  </si>
  <si>
    <t>2025-11-24 13:04:57</t>
  </si>
  <si>
    <t>Pamėnkalnio g. 1, Vilniaus m., Vilniaus m. sav.</t>
  </si>
  <si>
    <t>2025-11-24 13:05:02</t>
  </si>
  <si>
    <t>2025-11-24 13:05:03</t>
  </si>
  <si>
    <t>Genių g. 2, Vilniaus m., Vilniaus m. sav.</t>
  </si>
  <si>
    <t>2025-11-24 13:05:13</t>
  </si>
  <si>
    <t>Vasaros g. 19A, Vilniaus m., Vilniaus m. sav.</t>
  </si>
  <si>
    <t>2025-11-24 13:18:26</t>
  </si>
  <si>
    <t>2025-11-24 13:05:16</t>
  </si>
  <si>
    <t>Zuikių g. 10, Vilniaus m., Vilniaus m. sav.</t>
  </si>
  <si>
    <t>2025-11-24 13:05:33</t>
  </si>
  <si>
    <t>2025-11-24 13:05:37</t>
  </si>
  <si>
    <t>Vasaros g. 21, Vilniaus m., Vilniaus m. sav.</t>
  </si>
  <si>
    <t>2025-11-24 13:05:44</t>
  </si>
  <si>
    <t>Vismaliukų g. 30, Vilniaus m., Vilniaus m. sav.</t>
  </si>
  <si>
    <t>2025-11-24 13:05:50</t>
  </si>
  <si>
    <t>2025-11-24 13:05:53</t>
  </si>
  <si>
    <t>2025-11-24 13:05:54</t>
  </si>
  <si>
    <t>2025-11-24 13:05:58</t>
  </si>
  <si>
    <t>2025-11-24 13:06:00</t>
  </si>
  <si>
    <t>Kelmijos Sodų 10-oji g. 57, Vilniaus m., Vilniaus m. sav.</t>
  </si>
  <si>
    <t>2025-11-24 13:06:14</t>
  </si>
  <si>
    <t>2025-11-24 13:06:15</t>
  </si>
  <si>
    <t>2025-11-24 13:06:16</t>
  </si>
  <si>
    <t>Bajorų kel. 17, Vilniaus m., Vilniaus m. sav.</t>
  </si>
  <si>
    <t>Kelmijos Sodų 10-oji g. 52, Vilniaus m., Vilniaus m. sav.</t>
  </si>
  <si>
    <t>2025-11-24 13:06:33</t>
  </si>
  <si>
    <t>2025-11-24 13:06:34</t>
  </si>
  <si>
    <t>2025-11-24 13:06:44</t>
  </si>
  <si>
    <t>2025-11-24 14:11:28</t>
  </si>
  <si>
    <t>2025-11-24 13:06:45</t>
  </si>
  <si>
    <t>2025-11-24 13:06:46</t>
  </si>
  <si>
    <t>2025-11-24 13:06:47</t>
  </si>
  <si>
    <t>2025-11-24 13:06:55</t>
  </si>
  <si>
    <t>Vasaros g. 19, Vilniaus m., Vilniaus m. sav.</t>
  </si>
  <si>
    <t>2025-11-24 13:18:31</t>
  </si>
  <si>
    <t>2025-11-24 13:07:04</t>
  </si>
  <si>
    <t>2025-11-24 13:07:05</t>
  </si>
  <si>
    <t>Sėlių g. 38, Vilniaus m., Vilniaus m. sav.</t>
  </si>
  <si>
    <t>2025-11-24 13:07:06</t>
  </si>
  <si>
    <t>Europos Parko g. 122, Vilniaus m., Vilniaus m. sav.</t>
  </si>
  <si>
    <t>Jonažolių g. 9, Vilniaus m., Vilniaus m. sav.</t>
  </si>
  <si>
    <t>2025-11-24 13:07:07</t>
  </si>
  <si>
    <t>2025-11-24 13:07:10</t>
  </si>
  <si>
    <t>Kelmijos Sodų 10-oji g. 47, Vilniaus m., Vilniaus m. sav.</t>
  </si>
  <si>
    <t>2025-11-24 13:07:14</t>
  </si>
  <si>
    <t>Bajorų kel. 19, Vilniaus m., Vilniaus m. sav.</t>
  </si>
  <si>
    <t>2025-11-24 13:07:19</t>
  </si>
  <si>
    <t>Baltupio g. 65, Vilniaus m., Vilniaus m. sav.</t>
  </si>
  <si>
    <t>2025-11-24 13:07:21</t>
  </si>
  <si>
    <t>2025-11-24 13:07:33</t>
  </si>
  <si>
    <t>2025-11-24 13:07:41</t>
  </si>
  <si>
    <t>Vasaros g. 22A, Vilniaus m., Vilniaus m. sav.</t>
  </si>
  <si>
    <t>2025-11-24 13:07:46</t>
  </si>
  <si>
    <t>Kelmijos Sodų 12-oji g. 32A, Vilniaus m., Vilniaus m. sav.</t>
  </si>
  <si>
    <t>2025-11-24 13:07:51</t>
  </si>
  <si>
    <t>Tarandės g. 130, Vilniaus m., Vilniaus m. sav.</t>
  </si>
  <si>
    <t>2025-11-24 13:07:53</t>
  </si>
  <si>
    <t>2025-11-24 13:07:54</t>
  </si>
  <si>
    <t>Kelmijos Sodų 10-oji g. 42, Vilniaus m., Vilniaus m. sav.</t>
  </si>
  <si>
    <t>2025-11-24 13:07:56</t>
  </si>
  <si>
    <t>2025-11-24 13:07:58</t>
  </si>
  <si>
    <t>2025-11-24 13:08:06</t>
  </si>
  <si>
    <t>Kelmijos Sodų 10-oji g. 45, Vilniaus m., Vilniaus m. sav.</t>
  </si>
  <si>
    <t>2025-11-24 13:08:12</t>
  </si>
  <si>
    <t>Vasaros g. 17-1, Vilniaus m., Vilniaus m. sav.</t>
  </si>
  <si>
    <t>2025-11-24 13:08:15</t>
  </si>
  <si>
    <t>2025-11-24 13:08:22</t>
  </si>
  <si>
    <t>2025-11-24 13:08:32</t>
  </si>
  <si>
    <t>Vasaros g. 17, Vilniaus m., Vilniaus m. sav.</t>
  </si>
  <si>
    <t>2025-11-24 13:08:34</t>
  </si>
  <si>
    <t>Europos Parko g. 222A, Vilniaus m., Vilniaus m. sav.</t>
  </si>
  <si>
    <t>2025-11-24 13:08:38</t>
  </si>
  <si>
    <t>Genių g. 13, Vilniaus m., Vilniaus m. sav.</t>
  </si>
  <si>
    <t>2025-11-24 13:08:43</t>
  </si>
  <si>
    <t>2025-11-24 13:08:53</t>
  </si>
  <si>
    <t>2025-11-24 14:14:50</t>
  </si>
  <si>
    <t>Vasaros g. 17-2, Vilniaus m., Vilniaus m. sav.</t>
  </si>
  <si>
    <t>2025-11-24 13:08:58</t>
  </si>
  <si>
    <t>2025-11-24 13:22:01</t>
  </si>
  <si>
    <t>2025-11-24 13:08:59</t>
  </si>
  <si>
    <t>2025-11-24 13:09:02</t>
  </si>
  <si>
    <t>Grikienių g. 1-1, Vilniaus m., Vilniaus m. sav.</t>
  </si>
  <si>
    <t>2025-11-24 13:15:37</t>
  </si>
  <si>
    <t>2025-11-24 13:09:05</t>
  </si>
  <si>
    <t>Kalvarijų g. 77, Vilniaus m., Vilniaus m. sav.</t>
  </si>
  <si>
    <t>2025-11-24 13:09:07</t>
  </si>
  <si>
    <t>2025-11-24 13:09:16</t>
  </si>
  <si>
    <t>Grikienių g. 1-2, Vilniaus m., Vilniaus m. sav.</t>
  </si>
  <si>
    <t>2025-11-24 13:15:39</t>
  </si>
  <si>
    <t>2025-11-24 13:09:35</t>
  </si>
  <si>
    <t>Gerosios Vilties g. 17, Vilniaus m., Vilniaus m. sav.</t>
  </si>
  <si>
    <t>2025-11-24 13:09:39</t>
  </si>
  <si>
    <t>2025-11-24 13:09:43</t>
  </si>
  <si>
    <t>Grikienių g. 3-2, Vilniaus m., Vilniaus m. sav.</t>
  </si>
  <si>
    <t>2025-11-24 13:09:52</t>
  </si>
  <si>
    <t>2025-11-24 13:10:01</t>
  </si>
  <si>
    <t>2025-11-24 13:14:38</t>
  </si>
  <si>
    <t>2025-11-24 13:10:04</t>
  </si>
  <si>
    <t>Grikienių g. 3-1, Vilniaus m., Vilniaus m. sav.</t>
  </si>
  <si>
    <t>2025-11-24 13:10:05</t>
  </si>
  <si>
    <t>2025-11-24 13:10:08</t>
  </si>
  <si>
    <t>2025-11-24 13:10:10</t>
  </si>
  <si>
    <t>Viršuliškių g. 73, Vilniaus m., Vilniaus m. sav.</t>
  </si>
  <si>
    <t>2025-11-24 13:10:15</t>
  </si>
  <si>
    <t>Vasaros g. 20, Vilniaus m., Vilniaus m. sav.</t>
  </si>
  <si>
    <t>2025-11-24 13:10:20</t>
  </si>
  <si>
    <t>2025-11-24 13:10:30</t>
  </si>
  <si>
    <t>Vismaliukų Sodų 1-oji g. 29, Vilniaus m., Vilniaus m. sav.</t>
  </si>
  <si>
    <t>2025-11-24 13:10:34</t>
  </si>
  <si>
    <t>2025-11-24 13:52:42</t>
  </si>
  <si>
    <t>Bajorų kel. 11, Vilniaus m., Vilniaus m. sav.</t>
  </si>
  <si>
    <t>2025-11-24 13:10:48</t>
  </si>
  <si>
    <t>2025-11-24 13:10:55</t>
  </si>
  <si>
    <t>Gerosios Vilties g. 19, Vilniaus m., Vilniaus m. sav.</t>
  </si>
  <si>
    <t>2025-11-24 13:11:00</t>
  </si>
  <si>
    <t>Grikienių g. 7, Vilniaus m., Vilniaus m. sav.</t>
  </si>
  <si>
    <t>2025-11-24 13:15:45</t>
  </si>
  <si>
    <t>2025-11-24 13:11:01</t>
  </si>
  <si>
    <t>Vasaros g. 15A, Vilniaus m., Vilniaus m. sav.</t>
  </si>
  <si>
    <t>2025-11-24 13:11:05</t>
  </si>
  <si>
    <t>2025-11-24 13:15:47</t>
  </si>
  <si>
    <t>2025-11-24 13:11:06</t>
  </si>
  <si>
    <t>2025-11-24 13:22:05</t>
  </si>
  <si>
    <t>2025-11-24 13:11:25</t>
  </si>
  <si>
    <t>2025-11-24 13:11:27</t>
  </si>
  <si>
    <t>Genių g. 10A, Vilniaus m., Vilniaus m. sav.</t>
  </si>
  <si>
    <t>2025-11-24 13:11:28</t>
  </si>
  <si>
    <t>2025-11-24 14:05:53</t>
  </si>
  <si>
    <t>2025-11-24 13:11:35</t>
  </si>
  <si>
    <t>2025-11-24 13:13:45</t>
  </si>
  <si>
    <t>2025-11-24 13:11:39</t>
  </si>
  <si>
    <t>Jonažolių g. 11, Vilniaus m., Vilniaus m. sav.</t>
  </si>
  <si>
    <t>2025-11-24 13:11:47</t>
  </si>
  <si>
    <t>2025-11-24 13:11:53</t>
  </si>
  <si>
    <t>2025-11-24 13:11:57</t>
  </si>
  <si>
    <t>Kuosų g. 9, Vilniaus m., Vilniaus m. sav.</t>
  </si>
  <si>
    <t>2025-11-24 13:12:02</t>
  </si>
  <si>
    <t>Gerosios Vilties g. 17B, Vilniaus m., Vilniaus m. sav.</t>
  </si>
  <si>
    <t>2025-11-24 13:12:06</t>
  </si>
  <si>
    <t>Viršuliškių g. 65, Vilniaus m., Vilniaus m. sav.</t>
  </si>
  <si>
    <t>2025-11-24 13:12:14</t>
  </si>
  <si>
    <t>Kelmijos Sodų 11-oji g. 27, Vilniaus m., Vilniaus m. sav.</t>
  </si>
  <si>
    <t>2025-11-24 13:12:16</t>
  </si>
  <si>
    <t>2025-11-24 13:12:20</t>
  </si>
  <si>
    <t>2025-11-24 13:12:33</t>
  </si>
  <si>
    <t>Vasaros g. 18B, Vilniaus m., Vilniaus m. sav.</t>
  </si>
  <si>
    <t>2025-11-24 13:22:06</t>
  </si>
  <si>
    <t>2025-11-24 13:12:38</t>
  </si>
  <si>
    <t>2025-11-24 13:22:08</t>
  </si>
  <si>
    <t>2025-11-24 13:12:40</t>
  </si>
  <si>
    <t>Kelmijos Sodų 9-oji g. 46, Vilniaus m., Vilniaus m. sav.</t>
  </si>
  <si>
    <t>2025-11-24 13:12:41</t>
  </si>
  <si>
    <t>2025-11-24 13:12:45</t>
  </si>
  <si>
    <t>2025-11-24 13:12:49</t>
  </si>
  <si>
    <t>Rygos g. 42, Vilniaus m., Vilniaus m. sav.</t>
  </si>
  <si>
    <t>2025-11-24 13:12:51</t>
  </si>
  <si>
    <t>Žaibo g. 17, Vilniaus m., Vilniaus m. sav.</t>
  </si>
  <si>
    <t>2025-11-24 13:12:58</t>
  </si>
  <si>
    <t>Kelmiškių g. 30B, Vilniaus m., Vilniaus m. sav.</t>
  </si>
  <si>
    <t>2025-11-24 13:13:03</t>
  </si>
  <si>
    <t>Kelmiškių g. 30, Vilniaus m., Vilniaus m. sav.</t>
  </si>
  <si>
    <t>2025-11-24 13:13:04</t>
  </si>
  <si>
    <t>Vasaros g. 16A, Vilniaus m., Vilniaus m. sav.</t>
  </si>
  <si>
    <t>2025-11-24 13:13:06</t>
  </si>
  <si>
    <t>Kelmijos Sodų 9-oji g. 55, Vilniaus m., Vilniaus m. sav.</t>
  </si>
  <si>
    <t>2025-11-24 13:13:08</t>
  </si>
  <si>
    <t>Juozo Miltinio g. 2, Vilniaus m., Vilniaus m. sav.</t>
  </si>
  <si>
    <t>2025-11-24 13:13:09</t>
  </si>
  <si>
    <t>2025-11-24 13:13:18</t>
  </si>
  <si>
    <t>Kelmiškių g. 30A, Vilniaus m., Vilniaus m. sav.</t>
  </si>
  <si>
    <t>2025-11-24 13:13:23</t>
  </si>
  <si>
    <t>2025-11-24 13:13:28</t>
  </si>
  <si>
    <t>2025-11-24 13:13:30</t>
  </si>
  <si>
    <t>2025-11-24 13:13:42</t>
  </si>
  <si>
    <t>2025-11-24 13:13:43</t>
  </si>
  <si>
    <t>Vasaros g. 18A, Vilniaus m., Vilniaus m. sav.</t>
  </si>
  <si>
    <t>2025-11-24 13:13:50</t>
  </si>
  <si>
    <t>Genių g. 25, Vilniaus m., Vilniaus m. sav.</t>
  </si>
  <si>
    <t>2025-11-24 13:23:07</t>
  </si>
  <si>
    <t>2025-11-24 13:14:05</t>
  </si>
  <si>
    <t>Vasaros g. 18, Vilniaus m., Vilniaus m. sav.</t>
  </si>
  <si>
    <t>2025-11-24 13:14:06</t>
  </si>
  <si>
    <t>Kelmijos Sodų 9-oji g. 51, Vilniaus m., Vilniaus m. sav.</t>
  </si>
  <si>
    <t>2025-11-24 13:14:07</t>
  </si>
  <si>
    <t>2025-11-24 13:14:12</t>
  </si>
  <si>
    <t>2025-11-24 13:19:47</t>
  </si>
  <si>
    <t>Kelmijos Sodų 9-oji g. 48, Vilniaus m., Vilniaus m. sav.</t>
  </si>
  <si>
    <t>2025-11-24 13:14:16</t>
  </si>
  <si>
    <t>Kelmijos Sodų 9-oji g. 53, Vilniaus m., Vilniaus m. sav.</t>
  </si>
  <si>
    <t>2025-11-24 13:14:19</t>
  </si>
  <si>
    <t>Kelmiškių g. 13F, Vilniaus m., Vilniaus m. sav.</t>
  </si>
  <si>
    <t>Kelmiškių g. 13E, Vilniaus m., Vilniaus m. sav.</t>
  </si>
  <si>
    <t>2025-11-24 13:14:24</t>
  </si>
  <si>
    <t>2025-11-24 13:14:25</t>
  </si>
  <si>
    <t>2025-11-24 13:22:41</t>
  </si>
  <si>
    <t>2025-11-24 13:14:26</t>
  </si>
  <si>
    <t>Kelmijos Sodų 9-oji g. 44A, Vilniaus m., Vilniaus m. sav.</t>
  </si>
  <si>
    <t>2025-11-24 13:19:05</t>
  </si>
  <si>
    <t>2025-11-24 13:14:30</t>
  </si>
  <si>
    <t>2025-11-24 13:22:34</t>
  </si>
  <si>
    <t>2025-11-24 13:23:08</t>
  </si>
  <si>
    <t>Kelmiškių g. 13A, Vilniaus m., Vilniaus m. sav.</t>
  </si>
  <si>
    <t>Kelmiškių g. 13, Vilniaus m., Vilniaus m. sav.</t>
  </si>
  <si>
    <t>Saulės g. 10B-3, Vilniaus m., Vilniaus m. sav.</t>
  </si>
  <si>
    <t>Vasaros g. 16A-2, Vilniaus m., Vilniaus m. sav.</t>
  </si>
  <si>
    <t>Jonažolių g. 13, Vilniaus m., Vilniaus m. sav.</t>
  </si>
  <si>
    <t>2025-11-24 13:15:03</t>
  </si>
  <si>
    <t>Kelmijos Sodų 12-oji g. 37, Vilniaus m., Vilniaus m. sav.</t>
  </si>
  <si>
    <t>Kernavės g. 16A, Vilniaus m., Vilniaus m. sav.</t>
  </si>
  <si>
    <t>Šilėnų Sodų 8-oji g. 4, Vilniaus m., Vilniaus m. sav.</t>
  </si>
  <si>
    <t>Kelmiškių g. 13D, Vilniaus m., Vilniaus m. sav.</t>
  </si>
  <si>
    <t>2025-11-24 13:15:17</t>
  </si>
  <si>
    <t>Kelmijos Sodų 12-oji g. 35, Vilniaus m., Vilniaus m. sav.</t>
  </si>
  <si>
    <t>2025-11-24 13:15:22</t>
  </si>
  <si>
    <t>Kelmijos Sodų 9-oji g. 40, Vilniaus m., Vilniaus m. sav.</t>
  </si>
  <si>
    <t>2025-11-24 13:15:28</t>
  </si>
  <si>
    <t>Kelmijos Sodų 9-oji g. 41, Vilniaus m., Vilniaus m. sav.</t>
  </si>
  <si>
    <t>2025-11-24 13:19:09</t>
  </si>
  <si>
    <t>Kelmijos Sodų 12-oji g. 33, Vilniaus m., Vilniaus m. sav.</t>
  </si>
  <si>
    <t>Vasaros g. 13A, Vilniaus m., Vilniaus m. sav.</t>
  </si>
  <si>
    <t>Kernavės g. 14, Vilniaus m., Vilniaus m. sav.</t>
  </si>
  <si>
    <t>2025-11-24 13:15:43</t>
  </si>
  <si>
    <t>Kelmiškių g. 13C, Vilniaus m., Vilniaus m. sav.</t>
  </si>
  <si>
    <t>Kelmiškių g. 13B, Vilniaus m., Vilniaus m. sav.</t>
  </si>
  <si>
    <t>Viršuliškių g. 53D, Vilniaus m., Vilniaus m. sav.</t>
  </si>
  <si>
    <t>2025-11-24 13:15:46</t>
  </si>
  <si>
    <t>2025-11-24 13:15:58</t>
  </si>
  <si>
    <t>2025-11-24 13:16:11</t>
  </si>
  <si>
    <t>2025-11-24 13:16:12</t>
  </si>
  <si>
    <t>Kelmijos Sodų 9-oji g. 36, Vilniaus m., Vilniaus m. sav.</t>
  </si>
  <si>
    <t>2025-11-24 13:16:13</t>
  </si>
  <si>
    <t>Kelmiškių g. 32, Vilniaus m., Vilniaus m. sav.</t>
  </si>
  <si>
    <t>2025-11-24 13:16:23</t>
  </si>
  <si>
    <t>Vasaros g. 13, Vilniaus m., Vilniaus m. sav.</t>
  </si>
  <si>
    <t>2025-11-24 13:16:24</t>
  </si>
  <si>
    <t>2025-11-24 13:16:36</t>
  </si>
  <si>
    <t>2025-11-24 14:57:50</t>
  </si>
  <si>
    <t>Santaros g.  5B, Vilniaus m., Vilniaus m. sav.</t>
  </si>
  <si>
    <t>2025-11-24 13:16:38</t>
  </si>
  <si>
    <t>Gerosios Vilties g. 15, Vilniaus m., Vilniaus m. sav.</t>
  </si>
  <si>
    <t>Kelmiškių g. 34-1, Vilniaus m., Vilniaus m. sav.</t>
  </si>
  <si>
    <t>2025-11-24 13:16:43</t>
  </si>
  <si>
    <t>Kelmiškių g. 34-2, Vilniaus m., Vilniaus m. sav.</t>
  </si>
  <si>
    <t>2025-11-24 13:16:44</t>
  </si>
  <si>
    <t>2025-11-24 13:16:57</t>
  </si>
  <si>
    <t>Kelmijos Sodų 11-oji g. 38, Vilniaus m., Vilniaus m. sav.</t>
  </si>
  <si>
    <t>2025-11-24 13:17:02</t>
  </si>
  <si>
    <t>Kelmijos Sodų 9-oji g. 42, Vilniaus m., Vilniaus m. sav.</t>
  </si>
  <si>
    <t>2025-11-24 13:19:11</t>
  </si>
  <si>
    <t>Kelmijos Sodų 8-oji g. 14, Vilniaus m., Vilniaus m. sav.</t>
  </si>
  <si>
    <t>2025-11-24 13:17:17</t>
  </si>
  <si>
    <t>2025-11-24 13:17:24</t>
  </si>
  <si>
    <t>Vasaros g. 11, Vilniaus m., Vilniaus m. sav.</t>
  </si>
  <si>
    <t>2025-11-24 13:17:26</t>
  </si>
  <si>
    <t>Didlaukio g. 98, Vilniaus m., Vilniaus m. sav.</t>
  </si>
  <si>
    <t>2025-11-24 13:17:32</t>
  </si>
  <si>
    <t>2025-11-24 13:17:35</t>
  </si>
  <si>
    <t>2025-11-24 13:17:37</t>
  </si>
  <si>
    <t>2025-11-24 13:17:45</t>
  </si>
  <si>
    <t>Kelmiškių g. 15, Vilniaus m., Vilniaus m. sav.</t>
  </si>
  <si>
    <t>2025-11-24 13:17:55</t>
  </si>
  <si>
    <t>Rygos g. 21, Vilniaus m., Vilniaus m. sav.</t>
  </si>
  <si>
    <t>2025-11-24 13:18:04</t>
  </si>
  <si>
    <t>Austėjos g. 46-2, Vilniaus m., Vilniaus m. sav.</t>
  </si>
  <si>
    <t>2025-11-24 13:18:10</t>
  </si>
  <si>
    <t>Pylimo g. 37, Vilniaus m., Vilniaus m. sav.</t>
  </si>
  <si>
    <t>Vasaros g. 16, Vilniaus m., Vilniaus m. sav.</t>
  </si>
  <si>
    <t>2025-11-24 13:18:15</t>
  </si>
  <si>
    <t>2025-11-24 13:28:49</t>
  </si>
  <si>
    <t>Vasaros g. 9, Vilniaus m., Vilniaus m. sav.</t>
  </si>
  <si>
    <t>2025-11-24 13:28:52</t>
  </si>
  <si>
    <t>2025-11-24 13:18:37</t>
  </si>
  <si>
    <t>Viršuliškių g. 53C, Vilniaus m., Vilniaus m. sav.</t>
  </si>
  <si>
    <t>2025-11-24 13:18:47</t>
  </si>
  <si>
    <t>Pramonės g. 17A, Vilniaus m., Vilniaus m. sav.</t>
  </si>
  <si>
    <t>2025-11-24 13:18:52</t>
  </si>
  <si>
    <t>Vasaros g. 12-1, Vilniaus m., Vilniaus m. sav.</t>
  </si>
  <si>
    <t>2025-11-24 13:28:54</t>
  </si>
  <si>
    <t>2025-11-24 13:18:53</t>
  </si>
  <si>
    <t>Jonažolių g. 15, Vilniaus m., Vilniaus m. sav.</t>
  </si>
  <si>
    <t>2025-11-24 13:19:01</t>
  </si>
  <si>
    <t>Kintų g. 5, Vilniaus m., Vilniaus m. sav.</t>
  </si>
  <si>
    <t>2025-11-24 13:19:03</t>
  </si>
  <si>
    <t>2025-11-24 13:23:11</t>
  </si>
  <si>
    <t>Kelmiškių g. 36, Vilniaus m., Vilniaus m. sav.</t>
  </si>
  <si>
    <t>2025-11-24 13:19:12</t>
  </si>
  <si>
    <t>2025-11-24 13:19:23</t>
  </si>
  <si>
    <t>2025-11-24 13:19:26</t>
  </si>
  <si>
    <t>Pylimo g. 40, Vilniaus m., Vilniaus m. sav.</t>
  </si>
  <si>
    <t>2025-11-24 13:19:27</t>
  </si>
  <si>
    <t>2025-11-24 13:19:28</t>
  </si>
  <si>
    <t>Kelmijos Sodų 8-oji g. 41, Vilniaus m., Vilniaus m. sav.</t>
  </si>
  <si>
    <t>2025-11-24 13:19:30</t>
  </si>
  <si>
    <t>2025-11-24 13:19:34</t>
  </si>
  <si>
    <t>2025-11-24 13:19:35</t>
  </si>
  <si>
    <t>2025-11-24 13:19:37</t>
  </si>
  <si>
    <t>Vasaros g. 7, Vilniaus m., Vilniaus m. sav.</t>
  </si>
  <si>
    <t>2025-11-24 13:19:44</t>
  </si>
  <si>
    <t>2025-11-24 13:28:57</t>
  </si>
  <si>
    <t>2025-11-24 13:19:53</t>
  </si>
  <si>
    <t>2025-11-24 13:19:54</t>
  </si>
  <si>
    <t>Gerosios Vilties g. 7A, Vilniaus m., Vilniaus m. sav.</t>
  </si>
  <si>
    <t>2025-11-24 13:20:03</t>
  </si>
  <si>
    <t>Rygos g. 31, Vilniaus m., Vilniaus m. sav.</t>
  </si>
  <si>
    <t>Rudens g. 2, Vilniaus m., Vilniaus m. sav.</t>
  </si>
  <si>
    <t>2025-11-24 13:20:04</t>
  </si>
  <si>
    <t>Kelmijos Sodų 8-oji g. 38, Vilniaus m., Vilniaus m. sav.</t>
  </si>
  <si>
    <t>2025-11-24 13:20:44</t>
  </si>
  <si>
    <t>Gegliškių g. 25-1, Vilniaus m., Vilniaus m. sav.</t>
  </si>
  <si>
    <t>2025-11-24 13:20:45</t>
  </si>
  <si>
    <t>Gegliškių g. 25-2, Vilniaus m., Vilniaus m. sav.</t>
  </si>
  <si>
    <t>2025-11-24 13:20:48</t>
  </si>
  <si>
    <t>2025-11-24 13:20:53</t>
  </si>
  <si>
    <t>2025-11-24 13:20:54</t>
  </si>
  <si>
    <t>Kelmijos Sodų 8-oji g. 37, Vilniaus m., Vilniaus m. sav.</t>
  </si>
  <si>
    <t>2025-11-24 13:20:58</t>
  </si>
  <si>
    <t>2025-11-24 13:21:09</t>
  </si>
  <si>
    <t>2025-11-24 13:21:14</t>
  </si>
  <si>
    <t>2025-11-24 13:21:15</t>
  </si>
  <si>
    <t>2025-11-24 13:21:16</t>
  </si>
  <si>
    <t>2025-11-24 13:28:31</t>
  </si>
  <si>
    <t>2025-11-24 13:21:20</t>
  </si>
  <si>
    <t>2025-11-24 13:21:23</t>
  </si>
  <si>
    <t>2025-11-24 13:21:28</t>
  </si>
  <si>
    <t>2025-11-24 13:21:37</t>
  </si>
  <si>
    <t>2025-11-24 13:21:38</t>
  </si>
  <si>
    <t>Kelmijos Sodų 8-oji g. 35, Vilniaus m., Vilniaus m. sav.</t>
  </si>
  <si>
    <t>2025-11-24 13:21:40</t>
  </si>
  <si>
    <t>2025-11-24 13:21:55</t>
  </si>
  <si>
    <t>Pavasario g. 19, Vilniaus m., Vilniaus m. sav.</t>
  </si>
  <si>
    <t>2025-11-24 13:28:58</t>
  </si>
  <si>
    <t>2025-11-24 13:21:56</t>
  </si>
  <si>
    <t>Kelmiškių g. 24, Vilniaus m., Vilniaus m. sav.</t>
  </si>
  <si>
    <t>2025-11-24 13:21:57</t>
  </si>
  <si>
    <t>2025-11-24 13:22:00</t>
  </si>
  <si>
    <t>2025-11-24 14:04:11</t>
  </si>
  <si>
    <t>Jonažolių g. 19, Vilniaus m., Vilniaus m. sav.</t>
  </si>
  <si>
    <t>Kryžiokų g. 391, Vilniaus m., Vilniaus m. sav.</t>
  </si>
  <si>
    <t>2025-11-24 13:22:20</t>
  </si>
  <si>
    <t>2025-11-24 13:22:29</t>
  </si>
  <si>
    <t>2025-11-24 13:22:30</t>
  </si>
  <si>
    <t>Kelmijos Sodų 8-oji g. 28, Vilniaus m., Vilniaus m. sav.</t>
  </si>
  <si>
    <t>Rygos g. 24, Vilniaus m., Vilniaus m. sav.</t>
  </si>
  <si>
    <t>2025-11-24 13:28:22</t>
  </si>
  <si>
    <t>Gegliškių g. 27, Vilniaus m., Vilniaus m. sav.</t>
  </si>
  <si>
    <t>2025-11-24 13:22:42</t>
  </si>
  <si>
    <t>Kelmiškių g. 24A, Vilniaus m., Vilniaus m. sav.</t>
  </si>
  <si>
    <t>2025-11-24 13:22:47</t>
  </si>
  <si>
    <t>2025-11-24 13:30:42</t>
  </si>
  <si>
    <t>2025-11-24 13:22:59</t>
  </si>
  <si>
    <t>Mildos g. 33, Vilniaus m., Vilniaus m. sav.</t>
  </si>
  <si>
    <t>Pavasario g. 21E, Vilniaus m., Vilniaus m. sav.</t>
  </si>
  <si>
    <t>Pavasario g. 21B, Vilniaus m., Vilniaus m. sav.</t>
  </si>
  <si>
    <t>2025-11-24 13:29:03</t>
  </si>
  <si>
    <t>2025-11-24 13:23:14</t>
  </si>
  <si>
    <t>Kelmijos Sodų 8-oji g. 31, Vilniaus m., Vilniaus m. sav.</t>
  </si>
  <si>
    <t>2025-11-24 13:23:34</t>
  </si>
  <si>
    <t>2025-11-24 13:23:35</t>
  </si>
  <si>
    <t>Liepkalnio g. 69, Vilniaus m., Vilniaus m. sav.</t>
  </si>
  <si>
    <t>2025-11-24 13:23:38</t>
  </si>
  <si>
    <t>Kelmiškių g. 22, Vilniaus m., Vilniaus m. sav.</t>
  </si>
  <si>
    <t>2025-11-24 13:30:45</t>
  </si>
  <si>
    <t>2025-11-24 13:23:42</t>
  </si>
  <si>
    <t>2025-11-24 13:29:04</t>
  </si>
  <si>
    <t>2025-11-24 13:23:43</t>
  </si>
  <si>
    <t>2025-11-24 13:23:44</t>
  </si>
  <si>
    <t>Kelmijos Sodų 8-oji g. 29, Vilniaus m., Vilniaus m. sav.</t>
  </si>
  <si>
    <t>2025-11-24 13:27:42</t>
  </si>
  <si>
    <t>Pavasario g. 36, Vilniaus m., Vilniaus m. sav.</t>
  </si>
  <si>
    <t>2025-11-24 13:23:55</t>
  </si>
  <si>
    <t>Prūsų g. 26A, Vilniaus m., Vilniaus m. sav.</t>
  </si>
  <si>
    <t>2025-11-24 13:23:56</t>
  </si>
  <si>
    <t>Kelmijos Sodų 8-oji g. 27, Vilniaus m., Vilniaus m. sav.</t>
  </si>
  <si>
    <t>2025-11-24 13:24:05</t>
  </si>
  <si>
    <t>Kalvarijų g. 52A, Vilniaus m., Vilniaus m. sav.</t>
  </si>
  <si>
    <t>2025-11-24 13:24:08</t>
  </si>
  <si>
    <t>2025-11-24 13:27:44</t>
  </si>
  <si>
    <t>2025-11-24 13:24:28</t>
  </si>
  <si>
    <t>2025-11-24 13:24:39</t>
  </si>
  <si>
    <t>Pavasario g. 21D, Vilniaus m., Vilniaus m. sav.</t>
  </si>
  <si>
    <t>2025-11-24 13:24:41</t>
  </si>
  <si>
    <t>2025-11-24 13:24:44</t>
  </si>
  <si>
    <t>Viršuliškių g. 31, Vilniaus m., Vilniaus m. sav.</t>
  </si>
  <si>
    <t>2025-11-24 13:24:47</t>
  </si>
  <si>
    <t>2025-11-24 13:24:49</t>
  </si>
  <si>
    <t>2025-11-24 13:24:51</t>
  </si>
  <si>
    <t>2025-11-24 13:24:53</t>
  </si>
  <si>
    <t>2025-11-24 13:24:54</t>
  </si>
  <si>
    <t>Pavasario g. 21A, Vilniaus m., Vilniaus m. sav.</t>
  </si>
  <si>
    <t>2025-11-24 13:25:00</t>
  </si>
  <si>
    <t>Raudonbalės g. 8A-1, Vilniaus m., Vilniaus m. sav.</t>
  </si>
  <si>
    <t>Raudonbalės g. 8D, Vilniaus m., Vilniaus m. sav.</t>
  </si>
  <si>
    <t>2025-11-24 13:25:05</t>
  </si>
  <si>
    <t>2025-11-24 13:25:07</t>
  </si>
  <si>
    <t>Raudonbalės g. 11, Vilniaus m., Vilniaus m. sav.</t>
  </si>
  <si>
    <t>Šiltnamių g. 42, Vilniaus m., Vilniaus m. sav.</t>
  </si>
  <si>
    <t>2025-11-24 13:25:12</t>
  </si>
  <si>
    <t>2025-11-24 13:25:19</t>
  </si>
  <si>
    <t>2025-11-24 13:25:21</t>
  </si>
  <si>
    <t>Raudonbalės g. 8, Vilniaus m., Vilniaus m. sav.</t>
  </si>
  <si>
    <t>2025-11-24 13:25:25</t>
  </si>
  <si>
    <t>Raudonbalės g. 8B, Vilniaus m., Vilniaus m. sav.</t>
  </si>
  <si>
    <t>2025-11-24 13:25:36</t>
  </si>
  <si>
    <t>2025-11-24 13:25:41</t>
  </si>
  <si>
    <t>2025-11-24 13:25:48</t>
  </si>
  <si>
    <t>2025-11-24 13:25:53</t>
  </si>
  <si>
    <t>Raudonbalės g. 8A-2, Vilniaus m., Vilniaus m. sav.</t>
  </si>
  <si>
    <t>2025-11-24 13:25:57</t>
  </si>
  <si>
    <t>2025-11-24 13:26:05</t>
  </si>
  <si>
    <t>2025-11-24 13:26:10</t>
  </si>
  <si>
    <t>S. Fino g. 4, Vilniaus m., Vilniaus m. sav.</t>
  </si>
  <si>
    <t>2025-11-24 13:26:22</t>
  </si>
  <si>
    <t>Vilkynės g. 64, Vilniaus m., Vilniaus m. sav.</t>
  </si>
  <si>
    <t>2025-11-24 13:26:25</t>
  </si>
  <si>
    <t>Gerosios Vilties g. 38, Vilniaus m., Vilniaus m. sav.</t>
  </si>
  <si>
    <t>2025-11-24 13:26:30</t>
  </si>
  <si>
    <t>Kelmijos Sodų 16-oji g. 9, Vilniaus m., Vilniaus m. sav.</t>
  </si>
  <si>
    <t>2025-11-24 13:26:31</t>
  </si>
  <si>
    <t>Raugyklos g. 15A, Vilniaus m., Vilniaus m. sav.</t>
  </si>
  <si>
    <t>2025-11-24 13:26:32</t>
  </si>
  <si>
    <t>Raudonbalės g. 12, Vilniaus m., Vilniaus m. sav.</t>
  </si>
  <si>
    <t>2025-11-24 13:26:36</t>
  </si>
  <si>
    <t>2025-11-24 13:26:37</t>
  </si>
  <si>
    <t>Raudonbalės g. 13, Vilniaus m., Vilniaus m. sav.</t>
  </si>
  <si>
    <t>2025-11-24 13:26:38</t>
  </si>
  <si>
    <t>2025-11-24 13:26:47</t>
  </si>
  <si>
    <t>2025-11-24 13:26:48</t>
  </si>
  <si>
    <t>2025-11-24 13:26:55</t>
  </si>
  <si>
    <t>2025-11-24 13:26:59</t>
  </si>
  <si>
    <t>Lazdynėlių g. 4, Vilniaus m., Vilniaus m. sav.</t>
  </si>
  <si>
    <t>2025-11-24 13:27:06</t>
  </si>
  <si>
    <t>Kelmijos Sodų 16-oji g. 6, Vilniaus m., Vilniaus m. sav.</t>
  </si>
  <si>
    <t>2025-11-24 13:27:16</t>
  </si>
  <si>
    <t>2025-11-24 13:27:18</t>
  </si>
  <si>
    <t>Raudonbalės g. 15, Vilniaus m., Vilniaus m. sav.</t>
  </si>
  <si>
    <t>2025-11-24 13:27:19</t>
  </si>
  <si>
    <t>2025-11-24 13:27:20</t>
  </si>
  <si>
    <t>2025-11-24 13:27:27</t>
  </si>
  <si>
    <t>M. K. Paco g. 21, Vilniaus m., Vilniaus m. sav.</t>
  </si>
  <si>
    <t>2025-11-24 13:27:28</t>
  </si>
  <si>
    <t>2025-11-24 13:27:30</t>
  </si>
  <si>
    <t>Kelmijos Sodų 16-oji g. 2, Vilniaus m., Vilniaus m. sav.</t>
  </si>
  <si>
    <t>Kelmijos Sodų 16-oji g. 11, Vilniaus m., Vilniaus m. sav.</t>
  </si>
  <si>
    <t>2025-11-24 13:37:48</t>
  </si>
  <si>
    <t>Raudonbalės g. 14, Vilniaus m., Vilniaus m. sav.</t>
  </si>
  <si>
    <t>2025-11-24 13:32:58</t>
  </si>
  <si>
    <t>2025-11-24 13:27:45</t>
  </si>
  <si>
    <t>2025-11-24 13:27:47</t>
  </si>
  <si>
    <t>Raugyklos g. 19, Vilniaus m., Vilniaus m. sav.</t>
  </si>
  <si>
    <t>2025-11-24 13:27:49</t>
  </si>
  <si>
    <t>2025-11-24 13:27:54</t>
  </si>
  <si>
    <t>Kelmijos Sodų 16-oji g. 8, Vilniaus m., Vilniaus m. sav.</t>
  </si>
  <si>
    <t>2025-11-24 13:28:01</t>
  </si>
  <si>
    <t>2025-11-24 13:28:03</t>
  </si>
  <si>
    <t>Saulės g. 3, Vilniaus m., Vilniaus m. sav.</t>
  </si>
  <si>
    <t>Justiniškių g. 50, Vilniaus m., Vilniaus m. sav.</t>
  </si>
  <si>
    <t>2025-11-24 13:28:30</t>
  </si>
  <si>
    <t>Liepkalnio g. 101, Vilniaus m., Vilniaus m. sav.</t>
  </si>
  <si>
    <t>Karačiūnų g. 68, Vilniaus m., Vilniaus m. sav.</t>
  </si>
  <si>
    <t>Saulės g. 5, Vilniaus m., Vilniaus m. sav.</t>
  </si>
  <si>
    <t>Kelmijos Sodų 7-oji g. 25, Vilniaus m., Vilniaus m. sav.</t>
  </si>
  <si>
    <t>Tunelio g. 1, Vilniaus m., Vilniaus m. sav.</t>
  </si>
  <si>
    <t>Kelmijos Sodų 15-oji g. 3, Vilniaus m., Vilniaus m. sav.</t>
  </si>
  <si>
    <t>2025-11-24 13:37:54</t>
  </si>
  <si>
    <t>Levandų g. 20, Vilniaus m., Vilniaus m. sav.</t>
  </si>
  <si>
    <t>Kelmijos Sodų 7-oji g. 21, Vilniaus m., Vilniaus m. sav.</t>
  </si>
  <si>
    <t>2025-11-24 13:29:09</t>
  </si>
  <si>
    <t>2025-11-24 13:29:10</t>
  </si>
  <si>
    <t>Kelmijos Sodų 15-oji g. 6, Vilniaus m., Vilniaus m. sav.</t>
  </si>
  <si>
    <t>2025-11-24 13:29:16</t>
  </si>
  <si>
    <t>Kelmijos Sodų 7-oji g. 3, Vilniaus m., Vilniaus m. sav.</t>
  </si>
  <si>
    <t>2025-11-24 13:29:19</t>
  </si>
  <si>
    <t>2025-11-24 13:29:22</t>
  </si>
  <si>
    <t>2025-11-24 13:29:26</t>
  </si>
  <si>
    <t>2025-11-24 13:29:31</t>
  </si>
  <si>
    <t>Tunelio g. 18, Vilniaus m., Vilniaus m. sav.</t>
  </si>
  <si>
    <t>Raudonbalės g. 18-2, Vilniaus m., Vilniaus m. sav.</t>
  </si>
  <si>
    <t>2025-11-24 13:29:32</t>
  </si>
  <si>
    <t>Raudonbalės g. 18-1, Vilniaus m., Vilniaus m. sav.</t>
  </si>
  <si>
    <t>2025-11-24 13:29:36</t>
  </si>
  <si>
    <t>2025-11-24 13:29:37</t>
  </si>
  <si>
    <t>2025-11-24 13:29:39</t>
  </si>
  <si>
    <t>2025-11-24 13:41:54</t>
  </si>
  <si>
    <t>2025-11-24 13:29:40</t>
  </si>
  <si>
    <t>2025-11-24 13:29:45</t>
  </si>
  <si>
    <t>Raudonbalės g. 16A, Vilniaus m., Vilniaus m. sav.</t>
  </si>
  <si>
    <t>2025-11-24 13:42:05</t>
  </si>
  <si>
    <t>Saulės g. 7-1, Vilniaus m., Vilniaus m. sav.</t>
  </si>
  <si>
    <t>2025-11-24 13:29:46</t>
  </si>
  <si>
    <t>Raudonbalės g. 16-1, Vilniaus m., Vilniaus m. sav.</t>
  </si>
  <si>
    <t>2025-11-24 13:42:06</t>
  </si>
  <si>
    <t>2025-11-24 13:29:47</t>
  </si>
  <si>
    <t>2025-11-24 13:29:50</t>
  </si>
  <si>
    <t>2025-11-24 13:29:52</t>
  </si>
  <si>
    <t>2025-11-24 13:30:13</t>
  </si>
  <si>
    <t>Raugyklos g. 21, Vilniaus m., Vilniaus m. sav.</t>
  </si>
  <si>
    <t>2025-11-24 13:30:21</t>
  </si>
  <si>
    <t>2025-11-24 13:30:23</t>
  </si>
  <si>
    <t>2025-11-24 13:30:26</t>
  </si>
  <si>
    <t>2025-11-24 13:30:28</t>
  </si>
  <si>
    <t>2025-11-24 13:30:30</t>
  </si>
  <si>
    <t>2025-11-24 13:30:31</t>
  </si>
  <si>
    <t>Saulės g. 7A-1, Vilniaus m., Vilniaus m. sav.</t>
  </si>
  <si>
    <t>2025-11-24 13:30:32</t>
  </si>
  <si>
    <t>Justiniškių g. 34, Vilniaus m., Vilniaus m. sav.</t>
  </si>
  <si>
    <t>2025-11-24 13:44:00</t>
  </si>
  <si>
    <t>2025-11-24 13:30:52</t>
  </si>
  <si>
    <t>2025-11-24 13:31:06</t>
  </si>
  <si>
    <t>Kelmijos Sodų 9-oji g. 13, Vilniaus m., Vilniaus m. sav.</t>
  </si>
  <si>
    <t>2025-11-24 13:31:14</t>
  </si>
  <si>
    <t>Raudonbalės g. 17, Vilniaus m., Vilniaus m. sav.</t>
  </si>
  <si>
    <t>2025-11-24 13:31:21</t>
  </si>
  <si>
    <t>2025-11-24 13:31:30</t>
  </si>
  <si>
    <t>2025-11-24 13:31:33</t>
  </si>
  <si>
    <t>Saulės g. 9, Vilniaus m., Vilniaus m. sav.</t>
  </si>
  <si>
    <t>2025-11-24 13:31:50</t>
  </si>
  <si>
    <t>2025-11-24 13:32:10</t>
  </si>
  <si>
    <t>2025-11-24 13:32:14</t>
  </si>
  <si>
    <t>Saulės g. 9A, Vilniaus m., Vilniaus m. sav.</t>
  </si>
  <si>
    <t>2025-11-24 13:32:19</t>
  </si>
  <si>
    <t>2025-11-24 13:32:22</t>
  </si>
  <si>
    <t>2025-11-24 13:32:31</t>
  </si>
  <si>
    <t>Igno Šimulionio g. 4, Vilniaus m., Vilniaus m. sav.</t>
  </si>
  <si>
    <t>Kauno g. 1A, Vilniaus m., Vilniaus m. sav.</t>
  </si>
  <si>
    <t>2025-11-24 13:32:45</t>
  </si>
  <si>
    <t>2025-11-24 13:33:06</t>
  </si>
  <si>
    <t>Justiniškių g. 28, Vilniaus m., Vilniaus m. sav.</t>
  </si>
  <si>
    <t>2025-11-24 13:33:07</t>
  </si>
  <si>
    <t>2025-11-24 13:33:10</t>
  </si>
  <si>
    <t>Saulės g. 6, Vilniaus m., Vilniaus m. sav.</t>
  </si>
  <si>
    <t>2025-11-24 13:33:12</t>
  </si>
  <si>
    <t>2025-11-24 13:33:15</t>
  </si>
  <si>
    <t>Saulės g. 11, Vilniaus m., Vilniaus m. sav.</t>
  </si>
  <si>
    <t>2025-11-24 13:33:17</t>
  </si>
  <si>
    <t>Oslo g. 7, Vilniaus m., Vilniaus m. sav.</t>
  </si>
  <si>
    <t>2025-11-24 13:33:20</t>
  </si>
  <si>
    <t>2025-11-24 13:42:13</t>
  </si>
  <si>
    <t>2025-11-24 13:33:31</t>
  </si>
  <si>
    <t>Pilnaties g. 15, Vilniaus m., Vilniaus m. sav.</t>
  </si>
  <si>
    <t>2025-11-24 13:33:33</t>
  </si>
  <si>
    <t>2025-11-24 13:33:36</t>
  </si>
  <si>
    <t>2025-11-24 13:33:37</t>
  </si>
  <si>
    <t>2025-11-24 13:33:41</t>
  </si>
  <si>
    <t>Saulės g. 6D, Vilniaus m., Vilniaus m. sav.</t>
  </si>
  <si>
    <t>2025-11-24 13:33:43</t>
  </si>
  <si>
    <t>Stepono Batoro g. 34, Vilniaus m., Vilniaus m. sav.</t>
  </si>
  <si>
    <t>2025-11-24 13:33:45</t>
  </si>
  <si>
    <t>2025-11-24 13:33:46</t>
  </si>
  <si>
    <t>2025-11-24 13:33:48</t>
  </si>
  <si>
    <t>2025-11-24 13:33:53</t>
  </si>
  <si>
    <t>Miškinių g. 57, Vilniaus m., Vilniaus m. sav.</t>
  </si>
  <si>
    <t>2025-11-24 13:33:58</t>
  </si>
  <si>
    <t>Tauliškių g. 23, Vilniaus m., Vilniaus m. sav.</t>
  </si>
  <si>
    <t>2025-11-24 13:33:59</t>
  </si>
  <si>
    <t>2025-11-24 13:34:00</t>
  </si>
  <si>
    <t>2025-11-24 13:34:04</t>
  </si>
  <si>
    <t>2025-11-24 13:34:06</t>
  </si>
  <si>
    <t>2025-11-24 13:34:10</t>
  </si>
  <si>
    <t>2025-11-24 13:34:15</t>
  </si>
  <si>
    <t>2025-11-24 13:34:16</t>
  </si>
  <si>
    <t>2025-11-24 13:34:21</t>
  </si>
  <si>
    <t>Lvovo g. 89, Vilniaus m., Vilniaus m. sav.</t>
  </si>
  <si>
    <t>2025-11-24 13:34:23</t>
  </si>
  <si>
    <t>2025-11-24 13:34:33</t>
  </si>
  <si>
    <t>Raudonbalės g. 9, Vilniaus m., Vilniaus m. sav.</t>
  </si>
  <si>
    <t>2025-11-24 13:34:36</t>
  </si>
  <si>
    <t>2025-11-24 13:34:38</t>
  </si>
  <si>
    <t>Molėtų pl. 47B, Vilniaus m., Vilniaus m. sav.</t>
  </si>
  <si>
    <t>2025-11-24 13:34:47</t>
  </si>
  <si>
    <t>Saulės g. 15, Vilniaus m., Vilniaus m. sav.</t>
  </si>
  <si>
    <t>2025-11-24 13:34:58</t>
  </si>
  <si>
    <t>2025-11-24 13:34:59</t>
  </si>
  <si>
    <t>Tauliškių g. 18, Vilniaus m., Vilniaus m. sav.</t>
  </si>
  <si>
    <t>2025-11-24 13:35:00</t>
  </si>
  <si>
    <t>2025-11-24 13:35:04</t>
  </si>
  <si>
    <t>2025-11-24 13:35:05</t>
  </si>
  <si>
    <t>Igno Šimulionio g. 3, Vilniaus m., Vilniaus m. sav.</t>
  </si>
  <si>
    <t>2025-11-24 13:35:18</t>
  </si>
  <si>
    <t>Liepkalnio g. 135, Vilniaus m., Vilniaus m. sav.</t>
  </si>
  <si>
    <t>2025-11-24 13:35:30</t>
  </si>
  <si>
    <t>2025-11-24 13:35:38</t>
  </si>
  <si>
    <t>2025-11-24 13:35:50</t>
  </si>
  <si>
    <t>Antežerių g. 2, Vilniaus m., Vilniaus m. sav.</t>
  </si>
  <si>
    <t>2025-11-24 13:35:51</t>
  </si>
  <si>
    <t>2025-11-24 13:36:11</t>
  </si>
  <si>
    <t>Antežerių g. 2A, Vilniaus m., Vilniaus m. sav.</t>
  </si>
  <si>
    <t>2025-11-24 13:36:14</t>
  </si>
  <si>
    <t>Saulės g. 15A, Vilniaus m., Vilniaus m. sav.</t>
  </si>
  <si>
    <t>2025-11-24 13:36:19</t>
  </si>
  <si>
    <t>2025-11-24 13:36:52</t>
  </si>
  <si>
    <t>Antežerių g. 1A, Vilniaus m., Vilniaus m. sav.</t>
  </si>
  <si>
    <t>2025-11-24 13:36:56</t>
  </si>
  <si>
    <t>2025-11-24 13:36:57</t>
  </si>
  <si>
    <t>2025-11-24 13:37:00</t>
  </si>
  <si>
    <t>Saulės g. 10-1, Vilniaus m., Vilniaus m. sav.</t>
  </si>
  <si>
    <t>2025-11-24 13:37:01</t>
  </si>
  <si>
    <t>2025-11-24 13:37:02</t>
  </si>
  <si>
    <t>2025-11-24 13:37:07</t>
  </si>
  <si>
    <t>2025-11-24 13:37:12</t>
  </si>
  <si>
    <t>2025-11-24 13:37:16</t>
  </si>
  <si>
    <t>Antavilių g. 27A, Vilniaus m., Vilniaus m. sav.</t>
  </si>
  <si>
    <t>2025-11-24 13:37:22</t>
  </si>
  <si>
    <t>Antežerių g. 2C, Vilniaus m., Vilniaus m. sav.</t>
  </si>
  <si>
    <t>2025-11-24 13:37:28</t>
  </si>
  <si>
    <t>2025-11-24 13:37:32</t>
  </si>
  <si>
    <t>2025-11-24 13:37:33</t>
  </si>
  <si>
    <t>Antežerių g. 2B, Vilniaus m., Vilniaus m. sav.</t>
  </si>
  <si>
    <t>2025-11-24 13:37:37</t>
  </si>
  <si>
    <t>2025-11-24 13:37:38</t>
  </si>
  <si>
    <t>2025-11-24 13:37:44</t>
  </si>
  <si>
    <t>2025-11-24 13:37:46</t>
  </si>
  <si>
    <t>Juozo Maceikos g. 5, Vilniaus m., Vilniaus m. sav.</t>
  </si>
  <si>
    <t>Antežerių g. 1, Vilniaus m., Vilniaus m. sav.</t>
  </si>
  <si>
    <t>2025-11-24 13:37:53</t>
  </si>
  <si>
    <t>Igno Šimulionio g. 5, Vilniaus m., Vilniaus m. sav.</t>
  </si>
  <si>
    <t>2025-11-24 13:43:11</t>
  </si>
  <si>
    <t>2025-11-24 13:38:07</t>
  </si>
  <si>
    <t>Antežerių g. 4, Vilniaus m., Vilniaus m. sav.</t>
  </si>
  <si>
    <t>Žalčių g. 21, Vilniaus m., Vilniaus m. sav.</t>
  </si>
  <si>
    <t>2025-11-24 13:38:22</t>
  </si>
  <si>
    <t>2025-11-24 13:38:29</t>
  </si>
  <si>
    <t>Antežerių g. 6, Vilniaus m., Vilniaus m. sav.</t>
  </si>
  <si>
    <t>2025-11-24 13:38:30</t>
  </si>
  <si>
    <t>2025-11-24 13:38:32</t>
  </si>
  <si>
    <t>2025-11-24 13:49:34</t>
  </si>
  <si>
    <t>2025-11-24 13:38:34</t>
  </si>
  <si>
    <t>Saulės g. 17, Vilniaus m., Vilniaus m. sav.</t>
  </si>
  <si>
    <t>Antežerių g. 3, Vilniaus m., Vilniaus m. sav.</t>
  </si>
  <si>
    <t>2025-11-24 13:38:36</t>
  </si>
  <si>
    <t>2025-11-24 14:11:35</t>
  </si>
  <si>
    <t>2025-11-24 13:44:20</t>
  </si>
  <si>
    <t>2025-11-24 13:38:48</t>
  </si>
  <si>
    <t>2025-11-24 13:38:58</t>
  </si>
  <si>
    <t>Saulės g. 21-1, Vilniaus m., Vilniaus m. sav.</t>
  </si>
  <si>
    <t>2025-11-24 13:45:53</t>
  </si>
  <si>
    <t>2025-11-24 13:39:00</t>
  </si>
  <si>
    <t>Šv. Stepono g. 37, Vilniaus m., Vilniaus m. sav.</t>
  </si>
  <si>
    <t>Antežerių g. 8, Vilniaus m., Vilniaus m. sav.</t>
  </si>
  <si>
    <t>2025-11-24 13:39:13</t>
  </si>
  <si>
    <t>2025-11-24 13:39:16</t>
  </si>
  <si>
    <t>Taikos g. 225, Vilniaus m., Vilniaus m. sav.</t>
  </si>
  <si>
    <t>2025-11-24 13:39:22</t>
  </si>
  <si>
    <t>2025-11-24 13:39:24</t>
  </si>
  <si>
    <t>Saulės g. 10B-2, Vilniaus m., Vilniaus m. sav.</t>
  </si>
  <si>
    <t>2025-11-24 13:39:26</t>
  </si>
  <si>
    <t>2025-11-24 13:49:36</t>
  </si>
  <si>
    <t>2025-11-24 13:39:30</t>
  </si>
  <si>
    <t>2025-11-24 14:48:38</t>
  </si>
  <si>
    <t>2025-11-24 13:39:44</t>
  </si>
  <si>
    <t>2025-11-24 13:39:46</t>
  </si>
  <si>
    <t>Antežerių g. 5, Vilniaus m., Vilniaus m. sav.</t>
  </si>
  <si>
    <t>2025-11-24 13:39:48</t>
  </si>
  <si>
    <t>2025-11-24 13:39:52</t>
  </si>
  <si>
    <t>2025-11-24 13:39:54</t>
  </si>
  <si>
    <t>2025-11-24 13:40:04</t>
  </si>
  <si>
    <t>2025-11-24 13:40:10</t>
  </si>
  <si>
    <t>Šv. Stepono g. 35, Vilniaus m., Vilniaus m. sav.</t>
  </si>
  <si>
    <t>2025-11-24 13:40:15</t>
  </si>
  <si>
    <t>Saulės g. 10C, Vilniaus m., Vilniaus m. sav.</t>
  </si>
  <si>
    <t>2025-11-24 13:40:16</t>
  </si>
  <si>
    <t>2025-11-24 13:40:17</t>
  </si>
  <si>
    <t>Antežerių g. 7, Vilniaus m., Vilniaus m. sav.</t>
  </si>
  <si>
    <t>2025-11-24 13:40:19</t>
  </si>
  <si>
    <t>2025-11-24 13:40:26</t>
  </si>
  <si>
    <t>2025-11-24 13:40:30</t>
  </si>
  <si>
    <t>Antavilių g. 11, Vilniaus m., Vilniaus m. sav.</t>
  </si>
  <si>
    <t>2025-11-24 13:45:44</t>
  </si>
  <si>
    <t>2025-11-24 13:40:32</t>
  </si>
  <si>
    <t>Igno Šimulionio g. 8, Vilniaus m., Vilniaus m. sav.</t>
  </si>
  <si>
    <t>2025-11-24 13:40:36</t>
  </si>
  <si>
    <t>Saulės g. 17B, Vilniaus m., Vilniaus m. sav.</t>
  </si>
  <si>
    <t>2025-11-24 13:40:38</t>
  </si>
  <si>
    <t>Saulės g. 10A, Vilniaus m., Vilniaus m. sav.</t>
  </si>
  <si>
    <t>2025-11-24 13:40:39</t>
  </si>
  <si>
    <t>2025-11-24 13:40:43</t>
  </si>
  <si>
    <t>2025-11-24 13:40:44</t>
  </si>
  <si>
    <t>2025-11-24 13:40:55</t>
  </si>
  <si>
    <t>2025-11-24 13:41:00</t>
  </si>
  <si>
    <t>2025-11-24 13:41:08</t>
  </si>
  <si>
    <t>Antežerių g. 9, Vilniaus m., Vilniaus m. sav.</t>
  </si>
  <si>
    <t>2025-11-24 13:41:12</t>
  </si>
  <si>
    <t>2025-11-24 13:41:36</t>
  </si>
  <si>
    <t>2025-11-24 13:41:40</t>
  </si>
  <si>
    <t>2025-11-24 13:41:42</t>
  </si>
  <si>
    <t>Architektų g. 85, Vilniaus m., Vilniaus m. sav.</t>
  </si>
  <si>
    <t>2025-11-24 13:41:46</t>
  </si>
  <si>
    <t>2025-11-24 13:45:45</t>
  </si>
  <si>
    <t>2025-11-24 13:41:50</t>
  </si>
  <si>
    <t>Antežerių g. 11, Vilniaus m., Vilniaus m. sav.</t>
  </si>
  <si>
    <t>2025-11-24 13:41:55</t>
  </si>
  <si>
    <t>Taikos g. 223, Vilniaus m., Vilniaus m. sav.</t>
  </si>
  <si>
    <t>Dundulio g. 1A, Vilniaus m., Vilniaus m. sav.</t>
  </si>
  <si>
    <t>2025-11-24 13:42:55</t>
  </si>
  <si>
    <t>Antežerių g. 13, Vilniaus m., Vilniaus m. sav.</t>
  </si>
  <si>
    <t>2025-11-24 13:43:00</t>
  </si>
  <si>
    <t>2025-11-24 13:43:18</t>
  </si>
  <si>
    <t>2025-11-24 13:43:25</t>
  </si>
  <si>
    <t>2025-11-24 13:43:45</t>
  </si>
  <si>
    <t>2025-11-24 13:44:21</t>
  </si>
  <si>
    <t>Vytauto Vaitkaus g. 13, Vilniaus m., Vilniaus m. sav.</t>
  </si>
  <si>
    <t>2025-11-24 13:44:29</t>
  </si>
  <si>
    <t>Paliepių g. 3, Vilniaus m., Vilniaus m. sav.</t>
  </si>
  <si>
    <t>2025-11-24 13:44:32</t>
  </si>
  <si>
    <t>Taikos g. 170, Vilniaus m., Vilniaus m. sav.</t>
  </si>
  <si>
    <t>2025-11-24 13:44:36</t>
  </si>
  <si>
    <t>2025-11-24 13:44:45</t>
  </si>
  <si>
    <t>Tauliškių g. 18A, Vilniaus m., Vilniaus m. sav.</t>
  </si>
  <si>
    <t>2025-11-24 13:44:46</t>
  </si>
  <si>
    <t>2025-11-24 13:57:26</t>
  </si>
  <si>
    <t>2025-11-24 13:44:54</t>
  </si>
  <si>
    <t>2025-11-24 13:44:56</t>
  </si>
  <si>
    <t>2025-11-24 13:45:03</t>
  </si>
  <si>
    <t>Tauliškių g. 16, Vilniaus m., Vilniaus m. sav.</t>
  </si>
  <si>
    <t>Tauliškių g. 19, Vilniaus m., Vilniaus m. sav.</t>
  </si>
  <si>
    <t>2025-11-24 13:45:04</t>
  </si>
  <si>
    <t>2025-11-24 13:45:10</t>
  </si>
  <si>
    <t>2025-11-24 13:45:12</t>
  </si>
  <si>
    <t>2025-11-24 13:45:18</t>
  </si>
  <si>
    <t>2025-11-24 13:45:22</t>
  </si>
  <si>
    <t>2025-11-24 13:45:27</t>
  </si>
  <si>
    <t>Verkių Riešės g. 26, Vilniaus m., Vilniaus m. sav.</t>
  </si>
  <si>
    <t>2025-11-24 13:45:31</t>
  </si>
  <si>
    <t>Antakalnio g. 26A, Vilniaus m., Vilniaus m. sav.</t>
  </si>
  <si>
    <t>2025-11-24 13:45:33</t>
  </si>
  <si>
    <t>2025-11-24 13:45:37</t>
  </si>
  <si>
    <t>Riešės g. 9, Vilniaus m., Vilniaus m. sav.</t>
  </si>
  <si>
    <t>2025-11-24 13:45:40</t>
  </si>
  <si>
    <t>Korių g. 52, Vilniaus m., Vilniaus m. sav.</t>
  </si>
  <si>
    <t>Tauliškių g. 16A, Vilniaus m., Vilniaus m. sav.</t>
  </si>
  <si>
    <t>2025-11-24 13:45:48</t>
  </si>
  <si>
    <t>2025-11-24 13:46:08</t>
  </si>
  <si>
    <t>2025-11-24 13:46:14</t>
  </si>
  <si>
    <t>2025-11-24 13:46:20</t>
  </si>
  <si>
    <t>Tauliškių g. 14, Vilniaus m., Vilniaus m. sav.</t>
  </si>
  <si>
    <t>2025-11-24 13:46:21</t>
  </si>
  <si>
    <t>2025-11-24 13:46:37</t>
  </si>
  <si>
    <t>2025-11-24 13:46:53</t>
  </si>
  <si>
    <t>2025-11-24 13:49:45</t>
  </si>
  <si>
    <t>2025-11-24 13:46:56</t>
  </si>
  <si>
    <t>Tauliškių g. 17, Vilniaus m., Vilniaus m. sav.</t>
  </si>
  <si>
    <t>2025-11-24 13:47:01</t>
  </si>
  <si>
    <t>Vytauto Vaitkaus g. 11, Vilniaus m., Vilniaus m. sav.</t>
  </si>
  <si>
    <t>2025-11-24 13:47:11</t>
  </si>
  <si>
    <t>2025-11-24 13:47:22</t>
  </si>
  <si>
    <t>2025-11-24 13:47:23</t>
  </si>
  <si>
    <t>2025-11-24 13:47:26</t>
  </si>
  <si>
    <t>Tauliškių g. 15, Vilniaus m., Vilniaus m. sav.</t>
  </si>
  <si>
    <t>2025-11-24 13:47:29</t>
  </si>
  <si>
    <t>2025-11-24 13:47:31</t>
  </si>
  <si>
    <t>2025-11-24 13:47:34</t>
  </si>
  <si>
    <t>Antakalnio g. 21B, Vilniaus m., Vilniaus m. sav.</t>
  </si>
  <si>
    <t>2025-11-24 13:47:40</t>
  </si>
  <si>
    <t>2025-11-24 13:47:43</t>
  </si>
  <si>
    <t>Taikos g. 245, Vilniaus m., Vilniaus m. sav.</t>
  </si>
  <si>
    <t>2025-11-24 13:47:53</t>
  </si>
  <si>
    <t>2025-11-24 13:48:00</t>
  </si>
  <si>
    <t>2025-11-24 13:48:05</t>
  </si>
  <si>
    <t>2025-11-24 13:48:20</t>
  </si>
  <si>
    <t>Pagubės g. 60, Vilniaus m., Vilniaus m. sav.</t>
  </si>
  <si>
    <t>2025-11-24 13:48:21</t>
  </si>
  <si>
    <t>2025-11-24 13:48:25</t>
  </si>
  <si>
    <t>Architektų g. 16, Vilniaus m., Vilniaus m. sav.</t>
  </si>
  <si>
    <t>2025-11-24 13:48:39</t>
  </si>
  <si>
    <t>2025-11-24 13:48:57</t>
  </si>
  <si>
    <t>2025-11-24 13:48:58</t>
  </si>
  <si>
    <t>2025-11-24 13:49:04</t>
  </si>
  <si>
    <t>Žalesos g. 8, Vilniaus m., Vilniaus m. sav.</t>
  </si>
  <si>
    <t>Vytauto Vaitkaus g. 5, Vilniaus m., Vilniaus m. sav.</t>
  </si>
  <si>
    <t>2025-11-24 13:49:16</t>
  </si>
  <si>
    <t>2025-11-24 13:49:18</t>
  </si>
  <si>
    <t>2025-11-24 13:55:53</t>
  </si>
  <si>
    <t>2025-11-24 13:49:19</t>
  </si>
  <si>
    <t>2025-11-24 13:49:26</t>
  </si>
  <si>
    <t>Šv. Stepono g. 31, Vilniaus m., Vilniaus m. sav.</t>
  </si>
  <si>
    <t>Olandų g. 50, Vilniaus m., Vilniaus m. sav.</t>
  </si>
  <si>
    <t>Žalesos g. 6, Vilniaus m., Vilniaus m. sav.</t>
  </si>
  <si>
    <t>2025-11-24 13:49:53</t>
  </si>
  <si>
    <t>Popieriaus g. 1, Vilniaus m., Vilniaus m. sav.</t>
  </si>
  <si>
    <t>2025-11-24 13:49:57</t>
  </si>
  <si>
    <t>2025-11-24 13:50:05</t>
  </si>
  <si>
    <t>Žalesos g. 5, Vilniaus m., Vilniaus m. sav.</t>
  </si>
  <si>
    <t>2025-11-24 13:50:23</t>
  </si>
  <si>
    <t>Vytauto Vaitkaus g. 3, Vilniaus m., Vilniaus m. sav.</t>
  </si>
  <si>
    <t>2025-11-24 13:50:29</t>
  </si>
  <si>
    <t>2025-11-24 13:50:43</t>
  </si>
  <si>
    <t>Žaliųjų Ežerų g. 85, Vilniaus m., Vilniaus m. sav.</t>
  </si>
  <si>
    <t>2025-11-24 13:50:44</t>
  </si>
  <si>
    <t>P. Vileišio g. 18, Vilniaus m., Vilniaus m. sav.</t>
  </si>
  <si>
    <t>2025-11-24 13:50:46</t>
  </si>
  <si>
    <t>Žalesos g. 3, Vilniaus m., Vilniaus m. sav.</t>
  </si>
  <si>
    <t>2025-11-24 13:50:53</t>
  </si>
  <si>
    <t>Taikos g. 239, Vilniaus m., Vilniaus m. sav.</t>
  </si>
  <si>
    <t>2025-11-24 13:50:56</t>
  </si>
  <si>
    <t>2025-11-24 13:51:00</t>
  </si>
  <si>
    <t>2025-11-24 13:51:05</t>
  </si>
  <si>
    <t>Svirno g. 5, Vilniaus m., Vilniaus m. sav.</t>
  </si>
  <si>
    <t>2025-11-24 13:51:23</t>
  </si>
  <si>
    <t>Šv. Stepono g. 38, Vilniaus m., Vilniaus m. sav.</t>
  </si>
  <si>
    <t>2025-11-24 13:51:27</t>
  </si>
  <si>
    <t>Žalesos g. 2, Vilniaus m., Vilniaus m. sav.</t>
  </si>
  <si>
    <t>2025-11-24 13:51:31</t>
  </si>
  <si>
    <t>2025-11-24 13:51:32</t>
  </si>
  <si>
    <t>2025-11-24 13:51:45</t>
  </si>
  <si>
    <t>2025-11-24 13:51:48</t>
  </si>
  <si>
    <t>2025-11-24 13:51:50</t>
  </si>
  <si>
    <t>2025-11-24 13:51:58</t>
  </si>
  <si>
    <t>2025-11-24 13:52:01</t>
  </si>
  <si>
    <t>2025-11-24 13:52:13</t>
  </si>
  <si>
    <t>Žalesos g. 3A, Vilniaus m., Vilniaus m. sav.</t>
  </si>
  <si>
    <t>2025-11-24 13:52:25</t>
  </si>
  <si>
    <t>Apolinaro Juozo Povilaičio g. 18, Vilniaus m., Vilniaus m. sav.</t>
  </si>
  <si>
    <t>2025-11-24 13:52:32</t>
  </si>
  <si>
    <t>M. Katkaus g.  2c, Vilniaus m., Vilniaus m. sav.</t>
  </si>
  <si>
    <t>2025-11-24 13:52:33</t>
  </si>
  <si>
    <t>2025-11-24 13:52:41</t>
  </si>
  <si>
    <t>2025-11-24 13:52:45</t>
  </si>
  <si>
    <t>Žalesos g. 5-1, Vilniaus m., Vilniaus m. sav.</t>
  </si>
  <si>
    <t>2025-11-24 13:52:47</t>
  </si>
  <si>
    <t>2025-11-24 13:53:03</t>
  </si>
  <si>
    <t>Šv. Stepono g. 29, Vilniaus m., Vilniaus m. sav.</t>
  </si>
  <si>
    <t>2025-11-24 13:53:08</t>
  </si>
  <si>
    <t>Architektų g. 162, Vilniaus m., Vilniaus m. sav.</t>
  </si>
  <si>
    <t>2025-11-24 13:53:12</t>
  </si>
  <si>
    <t>2025-11-24 13:53:26</t>
  </si>
  <si>
    <t>Mikalojaus Husoviano g. 18, Vilniaus m., Vilniaus m. sav.</t>
  </si>
  <si>
    <t>2025-11-24 13:57:10</t>
  </si>
  <si>
    <t>2025-11-24 13:53:27</t>
  </si>
  <si>
    <t>2025-11-24 13:53:29</t>
  </si>
  <si>
    <t>2025-11-24 13:53:35</t>
  </si>
  <si>
    <t>Tauliškių g. 13, Vilniaus m., Vilniaus m. sav.</t>
  </si>
  <si>
    <t>2025-11-24 13:53:42</t>
  </si>
  <si>
    <t>2025-11-24 13:53:49</t>
  </si>
  <si>
    <t>2025-11-24 13:54:02</t>
  </si>
  <si>
    <t>Taikos g. 178, Vilniaus m., Vilniaus m. sav.</t>
  </si>
  <si>
    <t>2025-11-24 13:54:07</t>
  </si>
  <si>
    <t>2025-11-24 13:54:09</t>
  </si>
  <si>
    <t>Šv. Stepono g. 36, Vilniaus m., Vilniaus m. sav.</t>
  </si>
  <si>
    <t>2025-11-24 13:54:13</t>
  </si>
  <si>
    <t>2025-11-24 13:54:16</t>
  </si>
  <si>
    <t>Tauliškių g. 11-1, Vilniaus m., Vilniaus m. sav.</t>
  </si>
  <si>
    <t>2025-11-24 13:54:51</t>
  </si>
  <si>
    <t>2025-11-24 13:54:57</t>
  </si>
  <si>
    <t>Tauliškių g. 11-2, Vilniaus m., Vilniaus m. sav.</t>
  </si>
  <si>
    <t>2025-11-24 13:55:09</t>
  </si>
  <si>
    <t>2025-11-24 13:55:11</t>
  </si>
  <si>
    <t>Birelių g. 85, Vilniaus m., Vilniaus m. sav.</t>
  </si>
  <si>
    <t>2025-11-24 13:55:18</t>
  </si>
  <si>
    <t>Tauliškių g. 12B, Vilniaus m., Vilniaus m. sav.</t>
  </si>
  <si>
    <t>2025-11-24 13:59:49</t>
  </si>
  <si>
    <t>Šv. Stepono g. 34, Vilniaus m., Vilniaus m. sav.</t>
  </si>
  <si>
    <t>Taikos g. 257, Vilniaus m., Vilniaus m. sav.</t>
  </si>
  <si>
    <t>2025-11-24 13:55:58</t>
  </si>
  <si>
    <t>Tauliškių g. 9, Vilniaus m., Vilniaus m. sav.</t>
  </si>
  <si>
    <t>2025-11-24 13:56:01</t>
  </si>
  <si>
    <t>2025-11-24 13:56:07</t>
  </si>
  <si>
    <t>2025-11-24 13:56:19</t>
  </si>
  <si>
    <t>Tauliškių g. 12A, Vilniaus m., Vilniaus m. sav.</t>
  </si>
  <si>
    <t>2025-11-24 13:56:25</t>
  </si>
  <si>
    <t>2025-11-24 13:56:31</t>
  </si>
  <si>
    <t>2025-11-24 13:56:35</t>
  </si>
  <si>
    <t>Apolinaro Juozo Povilaičio g. 12, Vilniaus m., Vilniaus m. sav.</t>
  </si>
  <si>
    <t>2025-11-24 13:56:44</t>
  </si>
  <si>
    <t>2025-11-24 13:56:45</t>
  </si>
  <si>
    <t>2025-11-24 13:56:49</t>
  </si>
  <si>
    <t>2025-11-24 13:56:55</t>
  </si>
  <si>
    <t>Tauliškių g. 7, Vilniaus m., Vilniaus m. sav.</t>
  </si>
  <si>
    <t>2025-11-24 13:57:00</t>
  </si>
  <si>
    <t>2025-11-24 14:11:36</t>
  </si>
  <si>
    <t>2025-11-24 13:57:06</t>
  </si>
  <si>
    <t>2025-11-24 13:57:20</t>
  </si>
  <si>
    <t>Tauliškių g. 12, Vilniaus m., Vilniaus m. sav.</t>
  </si>
  <si>
    <t>2025-11-24 13:57:24</t>
  </si>
  <si>
    <t>2025-11-24 13:57:29</t>
  </si>
  <si>
    <t>Šv. Stepono g. 32, Vilniaus m., Vilniaus m. sav.</t>
  </si>
  <si>
    <t>2025-11-24 13:57:51</t>
  </si>
  <si>
    <t>Tauliškių g. 12-2, Vilniaus m., Vilniaus m. sav.</t>
  </si>
  <si>
    <t>2025-11-24 13:58:01</t>
  </si>
  <si>
    <t>Raudonės g. 38, Vilniaus m., Vilniaus m. sav.</t>
  </si>
  <si>
    <t>2025-11-24 13:58:15</t>
  </si>
  <si>
    <t>2025-11-24 13:58:34</t>
  </si>
  <si>
    <t>2025-11-24 13:58:35</t>
  </si>
  <si>
    <t>Šv. Stepono g. 30, Vilniaus m., Vilniaus m. sav.</t>
  </si>
  <si>
    <t>2025-11-24 13:58:45</t>
  </si>
  <si>
    <t>Šv. Stepono g. 28, Vilniaus m., Vilniaus m. sav.</t>
  </si>
  <si>
    <t>2025-11-24 13:58:47</t>
  </si>
  <si>
    <t>Tauliškių g. 5, Vilniaus m., Vilniaus m. sav.</t>
  </si>
  <si>
    <t>2025-11-24 13:58:48</t>
  </si>
  <si>
    <t>2025-11-24 14:11:11</t>
  </si>
  <si>
    <t>2025-11-24 13:59:00</t>
  </si>
  <si>
    <t>Bistryčios g. 29, Vilniaus m., Vilniaus m. sav.</t>
  </si>
  <si>
    <t>2025-11-24 14:08:59</t>
  </si>
  <si>
    <t>Apolinaro Juozo Povilaičio g. 3, Vilniaus m., Vilniaus m. sav.</t>
  </si>
  <si>
    <t>Tauliškių g. 3-1, Vilniaus m., Vilniaus m. sav.</t>
  </si>
  <si>
    <t>Tauliškių g. 3A-1, Vilniaus m., Vilniaus m. sav.</t>
  </si>
  <si>
    <t>2025-11-24 14:12:38</t>
  </si>
  <si>
    <t>Tauliškių g. 3A, Vilniaus m., Vilniaus m. sav.</t>
  </si>
  <si>
    <t>2025-11-24 14:12:41</t>
  </si>
  <si>
    <t>2025-11-24 13:59:54</t>
  </si>
  <si>
    <t>Tauliškių g. 3-2, Vilniaus m., Vilniaus m. sav.</t>
  </si>
  <si>
    <t>2025-11-24 14:12:42</t>
  </si>
  <si>
    <t>2025-11-24 14:00:09</t>
  </si>
  <si>
    <t>Salininkų g. 253, Vilniaus m., Vilniaus m. sav.</t>
  </si>
  <si>
    <t>2025-11-24 14:00:15</t>
  </si>
  <si>
    <t>Tauliškių g. 3A-2, Vilniaus m., Vilniaus m. sav.</t>
  </si>
  <si>
    <t>2025-11-24 14:00:19</t>
  </si>
  <si>
    <t>2025-11-24 14:00:24</t>
  </si>
  <si>
    <t>2025-11-24 14:00:49</t>
  </si>
  <si>
    <t>2025-11-24 14:00:50</t>
  </si>
  <si>
    <t>Tauliškių g. 1, Vilniaus m., Vilniaus m. sav.</t>
  </si>
  <si>
    <t>2025-11-24 14:00:51</t>
  </si>
  <si>
    <t>2025-11-24 14:01:17</t>
  </si>
  <si>
    <t>Talkos Sodų 4-oji g. 9, Vilniaus m., Vilniaus m. sav.</t>
  </si>
  <si>
    <t>2025-11-24 14:01:20</t>
  </si>
  <si>
    <t>Liepkalnio g. 180, Vilniaus m., Vilniaus m. sav.</t>
  </si>
  <si>
    <t>2025-11-24 14:01:37</t>
  </si>
  <si>
    <t>Tauliškių g. 4, Vilniaus m., Vilniaus m. sav.</t>
  </si>
  <si>
    <t>2025-11-24 14:13:03</t>
  </si>
  <si>
    <t>2025-11-24 14:01:38</t>
  </si>
  <si>
    <t>Žolyno g. 53-2, Vilniaus m., Vilniaus m. sav.</t>
  </si>
  <si>
    <t>2025-11-24 14:01:45</t>
  </si>
  <si>
    <t>Igno Šimulionio g. 10, Vilniaus m., Vilniaus m. sav.</t>
  </si>
  <si>
    <t>2025-11-24 14:01:47</t>
  </si>
  <si>
    <t>Taikos g. 201, Vilniaus m., Vilniaus m. sav.</t>
  </si>
  <si>
    <t>2025-11-24 14:01:50</t>
  </si>
  <si>
    <t>2025-11-24 14:02:33</t>
  </si>
  <si>
    <t>Tauliškių g. 2, Vilniaus m., Vilniaus m. sav.</t>
  </si>
  <si>
    <t>2025-11-24 14:02:43</t>
  </si>
  <si>
    <t>2025-11-24 14:09:13</t>
  </si>
  <si>
    <t>2025-11-24 14:03:04</t>
  </si>
  <si>
    <t>Šv. Stepono g. 16, Vilniaus m., Vilniaus m. sav.</t>
  </si>
  <si>
    <t>Salininkų g. 251A, Vilniaus m., Vilniaus m. sav.</t>
  </si>
  <si>
    <t>Salininkų g. 251B, Vilniaus m., Vilniaus m. sav.</t>
  </si>
  <si>
    <t>2025-11-24 14:03:21</t>
  </si>
  <si>
    <t>Mozūriškių g. 156, Vilniaus m., Vilniaus m. sav.</t>
  </si>
  <si>
    <t>Salininkų g. 257, Vilniaus m., Vilniaus m. sav.</t>
  </si>
  <si>
    <t>2025-11-24 14:04:24</t>
  </si>
  <si>
    <t>Salininkų g. 259, Vilniaus m., Vilniaus m. sav.</t>
  </si>
  <si>
    <t>2025-11-24 14:04:28</t>
  </si>
  <si>
    <t>2025-11-24 14:04:41</t>
  </si>
  <si>
    <t>Baluosių g. 3, Vilniaus m., Vilniaus m. sav.</t>
  </si>
  <si>
    <t>2025-11-24 14:05:08</t>
  </si>
  <si>
    <t>2025-11-24 14:05:20</t>
  </si>
  <si>
    <t>Salininkų g. 265, Vilniaus m., Vilniaus m. sav.</t>
  </si>
  <si>
    <t>2025-11-24 14:47:11</t>
  </si>
  <si>
    <t>2025-11-24 14:09:02</t>
  </si>
  <si>
    <t>Baluosių g. 5, Vilniaus m., Vilniaus m. sav.</t>
  </si>
  <si>
    <t>2025-11-24 14:13:11</t>
  </si>
  <si>
    <t>2025-11-24 14:06:02</t>
  </si>
  <si>
    <t>Rudausių g. 57, Vilniaus m., Vilniaus m. sav.</t>
  </si>
  <si>
    <t>2025-11-24 14:06:16</t>
  </si>
  <si>
    <t>Salininkų g. 269, Vilniaus m., Vilniaus m. sav.</t>
  </si>
  <si>
    <t>2025-11-24 14:06:22</t>
  </si>
  <si>
    <t>Gairinės g. 29, Vilniaus m., Vilniaus m. sav.</t>
  </si>
  <si>
    <t>2025-11-24 14:06:30</t>
  </si>
  <si>
    <t>2025-11-24 14:06:39</t>
  </si>
  <si>
    <t>2025-11-24 14:09:14</t>
  </si>
  <si>
    <t>2025-11-24 14:06:40</t>
  </si>
  <si>
    <t>Mozūriškių g. 200, Vilniaus m., Vilniaus m. sav.</t>
  </si>
  <si>
    <t>2025-11-24 14:07:14</t>
  </si>
  <si>
    <t>Pylimo g. 47, Vilniaus m., Vilniaus m. sav.</t>
  </si>
  <si>
    <t>2025-11-24 14:07:15</t>
  </si>
  <si>
    <t>2025-11-24 14:07:19</t>
  </si>
  <si>
    <t>2025-11-24 14:07:21</t>
  </si>
  <si>
    <t>2025-11-24 14:07:24</t>
  </si>
  <si>
    <t>Baluosių g. 1B, Vilniaus m., Vilniaus m. sav.</t>
  </si>
  <si>
    <t>2025-11-24 14:07:25</t>
  </si>
  <si>
    <t>2025-11-24 14:07:36</t>
  </si>
  <si>
    <t>2025-11-24 14:07:54</t>
  </si>
  <si>
    <t>Dangeručio g. 4, Vilniaus m., Vilniaus m. sav.</t>
  </si>
  <si>
    <t>2025-11-24 14:08:05</t>
  </si>
  <si>
    <t>Baluosių g. 1A, Vilniaus m., Vilniaus m. sav.</t>
  </si>
  <si>
    <t>2025-11-24 14:08:06</t>
  </si>
  <si>
    <t>2025-11-24 14:13:16</t>
  </si>
  <si>
    <t>2025-11-24 14:08:14</t>
  </si>
  <si>
    <t>2025-11-24 14:08:16</t>
  </si>
  <si>
    <t>Gairinės g. 40, Vilniaus m., Vilniaus m. sav.</t>
  </si>
  <si>
    <t>2025-11-24 14:08:37</t>
  </si>
  <si>
    <t>Žirgo Sodų 3-ioji g. 6, Vilniaus m., Vilniaus m. sav.</t>
  </si>
  <si>
    <t>2025-11-24 14:08:46</t>
  </si>
  <si>
    <t>Visų Šventųjų g. 7, Vilniaus m., Vilniaus m. sav.</t>
  </si>
  <si>
    <t>Pylimo g. 52, Vilniaus m., Vilniaus m. sav.</t>
  </si>
  <si>
    <t>Putiniškių g. 34, Vilniaus m., Vilniaus m. sav.</t>
  </si>
  <si>
    <t>2025-11-24 14:08:47</t>
  </si>
  <si>
    <t>Žaliųjų ežerų g. 207, Vilniaus m., Vilniaus m. sav.</t>
  </si>
  <si>
    <t>2025-11-24 14:09:06</t>
  </si>
  <si>
    <t>Sausio 13-osios g. 11, Vilniaus m., Vilniaus m. sav.</t>
  </si>
  <si>
    <t>2025-11-24 14:09:36</t>
  </si>
  <si>
    <t>Gairinės g. 16, Vilniaus m., Vilniaus m. sav.</t>
  </si>
  <si>
    <t>2025-11-24 14:09:37</t>
  </si>
  <si>
    <t>Putiniškių g. 29, Vilniaus m., Vilniaus m. sav.</t>
  </si>
  <si>
    <t>2025-11-24 14:09:38</t>
  </si>
  <si>
    <t>2025-11-24 14:09:42</t>
  </si>
  <si>
    <t>Gairinės g. 12, Vilniaus m., Vilniaus m. sav.</t>
  </si>
  <si>
    <t>2025-11-24 14:09:48</t>
  </si>
  <si>
    <t>2025-11-24 14:10:13</t>
  </si>
  <si>
    <t>Putiniškių g. 30, Vilniaus m., Vilniaus m. sav.</t>
  </si>
  <si>
    <t>2025-11-24 14:10:16</t>
  </si>
  <si>
    <t>Gairinės g. 14, Vilniaus m., Vilniaus m. sav.</t>
  </si>
  <si>
    <t>2025-11-24 14:10:28</t>
  </si>
  <si>
    <t>Putiniškių g. 32, Vilniaus m., Vilniaus m. sav.</t>
  </si>
  <si>
    <t>2025-11-24 14:10:30</t>
  </si>
  <si>
    <t>Taikos g. 183, Vilniaus m., Vilniaus m. sav.</t>
  </si>
  <si>
    <t>2025-11-24 14:10:32</t>
  </si>
  <si>
    <t>2025-11-24 14:10:54</t>
  </si>
  <si>
    <t>Putiniškių g. 27, Vilniaus m., Vilniaus m. sav.</t>
  </si>
  <si>
    <t>2025-11-24 14:11:00</t>
  </si>
  <si>
    <t>2025-11-24 14:11:02</t>
  </si>
  <si>
    <t>2025-11-24 14:48:46</t>
  </si>
  <si>
    <t>Gairinės g. 18, Vilniaus m., Vilniaus m. sav.</t>
  </si>
  <si>
    <t>2025-11-24 14:11:04</t>
  </si>
  <si>
    <t>Gairinės g. 10, Vilniaus m., Vilniaus m. sav.</t>
  </si>
  <si>
    <t>2025-11-24 14:11:06</t>
  </si>
  <si>
    <t>Visų Šventųjų g. 5, Vilniaus m., Vilniaus m. sav.</t>
  </si>
  <si>
    <t>2025-11-24 14:24:24</t>
  </si>
  <si>
    <t>2025-11-24 14:11:24</t>
  </si>
  <si>
    <t>Stumbrų g. 26B, Vilniaus m., Vilniaus m. sav.</t>
  </si>
  <si>
    <t>2025-11-24 14:11:25</t>
  </si>
  <si>
    <t>Gairinės g. 8, Vilniaus m., Vilniaus m. sav.</t>
  </si>
  <si>
    <t>Putiniškių g. 28, Vilniaus m., Vilniaus m. sav.</t>
  </si>
  <si>
    <t>2025-11-24 14:11:53</t>
  </si>
  <si>
    <t>Sidaronių g. 23, Vilniaus m., Vilniaus m. sav.</t>
  </si>
  <si>
    <t>2025-11-24 14:12:14</t>
  </si>
  <si>
    <t>2025-11-24 14:12:22</t>
  </si>
  <si>
    <t>Putiniškių g. 25, Vilniaus m., Vilniaus m. sav.</t>
  </si>
  <si>
    <t>2025-11-24 14:12:26</t>
  </si>
  <si>
    <t>2025-11-24 14:12:29</t>
  </si>
  <si>
    <t>Žaliųjų Ežerų g. 141, Vilniaus m., Vilniaus m. sav.</t>
  </si>
  <si>
    <t>2025-11-24 14:12:34</t>
  </si>
  <si>
    <t>Gairinės g. 6, Vilniaus m., Vilniaus m. sav.</t>
  </si>
  <si>
    <t>2025-11-24 14:12:37</t>
  </si>
  <si>
    <t>Putiniškių g. 26, Vilniaus m., Vilniaus m. sav.</t>
  </si>
  <si>
    <t>Taikos g. 177, Vilniaus m., Vilniaus m. sav.</t>
  </si>
  <si>
    <t>2025-11-24 14:22:15</t>
  </si>
  <si>
    <t>2025-11-24 14:12:46</t>
  </si>
  <si>
    <t>Markiškių g. 52, Vilniaus m., Vilniaus m. sav.</t>
  </si>
  <si>
    <t>Šatrijos Raganos g. 24, Vilniaus m., Vilniaus m. sav.</t>
  </si>
  <si>
    <t>2025-11-24 14:13:09</t>
  </si>
  <si>
    <t>Ditvos g. 37, Vilniaus m., Vilniaus m. sav.</t>
  </si>
  <si>
    <t>2025-11-24 14:13:10</t>
  </si>
  <si>
    <t>Gairinės g. 20, Vilniaus m., Vilniaus m. sav.</t>
  </si>
  <si>
    <t>Nemenčinės pl. 90, Vilniaus m., Vilniaus m. sav.</t>
  </si>
  <si>
    <t>Sausio 13-osios g. 5, Vilniaus m., Vilniaus m. sav.</t>
  </si>
  <si>
    <t>2025-11-24 14:13:21</t>
  </si>
  <si>
    <t>Putiniškių g. 22, Vilniaus m., Vilniaus m. sav.</t>
  </si>
  <si>
    <t>2025-11-24 14:13:22</t>
  </si>
  <si>
    <t>2025-11-24 14:13:31</t>
  </si>
  <si>
    <t>Putiniškių g. 23, Vilniaus m., Vilniaus m. sav.</t>
  </si>
  <si>
    <t>2025-11-24 14:13:39</t>
  </si>
  <si>
    <t>Putiniškių g. 21, Vilniaus m., Vilniaus m. sav.</t>
  </si>
  <si>
    <t>2025-11-24 14:13:48</t>
  </si>
  <si>
    <t>2025-11-24 14:14:08</t>
  </si>
  <si>
    <t>2025-11-24 14:14:12</t>
  </si>
  <si>
    <t>Gairinės g. 5-1, Vilniaus m., Vilniaus m. sav.</t>
  </si>
  <si>
    <t>2025-11-24 14:14:18</t>
  </si>
  <si>
    <t>2025-11-24 14:14:26</t>
  </si>
  <si>
    <t>Stumbrų g. 30, Vilniaus m., Vilniaus m. sav.</t>
  </si>
  <si>
    <t>2025-11-24 14:14:30</t>
  </si>
  <si>
    <t>Putiniškių g. 20, Vilniaus m., Vilniaus m. sav.</t>
  </si>
  <si>
    <t>Žirgo Sodų 1-oji g. 23, Vilniaus m., Vilniaus m. sav.</t>
  </si>
  <si>
    <t>2025-11-24 14:15:00</t>
  </si>
  <si>
    <t>Putiniškių g. 17, Vilniaus m., Vilniaus m. sav.</t>
  </si>
  <si>
    <t>2025-11-24 14:15:11</t>
  </si>
  <si>
    <t>2025-11-24 14:15:19</t>
  </si>
  <si>
    <t>2025-11-24 14:15:26</t>
  </si>
  <si>
    <t>Putiniškių g. 18, Vilniaus m., Vilniaus m. sav.</t>
  </si>
  <si>
    <t>2025-11-24 14:24:28</t>
  </si>
  <si>
    <t>2025-11-24 14:15:27</t>
  </si>
  <si>
    <t>2025-11-24 14:15:38</t>
  </si>
  <si>
    <t>Gairinės g. 9, Vilniaus m., Vilniaus m. sav.</t>
  </si>
  <si>
    <t>2025-11-24 14:15:46</t>
  </si>
  <si>
    <t>2025-11-24 14:15:48</t>
  </si>
  <si>
    <t>Vanaginės Sodų 2-oji g. 13, Vilniaus m., Vilniaus m. sav.</t>
  </si>
  <si>
    <t>2025-11-24 14:15:51</t>
  </si>
  <si>
    <t>Putiniškių g. 15, Vilniaus m., Vilniaus m. sav.</t>
  </si>
  <si>
    <t>2025-11-24 14:15:54</t>
  </si>
  <si>
    <t>Sausio 13-osios g. 29, Vilniaus m., Vilniaus m. sav.</t>
  </si>
  <si>
    <t>2025-11-24 14:15:57</t>
  </si>
  <si>
    <t>Žirgo Sodų 1-oji g. 11, Vilniaus m., Vilniaus m. sav.</t>
  </si>
  <si>
    <t>2025-11-24 14:16:07</t>
  </si>
  <si>
    <t>Taikos g. 152, Vilniaus m., Vilniaus m. sav.</t>
  </si>
  <si>
    <t>2025-11-24 14:16:17</t>
  </si>
  <si>
    <t>Putiniškių g. 18A, Vilniaus m., Vilniaus m. sav.</t>
  </si>
  <si>
    <t>2025-11-24 14:24:33</t>
  </si>
  <si>
    <t>2025-11-24 14:16:18</t>
  </si>
  <si>
    <t>Gairinės g. 24, Vilniaus m., Vilniaus m. sav.</t>
  </si>
  <si>
    <t>2025-11-24 14:16:29</t>
  </si>
  <si>
    <t>2025-11-24 14:16:32</t>
  </si>
  <si>
    <t>Skersinės Sodų 4-oji g. 11, Vilniaus m., Vilniaus m. sav.</t>
  </si>
  <si>
    <t>2025-11-24 14:16:36</t>
  </si>
  <si>
    <t>2025-11-24 14:16:37</t>
  </si>
  <si>
    <t>2025-11-24 14:16:39</t>
  </si>
  <si>
    <t>2025-11-24 14:16:59</t>
  </si>
  <si>
    <t>2025-11-24 14:17:13</t>
  </si>
  <si>
    <t>Putiniškių g. 11, Vilniaus m., Vilniaus m. sav.</t>
  </si>
  <si>
    <t>2025-11-24 14:24:35</t>
  </si>
  <si>
    <t>2025-11-24 14:17:14</t>
  </si>
  <si>
    <t>2025-11-24 14:17:19</t>
  </si>
  <si>
    <t>2025-11-24 14:17:22</t>
  </si>
  <si>
    <t>Gairinės g. 28, Vilniaus m., Vilniaus m. sav.</t>
  </si>
  <si>
    <t>2025-11-24 14:17:59</t>
  </si>
  <si>
    <t>Raudonbalės g. 2, Vilniaus m., Vilniaus m. sav.</t>
  </si>
  <si>
    <t>2025-11-24 14:18:00</t>
  </si>
  <si>
    <t>2025-11-24 14:18:02</t>
  </si>
  <si>
    <t>Taikos g. 132A, Vilniaus m., Vilniaus m. sav.</t>
  </si>
  <si>
    <t>2025-11-24 14:18:05</t>
  </si>
  <si>
    <t>Gairinės g. 30, Vilniaus m., Vilniaus m. sav.</t>
  </si>
  <si>
    <t>Gairinės g. 32, Vilniaus m., Vilniaus m. sav.</t>
  </si>
  <si>
    <t>2025-11-24 14:18:35</t>
  </si>
  <si>
    <t>Raudonbalės g. 4, Vilniaus m., Vilniaus m. sav.</t>
  </si>
  <si>
    <t>Raudonbalės g. 3, Vilniaus m., Vilniaus m. sav.</t>
  </si>
  <si>
    <t>2025-11-24 14:24:41</t>
  </si>
  <si>
    <t>2025-11-24 14:18:49</t>
  </si>
  <si>
    <t>Gairinės g. 17, Vilniaus m., Vilniaus m. sav.</t>
  </si>
  <si>
    <t>2025-11-24 14:18:50</t>
  </si>
  <si>
    <t>2025-11-24 14:24:44</t>
  </si>
  <si>
    <t>2025-11-24 14:18:52</t>
  </si>
  <si>
    <t>Sausio 13-osios g. 33, Vilniaus m., Vilniaus m. sav.</t>
  </si>
  <si>
    <t>2025-11-24 14:18:56</t>
  </si>
  <si>
    <t>Skersinės g. 16, Vilniaus m., Vilniaus m. sav.</t>
  </si>
  <si>
    <t>2025-11-24 14:19:02</t>
  </si>
  <si>
    <t>Balsių g. 12, Vilniaus m., Vilniaus m. sav.</t>
  </si>
  <si>
    <t>2025-11-24 14:19:06</t>
  </si>
  <si>
    <t>Raudonbalės g. 4-1, Vilniaus m., Vilniaus m. sav.</t>
  </si>
  <si>
    <t>2025-11-24 14:19:14</t>
  </si>
  <si>
    <t>Pieninės g. 6, Vilniaus m., Vilniaus m. sav.</t>
  </si>
  <si>
    <t>2025-11-24 14:19:23</t>
  </si>
  <si>
    <t>2025-11-24 14:19:27</t>
  </si>
  <si>
    <t>2025-11-24 14:19:30</t>
  </si>
  <si>
    <t>Žirgo g. 25, Vilniaus m., Vilniaus m. sav.</t>
  </si>
  <si>
    <t>2025-11-24 14:19:31</t>
  </si>
  <si>
    <t>Gairinės g. 21, Vilniaus m., Vilniaus m. sav.</t>
  </si>
  <si>
    <t>2025-11-24 14:19:42</t>
  </si>
  <si>
    <t>Raudonbalės g. 3A, Vilniaus m., Vilniaus m. sav.</t>
  </si>
  <si>
    <t>2025-11-24 14:19:43</t>
  </si>
  <si>
    <t>Raudonbalės g. 3B, Vilniaus m., Vilniaus m. sav.</t>
  </si>
  <si>
    <t>2025-11-24 14:19:50</t>
  </si>
  <si>
    <t>2025-11-24 14:19:53</t>
  </si>
  <si>
    <t>Priegliaus g. 10, Vilniaus m., Vilniaus m. sav.</t>
  </si>
  <si>
    <t>2025-11-24 14:24:21</t>
  </si>
  <si>
    <t>2025-11-24 14:19:55</t>
  </si>
  <si>
    <t>Gairinės g. 19, Vilniaus m., Vilniaus m. sav.</t>
  </si>
  <si>
    <t>2025-11-24 14:20:11</t>
  </si>
  <si>
    <t>Gairinės g. 23-2, Vilniaus m., Vilniaus m. sav.</t>
  </si>
  <si>
    <t>2025-11-24 14:20:14</t>
  </si>
  <si>
    <t>Taikos g. 141, Vilniaus m., Vilniaus m. sav.</t>
  </si>
  <si>
    <t>2025-11-24 14:20:18</t>
  </si>
  <si>
    <t>Raudonbalės g. 5-2, Vilniaus m., Vilniaus m. sav.</t>
  </si>
  <si>
    <t>2025-11-24 14:20:19</t>
  </si>
  <si>
    <t>2025-11-24 14:20:33</t>
  </si>
  <si>
    <t>Gairinės g. 23-1, Vilniaus m., Vilniaus m. sav.</t>
  </si>
  <si>
    <t>2025-11-24 14:20:48</t>
  </si>
  <si>
    <t>Žirgo g. 26A-1, Vilniaus m., Vilniaus m. sav.</t>
  </si>
  <si>
    <t>2025-11-24 14:20:54</t>
  </si>
  <si>
    <t>Raudonbalės g. 5-1, Vilniaus m., Vilniaus m. sav.</t>
  </si>
  <si>
    <t>2025-11-24 14:20:56</t>
  </si>
  <si>
    <t>Skersinės g. 12, Vilniaus m., Vilniaus m. sav.</t>
  </si>
  <si>
    <t>2025-11-24 14:20:57</t>
  </si>
  <si>
    <t>Žirgo g. 26A-2, Vilniaus m., Vilniaus m. sav.</t>
  </si>
  <si>
    <t>2025-11-24 14:21:29</t>
  </si>
  <si>
    <t>Raudonbalės g. 7, Vilniaus m., Vilniaus m. sav.</t>
  </si>
  <si>
    <t>2025-11-24 14:21:31</t>
  </si>
  <si>
    <t>Perkūnkiemio g. 19, Vilniaus m., Vilniaus m. sav.</t>
  </si>
  <si>
    <t>2025-11-24 14:21:32</t>
  </si>
  <si>
    <t>2025-11-24 14:21:36</t>
  </si>
  <si>
    <t>Skersinės g. 9, Vilniaus m., Vilniaus m. sav.</t>
  </si>
  <si>
    <t>2025-11-24 14:21:40</t>
  </si>
  <si>
    <t>2025-11-24 14:21:45</t>
  </si>
  <si>
    <t>2025-11-24 14:21:55</t>
  </si>
  <si>
    <t>2025-11-24 14:21:57</t>
  </si>
  <si>
    <t>Gairinės g. 5, Vilniaus m., Vilniaus m. sav.</t>
  </si>
  <si>
    <t>2025-11-24 14:22:05</t>
  </si>
  <si>
    <t>2025-11-24 14:22:18</t>
  </si>
  <si>
    <t>Pasakų g. 12, Vilniaus m., Vilniaus m. sav.</t>
  </si>
  <si>
    <t>2025-11-24 14:22:35</t>
  </si>
  <si>
    <t>2025-11-24 14:22:38</t>
  </si>
  <si>
    <t>Taikos g. 130A, Vilniaus m., Vilniaus m. sav.</t>
  </si>
  <si>
    <t>2025-11-24 14:22:46</t>
  </si>
  <si>
    <t>B. Sruogos g. 59, Vilniaus m., Vilniaus m. sav.</t>
  </si>
  <si>
    <t>Kelmiškių g. 9-1, Vilniaus m., Vilniaus m. sav.</t>
  </si>
  <si>
    <t>2025-11-24 14:22:47</t>
  </si>
  <si>
    <t>Gairinės g. 1, Vilniaus m., Vilniaus m. sav.</t>
  </si>
  <si>
    <t>2025-11-24 14:22:54</t>
  </si>
  <si>
    <t>Kelmiškių g. 9-2, Vilniaus m., Vilniaus m. sav.</t>
  </si>
  <si>
    <t>2025-11-24 14:23:05</t>
  </si>
  <si>
    <t>Priegliaus g. 17, Vilniaus m., Vilniaus m. sav.</t>
  </si>
  <si>
    <t>2025-11-24 14:23:12</t>
  </si>
  <si>
    <t>2025-11-24 14:23:21</t>
  </si>
  <si>
    <t>B. Sruogos g. 57, Vilniaus m., Vilniaus m. sav.</t>
  </si>
  <si>
    <t>2025-11-24 14:23:23</t>
  </si>
  <si>
    <t>Kelmiškių g. 20, Vilniaus m., Vilniaus m. sav.</t>
  </si>
  <si>
    <t>2025-11-24 14:35:46</t>
  </si>
  <si>
    <t>2025-11-24 14:23:49</t>
  </si>
  <si>
    <t>Raistelių g. 16, Vilniaus m., Vilniaus m. sav.</t>
  </si>
  <si>
    <t>2025-11-24 14:23:51</t>
  </si>
  <si>
    <t>Pylimo g. 58, Vilniaus m., Vilniaus m. sav.</t>
  </si>
  <si>
    <t>2025-11-24 14:23:59</t>
  </si>
  <si>
    <t>Kelmiškių g. 18, Vilniaus m., Vilniaus m. sav.</t>
  </si>
  <si>
    <t>2025-11-24 14:24:17</t>
  </si>
  <si>
    <t>Kelmiškių g. 5, Vilniaus m., Vilniaus m. sav.</t>
  </si>
  <si>
    <t>2025-11-24 14:24:29</t>
  </si>
  <si>
    <t>Raistelių g. 2, Vilniaus m., Vilniaus m. sav.</t>
  </si>
  <si>
    <t>Kelmiškių g. 16, Vilniaus m., Vilniaus m. sav.</t>
  </si>
  <si>
    <t>Raistelių g. 4, Vilniaus m., Vilniaus m. sav.</t>
  </si>
  <si>
    <t>2025-11-24 14:24:43</t>
  </si>
  <si>
    <t>Kelmiškių g. 12, Vilniaus m., Vilniaus m. sav.</t>
  </si>
  <si>
    <t>2025-11-24 14:24:54</t>
  </si>
  <si>
    <t>2025-11-24 14:24:59</t>
  </si>
  <si>
    <t>2025-11-24 14:25:04</t>
  </si>
  <si>
    <t>B. Sruogos g. 18, Vilniaus m., Vilniaus m. sav.</t>
  </si>
  <si>
    <t>2025-11-24 14:25:07</t>
  </si>
  <si>
    <t>2025-11-24 14:25:10</t>
  </si>
  <si>
    <t>Kelmiškių g. 10, Vilniaus m., Vilniaus m. sav.</t>
  </si>
  <si>
    <t>2025-11-24 14:25:11</t>
  </si>
  <si>
    <t>Rygos g. 30, Vilniaus m., Vilniaus m. sav.</t>
  </si>
  <si>
    <t>Kelmiškių g. 3C, Vilniaus m., Vilniaus m. sav.</t>
  </si>
  <si>
    <t>2025-11-24 14:25:30</t>
  </si>
  <si>
    <t>2025-11-24 14:25:34</t>
  </si>
  <si>
    <t>2025-11-24 14:25:43</t>
  </si>
  <si>
    <t>I. Simonaitytės g. 8, Vilniaus m., Vilniaus m. sav.</t>
  </si>
  <si>
    <t>2025-11-24 14:36:12</t>
  </si>
  <si>
    <t>2025-11-24 14:25:53</t>
  </si>
  <si>
    <t>Svajonių g. 10, Vilniaus m., Vilniaus m. sav.</t>
  </si>
  <si>
    <t>2025-11-24 14:26:01</t>
  </si>
  <si>
    <t>Kelmiškių g. 8, Vilniaus m., Vilniaus m. sav.</t>
  </si>
  <si>
    <t>2025-11-24 14:36:02</t>
  </si>
  <si>
    <t>Kelmiškių g. 3B, Vilniaus m., Vilniaus m. sav.</t>
  </si>
  <si>
    <t>2025-11-24 14:26:06</t>
  </si>
  <si>
    <t>2025-11-24 14:26:22</t>
  </si>
  <si>
    <t>2025-11-24 14:26:43</t>
  </si>
  <si>
    <t>Pylimo g. 60, Vilniaus m., Vilniaus m. sav.</t>
  </si>
  <si>
    <t>2025-11-24 14:26:52</t>
  </si>
  <si>
    <t>Kelmiškių g. 3A, Vilniaus m., Vilniaus m. sav.</t>
  </si>
  <si>
    <t>2025-11-24 14:26:56</t>
  </si>
  <si>
    <t>2025-11-24 14:26:57</t>
  </si>
  <si>
    <t>2025-11-24 14:27:02</t>
  </si>
  <si>
    <t>Taikos g. 127, Vilniaus m., Vilniaus m. sav.</t>
  </si>
  <si>
    <t>2025-11-24 14:27:16</t>
  </si>
  <si>
    <t>2025-11-24 14:27:19</t>
  </si>
  <si>
    <t>2025-11-24 14:27:32</t>
  </si>
  <si>
    <t>Medžiotojų g. 27, Vilniaus m., Vilniaus m. sav.</t>
  </si>
  <si>
    <t>2025-11-24 14:27:33</t>
  </si>
  <si>
    <t>Kelmiškių g. 3, Vilniaus m., Vilniaus m. sav.</t>
  </si>
  <si>
    <t>2025-11-24 14:27:58</t>
  </si>
  <si>
    <t>I. Simonaitytės g. 9, Vilniaus m., Vilniaus m. sav.</t>
  </si>
  <si>
    <t>2025-11-24 14:27:59</t>
  </si>
  <si>
    <t>Kelmiškių g. 4, Vilniaus m., Vilniaus m. sav.</t>
  </si>
  <si>
    <t>2025-11-24 14:28:02</t>
  </si>
  <si>
    <t>2025-11-24 14:28:04</t>
  </si>
  <si>
    <t>statybines atliekos, lentos, batai, vezimelis</t>
  </si>
  <si>
    <t>2025-11-24 14:28:18</t>
  </si>
  <si>
    <t>Kelmiškių g. 1, Vilniaus m., Vilniaus m. sav.</t>
  </si>
  <si>
    <t>2025-11-24 14:28:24</t>
  </si>
  <si>
    <t>2025-11-24 14:28:40</t>
  </si>
  <si>
    <t>Kelmiškių g. 2, Vilniaus m., Vilniaus m. sav.</t>
  </si>
  <si>
    <t>2025-11-24 14:28:45</t>
  </si>
  <si>
    <t>2025-11-24 14:28:57</t>
  </si>
  <si>
    <t>2025-11-24 14:29:04</t>
  </si>
  <si>
    <t>Medžiotojų g. 37, Vilniaus m., Vilniaus m. sav.</t>
  </si>
  <si>
    <t>2025-11-24 14:29:24</t>
  </si>
  <si>
    <t>2025-11-24 14:29:40</t>
  </si>
  <si>
    <t>Pylimo g. 59, Vilniaus m., Vilniaus m. sav.</t>
  </si>
  <si>
    <t>2025-11-24 14:30:36</t>
  </si>
  <si>
    <t>Naujakurių g. 32, Vilniaus m., Vilniaus m. sav.</t>
  </si>
  <si>
    <t>2025-11-24 14:35:47</t>
  </si>
  <si>
    <t>2025-11-24 14:30:55</t>
  </si>
  <si>
    <t>Saulėtekio al. 18, Vilniaus m., Vilniaus m. sav.</t>
  </si>
  <si>
    <t>2025-11-24 14:30:56</t>
  </si>
  <si>
    <t>2025-11-24 14:31:07</t>
  </si>
  <si>
    <t>2025-11-24 14:31:17</t>
  </si>
  <si>
    <t>2025-11-24 14:31:24</t>
  </si>
  <si>
    <t>Grybautojų g. 26, Vilniaus m., Vilniaus m. sav.</t>
  </si>
  <si>
    <t>Putiniškių g. 16A, Vilniaus m., Vilniaus m. sav.</t>
  </si>
  <si>
    <t>2025-11-24 14:31:29</t>
  </si>
  <si>
    <t>2025-11-24 14:31:32</t>
  </si>
  <si>
    <t>Naujakurių g. 26, Vilniaus m., Vilniaus m. sav.</t>
  </si>
  <si>
    <t>2025-11-24 14:31:34</t>
  </si>
  <si>
    <t>2025-11-24 14:31:35</t>
  </si>
  <si>
    <t>I. Simonaitytės g. 6, Vilniaus m., Vilniaus m. sav.</t>
  </si>
  <si>
    <t>2025-11-24 14:31:38</t>
  </si>
  <si>
    <t>2025-11-24 14:31:44</t>
  </si>
  <si>
    <t>2025-11-24 14:31:54</t>
  </si>
  <si>
    <t>2025-11-24 14:32:00</t>
  </si>
  <si>
    <t>Putiniškių g. 16-1, Vilniaus m., Vilniaus m. sav.</t>
  </si>
  <si>
    <t>2025-11-24 14:32:01</t>
  </si>
  <si>
    <t>2025-11-24 14:32:22</t>
  </si>
  <si>
    <t>2025-11-24 14:32:23</t>
  </si>
  <si>
    <t>Naujakurių g. 5A, Vilniaus m., Vilniaus m. sav.</t>
  </si>
  <si>
    <t>2025-11-24 14:32:26</t>
  </si>
  <si>
    <t>2025-11-24 14:32:30</t>
  </si>
  <si>
    <t>Pylimo g. 57, Vilniaus m., Vilniaus m. sav.</t>
  </si>
  <si>
    <t>2025-11-24 14:32:35</t>
  </si>
  <si>
    <t>Putiniškių g. 14, Vilniaus m., Vilniaus m. sav.</t>
  </si>
  <si>
    <t>2025-11-24 14:32:40</t>
  </si>
  <si>
    <t>Putiniškių g. 5, Vilniaus m., Vilniaus m. sav.</t>
  </si>
  <si>
    <t>2025-11-24 14:32:41</t>
  </si>
  <si>
    <t>2025-11-24 14:32:50</t>
  </si>
  <si>
    <t>2025-11-24 14:33:06</t>
  </si>
  <si>
    <t>2025-11-24 14:33:07</t>
  </si>
  <si>
    <t>2025-11-24 14:33:10</t>
  </si>
  <si>
    <t>2025-11-24 14:33:14</t>
  </si>
  <si>
    <t>B. Sruogos g. 5, Vilniaus m., Vilniaus m. sav.</t>
  </si>
  <si>
    <t>2025-11-24 14:33:53</t>
  </si>
  <si>
    <t>2025-11-24 14:34:09</t>
  </si>
  <si>
    <t>Putiniškių g. 3, Vilniaus m., Vilniaus m. sav.</t>
  </si>
  <si>
    <t>2025-11-24 14:34:33</t>
  </si>
  <si>
    <t>Saulėtekio al. 16, Vilniaus m., Vilniaus m. sav.</t>
  </si>
  <si>
    <t>2025-11-24 14:34:43</t>
  </si>
  <si>
    <t>Giesvės g. 2, Vilniaus m., Vilniaus m. sav.</t>
  </si>
  <si>
    <t>2025-11-24 14:34:44</t>
  </si>
  <si>
    <t>I. Simonaitytės g. 2A, Vilniaus m., Vilniaus m. sav.</t>
  </si>
  <si>
    <t>2025-11-24 14:34:45</t>
  </si>
  <si>
    <t>lentos kede</t>
  </si>
  <si>
    <t>2025-11-24 14:35:03</t>
  </si>
  <si>
    <t>2025-11-24 14:35:05</t>
  </si>
  <si>
    <t>Svajonių g. 30, Vilniaus m., Vilniaus m. sav.</t>
  </si>
  <si>
    <t>2025-11-24 14:35:12</t>
  </si>
  <si>
    <t>Pylimo g. 56, Vilniaus m., Vilniaus m. sav.</t>
  </si>
  <si>
    <t>2025-11-24 14:35:30</t>
  </si>
  <si>
    <t>Putiniškių g. 8, Vilniaus m., Vilniaus m. sav.</t>
  </si>
  <si>
    <t>2025-11-24 14:35:42</t>
  </si>
  <si>
    <t>Putiniškių g. 10, Vilniaus m., Vilniaus m. sav.</t>
  </si>
  <si>
    <t>2025-11-24 14:36:21</t>
  </si>
  <si>
    <t>2025-11-24 14:36:42</t>
  </si>
  <si>
    <t>Gelvonų g. 20, Vilniaus m., Vilniaus m. sav.</t>
  </si>
  <si>
    <t>2025-11-24 14:36:46</t>
  </si>
  <si>
    <t>2025-11-24 14:37:03</t>
  </si>
  <si>
    <t>I. Simonaitytės g. 2, Vilniaus m., Vilniaus m. sav.</t>
  </si>
  <si>
    <t>2025-11-24 14:37:14</t>
  </si>
  <si>
    <t>2025-11-24 14:38:11</t>
  </si>
  <si>
    <t>Antakalnio g. 138, Vilniaus m., Vilniaus m. sav.</t>
  </si>
  <si>
    <t>2025-11-24 14:38:26</t>
  </si>
  <si>
    <t>stiklas tualetas</t>
  </si>
  <si>
    <t>2025-11-24 14:38:27</t>
  </si>
  <si>
    <t>2025-11-24 14:38:46</t>
  </si>
  <si>
    <t>Saulėtekio al. 8, Vilniaus m., Vilniaus m. sav.</t>
  </si>
  <si>
    <t>2025-11-24 14:38:47</t>
  </si>
  <si>
    <t>2025-11-24 14:38:50</t>
  </si>
  <si>
    <t>2025-11-24 14:38:51</t>
  </si>
  <si>
    <t>2025-11-24 14:38:53</t>
  </si>
  <si>
    <t>2025-11-24 14:38:56</t>
  </si>
  <si>
    <t>2025-11-24 14:39:13</t>
  </si>
  <si>
    <t>2025-11-24 14:39:21</t>
  </si>
  <si>
    <t>Rukeliškių g. 40, Vilniaus m., Vilniaus m. sav.</t>
  </si>
  <si>
    <t>2025-11-24 14:39:32</t>
  </si>
  <si>
    <t>Aušros Vartų g. 23, Vilniaus m., Vilniaus m. sav.</t>
  </si>
  <si>
    <t>2025-11-24 14:39:39</t>
  </si>
  <si>
    <t>2025-11-24 14:39:47</t>
  </si>
  <si>
    <t>M. Mažvydo g. 15, Vilniaus m., Vilniaus m. sav.</t>
  </si>
  <si>
    <t>2025-11-24 14:39:54</t>
  </si>
  <si>
    <t>2025-11-24 14:40:00</t>
  </si>
  <si>
    <t>2025-11-24 14:40:51</t>
  </si>
  <si>
    <t>Ožkinių g. 67, Vilniaus m., Vilniaus m. sav.</t>
  </si>
  <si>
    <t>2025-11-24 14:41:32</t>
  </si>
  <si>
    <t>2025-11-24 14:42:04</t>
  </si>
  <si>
    <t>sunku guolis, deze</t>
  </si>
  <si>
    <t>2025-11-24 14:42:15</t>
  </si>
  <si>
    <t>2025-11-24 14:42:22</t>
  </si>
  <si>
    <t>2025-11-24 14:42:25</t>
  </si>
  <si>
    <t>Vaidilutės g. 71, Vilniaus m., Vilniaus m. sav.</t>
  </si>
  <si>
    <t>2025-11-24 14:42:27</t>
  </si>
  <si>
    <t>M. Daukšos g. 3, Vilniaus m., Vilniaus m. sav.</t>
  </si>
  <si>
    <t>2025-11-24 14:42:34</t>
  </si>
  <si>
    <t>Perkūnkiemio g. 55, Vilniaus m., Vilniaus m. sav.</t>
  </si>
  <si>
    <t>2025-11-24 14:42:43</t>
  </si>
  <si>
    <t>2025-11-24 14:42:59</t>
  </si>
  <si>
    <t>2025-11-24 14:44:21</t>
  </si>
  <si>
    <t>2025-11-24 14:46:03</t>
  </si>
  <si>
    <t>2025-11-24 14:46:04</t>
  </si>
  <si>
    <t>2025-11-24 14:46:08</t>
  </si>
  <si>
    <t>2025-11-24 14:46:10</t>
  </si>
  <si>
    <t>Saulėtekio al. 6, Vilniaus m., Vilniaus m. sav.</t>
  </si>
  <si>
    <t>2025-11-24 14:46:17</t>
  </si>
  <si>
    <t>Lizdeikos g. 5, Vilniaus m., Vilniaus m. sav.</t>
  </si>
  <si>
    <t>2025-11-24 14:46:45</t>
  </si>
  <si>
    <t>2025-11-24 14:47:24</t>
  </si>
  <si>
    <t>2025-11-24 14:47:25</t>
  </si>
  <si>
    <t>2025-11-24 14:47:53</t>
  </si>
  <si>
    <t>Pavilnionių g. 32, Vilniaus m., Vilniaus m. sav.</t>
  </si>
  <si>
    <t>Antakalnio g. 4, Vilniaus m., Vilniaus m. sav.</t>
  </si>
  <si>
    <t>2025-11-24 14:47:55</t>
  </si>
  <si>
    <t xml:space="preserve">lentos rusai vezimelis </t>
  </si>
  <si>
    <t>2025-11-24 14:47:58</t>
  </si>
  <si>
    <t>2025-11-24 14:48:25</t>
  </si>
  <si>
    <t>Šv. Dvasios g. 6, Vilniaus m., Vilniaus m. sav.</t>
  </si>
  <si>
    <t>2025-11-24 14:48:31</t>
  </si>
  <si>
    <t>2025-11-24 14:48:33</t>
  </si>
  <si>
    <t>Popieriaus g. 110, Vilniaus m., Vilniaus m. sav.</t>
  </si>
  <si>
    <t>2025-11-24 14:48:34</t>
  </si>
  <si>
    <t>Rukeliškių g. 17, Vilniaus m., Vilniaus m. sav.</t>
  </si>
  <si>
    <t>Saulėtekio al. 4, Vilniaus m., Vilniaus m. sav.</t>
  </si>
  <si>
    <t>2025-11-24 14:49:00</t>
  </si>
  <si>
    <t>2025-11-24 14:49:09</t>
  </si>
  <si>
    <t>Gardino g. 22, Vilniaus m., Vilniaus m. sav.</t>
  </si>
  <si>
    <t>2025-11-24 14:52:13</t>
  </si>
  <si>
    <t>Valakupių g. 11, Vilniaus m., Vilniaus m. sav.</t>
  </si>
  <si>
    <t>2025-11-24 14:52:20</t>
  </si>
  <si>
    <t>2025-11-24 14:52:36</t>
  </si>
  <si>
    <t>2025-11-24 14:52:39</t>
  </si>
  <si>
    <t>2025-11-24 14:53:04</t>
  </si>
  <si>
    <t>Valakupių g. 21A-1, Vilniaus m., Vilniaus m. sav.</t>
  </si>
  <si>
    <t>2025-11-24 14:53:31</t>
  </si>
  <si>
    <t>2025-11-24 14:54:11</t>
  </si>
  <si>
    <t>2025-11-24 14:55:18</t>
  </si>
  <si>
    <t>M. Daukšos g. 15, Vilniaus m., Vilniaus m. sav.</t>
  </si>
  <si>
    <t>2025-11-24 14:56:05</t>
  </si>
  <si>
    <t>2025-11-24 14:56:18</t>
  </si>
  <si>
    <t>2025-11-24 14:56:50</t>
  </si>
  <si>
    <t>Varšuvos g. 17, Vilniaus m., Vilniaus m. sav.</t>
  </si>
  <si>
    <t>2025-11-24 14:57:33</t>
  </si>
  <si>
    <t>2025-11-24 14:57:46</t>
  </si>
  <si>
    <t>2025-11-24 14:58:06</t>
  </si>
  <si>
    <t>2025-11-24 14:58:11</t>
  </si>
  <si>
    <t>2025-11-24 14:58:15</t>
  </si>
  <si>
    <t>2025-11-24 14:59:08</t>
  </si>
  <si>
    <t>Subačiaus g. 41, Vilniaus m., Vilniaus m. sav.</t>
  </si>
  <si>
    <t>2025-11-24 14:59:24</t>
  </si>
  <si>
    <t>2025-11-24 15:00:21</t>
  </si>
  <si>
    <t>2025-11-24 15:00:32</t>
  </si>
  <si>
    <t>Saulėtekio al. 25, Vilniaus m., Vilniaus m. sav.</t>
  </si>
  <si>
    <t>2025-11-24 15:00:41</t>
  </si>
  <si>
    <t>2025-11-24 15:00:43</t>
  </si>
  <si>
    <t>2025-11-24 15:00:54</t>
  </si>
  <si>
    <t>Subačiaus g. Apžvalgos aikštelė, Vilniaus m., Vilniaus m. sav.</t>
  </si>
  <si>
    <t>2025-11-24 15:01:31</t>
  </si>
  <si>
    <t>2025-11-24 15:01:47</t>
  </si>
  <si>
    <t>2025-11-24 15:01:56</t>
  </si>
  <si>
    <t>2025-11-24 15:02:14</t>
  </si>
  <si>
    <t>2025-11-24 15:03:40</t>
  </si>
  <si>
    <t>Subačiaus g. 26, Vilniaus m., Vilniaus m. sav.</t>
  </si>
  <si>
    <t>2025-11-24 15:03:44</t>
  </si>
  <si>
    <t>Subačiaus g. 23, Vilniaus m., Vilniaus m. sav.</t>
  </si>
  <si>
    <t>2025-11-24 15:03:58</t>
  </si>
  <si>
    <t>2025-11-24 15:04:04</t>
  </si>
  <si>
    <t>2025-11-24 15:04:07</t>
  </si>
  <si>
    <t>2025-11-24 15:04:42</t>
  </si>
  <si>
    <t>2025-11-24 15:04:43</t>
  </si>
  <si>
    <t>Saulėtekio al. 31, Vilniaus m., Vilniaus m. sav.</t>
  </si>
  <si>
    <t>2025-11-24 15:05:22</t>
  </si>
  <si>
    <t>2025-11-24 15:05:49</t>
  </si>
  <si>
    <t>Rasų g. 4, Vilniaus m., Vilniaus m. sav.</t>
  </si>
  <si>
    <t>2025-11-24 15:06:23</t>
  </si>
  <si>
    <t>2025-11-24 15:06:34</t>
  </si>
  <si>
    <t>2025-11-24 15:06:47</t>
  </si>
  <si>
    <t>2025-11-24 15:07:59</t>
  </si>
  <si>
    <t>2025-11-24 15:08:00</t>
  </si>
  <si>
    <t>Saulėtekio al. 47, Vilniaus m., Vilniaus m. sav.</t>
  </si>
  <si>
    <t>2025-11-24 15:08:50</t>
  </si>
  <si>
    <t>kilimai lentos</t>
  </si>
  <si>
    <t>2025-11-24 15:09:25</t>
  </si>
  <si>
    <t>Žirgo Sodų 1-oji g. 10, Vilniaus m., Vilniaus m. sav.</t>
  </si>
  <si>
    <t>2025-11-24 15:09:45</t>
  </si>
  <si>
    <t>Balstogės g. 4, Vilniaus m., Vilniaus m. sav.</t>
  </si>
  <si>
    <t>2025-11-24 15:10:02</t>
  </si>
  <si>
    <t>2025-11-24 15:10:30</t>
  </si>
  <si>
    <t>Saulėtekio al. 35, Vilniaus m., Vilniaus m. sav.</t>
  </si>
  <si>
    <t>2025-11-24 15:10:48</t>
  </si>
  <si>
    <t>2025-11-24 15:12:15</t>
  </si>
  <si>
    <t>Žirgo g. 55A, Vilniaus m., Vilniaus m. sav.</t>
  </si>
  <si>
    <t>2025-11-24 15:13:40</t>
  </si>
  <si>
    <t>2025-11-24 15:13:41</t>
  </si>
  <si>
    <t>Žirgo g. 91, Vilniaus m., Vilniaus m. sav.</t>
  </si>
  <si>
    <t>2025-11-24 15:14:00</t>
  </si>
  <si>
    <t>2025-11-24 15:14:43</t>
  </si>
  <si>
    <t>2025-11-24 15:14:49</t>
  </si>
  <si>
    <t>2025-11-24 15:15:37</t>
  </si>
  <si>
    <t>kedes kartonas kilimai</t>
  </si>
  <si>
    <t>2025-11-24 15:15:51</t>
  </si>
  <si>
    <t>Vitebsko g. 23, Vilniaus m., Vilniaus m. sav.</t>
  </si>
  <si>
    <t>2025-11-24 15:16:03</t>
  </si>
  <si>
    <t>Vitebsko g. 21, Vilniaus m., Vilniaus m. sav.</t>
  </si>
  <si>
    <t>2025-11-24 15:17:11</t>
  </si>
  <si>
    <t>2025-11-24 15:18:44</t>
  </si>
  <si>
    <t>Pylimėlių g. 44A, Vilniaus m., Vilniaus m. sav.</t>
  </si>
  <si>
    <t>2025-11-24 15:18:47</t>
  </si>
  <si>
    <t>Pragiedrulių Sodų 6-oji g. 8, Vilniaus m., Vilniaus m. sav.</t>
  </si>
  <si>
    <t>2025-11-24 15:18:50</t>
  </si>
  <si>
    <t>2025-11-24 15:19:08</t>
  </si>
  <si>
    <t>Vitebsko g. 19, Vilniaus m., Vilniaus m. sav.</t>
  </si>
  <si>
    <t>2025-11-24 15:19:27</t>
  </si>
  <si>
    <t>lentos</t>
  </si>
  <si>
    <t>2025-11-24 15:19:28</t>
  </si>
  <si>
    <t>Ateities g. 44A, Vilniaus m., Vilniaus m. sav.</t>
  </si>
  <si>
    <t>2025-11-24 15:19:32</t>
  </si>
  <si>
    <t>2025-11-24 15:20:01</t>
  </si>
  <si>
    <t>Dzūkų g. 38A, Vilniaus m., Vilniaus m. sav.</t>
  </si>
  <si>
    <t>2025-11-24 15:20:14</t>
  </si>
  <si>
    <t>Vitebsko g. 7, Vilniaus m., Vilniaus m. sav.</t>
  </si>
  <si>
    <t>2025-11-24 15:20:28</t>
  </si>
  <si>
    <t>2025-11-24 15:21:24</t>
  </si>
  <si>
    <t>Švenčionių g. 10, Vilniaus m., Vilniaus m. sav.</t>
  </si>
  <si>
    <t>2025-11-24 15:22:20</t>
  </si>
  <si>
    <t>2025-11-24 15:22:26</t>
  </si>
  <si>
    <t>lentos, kedes dalis</t>
  </si>
  <si>
    <t>2025-11-24 15:22:28</t>
  </si>
  <si>
    <t>2025-11-24 15:22:50</t>
  </si>
  <si>
    <t>2025-11-24 15:24:06</t>
  </si>
  <si>
    <t>2025-11-24 15:24:10</t>
  </si>
  <si>
    <t>2025-11-24 15:24:24</t>
  </si>
  <si>
    <t>Viršupio Sodų 5-oji g. 18, Vilniaus m., Vilniaus m. sav.</t>
  </si>
  <si>
    <t>2025-11-24 15:26:00</t>
  </si>
  <si>
    <t>Kapsų g. 44, Vilniaus m., Vilniaus m. sav.</t>
  </si>
  <si>
    <t>2025-11-24 15:26:37</t>
  </si>
  <si>
    <t>Viršupio Sodų 20-oji g. 2, Vilniaus m., Vilniaus m. sav.</t>
  </si>
  <si>
    <t>2025-11-24 15:26:46</t>
  </si>
  <si>
    <t>2025-11-24 15:27:03</t>
  </si>
  <si>
    <t>2025-11-24 15:27:06</t>
  </si>
  <si>
    <t>2025-11-24 15:27:28</t>
  </si>
  <si>
    <t>Rasų g. 9A, Vilniaus m., Vilniaus m. sav.</t>
  </si>
  <si>
    <t>2025-11-24 15:27:48</t>
  </si>
  <si>
    <t>2025-11-24 15:30:03</t>
  </si>
  <si>
    <t>2025-11-24 15:30:32</t>
  </si>
  <si>
    <t>2025-11-24 15:30:57</t>
  </si>
  <si>
    <t>2025-11-24 15:31:14</t>
  </si>
  <si>
    <t>2025-11-24 15:32:03</t>
  </si>
  <si>
    <t>2025-11-24 15:33:23</t>
  </si>
  <si>
    <t>2025-11-24 15:33:27</t>
  </si>
  <si>
    <t>2025-11-24 15:33:31</t>
  </si>
  <si>
    <t>2025-11-24 15:33:52</t>
  </si>
  <si>
    <t>2025-11-24 15:42:54</t>
  </si>
  <si>
    <t>2025-11-24 15:33:59</t>
  </si>
  <si>
    <t>2025-11-24 15:34:13</t>
  </si>
  <si>
    <t>2025-11-24 15:34:24</t>
  </si>
  <si>
    <t>2025-11-24 15:34:57</t>
  </si>
  <si>
    <t>2025-11-24 15:38:00</t>
  </si>
  <si>
    <t>2025-11-24 15:39:01</t>
  </si>
  <si>
    <t>Moliakalnio g. 70, Vilniaus m., Vilniaus m. sav.</t>
  </si>
  <si>
    <t>2025-11-24 15:39:33</t>
  </si>
  <si>
    <t>2025-11-24 15:41:13</t>
  </si>
  <si>
    <t>2025-11-24 15:41:39</t>
  </si>
  <si>
    <t>Pelesos g. 1, Vilniaus m., Vilniaus m. sav.</t>
  </si>
  <si>
    <t>2025-11-24 15:42:03</t>
  </si>
  <si>
    <t>2025-11-24 15:42:17</t>
  </si>
  <si>
    <t>Keramikų g. 34, Vilniaus m., Vilniaus m. sav.</t>
  </si>
  <si>
    <t>2025-11-24 15:43:58</t>
  </si>
  <si>
    <t>2025-11-24 15:46:43</t>
  </si>
  <si>
    <t>2025-11-24 15:46:54</t>
  </si>
  <si>
    <t>Keramikų g. 2D, Vilniaus m., Vilniaus m. sav.</t>
  </si>
  <si>
    <t>2025-11-24 15:48:39</t>
  </si>
  <si>
    <t>2025-11-24 15:48:59</t>
  </si>
  <si>
    <t>2025-11-24 15:49:29</t>
  </si>
  <si>
    <t>2025-11-24 15:49:55</t>
  </si>
  <si>
    <t>2025-11-24 15:50:15</t>
  </si>
  <si>
    <t>2025-11-24 15:51:59</t>
  </si>
  <si>
    <t>2025-11-24 15:52:29</t>
  </si>
  <si>
    <t>2025-11-24 15:53:09</t>
  </si>
  <si>
    <t>2025-11-24 15:53:34</t>
  </si>
  <si>
    <t>Iešmininkų g. 6, Vilniaus m., Vilniaus m. sav.</t>
  </si>
  <si>
    <t>2025-11-24 15:53:37</t>
  </si>
  <si>
    <t>Kregždžių g. 32, Vilniaus m., Vilniaus m. sav.</t>
  </si>
  <si>
    <t>2025-11-24 15:58:34</t>
  </si>
  <si>
    <t>2025-11-24 16:00:52</t>
  </si>
  <si>
    <t>Česlovo Kudabos g. 1, Vilniaus m., Vilniaus m. sav.</t>
  </si>
  <si>
    <t>2025-11-24 16:04:26</t>
  </si>
  <si>
    <t>Kairėnų g. 62, Vilniaus m., Vilniaus m. sav.</t>
  </si>
  <si>
    <t>2025-11-24 16:07:25</t>
  </si>
  <si>
    <t>Kairėnų g. 75, Vilniaus m., Vilniaus m. sav.</t>
  </si>
  <si>
    <t>2025-11-24 16:07:51</t>
  </si>
  <si>
    <t>Kairėnų g. 43, Vilniaus m., Vilniaus m. sav.</t>
  </si>
  <si>
    <t>2025-11-24 16:08:19</t>
  </si>
  <si>
    <t>Šlaito g. 16, Vilniaus m., Vilniaus m. sav.</t>
  </si>
  <si>
    <t>2025-11-24 16:08:29</t>
  </si>
  <si>
    <t>2025-11-24 16:09:39</t>
  </si>
  <si>
    <t>2025-11-24 16:09:44</t>
  </si>
  <si>
    <t>2025-11-24 16:11:01</t>
  </si>
  <si>
    <t>Šlaito g. 8, Vilniaus m., Vilniaus m. sav.</t>
  </si>
  <si>
    <t>2025-11-24 16:12:49</t>
  </si>
  <si>
    <t>2025-11-24 16:15:10</t>
  </si>
  <si>
    <t>2025-11-24 16:17:12</t>
  </si>
  <si>
    <t>2025-11-24 16:19:14</t>
  </si>
  <si>
    <t>Rokantiškių g. 35, Vilniaus m., Vilniaus m. sav.</t>
  </si>
  <si>
    <t>2025-11-24 16:23:42</t>
  </si>
  <si>
    <t>2025-11-24 16:25:08</t>
  </si>
  <si>
    <t>Riovonių g. 2C, Vilniaus m., Vilniaus m. sav.</t>
  </si>
  <si>
    <t>2025-11-24 16:27:21</t>
  </si>
  <si>
    <t>2025-11-24 16:27:46</t>
  </si>
  <si>
    <t>Duburio g. 4, Vilniaus m., Vilniaus m. sav.</t>
  </si>
  <si>
    <t>2025-11-24 16:29:03</t>
  </si>
  <si>
    <t>Duburio g. 2, Vilniaus m., Vilniaus m. sav.</t>
  </si>
  <si>
    <t>2025-11-24 16:30:31</t>
  </si>
  <si>
    <t>2025-11-24 16:32:44</t>
  </si>
  <si>
    <t>2025-11-24 16:34:27</t>
  </si>
  <si>
    <t>Rokantiškių Sodų 9-oji g. 56, Vilniaus m., Vilniaus m. sav.</t>
  </si>
  <si>
    <t>2025-11-24 16:34:49</t>
  </si>
  <si>
    <t>2025-11-24 16:35:09</t>
  </si>
  <si>
    <t>2025-11-24 16:35:26</t>
  </si>
  <si>
    <t>2025-11-24 16:35:32</t>
  </si>
  <si>
    <t>2025-11-24 16:38:43</t>
  </si>
  <si>
    <t>Naujoji Riovonių g. 25, Vilniaus m., Vilniaus m. sav.</t>
  </si>
  <si>
    <t>2025-11-24 16:38:51</t>
  </si>
  <si>
    <t>2025-11-24 16:39:40</t>
  </si>
  <si>
    <t>2025-11-24 16:40:49</t>
  </si>
  <si>
    <t>Uosių Sodų 24-oji g. 11, Vilniaus m., Vilniaus m. sav.</t>
  </si>
  <si>
    <t>2025-11-24 16:42:21</t>
  </si>
  <si>
    <t>2025-11-24 16:43:12</t>
  </si>
  <si>
    <t>Uosių g. 26, Vilniaus m., Vilniaus m. sav.</t>
  </si>
  <si>
    <t>2025-11-24 16:43:24</t>
  </si>
  <si>
    <t>Uosių g. 24, Vilniaus m., Vilniaus m. sav.</t>
  </si>
  <si>
    <t>2025-11-24 16:44:23</t>
  </si>
  <si>
    <t>Savanorių pr. 169, Vilniaus m., Vilniaus m. sav.</t>
  </si>
  <si>
    <t>2025-11-24 16:45:55</t>
  </si>
  <si>
    <t>Uosių g. 10, Vilniaus m., Vilniaus m. sav.</t>
  </si>
  <si>
    <t>2025-11-24 16:50:31</t>
  </si>
  <si>
    <t>Briedžių g. 9, Vilniaus m., Vilniaus m. sav.</t>
  </si>
  <si>
    <t>2025-11-24 17:03:00</t>
  </si>
  <si>
    <t>2025-11-24 16:51:46</t>
  </si>
  <si>
    <t>Savanorių pr. 151, Vilniaus m., Vilniaus m. sav.</t>
  </si>
  <si>
    <t>2025-11-24 16:58:06</t>
  </si>
  <si>
    <t>Palydovo g. 29A, Vilniaus m., Vilniaus m. sav.</t>
  </si>
  <si>
    <t>2025-11-24 17:01:54</t>
  </si>
  <si>
    <t>Automobilio gedimas</t>
  </si>
  <si>
    <t>2025-11-24 17:02:45</t>
  </si>
  <si>
    <t>2025-11-24 17:02:09</t>
  </si>
  <si>
    <t>Jankiškių g. 1, Vilniaus m., Vilniaus m. sav.</t>
  </si>
  <si>
    <t>2025-11-24 17:02:11</t>
  </si>
  <si>
    <t>2025-11-24 17:02:27</t>
  </si>
  <si>
    <t>Automobilio gedimasNukopijuota į maršrutą nr. 304786 vartotojo Valytė Dremeikienė.</t>
  </si>
  <si>
    <t>2025-11-24 17:03:12</t>
  </si>
  <si>
    <t>Rugiagėlių g. 10, Vilniaus m., Vilniaus m. sav.</t>
  </si>
  <si>
    <t>2025-11-24 17:03:17</t>
  </si>
  <si>
    <t>2025-11-24 17:03:32</t>
  </si>
  <si>
    <t>2025-11-24 17:03:51</t>
  </si>
  <si>
    <t>2025-11-24 17:04:12</t>
  </si>
  <si>
    <t>2025-11-24 17:04:30</t>
  </si>
  <si>
    <t>2025-11-24 17:06:57</t>
  </si>
  <si>
    <t>A. Kojelavičiaus g. 294, Vilniaus m., Vilniaus m. sav.</t>
  </si>
  <si>
    <t>2025-11-24 17:10:22</t>
  </si>
  <si>
    <t>A. Kojelavičiaus g. 316, Vilniaus m., Vilniaus m. sav.</t>
  </si>
  <si>
    <t>2025-11-24 17:10:49</t>
  </si>
  <si>
    <t>Jankiškių g. 16J, Vilniaus m., Vilniaus m. sav.</t>
  </si>
  <si>
    <t>2025-11-24 17:14:17</t>
  </si>
  <si>
    <t>Retkonių g. 5, Vilniaus m., Vilniaus m. sav.</t>
  </si>
  <si>
    <t>2025-11-24 17:18:30</t>
  </si>
  <si>
    <t>Titnago g. 8, Vilniaus m., Vilniaus m. sav.</t>
  </si>
  <si>
    <t>2025-11-24 17:23:29</t>
  </si>
  <si>
    <t>Ivaniškių Sodų 2-oji g. 27, Vilniaus m., Vilniaus m. sav.</t>
  </si>
  <si>
    <t>2025-11-24 17:32:04</t>
  </si>
  <si>
    <t>Arimų g. 18, Vilniaus m., Vilniaus m. sav.</t>
  </si>
  <si>
    <t>2025-11-24 17:33:29</t>
  </si>
  <si>
    <t>Savanorių pr. 227, Vilniaus m., Vilniaus m. sav.</t>
  </si>
  <si>
    <t>2025-11-24 17:36:15</t>
  </si>
  <si>
    <t>2025-11-24 17:39:24</t>
  </si>
  <si>
    <t>A. Kojelavičiaus g. 139, Vilniaus m., Vilniaus m. sav.</t>
  </si>
  <si>
    <t>2025-11-24 17:40:31</t>
  </si>
  <si>
    <t>Kirtimų g. 2, Vilniaus m., Vilniaus m. sav.</t>
  </si>
  <si>
    <t>2025-11-24 17:41:52</t>
  </si>
  <si>
    <t>A. Kojelavičiaus g. 172, Vilniaus m., Vilniaus m. sav.</t>
  </si>
  <si>
    <t>2025-11-24 17:42:03</t>
  </si>
  <si>
    <t>2025-11-24 17:45:09</t>
  </si>
  <si>
    <t>A. Kojelavičiaus g. 127, Vilniaus m., Vilniaus m. sav.</t>
  </si>
  <si>
    <t>2025-11-24 17:45:28</t>
  </si>
  <si>
    <t>A. Kojelavičiaus g. 129, Vilniaus m., Vilniaus m. sav.</t>
  </si>
  <si>
    <t>2025-11-24 17:48:36</t>
  </si>
  <si>
    <t>A. Kojelavičiaus g. 45, Vilniaus m., Vilniaus m. sav.</t>
  </si>
  <si>
    <t>2025-11-24 17:49:03</t>
  </si>
  <si>
    <t>A. Kojelavičiaus g. 92-1, Vilniaus m., Vilniaus m. sav.</t>
  </si>
  <si>
    <t>2025-11-24 17:54:10</t>
  </si>
  <si>
    <t>A. Kojelavičiaus g. 29, Vilniaus m., Vilniaus m. sav.</t>
  </si>
  <si>
    <t>2025-11-24 17:54:11</t>
  </si>
  <si>
    <t>A. Kojelavičiaus g. 60, Vilniaus m., Vilniaus m. sav.</t>
  </si>
  <si>
    <t>2025-11-24 17:54:24</t>
  </si>
  <si>
    <t>Vilniaus g. 10, Grigiškių m., Vilniaus m. sav.</t>
  </si>
  <si>
    <t>2025-11-24 17:54:30</t>
  </si>
  <si>
    <t>2025-11-24 17:56:04</t>
  </si>
  <si>
    <t>2025-11-24 17:56:27</t>
  </si>
  <si>
    <t>A. Kojelavičiaus g. 50, Vilniaus m., Vilniaus m. sav.</t>
  </si>
  <si>
    <t>2025-11-24 17:59:31</t>
  </si>
  <si>
    <t>2025-11-24 17:59:56</t>
  </si>
  <si>
    <t>2025-11-24 18:01:13</t>
  </si>
  <si>
    <t>Kučkuriškių g. 3, Vilniaus m., Vilniaus m. sav.</t>
  </si>
  <si>
    <t>2025-11-24 18:02:30</t>
  </si>
  <si>
    <t>Kučkuriškių g. 6A, Vilniaus m., Vilniaus m. sav.</t>
  </si>
  <si>
    <t>2025-11-24 18:02:55</t>
  </si>
  <si>
    <t>Kučkuriškių g. 8, Vilniaus m., Vilniaus m. sav.</t>
  </si>
  <si>
    <t>2025-11-24 18:03:05</t>
  </si>
  <si>
    <t>2025-11-24 18:06:05</t>
  </si>
  <si>
    <t>2025-11-24 18:07:08</t>
  </si>
  <si>
    <t>Skardžio g. 8, Vilniaus m., Vilniaus m. sav.</t>
  </si>
  <si>
    <t>2025-11-24 18:09:49</t>
  </si>
  <si>
    <t>Liepto g. 2, Vilniaus m., Vilniaus m. sav.</t>
  </si>
  <si>
    <t>2025-11-24 18:11:15</t>
  </si>
  <si>
    <t>2025-11-24 18:14:20</t>
  </si>
  <si>
    <t>Žaliakalnio g. 30, Vilniaus m., Vilniaus m. sav.</t>
  </si>
  <si>
    <t>2025-11-24 18:19:52</t>
  </si>
  <si>
    <t>Gerovės g. 1, Vilniaus m., Vilniaus m. sav.</t>
  </si>
  <si>
    <t>2025-11-24 18:21:26</t>
  </si>
  <si>
    <t>Smėlio g. 22, Grigiškių m., Vilniaus m. sav.</t>
  </si>
  <si>
    <t>2025-11-24 18:23:47</t>
  </si>
  <si>
    <t>Gerovės g. 29, Vilniaus m., Vilniaus m. sav.</t>
  </si>
  <si>
    <t>2025-11-24 18:24:18</t>
  </si>
  <si>
    <t>2025-11-24 18:24:30</t>
  </si>
  <si>
    <t>Žalioji g. 8, Grigiškių m., Vilniaus m. sav.</t>
  </si>
  <si>
    <t>2025-11-24 18:26:10</t>
  </si>
  <si>
    <t>Žalioji g. 4, Grigiškių m., Vilniaus m. sav.</t>
  </si>
  <si>
    <t>2025-11-24 18:28:08</t>
  </si>
  <si>
    <t>Genių g. 8, Vilniaus m., Vilniaus m. sav.</t>
  </si>
  <si>
    <t>2025-11-24 18:31:53</t>
  </si>
  <si>
    <t>Genių g. 10, Vilniaus m., Vilniaus m. sav.</t>
  </si>
  <si>
    <t>2025-11-24 18:35:23</t>
  </si>
  <si>
    <t>2025-11-24 18:36:25</t>
  </si>
  <si>
    <t>Šviesos g. 16, Grigiškės, Vilniaus m. sav.</t>
  </si>
  <si>
    <t>2025-11-24 18:39:28</t>
  </si>
  <si>
    <t>2025-11-24 18:43:43</t>
  </si>
  <si>
    <t>Sodžiaus g. 78, Vilniaus m., Vilniaus m. sav.</t>
  </si>
  <si>
    <t>2025-11-24 18:49:00</t>
  </si>
  <si>
    <t>Pramonės g. 141, Vilniaus m., Vilniaus m. sav.</t>
  </si>
  <si>
    <t>2025-11-24 18:49:56</t>
  </si>
  <si>
    <t>Jočionių g. 14, Vilniaus m., Vilniaus m. sav.</t>
  </si>
  <si>
    <t>2025-11-24 18:53:09</t>
  </si>
  <si>
    <t>Pramonės g. 97, Vilniaus m., Vilniaus m. sav.</t>
  </si>
  <si>
    <t>2025-11-24 18:53:40</t>
  </si>
  <si>
    <t>2025-11-24 18:54:46</t>
  </si>
  <si>
    <t>2025-11-24 18:55:07</t>
  </si>
  <si>
    <t>2025-11-24 19:00:03</t>
  </si>
  <si>
    <t>Pramonės g. 95, Vilniaus m., Vilniaus m. sav.</t>
  </si>
  <si>
    <t>2025-11-24 19:02:37</t>
  </si>
  <si>
    <t>Pramonės g. 53, Vilniaus m., Vilniaus m. sav.</t>
  </si>
  <si>
    <t>2025-11-24 19:03:47</t>
  </si>
  <si>
    <t>Pramonės g. 12, Vilniaus m., Vilniaus m. sav.</t>
  </si>
  <si>
    <t>2025-11-24 19:05:40</t>
  </si>
  <si>
    <t>Pramonės g. 53A, Vilniaus m., Vilniaus m. sav.</t>
  </si>
  <si>
    <t>2025-11-24 19:08:33</t>
  </si>
  <si>
    <t>Pramonės g. 49C, Vilniaus m., Vilniaus m. sav.</t>
  </si>
  <si>
    <t>2025-11-24 19:10:31</t>
  </si>
  <si>
    <t>Tremtinių g. 16, Vilniaus m., Vilniaus m. sav.</t>
  </si>
  <si>
    <t>2025-11-24 19:14:31</t>
  </si>
  <si>
    <t>Stepono Batoro g. 160, Vilniaus m., Vilniaus m. sav.</t>
  </si>
  <si>
    <t>2025-11-24 19:18:43</t>
  </si>
  <si>
    <t>Užtvankos g. 4, Vilniaus m., Vilniaus m. sav.</t>
  </si>
  <si>
    <t>2025-11-24 19:18:59</t>
  </si>
  <si>
    <t>Užtvankos g. 1, Vilniaus m., Vilniaus m. sav.</t>
  </si>
  <si>
    <t>2025-11-24 19:19:17</t>
  </si>
  <si>
    <t>2025-11-24 20:05:14</t>
  </si>
  <si>
    <t>Žemoji g. 52, Vilniaus m., Vilniaus m. sav.</t>
  </si>
  <si>
    <t>2025-11-24 20:05:21</t>
  </si>
  <si>
    <t>Bausti</t>
  </si>
  <si>
    <t>Pasiteisinimas</t>
  </si>
  <si>
    <t>Nepravažiuojamas kelias.</t>
  </si>
  <si>
    <t>Uždaryti vartai.</t>
  </si>
  <si>
    <t>Tuščias MKA konteineris.</t>
  </si>
  <si>
    <t>MKA konteineris yra užpildytas netinkamomis atliekomis.</t>
  </si>
  <si>
    <t>Tą pačią dieną MKA konteineris buvo aptarnautas atliekų vežėjo.</t>
  </si>
  <si>
    <t>Kelio darbai.</t>
  </si>
  <si>
    <t>Neperavažiuojamas kelias.</t>
  </si>
  <si>
    <t>Nepasikėlė užtvaras.</t>
  </si>
  <si>
    <t>Užstatytas privažiavimas automobiliais.</t>
  </si>
  <si>
    <t>Nepravažiuoajamas kelias.</t>
  </si>
  <si>
    <t>MKA konteineris yra užpildytas netinkamomis atliekomis</t>
  </si>
  <si>
    <t>PP MKA konteineris yra netinkamas naudoti.</t>
  </si>
  <si>
    <t>Automobilio gedimas.</t>
  </si>
  <si>
    <t>Kitą dieną MKA konteineris buvo aptarnautas atliekų vežėjo.</t>
  </si>
  <si>
    <t>Uždaryti varteliai.</t>
  </si>
  <si>
    <t>MA konteineris yra užpildytas netinkamomis atliekomis</t>
  </si>
  <si>
    <t>Tą pačią dieną PA konteineris buvo aptarnautas atliekų vežėjo.</t>
  </si>
  <si>
    <t>Uždaryta PP aikštelė.</t>
  </si>
  <si>
    <t>PA konteineris yra užpildytas netinkamomis atliekomis.</t>
  </si>
  <si>
    <t>PP AŽ konteineris yra netinkamas naudoti.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</si>
</sst>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0000FF"/>
      <name val="Calibri"/>
    </font>
    <font>
      <b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3255"/>
  <sheetViews>
    <sheetView tabSelected="1" topLeftCell="A7953" zoomScaleNormal="100" workbookViewId="0">
      <selection activeCell="F2048" sqref="F2048"/>
    </sheetView>
  </sheetViews>
  <sheetFormatPr defaultRowHeight="15" x14ac:dyDescent="0.25"/>
  <cols>
    <col min="1" max="1" width="19.7109375" customWidth="1"/>
    <col min="2" max="2" width="15.7109375" customWidth="1"/>
    <col min="3" max="3" width="9.140625" customWidth="1"/>
    <col min="4" max="4" width="59.42578125" customWidth="1"/>
    <col min="5" max="5" width="12.28515625" customWidth="1"/>
    <col min="6" max="6" width="94.28515625" customWidth="1"/>
    <col min="7" max="7" width="18.28515625" customWidth="1"/>
    <col min="8" max="8" width="18.140625" customWidth="1"/>
    <col min="9" max="9" width="17.28515625" customWidth="1"/>
    <col min="10" max="10" width="33.5703125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17509</v>
      </c>
      <c r="J1" s="2" t="s">
        <v>17510</v>
      </c>
    </row>
    <row r="2" spans="1:10" hidden="1" x14ac:dyDescent="0.25">
      <c r="A2" t="s">
        <v>8</v>
      </c>
      <c r="B2" s="1" t="str">
        <f>HYPERLINK("https://asmlis.vasa.lt/Dashboard/Served?ServiceDateFrom=2025-11-24&amp;ServiceDateTo=2025-11-24&amp;DumpsterInvNr=13-L-317137", "13-L-317137")</f>
        <v>13-L-317137</v>
      </c>
      <c r="C2">
        <v>0.77</v>
      </c>
      <c r="D2" t="s">
        <v>10</v>
      </c>
      <c r="E2" t="s">
        <v>11</v>
      </c>
      <c r="G2" t="s">
        <v>9</v>
      </c>
      <c r="H2" t="s">
        <v>14</v>
      </c>
    </row>
    <row r="3" spans="1:10" hidden="1" x14ac:dyDescent="0.25">
      <c r="A3" t="s">
        <v>15</v>
      </c>
      <c r="B3" s="1" t="str">
        <f>HYPERLINK("https://asmlis.vasa.lt/Dashboard/Served?ServiceDateFrom=2025-11-24&amp;ServiceDateTo=2025-11-24&amp;DumpsterInvNr=13-L-313805", "13-L-313805")</f>
        <v>13-L-313805</v>
      </c>
      <c r="C3">
        <v>0.77</v>
      </c>
      <c r="D3" t="s">
        <v>10</v>
      </c>
      <c r="E3" t="s">
        <v>11</v>
      </c>
      <c r="G3" t="s">
        <v>9</v>
      </c>
      <c r="H3" t="s">
        <v>14</v>
      </c>
    </row>
    <row r="4" spans="1:10" hidden="1" x14ac:dyDescent="0.25">
      <c r="A4" t="s">
        <v>16</v>
      </c>
      <c r="B4" s="1" t="str">
        <f>HYPERLINK("https://asmlis.vasa.lt/Dashboard/Served?ServiceDateFrom=2025-11-24&amp;ServiceDateTo=2025-11-24&amp;DumpsterInvNr=13-L-318958", "13-L-318958")</f>
        <v>13-L-318958</v>
      </c>
      <c r="C4">
        <v>0.77</v>
      </c>
      <c r="D4" t="s">
        <v>10</v>
      </c>
      <c r="E4" t="s">
        <v>11</v>
      </c>
      <c r="G4" t="s">
        <v>9</v>
      </c>
      <c r="H4" t="s">
        <v>14</v>
      </c>
    </row>
    <row r="5" spans="1:10" hidden="1" x14ac:dyDescent="0.25">
      <c r="A5" t="s">
        <v>17</v>
      </c>
      <c r="B5" s="1" t="str">
        <f>HYPERLINK("https://asmlis.vasa.lt/Dashboard/Served?ServiceDateFrom=2025-11-24&amp;ServiceDateTo=2025-11-24&amp;DumpsterInvNr=13-L-316371", "13-L-316371")</f>
        <v>13-L-316371</v>
      </c>
      <c r="C5">
        <v>0.77</v>
      </c>
      <c r="D5" t="s">
        <v>18</v>
      </c>
      <c r="E5" t="s">
        <v>11</v>
      </c>
      <c r="G5" t="s">
        <v>9</v>
      </c>
      <c r="H5" t="s">
        <v>14</v>
      </c>
    </row>
    <row r="6" spans="1:10" hidden="1" x14ac:dyDescent="0.25">
      <c r="A6" t="s">
        <v>19</v>
      </c>
      <c r="B6" s="1" t="str">
        <f>HYPERLINK("https://asmlis.vasa.lt/Dashboard/Served?ServiceDateFrom=2025-11-24&amp;ServiceDateTo=2025-11-24&amp;DumpsterInvNr=13-L-315518", "13-L-315518")</f>
        <v>13-L-315518</v>
      </c>
      <c r="C6">
        <v>0.77</v>
      </c>
      <c r="D6" t="s">
        <v>10</v>
      </c>
      <c r="E6" t="s">
        <v>11</v>
      </c>
      <c r="G6" t="s">
        <v>9</v>
      </c>
      <c r="H6" t="s">
        <v>14</v>
      </c>
    </row>
    <row r="7" spans="1:10" hidden="1" x14ac:dyDescent="0.25">
      <c r="A7" t="s">
        <v>20</v>
      </c>
      <c r="B7" s="1" t="str">
        <f>HYPERLINK("https://asmlis.vasa.lt/Dashboard/Served?ServiceDateFrom=2025-11-24&amp;ServiceDateTo=2025-11-24&amp;DumpsterInvNr=13-L-318388", "13-L-318388")</f>
        <v>13-L-318388</v>
      </c>
      <c r="C7">
        <v>0.66</v>
      </c>
      <c r="D7" t="s">
        <v>18</v>
      </c>
      <c r="E7" t="s">
        <v>11</v>
      </c>
      <c r="F7" t="s">
        <v>13</v>
      </c>
      <c r="G7" t="s">
        <v>9</v>
      </c>
      <c r="H7" t="s">
        <v>14</v>
      </c>
    </row>
    <row r="8" spans="1:10" hidden="1" x14ac:dyDescent="0.25">
      <c r="A8" t="s">
        <v>21</v>
      </c>
      <c r="B8" s="1" t="str">
        <f>HYPERLINK("https://asmlis.vasa.lt/Dashboard/Served?ServiceDateFrom=2025-11-24&amp;ServiceDateTo=2025-11-24&amp;DumpsterInvNr=13-L-310282", "13-L-310282")</f>
        <v>13-L-310282</v>
      </c>
      <c r="C8">
        <v>0.66</v>
      </c>
      <c r="D8" t="s">
        <v>10</v>
      </c>
      <c r="E8" t="s">
        <v>11</v>
      </c>
      <c r="F8" t="s">
        <v>13</v>
      </c>
      <c r="G8" t="s">
        <v>9</v>
      </c>
      <c r="H8" t="s">
        <v>14</v>
      </c>
    </row>
    <row r="9" spans="1:10" hidden="1" x14ac:dyDescent="0.25">
      <c r="A9" t="s">
        <v>22</v>
      </c>
      <c r="B9" s="1" t="str">
        <f>HYPERLINK("https://asmlis.vasa.lt/Dashboard/Served?ServiceDateFrom=2025-11-24&amp;ServiceDateTo=2025-11-24&amp;DumpsterInvNr=13-L-311923", "13-L-311923")</f>
        <v>13-L-311923</v>
      </c>
      <c r="C9">
        <v>0.77</v>
      </c>
      <c r="D9" t="s">
        <v>10</v>
      </c>
      <c r="E9" t="s">
        <v>11</v>
      </c>
      <c r="F9" t="s">
        <v>13</v>
      </c>
      <c r="G9" t="s">
        <v>9</v>
      </c>
      <c r="H9" t="s">
        <v>14</v>
      </c>
    </row>
    <row r="10" spans="1:10" hidden="1" x14ac:dyDescent="0.25">
      <c r="A10" t="s">
        <v>23</v>
      </c>
      <c r="B10" s="1" t="str">
        <f>HYPERLINK("https://asmlis.vasa.lt/Dashboard/Served?ServiceDateFrom=2025-11-24&amp;ServiceDateTo=2025-11-24&amp;DumpsterInvNr=13-L-311052", "13-L-311052")</f>
        <v>13-L-311052</v>
      </c>
      <c r="C10">
        <v>1.1000000000000001</v>
      </c>
      <c r="D10" t="s">
        <v>24</v>
      </c>
      <c r="E10" t="s">
        <v>11</v>
      </c>
      <c r="G10" t="s">
        <v>9</v>
      </c>
      <c r="H10" t="s">
        <v>14</v>
      </c>
    </row>
    <row r="11" spans="1:10" hidden="1" x14ac:dyDescent="0.25">
      <c r="A11" t="s">
        <v>25</v>
      </c>
      <c r="B11" s="1" t="str">
        <f>HYPERLINK("https://asmlis.vasa.lt/Dashboard/Served?ServiceDateFrom=2025-11-24&amp;ServiceDateTo=2025-11-24&amp;DumpsterInvNr=13-L-314946", "13-L-314946")</f>
        <v>13-L-314946</v>
      </c>
      <c r="C11">
        <v>1.1000000000000001</v>
      </c>
      <c r="D11" t="s">
        <v>26</v>
      </c>
      <c r="E11" t="s">
        <v>11</v>
      </c>
      <c r="G11" t="s">
        <v>9</v>
      </c>
      <c r="H11" t="s">
        <v>14</v>
      </c>
    </row>
    <row r="12" spans="1:10" hidden="1" x14ac:dyDescent="0.25">
      <c r="A12" t="s">
        <v>27</v>
      </c>
      <c r="B12" s="1" t="str">
        <f>HYPERLINK("https://asmlis.vasa.lt/Dashboard/Served?ServiceDateFrom=2025-11-24&amp;ServiceDateTo=2025-11-24&amp;DumpsterInvNr=13-L-318595", "13-L-318595")</f>
        <v>13-L-318595</v>
      </c>
      <c r="C12">
        <v>1.1000000000000001</v>
      </c>
      <c r="D12" t="s">
        <v>26</v>
      </c>
      <c r="E12" t="s">
        <v>11</v>
      </c>
      <c r="F12" t="s">
        <v>13</v>
      </c>
      <c r="G12" t="s">
        <v>9</v>
      </c>
      <c r="H12" t="s">
        <v>14</v>
      </c>
    </row>
    <row r="13" spans="1:10" hidden="1" x14ac:dyDescent="0.25">
      <c r="A13" t="s">
        <v>28</v>
      </c>
      <c r="B13" s="1" t="str">
        <f>HYPERLINK("https://asmlis.vasa.lt/Dashboard/Served?ServiceDateFrom=2025-11-24&amp;ServiceDateTo=2025-11-24&amp;DumpsterInvNr=13-L-318576", "13-L-318576")</f>
        <v>13-L-318576</v>
      </c>
      <c r="C13">
        <v>1.1000000000000001</v>
      </c>
      <c r="D13" t="s">
        <v>29</v>
      </c>
      <c r="E13" t="s">
        <v>11</v>
      </c>
      <c r="G13" t="s">
        <v>9</v>
      </c>
      <c r="H13" t="s">
        <v>14</v>
      </c>
    </row>
    <row r="14" spans="1:10" hidden="1" x14ac:dyDescent="0.25">
      <c r="A14" t="s">
        <v>28</v>
      </c>
      <c r="B14" s="1" t="str">
        <f>HYPERLINK("https://asmlis.vasa.lt/Dashboard/Served?ServiceDateFrom=2025-11-24&amp;ServiceDateTo=2025-11-24&amp;DumpsterInvNr=13-L-318901", "13-L-318901")</f>
        <v>13-L-318901</v>
      </c>
      <c r="C14">
        <v>1.1000000000000001</v>
      </c>
      <c r="D14" t="s">
        <v>29</v>
      </c>
      <c r="E14" t="s">
        <v>11</v>
      </c>
      <c r="G14" t="s">
        <v>9</v>
      </c>
      <c r="H14" t="s">
        <v>14</v>
      </c>
    </row>
    <row r="15" spans="1:10" hidden="1" x14ac:dyDescent="0.25">
      <c r="A15" t="s">
        <v>30</v>
      </c>
      <c r="B15" s="1" t="str">
        <f>HYPERLINK("https://asmlis.vasa.lt/Dashboard/Served?ServiceDateFrom=2025-11-24&amp;ServiceDateTo=2025-11-24&amp;DumpsterInvNr=13-L-315333", "13-L-315333")</f>
        <v>13-L-315333</v>
      </c>
      <c r="C15">
        <v>1.1000000000000001</v>
      </c>
      <c r="D15" t="s">
        <v>31</v>
      </c>
      <c r="E15" t="s">
        <v>11</v>
      </c>
      <c r="G15" t="s">
        <v>9</v>
      </c>
      <c r="H15" t="s">
        <v>14</v>
      </c>
    </row>
    <row r="16" spans="1:10" hidden="1" x14ac:dyDescent="0.25">
      <c r="A16" t="s">
        <v>32</v>
      </c>
      <c r="B16" s="1" t="str">
        <f>HYPERLINK("https://asmlis.vasa.lt/Dashboard/Served?ServiceDateFrom=2025-11-24&amp;ServiceDateTo=2025-11-24&amp;DumpsterInvNr=13-L-316808", "13-L-316808")</f>
        <v>13-L-316808</v>
      </c>
      <c r="C16">
        <v>1.1000000000000001</v>
      </c>
      <c r="D16" t="s">
        <v>29</v>
      </c>
      <c r="E16" t="s">
        <v>11</v>
      </c>
      <c r="G16" t="s">
        <v>9</v>
      </c>
      <c r="H16" t="s">
        <v>14</v>
      </c>
    </row>
    <row r="17" spans="1:8" hidden="1" x14ac:dyDescent="0.25">
      <c r="A17" t="s">
        <v>33</v>
      </c>
      <c r="B17" s="1" t="str">
        <f>HYPERLINK("https://asmlis.vasa.lt/Dashboard/Served?ServiceDateFrom=2025-11-24&amp;ServiceDateTo=2025-11-24&amp;DumpsterInvNr=13-L-316222", "13-L-316222")</f>
        <v>13-L-316222</v>
      </c>
      <c r="C17">
        <v>1.1000000000000001</v>
      </c>
      <c r="D17" t="s">
        <v>31</v>
      </c>
      <c r="E17" t="s">
        <v>11</v>
      </c>
      <c r="G17" t="s">
        <v>9</v>
      </c>
      <c r="H17" t="s">
        <v>14</v>
      </c>
    </row>
    <row r="18" spans="1:8" hidden="1" x14ac:dyDescent="0.25">
      <c r="A18" t="s">
        <v>34</v>
      </c>
      <c r="B18" s="1" t="str">
        <f>HYPERLINK("https://asmlis.vasa.lt/Dashboard/Served?ServiceDateFrom=2025-11-24&amp;ServiceDateTo=2025-11-24&amp;DumpsterInvNr=13-L-317122", "13-L-317122")</f>
        <v>13-L-317122</v>
      </c>
      <c r="C18">
        <v>1.1000000000000001</v>
      </c>
      <c r="D18" t="s">
        <v>29</v>
      </c>
      <c r="E18" t="s">
        <v>11</v>
      </c>
      <c r="F18" t="s">
        <v>13</v>
      </c>
      <c r="G18" t="s">
        <v>9</v>
      </c>
      <c r="H18" t="s">
        <v>14</v>
      </c>
    </row>
    <row r="19" spans="1:8" hidden="1" x14ac:dyDescent="0.25">
      <c r="A19" t="s">
        <v>35</v>
      </c>
      <c r="B19" s="1" t="str">
        <f>HYPERLINK("https://asmlis.vasa.lt/Dashboard/Served?ServiceDateFrom=2025-11-24&amp;ServiceDateTo=2025-11-24&amp;DumpsterInvNr=13-L-314765", "13-L-314765")</f>
        <v>13-L-314765</v>
      </c>
      <c r="C19">
        <v>1.1000000000000001</v>
      </c>
      <c r="D19" t="s">
        <v>31</v>
      </c>
      <c r="E19" t="s">
        <v>11</v>
      </c>
      <c r="F19" t="s">
        <v>13</v>
      </c>
      <c r="G19" t="s">
        <v>9</v>
      </c>
      <c r="H19" t="s">
        <v>14</v>
      </c>
    </row>
    <row r="20" spans="1:8" hidden="1" x14ac:dyDescent="0.25">
      <c r="A20" t="s">
        <v>36</v>
      </c>
      <c r="B20" s="1" t="str">
        <f>HYPERLINK("https://asmlis.vasa.lt/Dashboard/Served?ServiceDateFrom=2025-11-24&amp;ServiceDateTo=2025-11-24&amp;DumpsterInvNr=13-L-313700", "13-L-313700")</f>
        <v>13-L-313700</v>
      </c>
      <c r="C20">
        <v>1.1000000000000001</v>
      </c>
      <c r="D20" t="s">
        <v>31</v>
      </c>
      <c r="E20" t="s">
        <v>11</v>
      </c>
      <c r="F20" t="s">
        <v>13</v>
      </c>
      <c r="G20" t="s">
        <v>9</v>
      </c>
      <c r="H20" t="s">
        <v>14</v>
      </c>
    </row>
    <row r="21" spans="1:8" hidden="1" x14ac:dyDescent="0.25">
      <c r="A21" t="s">
        <v>37</v>
      </c>
      <c r="B21" s="1" t="str">
        <f>HYPERLINK("https://asmlis.vasa.lt/Dashboard/Served?ServiceDateFrom=2025-11-24&amp;ServiceDateTo=2025-11-24&amp;DumpsterInvNr=13-L-318268", "13-L-318268")</f>
        <v>13-L-318268</v>
      </c>
      <c r="C21">
        <v>1.1000000000000001</v>
      </c>
      <c r="D21" t="s">
        <v>38</v>
      </c>
      <c r="E21" t="s">
        <v>11</v>
      </c>
      <c r="G21" t="s">
        <v>9</v>
      </c>
      <c r="H21" t="s">
        <v>14</v>
      </c>
    </row>
    <row r="22" spans="1:8" hidden="1" x14ac:dyDescent="0.25">
      <c r="A22" t="s">
        <v>39</v>
      </c>
      <c r="B22" s="1" t="str">
        <f>HYPERLINK("https://asmlis.vasa.lt/Dashboard/Served?ServiceDateFrom=2025-11-24&amp;ServiceDateTo=2025-11-24&amp;DumpsterInvNr=13-L-315544", "13-L-315544")</f>
        <v>13-L-315544</v>
      </c>
      <c r="C22">
        <v>1.1000000000000001</v>
      </c>
      <c r="D22" t="s">
        <v>38</v>
      </c>
      <c r="E22" t="s">
        <v>11</v>
      </c>
      <c r="F22" t="s">
        <v>13</v>
      </c>
      <c r="G22" t="s">
        <v>9</v>
      </c>
      <c r="H22" t="s">
        <v>14</v>
      </c>
    </row>
    <row r="23" spans="1:8" hidden="1" x14ac:dyDescent="0.25">
      <c r="A23" t="s">
        <v>40</v>
      </c>
      <c r="B23" s="1" t="str">
        <f>HYPERLINK("https://asmlis.vasa.lt/Dashboard/Served?ServiceDateFrom=2025-11-24&amp;ServiceDateTo=2025-11-24&amp;DumpsterInvNr=13-L-311652", "13-L-311652")</f>
        <v>13-L-311652</v>
      </c>
      <c r="C23">
        <v>1.1000000000000001</v>
      </c>
      <c r="D23" t="s">
        <v>41</v>
      </c>
      <c r="E23" t="s">
        <v>11</v>
      </c>
      <c r="G23" t="s">
        <v>9</v>
      </c>
      <c r="H23" t="s">
        <v>14</v>
      </c>
    </row>
    <row r="24" spans="1:8" hidden="1" x14ac:dyDescent="0.25">
      <c r="A24" t="s">
        <v>42</v>
      </c>
      <c r="B24" s="1" t="str">
        <f>HYPERLINK("https://asmlis.vasa.lt/Dashboard/Served?ServiceDateFrom=2025-11-24&amp;ServiceDateTo=2025-11-24&amp;DumpsterInvNr=13-L-315861", "13-L-315861")</f>
        <v>13-L-315861</v>
      </c>
      <c r="C24">
        <v>1.1000000000000001</v>
      </c>
      <c r="D24" t="s">
        <v>41</v>
      </c>
      <c r="E24" t="s">
        <v>11</v>
      </c>
      <c r="G24" t="s">
        <v>9</v>
      </c>
      <c r="H24" t="s">
        <v>14</v>
      </c>
    </row>
    <row r="25" spans="1:8" hidden="1" x14ac:dyDescent="0.25">
      <c r="A25" t="s">
        <v>43</v>
      </c>
      <c r="B25" s="1" t="str">
        <f>HYPERLINK("https://asmlis.vasa.lt/Dashboard/Served?ServiceDateFrom=2025-11-24&amp;ServiceDateTo=2025-11-24&amp;DumpsterInvNr=13-L-315898", "13-L-315898")</f>
        <v>13-L-315898</v>
      </c>
      <c r="C25">
        <v>1.1000000000000001</v>
      </c>
      <c r="D25" t="s">
        <v>41</v>
      </c>
      <c r="E25" t="s">
        <v>11</v>
      </c>
      <c r="G25" t="s">
        <v>9</v>
      </c>
      <c r="H25" t="s">
        <v>14</v>
      </c>
    </row>
    <row r="26" spans="1:8" hidden="1" x14ac:dyDescent="0.25">
      <c r="A26" t="s">
        <v>44</v>
      </c>
      <c r="B26" s="1" t="str">
        <f>HYPERLINK("https://asmlis.vasa.lt/Dashboard/Served?ServiceDateFrom=2025-11-24&amp;ServiceDateTo=2025-11-24&amp;DumpsterInvNr=13-L-317857", "13-L-317857")</f>
        <v>13-L-317857</v>
      </c>
      <c r="C26">
        <v>1.1000000000000001</v>
      </c>
      <c r="D26" t="s">
        <v>41</v>
      </c>
      <c r="E26" t="s">
        <v>11</v>
      </c>
      <c r="F26" t="s">
        <v>13</v>
      </c>
      <c r="G26" t="s">
        <v>9</v>
      </c>
      <c r="H26" t="s">
        <v>14</v>
      </c>
    </row>
    <row r="27" spans="1:8" hidden="1" x14ac:dyDescent="0.25">
      <c r="A27" t="s">
        <v>45</v>
      </c>
      <c r="B27" s="1" t="str">
        <f>HYPERLINK("https://asmlis.vasa.lt/Dashboard/Served?ServiceDateFrom=2025-11-24&amp;ServiceDateTo=2025-11-24&amp;DumpsterInvNr=13-L-303666", "13-L-303666")</f>
        <v>13-L-303666</v>
      </c>
      <c r="C27">
        <v>0.77</v>
      </c>
      <c r="D27" t="s">
        <v>46</v>
      </c>
      <c r="E27" t="s">
        <v>11</v>
      </c>
      <c r="F27" t="s">
        <v>13</v>
      </c>
      <c r="G27" t="s">
        <v>9</v>
      </c>
      <c r="H27" t="s">
        <v>14</v>
      </c>
    </row>
    <row r="28" spans="1:8" hidden="1" x14ac:dyDescent="0.25">
      <c r="A28" t="s">
        <v>47</v>
      </c>
      <c r="B28" s="1" t="str">
        <f>HYPERLINK("https://asmlis.vasa.lt/Dashboard/Served?ServiceDateFrom=2025-11-24&amp;ServiceDateTo=2025-11-24&amp;DumpsterInvNr=13-L-314343", "13-L-314343")</f>
        <v>13-L-314343</v>
      </c>
      <c r="C28">
        <v>0.77</v>
      </c>
      <c r="D28" t="s">
        <v>46</v>
      </c>
      <c r="E28" t="s">
        <v>11</v>
      </c>
      <c r="F28" t="s">
        <v>13</v>
      </c>
      <c r="G28" t="s">
        <v>9</v>
      </c>
      <c r="H28" t="s">
        <v>14</v>
      </c>
    </row>
    <row r="29" spans="1:8" hidden="1" x14ac:dyDescent="0.25">
      <c r="A29" t="s">
        <v>48</v>
      </c>
      <c r="B29" s="1" t="str">
        <f>HYPERLINK("https://asmlis.vasa.lt/Dashboard/Served?ServiceDateFrom=2025-11-24&amp;ServiceDateTo=2025-11-24&amp;DumpsterInvNr=13-L-317981", "13-L-317981")</f>
        <v>13-L-317981</v>
      </c>
      <c r="C29">
        <v>1.1000000000000001</v>
      </c>
      <c r="D29" t="s">
        <v>49</v>
      </c>
      <c r="E29" t="s">
        <v>11</v>
      </c>
      <c r="G29" t="s">
        <v>9</v>
      </c>
      <c r="H29" t="s">
        <v>14</v>
      </c>
    </row>
    <row r="30" spans="1:8" hidden="1" x14ac:dyDescent="0.25">
      <c r="A30" t="s">
        <v>50</v>
      </c>
      <c r="B30" s="1" t="str">
        <f>HYPERLINK("https://asmlis.vasa.lt/Dashboard/Served?ServiceDateFrom=2025-11-24&amp;ServiceDateTo=2025-11-24&amp;DumpsterInvNr=13-L-317841", "13-L-317841")</f>
        <v>13-L-317841</v>
      </c>
      <c r="C30">
        <v>1.1000000000000001</v>
      </c>
      <c r="D30" t="s">
        <v>49</v>
      </c>
      <c r="E30" t="s">
        <v>11</v>
      </c>
      <c r="G30" t="s">
        <v>9</v>
      </c>
      <c r="H30" t="s">
        <v>14</v>
      </c>
    </row>
    <row r="31" spans="1:8" hidden="1" x14ac:dyDescent="0.25">
      <c r="A31" t="s">
        <v>51</v>
      </c>
      <c r="B31" s="1" t="str">
        <f>HYPERLINK("https://asmlis.vasa.lt/Dashboard/Served?ServiceDateFrom=2025-11-24&amp;ServiceDateTo=2025-11-24&amp;DumpsterInvNr=13-L-313675", "13-L-313675")</f>
        <v>13-L-313675</v>
      </c>
      <c r="C31">
        <v>1.1000000000000001</v>
      </c>
      <c r="D31" t="s">
        <v>52</v>
      </c>
      <c r="E31" t="s">
        <v>11</v>
      </c>
      <c r="F31" t="s">
        <v>13</v>
      </c>
      <c r="G31" t="s">
        <v>9</v>
      </c>
      <c r="H31" t="s">
        <v>14</v>
      </c>
    </row>
    <row r="32" spans="1:8" hidden="1" x14ac:dyDescent="0.25">
      <c r="A32" t="s">
        <v>53</v>
      </c>
      <c r="B32" s="1" t="str">
        <f>HYPERLINK("https://asmlis.vasa.lt/Dashboard/Served?ServiceDateFrom=2025-11-24&amp;ServiceDateTo=2025-11-24&amp;DumpsterInvNr=13-L-318328", "13-L-318328")</f>
        <v>13-L-318328</v>
      </c>
      <c r="C32">
        <v>1.1000000000000001</v>
      </c>
      <c r="D32" t="s">
        <v>52</v>
      </c>
      <c r="E32" t="s">
        <v>11</v>
      </c>
      <c r="F32" t="s">
        <v>13</v>
      </c>
      <c r="G32" t="s">
        <v>9</v>
      </c>
      <c r="H32" t="s">
        <v>14</v>
      </c>
    </row>
    <row r="33" spans="1:8" hidden="1" x14ac:dyDescent="0.25">
      <c r="A33" t="s">
        <v>54</v>
      </c>
      <c r="B33" s="1" t="str">
        <f>HYPERLINK("https://asmlis.vasa.lt/Dashboard/Served?ServiceDateFrom=2025-11-24&amp;ServiceDateTo=2025-11-24&amp;DumpsterInvNr=13-L-318754", "13-L-318754")</f>
        <v>13-L-318754</v>
      </c>
      <c r="C33">
        <v>1.1000000000000001</v>
      </c>
      <c r="D33" t="s">
        <v>55</v>
      </c>
      <c r="E33" t="s">
        <v>11</v>
      </c>
      <c r="F33" t="s">
        <v>13</v>
      </c>
      <c r="G33" t="s">
        <v>9</v>
      </c>
      <c r="H33" t="s">
        <v>14</v>
      </c>
    </row>
    <row r="34" spans="1:8" hidden="1" x14ac:dyDescent="0.25">
      <c r="A34" t="s">
        <v>56</v>
      </c>
      <c r="B34" s="1" t="str">
        <f>HYPERLINK("https://asmlis.vasa.lt/Dashboard/Served?ServiceDateFrom=2025-11-24&amp;ServiceDateTo=2025-11-24&amp;DumpsterInvNr=13-L-307202", "13-L-307202")</f>
        <v>13-L-307202</v>
      </c>
      <c r="C34">
        <v>1.1000000000000001</v>
      </c>
      <c r="D34" t="s">
        <v>55</v>
      </c>
      <c r="E34" t="s">
        <v>11</v>
      </c>
      <c r="F34" t="s">
        <v>13</v>
      </c>
      <c r="G34" t="s">
        <v>9</v>
      </c>
      <c r="H34" t="s">
        <v>14</v>
      </c>
    </row>
    <row r="35" spans="1:8" hidden="1" x14ac:dyDescent="0.25">
      <c r="A35" t="s">
        <v>57</v>
      </c>
      <c r="B35" s="1" t="str">
        <f>HYPERLINK("https://asmlis.vasa.lt/Dashboard/Served?ServiceDateFrom=2025-11-24&amp;ServiceDateTo=2025-11-24&amp;DumpsterInvNr=13-L-315536", "13-L-315536")</f>
        <v>13-L-315536</v>
      </c>
      <c r="C35">
        <v>1.1000000000000001</v>
      </c>
      <c r="D35" t="s">
        <v>58</v>
      </c>
      <c r="E35" t="s">
        <v>11</v>
      </c>
      <c r="G35" t="s">
        <v>9</v>
      </c>
      <c r="H35" t="s">
        <v>14</v>
      </c>
    </row>
    <row r="36" spans="1:8" hidden="1" x14ac:dyDescent="0.25">
      <c r="A36" t="s">
        <v>59</v>
      </c>
      <c r="B36" s="1" t="str">
        <f>HYPERLINK("https://asmlis.vasa.lt/Dashboard/Served?ServiceDateFrom=2025-11-24&amp;ServiceDateTo=2025-11-24&amp;DumpsterInvNr=13-L-313365", "13-L-313365")</f>
        <v>13-L-313365</v>
      </c>
      <c r="C36">
        <v>1.1000000000000001</v>
      </c>
      <c r="D36" t="s">
        <v>58</v>
      </c>
      <c r="E36" t="s">
        <v>11</v>
      </c>
      <c r="G36" t="s">
        <v>9</v>
      </c>
      <c r="H36" t="s">
        <v>14</v>
      </c>
    </row>
    <row r="37" spans="1:8" hidden="1" x14ac:dyDescent="0.25">
      <c r="A37" t="s">
        <v>60</v>
      </c>
      <c r="B37" s="1" t="str">
        <f>HYPERLINK("https://asmlis.vasa.lt/Dashboard/Served?ServiceDateFrom=2025-11-24&amp;ServiceDateTo=2025-11-24&amp;DumpsterInvNr=13-L-314011", "13-L-314011")</f>
        <v>13-L-314011</v>
      </c>
      <c r="C37">
        <v>1.1000000000000001</v>
      </c>
      <c r="D37" t="s">
        <v>58</v>
      </c>
      <c r="E37" t="s">
        <v>11</v>
      </c>
      <c r="G37" t="s">
        <v>9</v>
      </c>
      <c r="H37" t="s">
        <v>14</v>
      </c>
    </row>
    <row r="38" spans="1:8" hidden="1" x14ac:dyDescent="0.25">
      <c r="A38" t="s">
        <v>61</v>
      </c>
      <c r="B38" s="1" t="str">
        <f>HYPERLINK("https://asmlis.vasa.lt/Dashboard/Served?ServiceDateFrom=2025-11-24&amp;ServiceDateTo=2025-11-24&amp;DumpsterInvNr=13-L-313366", "13-L-313366")</f>
        <v>13-L-313366</v>
      </c>
      <c r="C38">
        <v>1.1000000000000001</v>
      </c>
      <c r="D38" t="s">
        <v>58</v>
      </c>
      <c r="E38" t="s">
        <v>11</v>
      </c>
      <c r="F38" t="s">
        <v>13</v>
      </c>
      <c r="G38" t="s">
        <v>9</v>
      </c>
      <c r="H38" t="s">
        <v>14</v>
      </c>
    </row>
    <row r="39" spans="1:8" hidden="1" x14ac:dyDescent="0.25">
      <c r="A39" t="s">
        <v>62</v>
      </c>
      <c r="B39" s="1" t="str">
        <f>HYPERLINK("https://asmlis.vasa.lt/Dashboard/Served?ServiceDateFrom=2025-11-24&amp;ServiceDateTo=2025-11-24&amp;DumpsterInvNr=13-L-314009", "13-L-314009")</f>
        <v>13-L-314009</v>
      </c>
      <c r="C39">
        <v>1.1000000000000001</v>
      </c>
      <c r="D39" t="s">
        <v>58</v>
      </c>
      <c r="E39" t="s">
        <v>11</v>
      </c>
      <c r="F39" t="s">
        <v>13</v>
      </c>
      <c r="G39" t="s">
        <v>9</v>
      </c>
      <c r="H39" t="s">
        <v>14</v>
      </c>
    </row>
    <row r="40" spans="1:8" hidden="1" x14ac:dyDescent="0.25">
      <c r="A40" t="s">
        <v>63</v>
      </c>
      <c r="B40" s="1" t="str">
        <f>HYPERLINK("https://asmlis.vasa.lt/Dashboard/Served?ServiceDateFrom=2025-11-24&amp;ServiceDateTo=2025-11-24&amp;DumpsterInvNr=13-L-318643", "13-L-318643")</f>
        <v>13-L-318643</v>
      </c>
      <c r="C40">
        <v>1.1000000000000001</v>
      </c>
      <c r="D40" t="s">
        <v>64</v>
      </c>
      <c r="E40" t="s">
        <v>11</v>
      </c>
      <c r="G40" t="s">
        <v>9</v>
      </c>
      <c r="H40" t="s">
        <v>14</v>
      </c>
    </row>
    <row r="41" spans="1:8" hidden="1" x14ac:dyDescent="0.25">
      <c r="A41" t="s">
        <v>65</v>
      </c>
      <c r="B41" s="1" t="str">
        <f>HYPERLINK("https://asmlis.vasa.lt/Dashboard/Served?ServiceDateFrom=2025-11-24&amp;ServiceDateTo=2025-11-24&amp;DumpsterInvNr=13-L-314636", "13-L-314636")</f>
        <v>13-L-314636</v>
      </c>
      <c r="C41">
        <v>1.1000000000000001</v>
      </c>
      <c r="D41" t="s">
        <v>64</v>
      </c>
      <c r="E41" t="s">
        <v>11</v>
      </c>
      <c r="G41" t="s">
        <v>9</v>
      </c>
      <c r="H41" t="s">
        <v>14</v>
      </c>
    </row>
    <row r="42" spans="1:8" hidden="1" x14ac:dyDescent="0.25">
      <c r="A42" t="s">
        <v>66</v>
      </c>
      <c r="B42" s="1" t="str">
        <f>HYPERLINK("https://asmlis.vasa.lt/Dashboard/Served?ServiceDateFrom=2025-11-24&amp;ServiceDateTo=2025-11-24&amp;DumpsterInvNr=13-L-315865", "13-L-315865")</f>
        <v>13-L-315865</v>
      </c>
      <c r="C42">
        <v>1.1000000000000001</v>
      </c>
      <c r="D42" t="s">
        <v>64</v>
      </c>
      <c r="E42" t="s">
        <v>11</v>
      </c>
      <c r="G42" t="s">
        <v>9</v>
      </c>
      <c r="H42" t="s">
        <v>14</v>
      </c>
    </row>
    <row r="43" spans="1:8" hidden="1" x14ac:dyDescent="0.25">
      <c r="A43" t="s">
        <v>67</v>
      </c>
      <c r="B43" s="1" t="str">
        <f>HYPERLINK("https://asmlis.vasa.lt/Dashboard/Served?ServiceDateFrom=2025-11-24&amp;ServiceDateTo=2025-11-24&amp;DumpsterInvNr=13-L-318933", "13-L-318933")</f>
        <v>13-L-318933</v>
      </c>
      <c r="C43">
        <v>1.1000000000000001</v>
      </c>
      <c r="D43" t="s">
        <v>64</v>
      </c>
      <c r="E43" t="s">
        <v>11</v>
      </c>
      <c r="G43" t="s">
        <v>9</v>
      </c>
      <c r="H43" t="s">
        <v>14</v>
      </c>
    </row>
    <row r="44" spans="1:8" hidden="1" x14ac:dyDescent="0.25">
      <c r="A44" t="s">
        <v>68</v>
      </c>
      <c r="B44" s="1" t="str">
        <f>HYPERLINK("https://asmlis.vasa.lt/Dashboard/Served?ServiceDateFrom=2025-11-24&amp;ServiceDateTo=2025-11-24&amp;DumpsterInvNr=13-L-312545", "13-L-312545")</f>
        <v>13-L-312545</v>
      </c>
      <c r="C44">
        <v>1.1000000000000001</v>
      </c>
      <c r="D44" t="s">
        <v>64</v>
      </c>
      <c r="E44" t="s">
        <v>11</v>
      </c>
      <c r="G44" t="s">
        <v>9</v>
      </c>
      <c r="H44" t="s">
        <v>14</v>
      </c>
    </row>
    <row r="45" spans="1:8" hidden="1" x14ac:dyDescent="0.25">
      <c r="A45" t="s">
        <v>69</v>
      </c>
      <c r="B45" s="1" t="str">
        <f>HYPERLINK("https://asmlis.vasa.lt/Dashboard/Served?ServiceDateFrom=2025-11-24&amp;ServiceDateTo=2025-11-24&amp;DumpsterInvNr=13-L-312356", "13-L-312356")</f>
        <v>13-L-312356</v>
      </c>
      <c r="C45">
        <v>1.1000000000000001</v>
      </c>
      <c r="D45" t="s">
        <v>64</v>
      </c>
      <c r="E45" t="s">
        <v>11</v>
      </c>
      <c r="G45" t="s">
        <v>9</v>
      </c>
      <c r="H45" t="s">
        <v>14</v>
      </c>
    </row>
    <row r="46" spans="1:8" hidden="1" x14ac:dyDescent="0.25">
      <c r="A46" t="s">
        <v>70</v>
      </c>
      <c r="B46" s="1" t="str">
        <f>HYPERLINK("https://asmlis.vasa.lt/Dashboard/Served?ServiceDateFrom=2025-11-24&amp;ServiceDateTo=2025-11-24&amp;DumpsterInvNr=13-L-317189", "13-L-317189")</f>
        <v>13-L-317189</v>
      </c>
      <c r="C46">
        <v>1.1000000000000001</v>
      </c>
      <c r="D46" t="s">
        <v>64</v>
      </c>
      <c r="E46" t="s">
        <v>11</v>
      </c>
      <c r="G46" t="s">
        <v>9</v>
      </c>
      <c r="H46" t="s">
        <v>14</v>
      </c>
    </row>
    <row r="47" spans="1:8" hidden="1" x14ac:dyDescent="0.25">
      <c r="A47" t="s">
        <v>71</v>
      </c>
      <c r="B47" s="1" t="str">
        <f>HYPERLINK("https://asmlis.vasa.lt/Dashboard/Served?ServiceDateFrom=2025-11-24&amp;ServiceDateTo=2025-11-24&amp;DumpsterInvNr=13-L-315574", "13-L-315574")</f>
        <v>13-L-315574</v>
      </c>
      <c r="C47">
        <v>1.1000000000000001</v>
      </c>
      <c r="D47" t="s">
        <v>64</v>
      </c>
      <c r="E47" t="s">
        <v>11</v>
      </c>
      <c r="G47" t="s">
        <v>9</v>
      </c>
      <c r="H47" t="s">
        <v>14</v>
      </c>
    </row>
    <row r="48" spans="1:8" hidden="1" x14ac:dyDescent="0.25">
      <c r="A48" t="s">
        <v>72</v>
      </c>
      <c r="B48" s="1" t="str">
        <f>HYPERLINK("https://asmlis.vasa.lt/Dashboard/Served?ServiceDateFrom=2025-11-24&amp;ServiceDateTo=2025-11-24&amp;DumpsterInvNr=13-L-315827", "13-L-315827")</f>
        <v>13-L-315827</v>
      </c>
      <c r="C48">
        <v>1.1000000000000001</v>
      </c>
      <c r="D48" t="s">
        <v>64</v>
      </c>
      <c r="E48" t="s">
        <v>11</v>
      </c>
      <c r="F48" t="s">
        <v>13</v>
      </c>
      <c r="G48" t="s">
        <v>9</v>
      </c>
      <c r="H48" t="s">
        <v>14</v>
      </c>
    </row>
    <row r="49" spans="1:8" hidden="1" x14ac:dyDescent="0.25">
      <c r="A49" t="s">
        <v>73</v>
      </c>
      <c r="B49" s="1" t="str">
        <f>HYPERLINK("https://asmlis.vasa.lt/Dashboard/Served?ServiceDateFrom=2025-11-24&amp;ServiceDateTo=2025-11-24&amp;DumpsterInvNr=13-L-426366", "13-L-426366")</f>
        <v>13-L-426366</v>
      </c>
      <c r="C49">
        <v>1.1000000000000001</v>
      </c>
      <c r="D49" t="s">
        <v>75</v>
      </c>
      <c r="E49" t="s">
        <v>11</v>
      </c>
      <c r="G49" t="s">
        <v>74</v>
      </c>
      <c r="H49" t="s">
        <v>14</v>
      </c>
    </row>
    <row r="50" spans="1:8" hidden="1" x14ac:dyDescent="0.25">
      <c r="A50" t="s">
        <v>76</v>
      </c>
      <c r="B50" s="1" t="str">
        <f>HYPERLINK("https://asmlis.vasa.lt/Dashboard/Served?ServiceDateFrom=2025-11-24&amp;ServiceDateTo=2025-11-24&amp;DumpsterInvNr=13-L-315537", "13-L-315537")</f>
        <v>13-L-315537</v>
      </c>
      <c r="C50">
        <v>1.1000000000000001</v>
      </c>
      <c r="D50" t="s">
        <v>64</v>
      </c>
      <c r="E50" t="s">
        <v>11</v>
      </c>
      <c r="G50" t="s">
        <v>9</v>
      </c>
      <c r="H50" t="s">
        <v>14</v>
      </c>
    </row>
    <row r="51" spans="1:8" hidden="1" x14ac:dyDescent="0.25">
      <c r="A51" t="s">
        <v>77</v>
      </c>
      <c r="B51" s="1" t="str">
        <f>HYPERLINK("https://asmlis.vasa.lt/Dashboard/Served?ServiceDateFrom=2025-11-24&amp;ServiceDateTo=2025-11-24&amp;DumpsterInvNr=13-L-315572", "13-L-315572")</f>
        <v>13-L-315572</v>
      </c>
      <c r="C51">
        <v>1.1000000000000001</v>
      </c>
      <c r="D51" t="s">
        <v>64</v>
      </c>
      <c r="E51" t="s">
        <v>11</v>
      </c>
      <c r="G51" t="s">
        <v>9</v>
      </c>
      <c r="H51" t="s">
        <v>14</v>
      </c>
    </row>
    <row r="52" spans="1:8" hidden="1" x14ac:dyDescent="0.25">
      <c r="A52" t="s">
        <v>78</v>
      </c>
      <c r="B52" s="1" t="str">
        <f>HYPERLINK("https://asmlis.vasa.lt/Dashboard/Served?ServiceDateFrom=2025-11-24&amp;ServiceDateTo=2025-11-24&amp;DumpsterInvNr=13-L-318354", "13-L-318354")</f>
        <v>13-L-318354</v>
      </c>
      <c r="C52">
        <v>1.1000000000000001</v>
      </c>
      <c r="D52" t="s">
        <v>64</v>
      </c>
      <c r="E52" t="s">
        <v>11</v>
      </c>
      <c r="G52" t="s">
        <v>9</v>
      </c>
      <c r="H52" t="s">
        <v>14</v>
      </c>
    </row>
    <row r="53" spans="1:8" hidden="1" x14ac:dyDescent="0.25">
      <c r="A53" t="s">
        <v>79</v>
      </c>
      <c r="B53" s="1" t="str">
        <f>HYPERLINK("https://asmlis.vasa.lt/Dashboard/Served?ServiceDateFrom=2025-11-24&amp;ServiceDateTo=2025-11-24&amp;DumpsterInvNr=13-L-425988", "13-L-425988")</f>
        <v>13-L-425988</v>
      </c>
      <c r="C53">
        <v>1.1000000000000001</v>
      </c>
      <c r="D53" t="s">
        <v>75</v>
      </c>
      <c r="E53" t="s">
        <v>11</v>
      </c>
      <c r="F53" t="s">
        <v>13</v>
      </c>
      <c r="G53" t="s">
        <v>74</v>
      </c>
      <c r="H53" t="s">
        <v>14</v>
      </c>
    </row>
    <row r="54" spans="1:8" hidden="1" x14ac:dyDescent="0.25">
      <c r="A54" t="s">
        <v>80</v>
      </c>
      <c r="B54" s="1" t="str">
        <f>HYPERLINK("https://asmlis.vasa.lt/Dashboard/Served?ServiceDateFrom=2025-11-24&amp;ServiceDateTo=2025-11-24&amp;DumpsterInvNr=13-L-424947", "13-L-424947")</f>
        <v>13-L-424947</v>
      </c>
      <c r="C54">
        <v>1.1000000000000001</v>
      </c>
      <c r="D54" t="s">
        <v>75</v>
      </c>
      <c r="E54" t="s">
        <v>11</v>
      </c>
      <c r="F54" t="s">
        <v>13</v>
      </c>
      <c r="G54" t="s">
        <v>74</v>
      </c>
      <c r="H54" t="s">
        <v>14</v>
      </c>
    </row>
    <row r="55" spans="1:8" hidden="1" x14ac:dyDescent="0.25">
      <c r="A55" t="s">
        <v>81</v>
      </c>
      <c r="B55" s="1" t="str">
        <f>HYPERLINK("https://asmlis.vasa.lt/Dashboard/Served?ServiceDateFrom=2025-11-24&amp;ServiceDateTo=2025-11-24&amp;DumpsterInvNr=13-L-310172", "13-L-310172")</f>
        <v>13-L-310172</v>
      </c>
      <c r="C55">
        <v>1.1000000000000001</v>
      </c>
      <c r="D55" t="s">
        <v>64</v>
      </c>
      <c r="E55" t="s">
        <v>11</v>
      </c>
      <c r="F55" t="s">
        <v>13</v>
      </c>
      <c r="G55" t="s">
        <v>9</v>
      </c>
      <c r="H55" t="s">
        <v>14</v>
      </c>
    </row>
    <row r="56" spans="1:8" hidden="1" x14ac:dyDescent="0.25">
      <c r="A56" t="s">
        <v>82</v>
      </c>
      <c r="B56" s="1" t="str">
        <f>HYPERLINK("https://asmlis.vasa.lt/Dashboard/Served?ServiceDateFrom=2025-11-24&amp;ServiceDateTo=2025-11-24&amp;DumpsterInvNr=13-L-315863", "13-L-315863")</f>
        <v>13-L-315863</v>
      </c>
      <c r="C56">
        <v>1.1000000000000001</v>
      </c>
      <c r="D56" t="s">
        <v>64</v>
      </c>
      <c r="E56" t="s">
        <v>11</v>
      </c>
      <c r="F56" t="s">
        <v>13</v>
      </c>
      <c r="G56" t="s">
        <v>9</v>
      </c>
      <c r="H56" t="s">
        <v>14</v>
      </c>
    </row>
    <row r="57" spans="1:8" hidden="1" x14ac:dyDescent="0.25">
      <c r="A57" t="s">
        <v>83</v>
      </c>
      <c r="B57" s="1" t="str">
        <f>HYPERLINK("https://asmlis.vasa.lt/Dashboard/Served?ServiceDateFrom=2025-11-24&amp;ServiceDateTo=2025-11-24&amp;DumpsterInvNr=13-L-313406", "13-L-313406")</f>
        <v>13-L-313406</v>
      </c>
      <c r="C57">
        <v>1.1000000000000001</v>
      </c>
      <c r="D57" t="s">
        <v>64</v>
      </c>
      <c r="E57" t="s">
        <v>11</v>
      </c>
      <c r="F57" t="s">
        <v>13</v>
      </c>
      <c r="G57" t="s">
        <v>9</v>
      </c>
      <c r="H57" t="s">
        <v>14</v>
      </c>
    </row>
    <row r="58" spans="1:8" hidden="1" x14ac:dyDescent="0.25">
      <c r="A58" t="s">
        <v>84</v>
      </c>
      <c r="B58" s="1" t="str">
        <f>HYPERLINK("https://asmlis.vasa.lt/Dashboard/Served?ServiceDateFrom=2025-11-24&amp;ServiceDateTo=2025-11-24&amp;DumpsterInvNr=13-L-313407", "13-L-313407")</f>
        <v>13-L-313407</v>
      </c>
      <c r="C58">
        <v>1.1000000000000001</v>
      </c>
      <c r="D58" t="s">
        <v>64</v>
      </c>
      <c r="E58" t="s">
        <v>11</v>
      </c>
      <c r="F58" t="s">
        <v>13</v>
      </c>
      <c r="G58" t="s">
        <v>9</v>
      </c>
      <c r="H58" t="s">
        <v>14</v>
      </c>
    </row>
    <row r="59" spans="1:8" hidden="1" x14ac:dyDescent="0.25">
      <c r="A59" t="s">
        <v>85</v>
      </c>
      <c r="B59" s="1" t="str">
        <f>HYPERLINK("https://asmlis.vasa.lt/Dashboard/Served?ServiceDateFrom=2025-11-24&amp;ServiceDateTo=2025-11-24&amp;DumpsterInvNr=13-L-317626", "13-L-317626")</f>
        <v>13-L-317626</v>
      </c>
      <c r="C59">
        <v>1.1000000000000001</v>
      </c>
      <c r="D59" t="s">
        <v>64</v>
      </c>
      <c r="E59" t="s">
        <v>11</v>
      </c>
      <c r="F59" t="s">
        <v>13</v>
      </c>
      <c r="G59" t="s">
        <v>9</v>
      </c>
      <c r="H59" t="s">
        <v>14</v>
      </c>
    </row>
    <row r="60" spans="1:8" hidden="1" x14ac:dyDescent="0.25">
      <c r="A60" t="s">
        <v>86</v>
      </c>
      <c r="B60" s="1" t="str">
        <f>HYPERLINK("https://asmlis.vasa.lt/Dashboard/Served?ServiceDateFrom=2025-11-24&amp;ServiceDateTo=2025-11-24&amp;DumpsterInvNr=13-L-315573", "13-L-315573")</f>
        <v>13-L-315573</v>
      </c>
      <c r="C60">
        <v>1.1000000000000001</v>
      </c>
      <c r="D60" t="s">
        <v>64</v>
      </c>
      <c r="E60" t="s">
        <v>11</v>
      </c>
      <c r="F60" t="s">
        <v>13</v>
      </c>
      <c r="G60" t="s">
        <v>9</v>
      </c>
      <c r="H60" t="s">
        <v>14</v>
      </c>
    </row>
    <row r="61" spans="1:8" hidden="1" x14ac:dyDescent="0.25">
      <c r="A61" t="s">
        <v>87</v>
      </c>
      <c r="B61" s="1" t="str">
        <f>HYPERLINK("https://asmlis.vasa.lt/Dashboard/Served?ServiceDateFrom=2025-11-24&amp;ServiceDateTo=2025-11-24&amp;DumpsterInvNr=13-L-315864", "13-L-315864")</f>
        <v>13-L-315864</v>
      </c>
      <c r="C61">
        <v>1.1000000000000001</v>
      </c>
      <c r="D61" t="s">
        <v>64</v>
      </c>
      <c r="E61" t="s">
        <v>11</v>
      </c>
      <c r="F61" t="s">
        <v>13</v>
      </c>
      <c r="G61" t="s">
        <v>9</v>
      </c>
      <c r="H61" t="s">
        <v>14</v>
      </c>
    </row>
    <row r="62" spans="1:8" hidden="1" x14ac:dyDescent="0.25">
      <c r="A62" t="s">
        <v>88</v>
      </c>
      <c r="B62" s="1" t="str">
        <f>HYPERLINK("https://asmlis.vasa.lt/Dashboard/Served?ServiceDateFrom=2025-11-24&amp;ServiceDateTo=2025-11-24&amp;DumpsterInvNr=13-L-425338", "13-L-425338")</f>
        <v>13-L-425338</v>
      </c>
      <c r="C62">
        <v>1.1000000000000001</v>
      </c>
      <c r="D62" t="s">
        <v>89</v>
      </c>
      <c r="E62" t="s">
        <v>11</v>
      </c>
      <c r="G62" t="s">
        <v>74</v>
      </c>
      <c r="H62" t="s">
        <v>14</v>
      </c>
    </row>
    <row r="63" spans="1:8" hidden="1" x14ac:dyDescent="0.25">
      <c r="A63" t="s">
        <v>90</v>
      </c>
      <c r="B63" s="1" t="str">
        <f>HYPERLINK("https://asmlis.vasa.lt/Dashboard/Served?ServiceDateFrom=2025-11-24&amp;ServiceDateTo=2025-11-24&amp;DumpsterInvNr=13-L-425339", "13-L-425339")</f>
        <v>13-L-425339</v>
      </c>
      <c r="C63">
        <v>1.1000000000000001</v>
      </c>
      <c r="D63" t="s">
        <v>89</v>
      </c>
      <c r="E63" t="s">
        <v>11</v>
      </c>
      <c r="G63" t="s">
        <v>74</v>
      </c>
      <c r="H63" t="s">
        <v>14</v>
      </c>
    </row>
    <row r="64" spans="1:8" hidden="1" x14ac:dyDescent="0.25">
      <c r="A64" t="s">
        <v>91</v>
      </c>
      <c r="B64" s="1" t="str">
        <f>HYPERLINK("https://asmlis.vasa.lt/Dashboard/Served?ServiceDateFrom=2025-11-24&amp;ServiceDateTo=2025-11-24&amp;DumpsterInvNr=13-L-425337", "13-L-425337")</f>
        <v>13-L-425337</v>
      </c>
      <c r="C64">
        <v>1.1000000000000001</v>
      </c>
      <c r="D64" t="s">
        <v>89</v>
      </c>
      <c r="E64" t="s">
        <v>11</v>
      </c>
      <c r="G64" t="s">
        <v>74</v>
      </c>
      <c r="H64" t="s">
        <v>14</v>
      </c>
    </row>
    <row r="65" spans="1:8" hidden="1" x14ac:dyDescent="0.25">
      <c r="A65" t="s">
        <v>92</v>
      </c>
      <c r="B65" s="1" t="str">
        <f>HYPERLINK("https://asmlis.vasa.lt/Dashboard/Served?ServiceDateFrom=2025-11-24&amp;ServiceDateTo=2025-11-24&amp;DumpsterInvNr=13-L-317658", "13-L-317658")</f>
        <v>13-L-317658</v>
      </c>
      <c r="C65">
        <v>1.1000000000000001</v>
      </c>
      <c r="D65" t="s">
        <v>93</v>
      </c>
      <c r="E65" t="s">
        <v>11</v>
      </c>
      <c r="G65" t="s">
        <v>9</v>
      </c>
      <c r="H65" t="s">
        <v>14</v>
      </c>
    </row>
    <row r="66" spans="1:8" hidden="1" x14ac:dyDescent="0.25">
      <c r="A66" t="s">
        <v>94</v>
      </c>
      <c r="B66" s="1" t="str">
        <f>HYPERLINK("https://asmlis.vasa.lt/Dashboard/Served?ServiceDateFrom=2025-11-24&amp;ServiceDateTo=2025-11-24&amp;DumpsterInvNr=13-L-426107", "13-L-426107")</f>
        <v>13-L-426107</v>
      </c>
      <c r="C66">
        <v>1.1000000000000001</v>
      </c>
      <c r="D66" t="s">
        <v>95</v>
      </c>
      <c r="E66" t="s">
        <v>11</v>
      </c>
      <c r="G66" t="s">
        <v>74</v>
      </c>
      <c r="H66" t="s">
        <v>14</v>
      </c>
    </row>
    <row r="67" spans="1:8" hidden="1" x14ac:dyDescent="0.25">
      <c r="A67" t="s">
        <v>96</v>
      </c>
      <c r="B67" s="1" t="str">
        <f>HYPERLINK("https://asmlis.vasa.lt/Dashboard/Served?ServiceDateFrom=2025-11-24&amp;ServiceDateTo=2025-11-24&amp;DumpsterInvNr=13-L-318917", "13-L-318917")</f>
        <v>13-L-318917</v>
      </c>
      <c r="C67">
        <v>1.1000000000000001</v>
      </c>
      <c r="D67" t="s">
        <v>97</v>
      </c>
      <c r="E67" t="s">
        <v>11</v>
      </c>
      <c r="G67" t="s">
        <v>9</v>
      </c>
      <c r="H67" t="s">
        <v>14</v>
      </c>
    </row>
    <row r="68" spans="1:8" hidden="1" x14ac:dyDescent="0.25">
      <c r="A68" t="s">
        <v>98</v>
      </c>
      <c r="B68" s="1" t="str">
        <f>HYPERLINK("https://asmlis.vasa.lt/Dashboard/Served?ServiceDateFrom=2025-11-24&amp;ServiceDateTo=2025-11-24&amp;DumpsterInvNr=13-L-314489", "13-L-314489")</f>
        <v>13-L-314489</v>
      </c>
      <c r="C68">
        <v>0.77</v>
      </c>
      <c r="D68" t="s">
        <v>93</v>
      </c>
      <c r="E68" t="s">
        <v>11</v>
      </c>
      <c r="F68" t="s">
        <v>13</v>
      </c>
      <c r="G68" t="s">
        <v>9</v>
      </c>
      <c r="H68" t="s">
        <v>14</v>
      </c>
    </row>
    <row r="69" spans="1:8" hidden="1" x14ac:dyDescent="0.25">
      <c r="A69" t="s">
        <v>99</v>
      </c>
      <c r="B69" s="1" t="str">
        <f>HYPERLINK("https://asmlis.vasa.lt/Dashboard/Served?ServiceDateFrom=2025-11-24&amp;ServiceDateTo=2025-11-24&amp;DumpsterInvNr=13-L-312570", "13-L-312570")</f>
        <v>13-L-312570</v>
      </c>
      <c r="C69">
        <v>0.77</v>
      </c>
      <c r="D69" t="s">
        <v>93</v>
      </c>
      <c r="E69" t="s">
        <v>11</v>
      </c>
      <c r="F69" t="s">
        <v>13</v>
      </c>
      <c r="G69" t="s">
        <v>9</v>
      </c>
      <c r="H69" t="s">
        <v>14</v>
      </c>
    </row>
    <row r="70" spans="1:8" hidden="1" x14ac:dyDescent="0.25">
      <c r="A70" t="s">
        <v>100</v>
      </c>
      <c r="B70" s="1" t="str">
        <f>HYPERLINK("https://asmlis.vasa.lt/Dashboard/Served?ServiceDateFrom=2025-11-24&amp;ServiceDateTo=2025-11-24&amp;DumpsterInvNr=13-L-311669", "13-L-311669")</f>
        <v>13-L-311669</v>
      </c>
      <c r="C70">
        <v>1.1000000000000001</v>
      </c>
      <c r="D70" t="s">
        <v>97</v>
      </c>
      <c r="E70" t="s">
        <v>11</v>
      </c>
      <c r="F70" t="s">
        <v>13</v>
      </c>
      <c r="G70" t="s">
        <v>9</v>
      </c>
      <c r="H70" t="s">
        <v>14</v>
      </c>
    </row>
    <row r="71" spans="1:8" hidden="1" x14ac:dyDescent="0.25">
      <c r="A71" t="s">
        <v>101</v>
      </c>
      <c r="B71" s="1" t="str">
        <f>HYPERLINK("https://asmlis.vasa.lt/Dashboard/Served?ServiceDateFrom=2025-11-24&amp;ServiceDateTo=2025-11-24&amp;DumpsterInvNr=13-L-305162", "13-L-305162")</f>
        <v>13-L-305162</v>
      </c>
      <c r="C71">
        <v>1.1000000000000001</v>
      </c>
      <c r="D71" t="s">
        <v>97</v>
      </c>
      <c r="E71" t="s">
        <v>11</v>
      </c>
      <c r="F71" t="s">
        <v>13</v>
      </c>
      <c r="G71" t="s">
        <v>9</v>
      </c>
      <c r="H71" t="s">
        <v>14</v>
      </c>
    </row>
    <row r="72" spans="1:8" hidden="1" x14ac:dyDescent="0.25">
      <c r="A72" t="s">
        <v>102</v>
      </c>
      <c r="B72" s="1" t="str">
        <f>HYPERLINK("https://asmlis.vasa.lt/Dashboard/Served?ServiceDateFrom=2025-11-24&amp;ServiceDateTo=2025-11-24&amp;DumpsterInvNr=13-L-426888", "13-L-426888")</f>
        <v>13-L-426888</v>
      </c>
      <c r="C72">
        <v>1.1000000000000001</v>
      </c>
      <c r="D72" t="s">
        <v>103</v>
      </c>
      <c r="E72" t="s">
        <v>11</v>
      </c>
      <c r="G72" t="s">
        <v>74</v>
      </c>
      <c r="H72" t="s">
        <v>14</v>
      </c>
    </row>
    <row r="73" spans="1:8" hidden="1" x14ac:dyDescent="0.25">
      <c r="A73" t="s">
        <v>104</v>
      </c>
      <c r="B73" s="1" t="str">
        <f>HYPERLINK("https://asmlis.vasa.lt/Dashboard/Served?ServiceDateFrom=2025-11-24&amp;ServiceDateTo=2025-11-24&amp;DumpsterInvNr=13-L-315517", "13-L-315517")</f>
        <v>13-L-315517</v>
      </c>
      <c r="C73">
        <v>1.1000000000000001</v>
      </c>
      <c r="D73" t="s">
        <v>105</v>
      </c>
      <c r="E73" t="s">
        <v>11</v>
      </c>
      <c r="G73" t="s">
        <v>9</v>
      </c>
      <c r="H73" t="s">
        <v>14</v>
      </c>
    </row>
    <row r="74" spans="1:8" hidden="1" x14ac:dyDescent="0.25">
      <c r="A74" t="s">
        <v>106</v>
      </c>
      <c r="B74" s="1" t="str">
        <f>HYPERLINK("https://asmlis.vasa.lt/Dashboard/Served?ServiceDateFrom=2025-11-24&amp;ServiceDateTo=2025-11-24&amp;DumpsterInvNr=13-L-402876", "13-L-402876")</f>
        <v>13-L-402876</v>
      </c>
      <c r="C74">
        <v>1.1000000000000001</v>
      </c>
      <c r="D74" t="s">
        <v>107</v>
      </c>
      <c r="E74" t="s">
        <v>11</v>
      </c>
      <c r="G74" t="s">
        <v>74</v>
      </c>
      <c r="H74" t="s">
        <v>14</v>
      </c>
    </row>
    <row r="75" spans="1:8" hidden="1" x14ac:dyDescent="0.25">
      <c r="A75" t="s">
        <v>108</v>
      </c>
      <c r="B75" s="1" t="str">
        <f>HYPERLINK("https://asmlis.vasa.lt/Dashboard/Served?ServiceDateFrom=2025-11-24&amp;ServiceDateTo=2025-11-24&amp;DumpsterInvNr=13-L-402880", "13-L-402880")</f>
        <v>13-L-402880</v>
      </c>
      <c r="C75">
        <v>1.1000000000000001</v>
      </c>
      <c r="D75" t="s">
        <v>107</v>
      </c>
      <c r="E75" t="s">
        <v>11</v>
      </c>
      <c r="G75" t="s">
        <v>74</v>
      </c>
      <c r="H75" t="s">
        <v>14</v>
      </c>
    </row>
    <row r="76" spans="1:8" hidden="1" x14ac:dyDescent="0.25">
      <c r="A76" t="s">
        <v>109</v>
      </c>
      <c r="B76" s="1" t="str">
        <f>HYPERLINK("https://asmlis.vasa.lt/Dashboard/Served?ServiceDateFrom=2025-11-24&amp;ServiceDateTo=2025-11-24&amp;DumpsterInvNr=13-L-402878", "13-L-402878")</f>
        <v>13-L-402878</v>
      </c>
      <c r="C76">
        <v>1.1000000000000001</v>
      </c>
      <c r="D76" t="s">
        <v>107</v>
      </c>
      <c r="E76" t="s">
        <v>11</v>
      </c>
      <c r="G76" t="s">
        <v>74</v>
      </c>
      <c r="H76" t="s">
        <v>14</v>
      </c>
    </row>
    <row r="77" spans="1:8" hidden="1" x14ac:dyDescent="0.25">
      <c r="A77" t="s">
        <v>110</v>
      </c>
      <c r="B77" s="1" t="str">
        <f>HYPERLINK("https://asmlis.vasa.lt/Dashboard/Served?ServiceDateFrom=2025-11-24&amp;ServiceDateTo=2025-11-24&amp;DumpsterInvNr=13-L-427255", "13-L-427255")</f>
        <v>13-L-427255</v>
      </c>
      <c r="C77">
        <v>1.1000000000000001</v>
      </c>
      <c r="D77" t="s">
        <v>107</v>
      </c>
      <c r="E77" t="s">
        <v>11</v>
      </c>
      <c r="G77" t="s">
        <v>74</v>
      </c>
      <c r="H77" t="s">
        <v>14</v>
      </c>
    </row>
    <row r="78" spans="1:8" hidden="1" x14ac:dyDescent="0.25">
      <c r="A78" t="s">
        <v>111</v>
      </c>
      <c r="B78" s="1" t="str">
        <f>HYPERLINK("https://asmlis.vasa.lt/Dashboard/Served?ServiceDateFrom=2025-11-24&amp;ServiceDateTo=2025-11-24&amp;DumpsterInvNr=13-L-424687", "13-L-424687")</f>
        <v>13-L-424687</v>
      </c>
      <c r="C78">
        <v>1.1000000000000001</v>
      </c>
      <c r="D78" t="s">
        <v>107</v>
      </c>
      <c r="E78" t="s">
        <v>11</v>
      </c>
      <c r="G78" t="s">
        <v>74</v>
      </c>
      <c r="H78" t="s">
        <v>14</v>
      </c>
    </row>
    <row r="79" spans="1:8" hidden="1" x14ac:dyDescent="0.25">
      <c r="A79" t="s">
        <v>112</v>
      </c>
      <c r="B79" s="1" t="str">
        <f>HYPERLINK("https://asmlis.vasa.lt/Dashboard/Served?ServiceDateFrom=2025-11-24&amp;ServiceDateTo=2025-11-24&amp;DumpsterInvNr=13-L-390047", "13-L-390047")</f>
        <v>13-L-390047</v>
      </c>
      <c r="C79">
        <v>1.1000000000000001</v>
      </c>
      <c r="D79" t="s">
        <v>113</v>
      </c>
      <c r="E79" t="s">
        <v>11</v>
      </c>
      <c r="G79" t="s">
        <v>9</v>
      </c>
      <c r="H79" t="s">
        <v>14</v>
      </c>
    </row>
    <row r="80" spans="1:8" hidden="1" x14ac:dyDescent="0.25">
      <c r="A80" t="s">
        <v>114</v>
      </c>
      <c r="B80" s="1" t="str">
        <f>HYPERLINK("https://asmlis.vasa.lt/Dashboard/Served?ServiceDateFrom=2025-11-24&amp;ServiceDateTo=2025-11-24&amp;DumpsterInvNr=13-L-424379", "13-L-424379")</f>
        <v>13-L-424379</v>
      </c>
      <c r="C80">
        <v>1.1000000000000001</v>
      </c>
      <c r="D80" t="s">
        <v>115</v>
      </c>
      <c r="E80" t="s">
        <v>11</v>
      </c>
      <c r="F80" t="s">
        <v>13</v>
      </c>
      <c r="G80" t="s">
        <v>74</v>
      </c>
      <c r="H80" t="s">
        <v>14</v>
      </c>
    </row>
    <row r="81" spans="1:8" hidden="1" x14ac:dyDescent="0.25">
      <c r="A81" t="s">
        <v>116</v>
      </c>
      <c r="B81" s="1" t="str">
        <f>HYPERLINK("https://asmlis.vasa.lt/Dashboard/Served?ServiceDateFrom=2025-11-24&amp;ServiceDateTo=2025-11-24&amp;DumpsterInvNr=13-L-318649", "13-L-318649")</f>
        <v>13-L-318649</v>
      </c>
      <c r="C81">
        <v>1.1000000000000001</v>
      </c>
      <c r="D81" t="s">
        <v>117</v>
      </c>
      <c r="E81" t="s">
        <v>11</v>
      </c>
      <c r="G81" t="s">
        <v>9</v>
      </c>
      <c r="H81" t="s">
        <v>14</v>
      </c>
    </row>
    <row r="82" spans="1:8" hidden="1" x14ac:dyDescent="0.25">
      <c r="A82" t="s">
        <v>118</v>
      </c>
      <c r="B82" s="1" t="str">
        <f>HYPERLINK("https://asmlis.vasa.lt/Dashboard/Served?ServiceDateFrom=2025-11-24&amp;ServiceDateTo=2025-11-24&amp;DumpsterInvNr=13-L-425085", "13-L-425085")</f>
        <v>13-L-425085</v>
      </c>
      <c r="C82">
        <v>1.1000000000000001</v>
      </c>
      <c r="D82" t="s">
        <v>119</v>
      </c>
      <c r="E82" t="s">
        <v>11</v>
      </c>
      <c r="G82" t="s">
        <v>74</v>
      </c>
      <c r="H82" t="s">
        <v>14</v>
      </c>
    </row>
    <row r="83" spans="1:8" hidden="1" x14ac:dyDescent="0.25">
      <c r="A83" t="s">
        <v>120</v>
      </c>
      <c r="B83" s="1" t="str">
        <f>HYPERLINK("https://asmlis.vasa.lt/Dashboard/Served?ServiceDateFrom=2025-11-24&amp;ServiceDateTo=2025-11-24&amp;DumpsterInvNr=13-L-390046", "13-L-390046")</f>
        <v>13-L-390046</v>
      </c>
      <c r="C83">
        <v>1.1000000000000001</v>
      </c>
      <c r="D83" t="s">
        <v>113</v>
      </c>
      <c r="E83" t="s">
        <v>11</v>
      </c>
      <c r="F83" t="s">
        <v>13</v>
      </c>
      <c r="G83" t="s">
        <v>9</v>
      </c>
      <c r="H83" t="s">
        <v>14</v>
      </c>
    </row>
    <row r="84" spans="1:8" hidden="1" x14ac:dyDescent="0.25">
      <c r="A84" t="s">
        <v>121</v>
      </c>
      <c r="B84" s="1" t="str">
        <f>HYPERLINK("https://asmlis.vasa.lt/Dashboard/Served?ServiceDateFrom=2025-11-24&amp;ServiceDateTo=2025-11-24&amp;DumpsterInvNr=13-L-425960", "13-L-425960")</f>
        <v>13-L-425960</v>
      </c>
      <c r="C84">
        <v>1.1000000000000001</v>
      </c>
      <c r="D84" t="s">
        <v>119</v>
      </c>
      <c r="E84" t="s">
        <v>11</v>
      </c>
      <c r="G84" t="s">
        <v>74</v>
      </c>
      <c r="H84" t="s">
        <v>14</v>
      </c>
    </row>
    <row r="85" spans="1:8" hidden="1" x14ac:dyDescent="0.25">
      <c r="A85" t="s">
        <v>122</v>
      </c>
      <c r="B85" s="1" t="str">
        <f>HYPERLINK("https://asmlis.vasa.lt/Dashboard/Served?ServiceDateFrom=2025-11-24&amp;ServiceDateTo=2025-11-24&amp;DumpsterInvNr=13-L-311592", "13-L-311592")</f>
        <v>13-L-311592</v>
      </c>
      <c r="C85">
        <v>0.66</v>
      </c>
      <c r="D85" t="s">
        <v>123</v>
      </c>
      <c r="E85" t="s">
        <v>11</v>
      </c>
      <c r="G85" t="s">
        <v>9</v>
      </c>
      <c r="H85" t="s">
        <v>14</v>
      </c>
    </row>
    <row r="86" spans="1:8" hidden="1" x14ac:dyDescent="0.25">
      <c r="A86" t="s">
        <v>124</v>
      </c>
      <c r="B86" s="1" t="str">
        <f>HYPERLINK("https://asmlis.vasa.lt/Dashboard/Served?ServiceDateFrom=2025-11-24&amp;ServiceDateTo=2025-11-24&amp;DumpsterInvNr=13-L-423175", "13-L-423175")</f>
        <v>13-L-423175</v>
      </c>
      <c r="C86">
        <v>1.1000000000000001</v>
      </c>
      <c r="D86" t="s">
        <v>125</v>
      </c>
      <c r="E86" t="s">
        <v>11</v>
      </c>
      <c r="G86" t="s">
        <v>74</v>
      </c>
      <c r="H86" t="s">
        <v>14</v>
      </c>
    </row>
    <row r="87" spans="1:8" hidden="1" x14ac:dyDescent="0.25">
      <c r="A87" t="s">
        <v>126</v>
      </c>
      <c r="B87" s="1" t="str">
        <f>HYPERLINK("https://asmlis.vasa.lt/Dashboard/Served?ServiceDateFrom=2025-11-24&amp;ServiceDateTo=2025-11-24&amp;DumpsterInvNr=13-L-424320", "13-L-424320")</f>
        <v>13-L-424320</v>
      </c>
      <c r="C87">
        <v>1.1000000000000001</v>
      </c>
      <c r="D87" t="s">
        <v>125</v>
      </c>
      <c r="E87" t="s">
        <v>11</v>
      </c>
      <c r="G87" t="s">
        <v>74</v>
      </c>
      <c r="H87" t="s">
        <v>14</v>
      </c>
    </row>
    <row r="88" spans="1:8" hidden="1" x14ac:dyDescent="0.25">
      <c r="A88" t="s">
        <v>127</v>
      </c>
      <c r="B88" s="1" t="str">
        <f>HYPERLINK("https://asmlis.vasa.lt/Dashboard/Served?ServiceDateFrom=2025-11-24&amp;ServiceDateTo=2025-11-24&amp;DumpsterInvNr=13-L-427261", "13-L-427261")</f>
        <v>13-L-427261</v>
      </c>
      <c r="C88">
        <v>1.1000000000000001</v>
      </c>
      <c r="D88" t="s">
        <v>125</v>
      </c>
      <c r="E88" t="s">
        <v>11</v>
      </c>
      <c r="G88" t="s">
        <v>74</v>
      </c>
      <c r="H88" t="s">
        <v>14</v>
      </c>
    </row>
    <row r="89" spans="1:8" hidden="1" x14ac:dyDescent="0.25">
      <c r="A89" t="s">
        <v>128</v>
      </c>
      <c r="B89" s="1" t="str">
        <f>HYPERLINK("https://asmlis.vasa.lt/Dashboard/Served?ServiceDateFrom=2025-11-24&amp;ServiceDateTo=2025-11-24&amp;DumpsterInvNr=13-L-314438", "13-L-314438")</f>
        <v>13-L-314438</v>
      </c>
      <c r="C89">
        <v>1.1000000000000001</v>
      </c>
      <c r="D89" t="s">
        <v>129</v>
      </c>
      <c r="E89" t="s">
        <v>11</v>
      </c>
      <c r="G89" t="s">
        <v>9</v>
      </c>
      <c r="H89" t="s">
        <v>14</v>
      </c>
    </row>
    <row r="90" spans="1:8" hidden="1" x14ac:dyDescent="0.25">
      <c r="A90" t="s">
        <v>130</v>
      </c>
      <c r="B90" s="1" t="str">
        <f>HYPERLINK("https://asmlis.vasa.lt/Dashboard/Served?ServiceDateFrom=2025-11-24&amp;ServiceDateTo=2025-11-24&amp;DumpsterInvNr=13-L-318894", "13-L-318894")</f>
        <v>13-L-318894</v>
      </c>
      <c r="C90">
        <v>1.1000000000000001</v>
      </c>
      <c r="D90" t="s">
        <v>129</v>
      </c>
      <c r="E90" t="s">
        <v>11</v>
      </c>
      <c r="G90" t="s">
        <v>9</v>
      </c>
      <c r="H90" t="s">
        <v>14</v>
      </c>
    </row>
    <row r="91" spans="1:8" hidden="1" x14ac:dyDescent="0.25">
      <c r="A91" t="s">
        <v>131</v>
      </c>
      <c r="B91" s="1" t="str">
        <f>HYPERLINK("https://asmlis.vasa.lt/Dashboard/Served?ServiceDateFrom=2025-11-24&amp;ServiceDateTo=2025-11-24&amp;DumpsterInvNr=13-L-426558", "13-L-426558")</f>
        <v>13-L-426558</v>
      </c>
      <c r="C91">
        <v>0.77</v>
      </c>
      <c r="D91" t="s">
        <v>132</v>
      </c>
      <c r="E91" t="s">
        <v>11</v>
      </c>
      <c r="G91" t="s">
        <v>74</v>
      </c>
      <c r="H91" t="s">
        <v>14</v>
      </c>
    </row>
    <row r="92" spans="1:8" hidden="1" x14ac:dyDescent="0.25">
      <c r="A92" t="s">
        <v>133</v>
      </c>
      <c r="B92" s="1" t="str">
        <f>HYPERLINK("https://asmlis.vasa.lt/Dashboard/Served?ServiceDateFrom=2025-11-24&amp;ServiceDateTo=2025-11-24&amp;DumpsterInvNr=13-L-422778", "13-L-422778")</f>
        <v>13-L-422778</v>
      </c>
      <c r="C92">
        <v>1.1000000000000001</v>
      </c>
      <c r="D92" t="s">
        <v>134</v>
      </c>
      <c r="E92" t="s">
        <v>11</v>
      </c>
      <c r="G92" t="s">
        <v>74</v>
      </c>
      <c r="H92" t="s">
        <v>14</v>
      </c>
    </row>
    <row r="93" spans="1:8" hidden="1" x14ac:dyDescent="0.25">
      <c r="A93" t="s">
        <v>135</v>
      </c>
      <c r="B93" s="1" t="str">
        <f>HYPERLINK("https://asmlis.vasa.lt/Dashboard/Served?ServiceDateFrom=2025-11-24&amp;ServiceDateTo=2025-11-24&amp;DumpsterInvNr=13-L-421258", "13-L-421258")</f>
        <v>13-L-421258</v>
      </c>
      <c r="C93">
        <v>1.1000000000000001</v>
      </c>
      <c r="D93" t="s">
        <v>134</v>
      </c>
      <c r="E93" t="s">
        <v>11</v>
      </c>
      <c r="G93" t="s">
        <v>74</v>
      </c>
      <c r="H93" t="s">
        <v>14</v>
      </c>
    </row>
    <row r="94" spans="1:8" hidden="1" x14ac:dyDescent="0.25">
      <c r="A94" t="s">
        <v>136</v>
      </c>
      <c r="B94" s="1" t="str">
        <f>HYPERLINK("https://asmlis.vasa.lt/Dashboard/Served?ServiceDateFrom=2025-11-24&amp;ServiceDateTo=2025-11-24&amp;DumpsterInvNr=13-L-422153", "13-L-422153")</f>
        <v>13-L-422153</v>
      </c>
      <c r="C94">
        <v>1.1000000000000001</v>
      </c>
      <c r="D94" t="s">
        <v>137</v>
      </c>
      <c r="E94" t="s">
        <v>11</v>
      </c>
      <c r="G94" t="s">
        <v>74</v>
      </c>
      <c r="H94" t="s">
        <v>14</v>
      </c>
    </row>
    <row r="95" spans="1:8" hidden="1" x14ac:dyDescent="0.25">
      <c r="A95" t="s">
        <v>138</v>
      </c>
      <c r="B95" s="1" t="str">
        <f>HYPERLINK("https://asmlis.vasa.lt/Dashboard/Served?ServiceDateFrom=2025-11-24&amp;ServiceDateTo=2025-11-24&amp;DumpsterInvNr=13-L-422733", "13-L-422733")</f>
        <v>13-L-422733</v>
      </c>
      <c r="C95">
        <v>1.1000000000000001</v>
      </c>
      <c r="D95" t="s">
        <v>137</v>
      </c>
      <c r="E95" t="s">
        <v>11</v>
      </c>
      <c r="G95" t="s">
        <v>74</v>
      </c>
      <c r="H95" t="s">
        <v>14</v>
      </c>
    </row>
    <row r="96" spans="1:8" hidden="1" x14ac:dyDescent="0.25">
      <c r="A96" t="s">
        <v>139</v>
      </c>
      <c r="B96" s="1" t="str">
        <f>HYPERLINK("https://asmlis.vasa.lt/Dashboard/Served?ServiceDateFrom=2025-11-24&amp;ServiceDateTo=2025-11-24&amp;DumpsterInvNr=13-L-421972", "13-L-421972")</f>
        <v>13-L-421972</v>
      </c>
      <c r="C96">
        <v>1.1000000000000001</v>
      </c>
      <c r="D96" t="s">
        <v>140</v>
      </c>
      <c r="E96" t="s">
        <v>11</v>
      </c>
      <c r="G96" t="s">
        <v>74</v>
      </c>
      <c r="H96" t="s">
        <v>14</v>
      </c>
    </row>
    <row r="97" spans="1:8" hidden="1" x14ac:dyDescent="0.25">
      <c r="A97" t="s">
        <v>141</v>
      </c>
      <c r="B97" s="1" t="str">
        <f>HYPERLINK("https://asmlis.vasa.lt/Dashboard/Served?ServiceDateFrom=2025-11-24&amp;ServiceDateTo=2025-11-24&amp;DumpsterInvNr=13-L-427063", "13-L-427063")</f>
        <v>13-L-427063</v>
      </c>
      <c r="C97">
        <v>1.1000000000000001</v>
      </c>
      <c r="D97" t="s">
        <v>140</v>
      </c>
      <c r="E97" t="s">
        <v>11</v>
      </c>
      <c r="F97" t="s">
        <v>13</v>
      </c>
      <c r="G97" t="s">
        <v>74</v>
      </c>
      <c r="H97" t="s">
        <v>14</v>
      </c>
    </row>
    <row r="98" spans="1:8" hidden="1" x14ac:dyDescent="0.25">
      <c r="A98" t="s">
        <v>142</v>
      </c>
      <c r="B98" s="1" t="str">
        <f>HYPERLINK("https://asmlis.vasa.lt/Dashboard/Served?ServiceDateFrom=2025-11-24&amp;ServiceDateTo=2025-11-24&amp;DumpsterInvNr=13-L-426162", "13-L-426162")</f>
        <v>13-L-426162</v>
      </c>
      <c r="C98">
        <v>1.1000000000000001</v>
      </c>
      <c r="D98" t="s">
        <v>143</v>
      </c>
      <c r="E98" t="s">
        <v>11</v>
      </c>
      <c r="G98" t="s">
        <v>74</v>
      </c>
      <c r="H98" t="s">
        <v>14</v>
      </c>
    </row>
    <row r="99" spans="1:8" hidden="1" x14ac:dyDescent="0.25">
      <c r="A99" t="s">
        <v>144</v>
      </c>
      <c r="B99" s="1" t="str">
        <f>HYPERLINK("https://asmlis.vasa.lt/Dashboard/Served?ServiceDateFrom=2025-11-24&amp;ServiceDateTo=2025-11-24&amp;DumpsterInvNr=13-L-422913", "13-L-422913")</f>
        <v>13-L-422913</v>
      </c>
      <c r="C99">
        <v>1.1000000000000001</v>
      </c>
      <c r="D99" t="s">
        <v>143</v>
      </c>
      <c r="E99" t="s">
        <v>11</v>
      </c>
      <c r="G99" t="s">
        <v>74</v>
      </c>
      <c r="H99" t="s">
        <v>14</v>
      </c>
    </row>
    <row r="100" spans="1:8" hidden="1" x14ac:dyDescent="0.25">
      <c r="A100" t="s">
        <v>145</v>
      </c>
      <c r="B100" s="1" t="str">
        <f>HYPERLINK("https://asmlis.vasa.lt/Dashboard/Served?ServiceDateFrom=2025-11-24&amp;ServiceDateTo=2025-11-24&amp;DumpsterInvNr=13-L-425041", "13-L-425041")</f>
        <v>13-L-425041</v>
      </c>
      <c r="C100">
        <v>1.1000000000000001</v>
      </c>
      <c r="D100" t="s">
        <v>143</v>
      </c>
      <c r="E100" t="s">
        <v>11</v>
      </c>
      <c r="G100" t="s">
        <v>74</v>
      </c>
      <c r="H100" t="s">
        <v>14</v>
      </c>
    </row>
    <row r="101" spans="1:8" hidden="1" x14ac:dyDescent="0.25">
      <c r="A101" t="s">
        <v>146</v>
      </c>
      <c r="B101" s="1" t="str">
        <f>HYPERLINK("https://asmlis.vasa.lt/Dashboard/Served?ServiceDateFrom=2025-11-24&amp;ServiceDateTo=2025-11-24&amp;DumpsterInvNr=13-L-412187", "13-L-412187")</f>
        <v>13-L-412187</v>
      </c>
      <c r="C101">
        <v>1.1000000000000001</v>
      </c>
      <c r="D101" t="s">
        <v>143</v>
      </c>
      <c r="E101" t="s">
        <v>11</v>
      </c>
      <c r="G101" t="s">
        <v>74</v>
      </c>
      <c r="H101" t="s">
        <v>14</v>
      </c>
    </row>
    <row r="102" spans="1:8" hidden="1" x14ac:dyDescent="0.25">
      <c r="A102" t="s">
        <v>147</v>
      </c>
      <c r="B102" s="1" t="str">
        <f>HYPERLINK("https://asmlis.vasa.lt/Dashboard/Served?ServiceDateFrom=2025-11-24&amp;ServiceDateTo=2025-11-24&amp;DumpsterInvNr=13-L-412185", "13-L-412185")</f>
        <v>13-L-412185</v>
      </c>
      <c r="C102">
        <v>1.1000000000000001</v>
      </c>
      <c r="D102" t="s">
        <v>143</v>
      </c>
      <c r="E102" t="s">
        <v>11</v>
      </c>
      <c r="G102" t="s">
        <v>74</v>
      </c>
      <c r="H102" t="s">
        <v>14</v>
      </c>
    </row>
    <row r="103" spans="1:8" hidden="1" x14ac:dyDescent="0.25">
      <c r="A103" t="s">
        <v>148</v>
      </c>
      <c r="B103" s="1" t="str">
        <f>HYPERLINK("https://asmlis.vasa.lt/Dashboard/Served?ServiceDateFrom=2025-11-24&amp;ServiceDateTo=2025-11-24&amp;DumpsterInvNr=13-L-426110", "13-L-426110")</f>
        <v>13-L-426110</v>
      </c>
      <c r="C103">
        <v>1.1000000000000001</v>
      </c>
      <c r="D103" t="s">
        <v>143</v>
      </c>
      <c r="E103" t="s">
        <v>11</v>
      </c>
      <c r="G103" t="s">
        <v>74</v>
      </c>
      <c r="H103" t="s">
        <v>14</v>
      </c>
    </row>
    <row r="104" spans="1:8" hidden="1" x14ac:dyDescent="0.25">
      <c r="A104" t="s">
        <v>149</v>
      </c>
      <c r="B104" s="1" t="str">
        <f>HYPERLINK("https://asmlis.vasa.lt/Dashboard/Served?ServiceDateFrom=2025-11-24&amp;ServiceDateTo=2025-11-24&amp;DumpsterInvNr=13-L-418269", "13-L-418269")</f>
        <v>13-L-418269</v>
      </c>
      <c r="C104">
        <v>5</v>
      </c>
      <c r="D104" t="s">
        <v>150</v>
      </c>
      <c r="E104" t="s">
        <v>11</v>
      </c>
      <c r="G104" t="s">
        <v>74</v>
      </c>
      <c r="H104" t="s">
        <v>14</v>
      </c>
    </row>
    <row r="105" spans="1:8" hidden="1" x14ac:dyDescent="0.25">
      <c r="A105" t="s">
        <v>151</v>
      </c>
      <c r="B105" s="1" t="str">
        <f>HYPERLINK("https://asmlis.vasa.lt/Dashboard/Served?ServiceDateFrom=2025-11-24&amp;ServiceDateTo=2025-11-24&amp;DumpsterInvNr=13-L-424305", "13-L-424305")</f>
        <v>13-L-424305</v>
      </c>
      <c r="C105">
        <v>5</v>
      </c>
      <c r="D105" t="s">
        <v>152</v>
      </c>
      <c r="E105" t="s">
        <v>11</v>
      </c>
      <c r="G105" t="s">
        <v>74</v>
      </c>
      <c r="H105" t="s">
        <v>14</v>
      </c>
    </row>
    <row r="106" spans="1:8" hidden="1" x14ac:dyDescent="0.25">
      <c r="A106" t="s">
        <v>153</v>
      </c>
      <c r="B106" s="1" t="str">
        <f>HYPERLINK("https://asmlis.vasa.lt/Dashboard/Served?ServiceDateFrom=2025-11-24&amp;ServiceDateTo=2025-11-24&amp;DumpsterInvNr=13-L-424420", "13-L-424420")</f>
        <v>13-L-424420</v>
      </c>
      <c r="C106">
        <v>1.1000000000000001</v>
      </c>
      <c r="D106" t="s">
        <v>154</v>
      </c>
      <c r="E106" t="s">
        <v>11</v>
      </c>
      <c r="G106" t="s">
        <v>74</v>
      </c>
      <c r="H106" t="s">
        <v>14</v>
      </c>
    </row>
    <row r="107" spans="1:8" hidden="1" x14ac:dyDescent="0.25">
      <c r="A107" t="s">
        <v>155</v>
      </c>
      <c r="B107" s="1" t="str">
        <f>HYPERLINK("https://asmlis.vasa.lt/Dashboard/Served?ServiceDateFrom=2025-11-24&amp;ServiceDateTo=2025-11-24&amp;DumpsterInvNr=13-L-423670", "13-L-423670")</f>
        <v>13-L-423670</v>
      </c>
      <c r="C107">
        <v>1.1000000000000001</v>
      </c>
      <c r="D107" t="s">
        <v>154</v>
      </c>
      <c r="E107" t="s">
        <v>11</v>
      </c>
      <c r="G107" t="s">
        <v>74</v>
      </c>
      <c r="H107" t="s">
        <v>14</v>
      </c>
    </row>
    <row r="108" spans="1:8" hidden="1" x14ac:dyDescent="0.25">
      <c r="A108" t="s">
        <v>156</v>
      </c>
      <c r="B108" s="1" t="str">
        <f>HYPERLINK("https://asmlis.vasa.lt/Dashboard/Served?ServiceDateFrom=2025-11-24&amp;ServiceDateTo=2025-11-24&amp;DumpsterInvNr=13-L-422730", "13-L-422730")</f>
        <v>13-L-422730</v>
      </c>
      <c r="C108">
        <v>1.1000000000000001</v>
      </c>
      <c r="D108" t="s">
        <v>154</v>
      </c>
      <c r="E108" t="s">
        <v>11</v>
      </c>
      <c r="G108" t="s">
        <v>74</v>
      </c>
      <c r="H108" t="s">
        <v>14</v>
      </c>
    </row>
    <row r="109" spans="1:8" hidden="1" x14ac:dyDescent="0.25">
      <c r="A109" t="s">
        <v>157</v>
      </c>
      <c r="B109" s="1" t="str">
        <f>HYPERLINK("https://asmlis.vasa.lt/Dashboard/Served?ServiceDateFrom=2025-11-24&amp;ServiceDateTo=2025-11-24&amp;DumpsterInvNr=13-L-317143", "13-L-317143")</f>
        <v>13-L-317143</v>
      </c>
      <c r="C109">
        <v>1.1000000000000001</v>
      </c>
      <c r="D109" t="s">
        <v>158</v>
      </c>
      <c r="E109" t="s">
        <v>11</v>
      </c>
      <c r="G109" t="s">
        <v>9</v>
      </c>
      <c r="H109" t="s">
        <v>14</v>
      </c>
    </row>
    <row r="110" spans="1:8" hidden="1" x14ac:dyDescent="0.25">
      <c r="A110" t="s">
        <v>159</v>
      </c>
      <c r="B110" s="1" t="str">
        <f>HYPERLINK("https://asmlis.vasa.lt/Dashboard/Served?ServiceDateFrom=2025-11-24&amp;ServiceDateTo=2025-11-24&amp;DumpsterInvNr=13-L-307479", "13-L-307479")</f>
        <v>13-L-307479</v>
      </c>
      <c r="C110">
        <v>1.1000000000000001</v>
      </c>
      <c r="D110" t="s">
        <v>158</v>
      </c>
      <c r="E110" t="s">
        <v>11</v>
      </c>
      <c r="G110" t="s">
        <v>9</v>
      </c>
      <c r="H110" t="s">
        <v>14</v>
      </c>
    </row>
    <row r="111" spans="1:8" hidden="1" x14ac:dyDescent="0.25">
      <c r="A111" t="s">
        <v>160</v>
      </c>
      <c r="B111" s="1" t="str">
        <f>HYPERLINK("https://asmlis.vasa.lt/Dashboard/Served?ServiceDateFrom=2025-11-24&amp;ServiceDateTo=2025-11-24&amp;DumpsterInvNr=13-L-420163", "13-L-420163")</f>
        <v>13-L-420163</v>
      </c>
      <c r="C111">
        <v>5</v>
      </c>
      <c r="D111" t="s">
        <v>161</v>
      </c>
      <c r="E111" t="s">
        <v>11</v>
      </c>
      <c r="G111" t="s">
        <v>74</v>
      </c>
      <c r="H111" t="s">
        <v>14</v>
      </c>
    </row>
    <row r="112" spans="1:8" hidden="1" x14ac:dyDescent="0.25">
      <c r="A112" t="s">
        <v>160</v>
      </c>
      <c r="B112" s="1" t="str">
        <f>HYPERLINK("https://asmlis.vasa.lt/Dashboard/Served?ServiceDateFrom=2025-11-24&amp;ServiceDateTo=2025-11-24&amp;DumpsterInvNr=13-L-313200", "13-L-313200")</f>
        <v>13-L-313200</v>
      </c>
      <c r="C112">
        <v>0.77</v>
      </c>
      <c r="D112" t="s">
        <v>162</v>
      </c>
      <c r="E112" t="s">
        <v>11</v>
      </c>
      <c r="G112" t="s">
        <v>9</v>
      </c>
      <c r="H112" t="s">
        <v>14</v>
      </c>
    </row>
    <row r="113" spans="1:8" hidden="1" x14ac:dyDescent="0.25">
      <c r="A113" t="s">
        <v>163</v>
      </c>
      <c r="B113" s="1" t="str">
        <f>HYPERLINK("https://asmlis.vasa.lt/Dashboard/Served?ServiceDateFrom=2025-11-24&amp;ServiceDateTo=2025-11-24&amp;DumpsterInvNr=13-L-407188", "13-L-407188")</f>
        <v>13-L-407188</v>
      </c>
      <c r="C113">
        <v>1.1000000000000001</v>
      </c>
      <c r="D113" t="s">
        <v>154</v>
      </c>
      <c r="E113" t="s">
        <v>11</v>
      </c>
      <c r="G113" t="s">
        <v>74</v>
      </c>
      <c r="H113" t="s">
        <v>14</v>
      </c>
    </row>
    <row r="114" spans="1:8" hidden="1" x14ac:dyDescent="0.25">
      <c r="A114" t="s">
        <v>164</v>
      </c>
      <c r="B114" s="1" t="str">
        <f>HYPERLINK("https://asmlis.vasa.lt/Dashboard/Served?ServiceDateFrom=2025-11-24&amp;ServiceDateTo=2025-11-24&amp;DumpsterInvNr=13-L-421089", "13-L-421089")</f>
        <v>13-L-421089</v>
      </c>
      <c r="C114">
        <v>1.1000000000000001</v>
      </c>
      <c r="D114" t="s">
        <v>154</v>
      </c>
      <c r="E114" t="s">
        <v>11</v>
      </c>
      <c r="G114" t="s">
        <v>74</v>
      </c>
      <c r="H114" t="s">
        <v>14</v>
      </c>
    </row>
    <row r="115" spans="1:8" hidden="1" x14ac:dyDescent="0.25">
      <c r="A115" t="s">
        <v>165</v>
      </c>
      <c r="B115" s="1" t="str">
        <f>HYPERLINK("https://asmlis.vasa.lt/Dashboard/Served?ServiceDateFrom=2025-11-24&amp;ServiceDateTo=2025-11-24&amp;DumpsterInvNr=13-L-407186", "13-L-407186")</f>
        <v>13-L-407186</v>
      </c>
      <c r="C115">
        <v>1.1000000000000001</v>
      </c>
      <c r="D115" t="s">
        <v>154</v>
      </c>
      <c r="E115" t="s">
        <v>11</v>
      </c>
      <c r="G115" t="s">
        <v>74</v>
      </c>
      <c r="H115" t="s">
        <v>14</v>
      </c>
    </row>
    <row r="116" spans="1:8" hidden="1" x14ac:dyDescent="0.25">
      <c r="A116" t="s">
        <v>166</v>
      </c>
      <c r="B116" s="1" t="str">
        <f>HYPERLINK("https://asmlis.vasa.lt/Dashboard/Served?ServiceDateFrom=2025-11-24&amp;ServiceDateTo=2025-11-24&amp;DumpsterInvNr=13-L-407185", "13-L-407185")</f>
        <v>13-L-407185</v>
      </c>
      <c r="C116">
        <v>1.1000000000000001</v>
      </c>
      <c r="D116" t="s">
        <v>154</v>
      </c>
      <c r="E116" t="s">
        <v>11</v>
      </c>
      <c r="G116" t="s">
        <v>74</v>
      </c>
      <c r="H116" t="s">
        <v>14</v>
      </c>
    </row>
    <row r="117" spans="1:8" hidden="1" x14ac:dyDescent="0.25">
      <c r="A117" t="s">
        <v>167</v>
      </c>
      <c r="B117" s="1" t="str">
        <f>HYPERLINK("https://asmlis.vasa.lt/Dashboard/Served?ServiceDateFrom=2025-11-24&amp;ServiceDateTo=2025-11-24&amp;DumpsterInvNr=13-L-411652", "13-L-411652")</f>
        <v>13-L-411652</v>
      </c>
      <c r="C117">
        <v>5</v>
      </c>
      <c r="D117" t="s">
        <v>168</v>
      </c>
      <c r="E117" t="s">
        <v>11</v>
      </c>
      <c r="G117" t="s">
        <v>74</v>
      </c>
      <c r="H117" t="s">
        <v>14</v>
      </c>
    </row>
    <row r="118" spans="1:8" hidden="1" x14ac:dyDescent="0.25">
      <c r="A118" t="s">
        <v>169</v>
      </c>
      <c r="B118" s="1" t="str">
        <f>HYPERLINK("https://asmlis.vasa.lt/Dashboard/Served?ServiceDateFrom=2025-11-24&amp;ServiceDateTo=2025-11-24&amp;DumpsterInvNr=13-L-315899", "13-L-315899")</f>
        <v>13-L-315899</v>
      </c>
      <c r="C118">
        <v>1.1000000000000001</v>
      </c>
      <c r="D118" t="s">
        <v>170</v>
      </c>
      <c r="E118" t="s">
        <v>11</v>
      </c>
      <c r="G118" t="s">
        <v>9</v>
      </c>
      <c r="H118" t="s">
        <v>14</v>
      </c>
    </row>
    <row r="119" spans="1:8" hidden="1" x14ac:dyDescent="0.25">
      <c r="A119" t="s">
        <v>171</v>
      </c>
      <c r="B119" s="1" t="str">
        <f>HYPERLINK("https://asmlis.vasa.lt/Dashboard/Served?ServiceDateFrom=2025-11-24&amp;ServiceDateTo=2025-11-24&amp;DumpsterInvNr=13-L-420200", "13-L-420200")</f>
        <v>13-L-420200</v>
      </c>
      <c r="C119">
        <v>5</v>
      </c>
      <c r="D119" t="s">
        <v>172</v>
      </c>
      <c r="E119" t="s">
        <v>11</v>
      </c>
      <c r="G119" t="s">
        <v>74</v>
      </c>
      <c r="H119" t="s">
        <v>14</v>
      </c>
    </row>
    <row r="120" spans="1:8" hidden="1" x14ac:dyDescent="0.25">
      <c r="A120" t="s">
        <v>173</v>
      </c>
      <c r="B120" s="1" t="str">
        <f>HYPERLINK("https://asmlis.vasa.lt/Dashboard/Served?ServiceDateFrom=2025-11-24&amp;ServiceDateTo=2025-11-24&amp;DumpsterInvNr=13-L-422711", "13-L-422711")</f>
        <v>13-L-422711</v>
      </c>
      <c r="C120">
        <v>1.1000000000000001</v>
      </c>
      <c r="D120" t="s">
        <v>174</v>
      </c>
      <c r="E120" t="s">
        <v>11</v>
      </c>
      <c r="F120" t="s">
        <v>13</v>
      </c>
      <c r="G120" t="s">
        <v>74</v>
      </c>
      <c r="H120" t="s">
        <v>14</v>
      </c>
    </row>
    <row r="121" spans="1:8" hidden="1" x14ac:dyDescent="0.25">
      <c r="A121" t="s">
        <v>175</v>
      </c>
      <c r="B121" s="1" t="str">
        <f>HYPERLINK("https://asmlis.vasa.lt/Dashboard/Served?ServiceDateFrom=2025-11-24&amp;ServiceDateTo=2025-11-24&amp;DumpsterInvNr=13-L-424095", "13-L-424095")</f>
        <v>13-L-424095</v>
      </c>
      <c r="C121">
        <v>1.1000000000000001</v>
      </c>
      <c r="D121" t="s">
        <v>174</v>
      </c>
      <c r="E121" t="s">
        <v>11</v>
      </c>
      <c r="F121" t="s">
        <v>13</v>
      </c>
      <c r="G121" t="s">
        <v>74</v>
      </c>
      <c r="H121" t="s">
        <v>14</v>
      </c>
    </row>
    <row r="122" spans="1:8" hidden="1" x14ac:dyDescent="0.25">
      <c r="A122" t="s">
        <v>176</v>
      </c>
      <c r="B122" s="1" t="str">
        <f>HYPERLINK("https://asmlis.vasa.lt/Dashboard/Served?ServiceDateFrom=2025-11-24&amp;ServiceDateTo=2025-11-24&amp;DumpsterInvNr=13-L-403671", "13-L-403671")</f>
        <v>13-L-403671</v>
      </c>
      <c r="C122">
        <v>1.1000000000000001</v>
      </c>
      <c r="D122" t="s">
        <v>174</v>
      </c>
      <c r="E122" t="s">
        <v>11</v>
      </c>
      <c r="F122" t="s">
        <v>13</v>
      </c>
      <c r="G122" t="s">
        <v>74</v>
      </c>
      <c r="H122" t="s">
        <v>14</v>
      </c>
    </row>
    <row r="123" spans="1:8" hidden="1" x14ac:dyDescent="0.25">
      <c r="A123" t="s">
        <v>177</v>
      </c>
      <c r="B123" s="1" t="str">
        <f>HYPERLINK("https://asmlis.vasa.lt/Dashboard/Served?ServiceDateFrom=2025-11-24&amp;ServiceDateTo=2025-11-24&amp;DumpsterInvNr=13-L-314754", "13-L-314754")</f>
        <v>13-L-314754</v>
      </c>
      <c r="C123">
        <v>0.77</v>
      </c>
      <c r="D123" t="s">
        <v>178</v>
      </c>
      <c r="E123" t="s">
        <v>11</v>
      </c>
      <c r="G123" t="s">
        <v>9</v>
      </c>
      <c r="H123" t="s">
        <v>14</v>
      </c>
    </row>
    <row r="124" spans="1:8" hidden="1" x14ac:dyDescent="0.25">
      <c r="A124" t="s">
        <v>179</v>
      </c>
      <c r="B124" s="1" t="str">
        <f>HYPERLINK("https://asmlis.vasa.lt/Dashboard/Served?ServiceDateFrom=2025-11-24&amp;ServiceDateTo=2025-11-24&amp;DumpsterInvNr=13-L-424067", "13-L-424067")</f>
        <v>13-L-424067</v>
      </c>
      <c r="C124">
        <v>1.1000000000000001</v>
      </c>
      <c r="D124" t="s">
        <v>180</v>
      </c>
      <c r="E124" t="s">
        <v>11</v>
      </c>
      <c r="G124" t="s">
        <v>74</v>
      </c>
      <c r="H124" t="s">
        <v>14</v>
      </c>
    </row>
    <row r="125" spans="1:8" hidden="1" x14ac:dyDescent="0.25">
      <c r="A125" t="s">
        <v>181</v>
      </c>
      <c r="B125" s="1" t="str">
        <f>HYPERLINK("https://asmlis.vasa.lt/Dashboard/Served?ServiceDateFrom=2025-11-24&amp;ServiceDateTo=2025-11-24&amp;DumpsterInvNr=13-L-424068", "13-L-424068")</f>
        <v>13-L-424068</v>
      </c>
      <c r="C125">
        <v>1.1000000000000001</v>
      </c>
      <c r="D125" t="s">
        <v>180</v>
      </c>
      <c r="E125" t="s">
        <v>11</v>
      </c>
      <c r="G125" t="s">
        <v>74</v>
      </c>
      <c r="H125" t="s">
        <v>14</v>
      </c>
    </row>
    <row r="126" spans="1:8" hidden="1" x14ac:dyDescent="0.25">
      <c r="A126" t="s">
        <v>182</v>
      </c>
      <c r="B126" s="1" t="str">
        <f>HYPERLINK("https://asmlis.vasa.lt/Dashboard/Served?ServiceDateFrom=2025-11-24&amp;ServiceDateTo=2025-11-24&amp;DumpsterInvNr=13-L-425918", "13-L-425918")</f>
        <v>13-L-425918</v>
      </c>
      <c r="C126">
        <v>1.1000000000000001</v>
      </c>
      <c r="D126" t="s">
        <v>180</v>
      </c>
      <c r="E126" t="s">
        <v>11</v>
      </c>
      <c r="F126" t="s">
        <v>13</v>
      </c>
      <c r="G126" t="s">
        <v>74</v>
      </c>
      <c r="H126" t="s">
        <v>14</v>
      </c>
    </row>
    <row r="127" spans="1:8" hidden="1" x14ac:dyDescent="0.25">
      <c r="A127" t="s">
        <v>183</v>
      </c>
      <c r="B127" s="1" t="str">
        <f>HYPERLINK("https://asmlis.vasa.lt/Dashboard/Served?ServiceDateFrom=2025-11-24&amp;ServiceDateTo=2025-11-24&amp;DumpsterInvNr=13-L-416518", "13-L-416518")</f>
        <v>13-L-416518</v>
      </c>
      <c r="C127">
        <v>5</v>
      </c>
      <c r="D127" t="s">
        <v>184</v>
      </c>
      <c r="E127" t="s">
        <v>11</v>
      </c>
      <c r="G127" t="s">
        <v>74</v>
      </c>
      <c r="H127" t="s">
        <v>14</v>
      </c>
    </row>
    <row r="128" spans="1:8" hidden="1" x14ac:dyDescent="0.25">
      <c r="A128" t="s">
        <v>185</v>
      </c>
      <c r="B128" s="1" t="str">
        <f>HYPERLINK("https://asmlis.vasa.lt/Dashboard/Served?ServiceDateFrom=2025-11-24&amp;ServiceDateTo=2025-11-24&amp;DumpsterInvNr=13-L-420908", "13-L-420908")</f>
        <v>13-L-420908</v>
      </c>
      <c r="C128">
        <v>5</v>
      </c>
      <c r="D128" t="s">
        <v>186</v>
      </c>
      <c r="E128" t="s">
        <v>11</v>
      </c>
      <c r="G128" t="s">
        <v>74</v>
      </c>
      <c r="H128" t="s">
        <v>14</v>
      </c>
    </row>
    <row r="129" spans="1:8" hidden="1" x14ac:dyDescent="0.25">
      <c r="A129" t="s">
        <v>187</v>
      </c>
      <c r="B129" s="1" t="str">
        <f>HYPERLINK("https://asmlis.vasa.lt/Dashboard/Served?ServiceDateFrom=2025-11-24&amp;ServiceDateTo=2025-11-24&amp;DumpsterInvNr=13-L-422532", "13-L-422532")</f>
        <v>13-L-422532</v>
      </c>
      <c r="C129">
        <v>1.1000000000000001</v>
      </c>
      <c r="D129" t="s">
        <v>188</v>
      </c>
      <c r="E129" t="s">
        <v>11</v>
      </c>
      <c r="G129" t="s">
        <v>74</v>
      </c>
      <c r="H129" t="s">
        <v>14</v>
      </c>
    </row>
    <row r="130" spans="1:8" hidden="1" x14ac:dyDescent="0.25">
      <c r="A130" t="s">
        <v>189</v>
      </c>
      <c r="B130" s="1" t="str">
        <f>HYPERLINK("https://asmlis.vasa.lt/Dashboard/Served?ServiceDateFrom=2025-11-24&amp;ServiceDateTo=2025-11-24&amp;DumpsterInvNr=13-L-313556", "13-L-313556")</f>
        <v>13-L-313556</v>
      </c>
      <c r="C130">
        <v>1.1000000000000001</v>
      </c>
      <c r="D130" t="s">
        <v>190</v>
      </c>
      <c r="E130" t="s">
        <v>11</v>
      </c>
      <c r="G130" t="s">
        <v>9</v>
      </c>
      <c r="H130" t="s">
        <v>14</v>
      </c>
    </row>
    <row r="131" spans="1:8" hidden="1" x14ac:dyDescent="0.25">
      <c r="A131" t="s">
        <v>191</v>
      </c>
      <c r="B131" s="1" t="str">
        <f>HYPERLINK("https://asmlis.vasa.lt/Dashboard/Served?ServiceDateFrom=2025-11-24&amp;ServiceDateTo=2025-11-24&amp;DumpsterInvNr=13-L-423636", "13-L-423636")</f>
        <v>13-L-423636</v>
      </c>
      <c r="C131">
        <v>1.1000000000000001</v>
      </c>
      <c r="D131" t="s">
        <v>188</v>
      </c>
      <c r="E131" t="s">
        <v>11</v>
      </c>
      <c r="G131" t="s">
        <v>74</v>
      </c>
      <c r="H131" t="s">
        <v>14</v>
      </c>
    </row>
    <row r="132" spans="1:8" hidden="1" x14ac:dyDescent="0.25">
      <c r="A132" t="s">
        <v>192</v>
      </c>
      <c r="B132" s="1" t="str">
        <f>HYPERLINK("https://asmlis.vasa.lt/Dashboard/Served?ServiceDateFrom=2025-11-24&amp;ServiceDateTo=2025-11-24&amp;DumpsterInvNr=13-L-422513", "13-L-422513")</f>
        <v>13-L-422513</v>
      </c>
      <c r="C132">
        <v>1.1000000000000001</v>
      </c>
      <c r="D132" t="s">
        <v>188</v>
      </c>
      <c r="E132" t="s">
        <v>11</v>
      </c>
      <c r="G132" t="s">
        <v>74</v>
      </c>
      <c r="H132" t="s">
        <v>14</v>
      </c>
    </row>
    <row r="133" spans="1:8" hidden="1" x14ac:dyDescent="0.25">
      <c r="A133" t="s">
        <v>193</v>
      </c>
      <c r="B133" s="1" t="str">
        <f>HYPERLINK("https://asmlis.vasa.lt/Dashboard/Served?ServiceDateFrom=2025-11-24&amp;ServiceDateTo=2025-11-24&amp;DumpsterInvNr=13-L-421710", "13-L-421710")</f>
        <v>13-L-421710</v>
      </c>
      <c r="C133">
        <v>1.1000000000000001</v>
      </c>
      <c r="D133" t="s">
        <v>188</v>
      </c>
      <c r="E133" t="s">
        <v>11</v>
      </c>
      <c r="G133" t="s">
        <v>74</v>
      </c>
      <c r="H133" t="s">
        <v>14</v>
      </c>
    </row>
    <row r="134" spans="1:8" hidden="1" x14ac:dyDescent="0.25">
      <c r="A134" t="s">
        <v>194</v>
      </c>
      <c r="B134" s="1" t="str">
        <f>HYPERLINK("https://asmlis.vasa.lt/Dashboard/Served?ServiceDateFrom=2025-11-24&amp;ServiceDateTo=2025-11-24&amp;DumpsterInvNr=13-L-313557", "13-L-313557")</f>
        <v>13-L-313557</v>
      </c>
      <c r="C134">
        <v>1.1000000000000001</v>
      </c>
      <c r="D134" t="s">
        <v>190</v>
      </c>
      <c r="E134" t="s">
        <v>11</v>
      </c>
      <c r="G134" t="s">
        <v>9</v>
      </c>
      <c r="H134" t="s">
        <v>14</v>
      </c>
    </row>
    <row r="135" spans="1:8" hidden="1" x14ac:dyDescent="0.25">
      <c r="A135" t="s">
        <v>195</v>
      </c>
      <c r="B135" s="1" t="str">
        <f>HYPERLINK("https://asmlis.vasa.lt/Dashboard/Served?ServiceDateFrom=2025-11-24&amp;ServiceDateTo=2025-11-24&amp;DumpsterInvNr=13-L-309301", "13-L-309301")</f>
        <v>13-L-309301</v>
      </c>
      <c r="C135">
        <v>1.1000000000000001</v>
      </c>
      <c r="D135" t="s">
        <v>190</v>
      </c>
      <c r="E135" t="s">
        <v>11</v>
      </c>
      <c r="G135" t="s">
        <v>9</v>
      </c>
      <c r="H135" t="s">
        <v>14</v>
      </c>
    </row>
    <row r="136" spans="1:8" hidden="1" x14ac:dyDescent="0.25">
      <c r="A136" t="s">
        <v>196</v>
      </c>
      <c r="B136" s="1" t="str">
        <f>HYPERLINK("https://asmlis.vasa.lt/Dashboard/Served?ServiceDateFrom=2025-11-24&amp;ServiceDateTo=2025-11-24&amp;DumpsterInvNr=13-L-317286", "13-L-317286")</f>
        <v>13-L-317286</v>
      </c>
      <c r="C136">
        <v>1.1000000000000001</v>
      </c>
      <c r="D136" t="s">
        <v>197</v>
      </c>
      <c r="E136" t="s">
        <v>11</v>
      </c>
      <c r="G136" t="s">
        <v>9</v>
      </c>
      <c r="H136" t="s">
        <v>14</v>
      </c>
    </row>
    <row r="137" spans="1:8" hidden="1" x14ac:dyDescent="0.25">
      <c r="A137" t="s">
        <v>198</v>
      </c>
      <c r="B137" s="1" t="str">
        <f>HYPERLINK("https://asmlis.vasa.lt/Dashboard/Served?ServiceDateFrom=2025-11-24&amp;ServiceDateTo=2025-11-24&amp;DumpsterInvNr=13-L-427054", "13-L-427054")</f>
        <v>13-L-427054</v>
      </c>
      <c r="C137">
        <v>1.1000000000000001</v>
      </c>
      <c r="D137" t="s">
        <v>199</v>
      </c>
      <c r="E137" t="s">
        <v>11</v>
      </c>
      <c r="G137" t="s">
        <v>74</v>
      </c>
      <c r="H137" t="s">
        <v>14</v>
      </c>
    </row>
    <row r="138" spans="1:8" hidden="1" x14ac:dyDescent="0.25">
      <c r="A138" t="s">
        <v>200</v>
      </c>
      <c r="B138" s="1" t="str">
        <f>HYPERLINK("https://asmlis.vasa.lt/Dashboard/Served?ServiceDateFrom=2025-11-24&amp;ServiceDateTo=2025-11-24&amp;DumpsterInvNr=13-L-421151", "13-L-421151")</f>
        <v>13-L-421151</v>
      </c>
      <c r="C138">
        <v>1.1000000000000001</v>
      </c>
      <c r="D138" t="s">
        <v>199</v>
      </c>
      <c r="E138" t="s">
        <v>11</v>
      </c>
      <c r="G138" t="s">
        <v>74</v>
      </c>
      <c r="H138" t="s">
        <v>14</v>
      </c>
    </row>
    <row r="139" spans="1:8" hidden="1" x14ac:dyDescent="0.25">
      <c r="A139" t="s">
        <v>201</v>
      </c>
      <c r="B139" s="1" t="str">
        <f>HYPERLINK("https://asmlis.vasa.lt/Dashboard/Served?ServiceDateFrom=2025-11-24&amp;ServiceDateTo=2025-11-24&amp;DumpsterInvNr=13-L-427068", "13-L-427068")</f>
        <v>13-L-427068</v>
      </c>
      <c r="C139">
        <v>1.1000000000000001</v>
      </c>
      <c r="D139" t="s">
        <v>199</v>
      </c>
      <c r="E139" t="s">
        <v>11</v>
      </c>
      <c r="F139" t="s">
        <v>13</v>
      </c>
      <c r="G139" t="s">
        <v>74</v>
      </c>
      <c r="H139" t="s">
        <v>14</v>
      </c>
    </row>
    <row r="140" spans="1:8" hidden="1" x14ac:dyDescent="0.25">
      <c r="A140" t="s">
        <v>202</v>
      </c>
      <c r="B140" s="1" t="str">
        <f>HYPERLINK("https://asmlis.vasa.lt/Dashboard/Served?ServiceDateFrom=2025-11-24&amp;ServiceDateTo=2025-11-24&amp;DumpsterInvNr=13-L-421906", "13-L-421906")</f>
        <v>13-L-421906</v>
      </c>
      <c r="C140">
        <v>5</v>
      </c>
      <c r="D140" t="s">
        <v>203</v>
      </c>
      <c r="E140" t="s">
        <v>11</v>
      </c>
      <c r="G140" t="s">
        <v>74</v>
      </c>
      <c r="H140" t="s">
        <v>14</v>
      </c>
    </row>
    <row r="141" spans="1:8" hidden="1" x14ac:dyDescent="0.25">
      <c r="A141" t="s">
        <v>204</v>
      </c>
      <c r="B141" s="1" t="str">
        <f>HYPERLINK("https://asmlis.vasa.lt/Dashboard/Served?ServiceDateFrom=2025-11-24&amp;ServiceDateTo=2025-11-24&amp;DumpsterInvNr=13-L-422067", "13-L-422067")</f>
        <v>13-L-422067</v>
      </c>
      <c r="C141">
        <v>5</v>
      </c>
      <c r="D141" t="s">
        <v>205</v>
      </c>
      <c r="E141" t="s">
        <v>11</v>
      </c>
      <c r="G141" t="s">
        <v>74</v>
      </c>
      <c r="H141" t="s">
        <v>14</v>
      </c>
    </row>
    <row r="142" spans="1:8" hidden="1" x14ac:dyDescent="0.25">
      <c r="A142" t="s">
        <v>206</v>
      </c>
      <c r="B142" s="1" t="str">
        <f>HYPERLINK("https://asmlis.vasa.lt/Dashboard/Served?ServiceDateFrom=2025-11-24&amp;ServiceDateTo=2025-11-24&amp;DumpsterInvNr=13-L-421065", "13-L-421065")</f>
        <v>13-L-421065</v>
      </c>
      <c r="C142">
        <v>1.1000000000000001</v>
      </c>
      <c r="D142" t="s">
        <v>207</v>
      </c>
      <c r="E142" t="s">
        <v>11</v>
      </c>
      <c r="G142" t="s">
        <v>74</v>
      </c>
      <c r="H142" t="s">
        <v>14</v>
      </c>
    </row>
    <row r="143" spans="1:8" hidden="1" x14ac:dyDescent="0.25">
      <c r="A143" t="s">
        <v>208</v>
      </c>
      <c r="B143" s="1" t="str">
        <f>HYPERLINK("https://asmlis.vasa.lt/Dashboard/Served?ServiceDateFrom=2025-11-24&amp;ServiceDateTo=2025-11-24&amp;DumpsterInvNr=13-L-422068", "13-L-422068")</f>
        <v>13-L-422068</v>
      </c>
      <c r="C143">
        <v>5</v>
      </c>
      <c r="D143" t="s">
        <v>205</v>
      </c>
      <c r="E143" t="s">
        <v>11</v>
      </c>
      <c r="G143" t="s">
        <v>74</v>
      </c>
      <c r="H143" t="s">
        <v>14</v>
      </c>
    </row>
    <row r="144" spans="1:8" hidden="1" x14ac:dyDescent="0.25">
      <c r="A144" t="s">
        <v>210</v>
      </c>
      <c r="B144" s="1" t="str">
        <f>HYPERLINK("https://asmlis.vasa.lt/Dashboard/Served?ServiceDateFrom=2025-11-24&amp;ServiceDateTo=2025-11-24&amp;DumpsterInvNr=13-L-313979", "13-L-313979")</f>
        <v>13-L-313979</v>
      </c>
      <c r="C144">
        <v>1.1000000000000001</v>
      </c>
      <c r="D144" t="s">
        <v>211</v>
      </c>
      <c r="E144" t="s">
        <v>11</v>
      </c>
      <c r="F144" t="s">
        <v>13</v>
      </c>
      <c r="G144" t="s">
        <v>9</v>
      </c>
      <c r="H144" t="s">
        <v>14</v>
      </c>
    </row>
    <row r="145" spans="1:8" hidden="1" x14ac:dyDescent="0.25">
      <c r="A145" t="s">
        <v>212</v>
      </c>
      <c r="B145" s="1" t="str">
        <f>HYPERLINK("https://asmlis.vasa.lt/Dashboard/Served?ServiceDateFrom=2025-11-24&amp;ServiceDateTo=2025-11-24&amp;DumpsterInvNr=13-L-309947", "13-L-309947")</f>
        <v>13-L-309947</v>
      </c>
      <c r="C145">
        <v>1.1000000000000001</v>
      </c>
      <c r="D145" t="s">
        <v>213</v>
      </c>
      <c r="E145" t="s">
        <v>11</v>
      </c>
      <c r="G145" t="s">
        <v>9</v>
      </c>
      <c r="H145" t="s">
        <v>14</v>
      </c>
    </row>
    <row r="146" spans="1:8" hidden="1" x14ac:dyDescent="0.25">
      <c r="A146" t="s">
        <v>214</v>
      </c>
      <c r="B146" s="1" t="str">
        <f>HYPERLINK("https://asmlis.vasa.lt/Dashboard/Served?ServiceDateFrom=2025-11-24&amp;ServiceDateTo=2025-11-24&amp;DumpsterInvNr=13-L-316860", "13-L-316860")</f>
        <v>13-L-316860</v>
      </c>
      <c r="C146">
        <v>1.1000000000000001</v>
      </c>
      <c r="D146" t="s">
        <v>213</v>
      </c>
      <c r="E146" t="s">
        <v>11</v>
      </c>
      <c r="G146" t="s">
        <v>9</v>
      </c>
      <c r="H146" t="s">
        <v>14</v>
      </c>
    </row>
    <row r="147" spans="1:8" hidden="1" x14ac:dyDescent="0.25">
      <c r="A147" t="s">
        <v>215</v>
      </c>
      <c r="B147" s="1" t="str">
        <f>HYPERLINK("https://asmlis.vasa.lt/Dashboard/Served?ServiceDateFrom=2025-11-24&amp;ServiceDateTo=2025-11-24&amp;DumpsterInvNr=13-L-425226", "13-L-425226")</f>
        <v>13-L-425226</v>
      </c>
      <c r="C147">
        <v>1.1000000000000001</v>
      </c>
      <c r="D147" t="s">
        <v>207</v>
      </c>
      <c r="E147" t="s">
        <v>11</v>
      </c>
      <c r="G147" t="s">
        <v>74</v>
      </c>
      <c r="H147" t="s">
        <v>14</v>
      </c>
    </row>
    <row r="148" spans="1:8" hidden="1" x14ac:dyDescent="0.25">
      <c r="A148" t="s">
        <v>216</v>
      </c>
      <c r="B148" s="1" t="str">
        <f>HYPERLINK("https://asmlis.vasa.lt/Dashboard/Served?ServiceDateFrom=2025-11-24&amp;ServiceDateTo=2025-11-24&amp;DumpsterInvNr=13-L-316059", "13-L-316059")</f>
        <v>13-L-316059</v>
      </c>
      <c r="C148">
        <v>0.66</v>
      </c>
      <c r="D148" t="s">
        <v>217</v>
      </c>
      <c r="E148" t="s">
        <v>11</v>
      </c>
      <c r="F148" t="s">
        <v>13</v>
      </c>
      <c r="G148" t="s">
        <v>9</v>
      </c>
      <c r="H148" t="s">
        <v>14</v>
      </c>
    </row>
    <row r="149" spans="1:8" hidden="1" x14ac:dyDescent="0.25">
      <c r="A149" t="s">
        <v>218</v>
      </c>
      <c r="B149" s="1" t="str">
        <f>HYPERLINK("https://asmlis.vasa.lt/Dashboard/Served?ServiceDateFrom=2025-11-24&amp;ServiceDateTo=2025-11-24&amp;DumpsterInvNr=13-L-422094", "13-L-422094")</f>
        <v>13-L-422094</v>
      </c>
      <c r="C149">
        <v>5</v>
      </c>
      <c r="D149" t="s">
        <v>219</v>
      </c>
      <c r="E149" t="s">
        <v>11</v>
      </c>
      <c r="G149" t="s">
        <v>74</v>
      </c>
      <c r="H149" t="s">
        <v>14</v>
      </c>
    </row>
    <row r="150" spans="1:8" hidden="1" x14ac:dyDescent="0.25">
      <c r="A150" t="s">
        <v>220</v>
      </c>
      <c r="B150" s="1" t="str">
        <f>HYPERLINK("https://asmlis.vasa.lt/Dashboard/Served?ServiceDateFrom=2025-11-24&amp;ServiceDateTo=2025-11-24&amp;DumpsterInvNr=13-L-314473", "13-L-314473")</f>
        <v>13-L-314473</v>
      </c>
      <c r="C150">
        <v>0.66</v>
      </c>
      <c r="D150" t="s">
        <v>217</v>
      </c>
      <c r="E150" t="s">
        <v>11</v>
      </c>
      <c r="F150" t="s">
        <v>13</v>
      </c>
      <c r="G150" t="s">
        <v>9</v>
      </c>
      <c r="H150" t="s">
        <v>14</v>
      </c>
    </row>
    <row r="151" spans="1:8" hidden="1" x14ac:dyDescent="0.25">
      <c r="A151" t="s">
        <v>221</v>
      </c>
      <c r="B151" s="1" t="str">
        <f>HYPERLINK("https://asmlis.vasa.lt/Dashboard/Served?ServiceDateFrom=2025-11-24&amp;ServiceDateTo=2025-11-24&amp;DumpsterInvNr=13-L-415994", "13-L-415994")</f>
        <v>13-L-415994</v>
      </c>
      <c r="C151">
        <v>1.1000000000000001</v>
      </c>
      <c r="D151" t="s">
        <v>207</v>
      </c>
      <c r="E151" t="s">
        <v>11</v>
      </c>
      <c r="G151" t="s">
        <v>74</v>
      </c>
      <c r="H151" t="s">
        <v>14</v>
      </c>
    </row>
    <row r="152" spans="1:8" hidden="1" x14ac:dyDescent="0.25">
      <c r="A152" t="s">
        <v>222</v>
      </c>
      <c r="B152" s="1" t="str">
        <f>HYPERLINK("https://asmlis.vasa.lt/Dashboard/Served?ServiceDateFrom=2025-11-24&amp;ServiceDateTo=2025-11-24&amp;DumpsterInvNr=13-L-317361", "13-L-317361")</f>
        <v>13-L-317361</v>
      </c>
      <c r="C152">
        <v>1.1000000000000001</v>
      </c>
      <c r="D152" t="s">
        <v>223</v>
      </c>
      <c r="E152" t="s">
        <v>11</v>
      </c>
      <c r="G152" t="s">
        <v>9</v>
      </c>
      <c r="H152" t="s">
        <v>14</v>
      </c>
    </row>
    <row r="153" spans="1:8" hidden="1" x14ac:dyDescent="0.25">
      <c r="A153" t="s">
        <v>224</v>
      </c>
      <c r="B153" s="1" t="str">
        <f>HYPERLINK("https://asmlis.vasa.lt/Dashboard/Served?ServiceDateFrom=2025-11-24&amp;ServiceDateTo=2025-11-24&amp;DumpsterInvNr=13-L-317847", "13-L-317847")</f>
        <v>13-L-317847</v>
      </c>
      <c r="C153">
        <v>1.1000000000000001</v>
      </c>
      <c r="D153" t="s">
        <v>223</v>
      </c>
      <c r="E153" t="s">
        <v>11</v>
      </c>
      <c r="G153" t="s">
        <v>9</v>
      </c>
      <c r="H153" t="s">
        <v>14</v>
      </c>
    </row>
    <row r="154" spans="1:8" hidden="1" x14ac:dyDescent="0.25">
      <c r="A154" t="s">
        <v>225</v>
      </c>
      <c r="B154" s="1" t="str">
        <f>HYPERLINK("https://asmlis.vasa.lt/Dashboard/Served?ServiceDateFrom=2025-11-24&amp;ServiceDateTo=2025-11-24&amp;DumpsterInvNr=13-L-319641", "13-L-319641")</f>
        <v>13-L-319641</v>
      </c>
      <c r="C154">
        <v>1.1000000000000001</v>
      </c>
      <c r="D154" t="s">
        <v>226</v>
      </c>
      <c r="E154" t="s">
        <v>11</v>
      </c>
      <c r="G154" t="s">
        <v>9</v>
      </c>
      <c r="H154" t="s">
        <v>14</v>
      </c>
    </row>
    <row r="155" spans="1:8" hidden="1" x14ac:dyDescent="0.25">
      <c r="A155" t="s">
        <v>227</v>
      </c>
      <c r="B155" s="1" t="str">
        <f>HYPERLINK("https://asmlis.vasa.lt/Dashboard/Served?ServiceDateFrom=2025-11-24&amp;ServiceDateTo=2025-11-24&amp;DumpsterInvNr=13-L-427006", "13-L-427006")</f>
        <v>13-L-427006</v>
      </c>
      <c r="C155">
        <v>1.1000000000000001</v>
      </c>
      <c r="D155" t="s">
        <v>207</v>
      </c>
      <c r="E155" t="s">
        <v>11</v>
      </c>
      <c r="F155" t="s">
        <v>13</v>
      </c>
      <c r="G155" t="s">
        <v>74</v>
      </c>
      <c r="H155" t="s">
        <v>14</v>
      </c>
    </row>
    <row r="156" spans="1:8" hidden="1" x14ac:dyDescent="0.25">
      <c r="A156" t="s">
        <v>227</v>
      </c>
      <c r="B156" s="1" t="str">
        <f>HYPERLINK("https://asmlis.vasa.lt/Dashboard/Served?ServiceDateFrom=2025-11-24&amp;ServiceDateTo=2025-11-24&amp;DumpsterInvNr=13-L-317586", "13-L-317586")</f>
        <v>13-L-317586</v>
      </c>
      <c r="C156">
        <v>1.1000000000000001</v>
      </c>
      <c r="D156" t="s">
        <v>226</v>
      </c>
      <c r="E156" t="s">
        <v>11</v>
      </c>
      <c r="F156" t="s">
        <v>13</v>
      </c>
      <c r="G156" t="s">
        <v>9</v>
      </c>
      <c r="H156" t="s">
        <v>14</v>
      </c>
    </row>
    <row r="157" spans="1:8" hidden="1" x14ac:dyDescent="0.25">
      <c r="A157" t="s">
        <v>228</v>
      </c>
      <c r="B157" s="1" t="str">
        <f>HYPERLINK("https://asmlis.vasa.lt/Dashboard/Served?ServiceDateFrom=2025-11-24&amp;ServiceDateTo=2025-11-24&amp;DumpsterInvNr=13-L-424880", "13-L-424880")</f>
        <v>13-L-424880</v>
      </c>
      <c r="C157">
        <v>1.1000000000000001</v>
      </c>
      <c r="D157" t="s">
        <v>229</v>
      </c>
      <c r="E157" t="s">
        <v>11</v>
      </c>
      <c r="G157" t="s">
        <v>74</v>
      </c>
      <c r="H157" t="s">
        <v>14</v>
      </c>
    </row>
    <row r="158" spans="1:8" hidden="1" x14ac:dyDescent="0.25">
      <c r="A158" t="s">
        <v>230</v>
      </c>
      <c r="B158" s="1" t="str">
        <f>HYPERLINK("https://asmlis.vasa.lt/Dashboard/Served?ServiceDateFrom=2025-11-24&amp;ServiceDateTo=2025-11-24&amp;DumpsterInvNr=13-L-425336", "13-L-425336")</f>
        <v>13-L-425336</v>
      </c>
      <c r="C158">
        <v>1.1000000000000001</v>
      </c>
      <c r="D158" t="s">
        <v>229</v>
      </c>
      <c r="E158" t="s">
        <v>11</v>
      </c>
      <c r="G158" t="s">
        <v>74</v>
      </c>
      <c r="H158" t="s">
        <v>14</v>
      </c>
    </row>
    <row r="159" spans="1:8" hidden="1" x14ac:dyDescent="0.25">
      <c r="A159" t="s">
        <v>231</v>
      </c>
      <c r="B159" s="1" t="str">
        <f>HYPERLINK("https://asmlis.vasa.lt/Dashboard/Served?ServiceDateFrom=2025-11-24&amp;ServiceDateTo=2025-11-24&amp;DumpsterInvNr=13-L-313558", "13-L-313558")</f>
        <v>13-L-313558</v>
      </c>
      <c r="C159">
        <v>1.1000000000000001</v>
      </c>
      <c r="D159" t="s">
        <v>223</v>
      </c>
      <c r="E159" t="s">
        <v>11</v>
      </c>
      <c r="G159" t="s">
        <v>9</v>
      </c>
      <c r="H159" t="s">
        <v>14</v>
      </c>
    </row>
    <row r="160" spans="1:8" hidden="1" x14ac:dyDescent="0.25">
      <c r="A160" t="s">
        <v>232</v>
      </c>
      <c r="B160" s="1" t="str">
        <f>HYPERLINK("https://asmlis.vasa.lt/Dashboard/Served?ServiceDateFrom=2025-11-24&amp;ServiceDateTo=2025-11-24&amp;DumpsterInvNr=13-L-424879", "13-L-424879")</f>
        <v>13-L-424879</v>
      </c>
      <c r="C160">
        <v>1.1000000000000001</v>
      </c>
      <c r="D160" t="s">
        <v>229</v>
      </c>
      <c r="E160" t="s">
        <v>11</v>
      </c>
      <c r="G160" t="s">
        <v>74</v>
      </c>
      <c r="H160" t="s">
        <v>14</v>
      </c>
    </row>
    <row r="161" spans="1:8" hidden="1" x14ac:dyDescent="0.25">
      <c r="A161" t="s">
        <v>233</v>
      </c>
      <c r="B161" s="1" t="str">
        <f>HYPERLINK("https://asmlis.vasa.lt/Dashboard/Served?ServiceDateFrom=2025-11-24&amp;ServiceDateTo=2025-11-24&amp;DumpsterInvNr=13-P-210101", "13-P-210101")</f>
        <v>13-P-210101</v>
      </c>
      <c r="C161">
        <v>2.5</v>
      </c>
      <c r="D161" t="s">
        <v>235</v>
      </c>
      <c r="E161" t="s">
        <v>11</v>
      </c>
      <c r="G161" t="s">
        <v>234</v>
      </c>
      <c r="H161" t="s">
        <v>14</v>
      </c>
    </row>
    <row r="162" spans="1:8" hidden="1" x14ac:dyDescent="0.25">
      <c r="A162" t="s">
        <v>236</v>
      </c>
      <c r="B162" s="1" t="str">
        <f>HYPERLINK("https://asmlis.vasa.lt/Dashboard/Served?ServiceDateFrom=2025-11-24&amp;ServiceDateTo=2025-11-24&amp;DumpsterInvNr=13-L-314161", "13-L-314161")</f>
        <v>13-L-314161</v>
      </c>
      <c r="C162">
        <v>5</v>
      </c>
      <c r="D162" t="s">
        <v>237</v>
      </c>
      <c r="E162" t="s">
        <v>11</v>
      </c>
      <c r="F162" t="s">
        <v>13</v>
      </c>
      <c r="G162" t="s">
        <v>9</v>
      </c>
      <c r="H162" t="s">
        <v>14</v>
      </c>
    </row>
    <row r="163" spans="1:8" hidden="1" x14ac:dyDescent="0.25">
      <c r="A163" t="s">
        <v>238</v>
      </c>
      <c r="B163" s="1" t="str">
        <f>HYPERLINK("https://asmlis.vasa.lt/Dashboard/Served?ServiceDateFrom=2025-11-24&amp;ServiceDateTo=2025-11-24&amp;DumpsterInvNr=13-L-313680", "13-L-313680")</f>
        <v>13-L-313680</v>
      </c>
      <c r="C163">
        <v>1.1000000000000001</v>
      </c>
      <c r="D163" t="s">
        <v>223</v>
      </c>
      <c r="E163" t="s">
        <v>11</v>
      </c>
      <c r="G163" t="s">
        <v>9</v>
      </c>
      <c r="H163" t="s">
        <v>14</v>
      </c>
    </row>
    <row r="164" spans="1:8" hidden="1" x14ac:dyDescent="0.25">
      <c r="A164" t="s">
        <v>239</v>
      </c>
      <c r="B164" s="1" t="str">
        <f>HYPERLINK("https://asmlis.vasa.lt/Dashboard/Served?ServiceDateFrom=2025-11-24&amp;ServiceDateTo=2025-11-24&amp;DumpsterInvNr=13-L-424412", "13-L-424412")</f>
        <v>13-L-424412</v>
      </c>
      <c r="C164">
        <v>1.1000000000000001</v>
      </c>
      <c r="D164" t="s">
        <v>229</v>
      </c>
      <c r="E164" t="s">
        <v>11</v>
      </c>
      <c r="G164" t="s">
        <v>74</v>
      </c>
      <c r="H164" t="s">
        <v>14</v>
      </c>
    </row>
    <row r="165" spans="1:8" hidden="1" x14ac:dyDescent="0.25">
      <c r="A165" t="s">
        <v>240</v>
      </c>
      <c r="B165" s="1" t="str">
        <f>HYPERLINK("https://asmlis.vasa.lt/Dashboard/Served?ServiceDateFrom=2025-11-24&amp;ServiceDateTo=2025-11-24&amp;DumpsterInvNr=13-L-420723", "13-L-420723")</f>
        <v>13-L-420723</v>
      </c>
      <c r="C165">
        <v>1.1000000000000001</v>
      </c>
      <c r="D165" t="s">
        <v>229</v>
      </c>
      <c r="E165" t="s">
        <v>11</v>
      </c>
      <c r="G165" t="s">
        <v>74</v>
      </c>
      <c r="H165" t="s">
        <v>14</v>
      </c>
    </row>
    <row r="166" spans="1:8" hidden="1" x14ac:dyDescent="0.25">
      <c r="A166" t="s">
        <v>241</v>
      </c>
      <c r="B166" s="1" t="str">
        <f>HYPERLINK("https://asmlis.vasa.lt/Dashboard/Served?ServiceDateFrom=2025-11-24&amp;ServiceDateTo=2025-11-24&amp;DumpsterInvNr=13-L-317360", "13-L-317360")</f>
        <v>13-L-317360</v>
      </c>
      <c r="C166">
        <v>1.1000000000000001</v>
      </c>
      <c r="D166" t="s">
        <v>223</v>
      </c>
      <c r="E166" t="s">
        <v>11</v>
      </c>
      <c r="F166" t="s">
        <v>13</v>
      </c>
      <c r="G166" t="s">
        <v>9</v>
      </c>
      <c r="H166" t="s">
        <v>14</v>
      </c>
    </row>
    <row r="167" spans="1:8" hidden="1" x14ac:dyDescent="0.25">
      <c r="A167" t="s">
        <v>242</v>
      </c>
      <c r="B167" s="1" t="str">
        <f>HYPERLINK("https://asmlis.vasa.lt/Dashboard/Served?ServiceDateFrom=2025-11-24&amp;ServiceDateTo=2025-11-24&amp;DumpsterInvNr=13-L-312974", "13-L-312974")</f>
        <v>13-L-312974</v>
      </c>
      <c r="C167">
        <v>1.1000000000000001</v>
      </c>
      <c r="D167" t="s">
        <v>223</v>
      </c>
      <c r="E167" t="s">
        <v>11</v>
      </c>
      <c r="F167" t="s">
        <v>13</v>
      </c>
      <c r="G167" t="s">
        <v>9</v>
      </c>
      <c r="H167" t="s">
        <v>14</v>
      </c>
    </row>
    <row r="168" spans="1:8" hidden="1" x14ac:dyDescent="0.25">
      <c r="A168" t="s">
        <v>243</v>
      </c>
      <c r="B168" s="1" t="str">
        <f>HYPERLINK("https://asmlis.vasa.lt/Dashboard/Served?ServiceDateFrom=2025-11-24&amp;ServiceDateTo=2025-11-24&amp;DumpsterInvNr=13-L-420077", "13-L-420077")</f>
        <v>13-L-420077</v>
      </c>
      <c r="C168">
        <v>1.1000000000000001</v>
      </c>
      <c r="D168" t="s">
        <v>229</v>
      </c>
      <c r="E168" t="s">
        <v>11</v>
      </c>
      <c r="G168" t="s">
        <v>74</v>
      </c>
      <c r="H168" t="s">
        <v>14</v>
      </c>
    </row>
    <row r="169" spans="1:8" hidden="1" x14ac:dyDescent="0.25">
      <c r="A169" t="s">
        <v>244</v>
      </c>
      <c r="B169" s="1" t="str">
        <f>HYPERLINK("https://asmlis.vasa.lt/Dashboard/Served?ServiceDateFrom=2025-11-24&amp;ServiceDateTo=2025-11-24&amp;DumpsterInvNr=13-L-420090", "13-L-420090")</f>
        <v>13-L-420090</v>
      </c>
      <c r="C169">
        <v>1.1000000000000001</v>
      </c>
      <c r="D169" t="s">
        <v>229</v>
      </c>
      <c r="E169" t="s">
        <v>11</v>
      </c>
      <c r="G169" t="s">
        <v>74</v>
      </c>
      <c r="H169" t="s">
        <v>14</v>
      </c>
    </row>
    <row r="170" spans="1:8" hidden="1" x14ac:dyDescent="0.25">
      <c r="A170" t="s">
        <v>245</v>
      </c>
      <c r="B170" s="1" t="str">
        <f>HYPERLINK("https://asmlis.vasa.lt/Dashboard/Served?ServiceDateFrom=2025-11-24&amp;ServiceDateTo=2025-11-24&amp;DumpsterInvNr=13-L-313671", "13-L-313671")</f>
        <v>13-L-313671</v>
      </c>
      <c r="C170">
        <v>1.1000000000000001</v>
      </c>
      <c r="D170" t="s">
        <v>246</v>
      </c>
      <c r="E170" t="s">
        <v>11</v>
      </c>
      <c r="G170" t="s">
        <v>9</v>
      </c>
      <c r="H170" t="s">
        <v>14</v>
      </c>
    </row>
    <row r="171" spans="1:8" hidden="1" x14ac:dyDescent="0.25">
      <c r="A171" t="s">
        <v>247</v>
      </c>
      <c r="B171" s="1" t="str">
        <f>HYPERLINK("https://asmlis.vasa.lt/Dashboard/Served?ServiceDateFrom=2025-11-24&amp;ServiceDateTo=2025-11-24&amp;DumpsterInvNr=13-L-420904", "13-L-420904")</f>
        <v>13-L-420904</v>
      </c>
      <c r="C171">
        <v>5</v>
      </c>
      <c r="D171" t="s">
        <v>248</v>
      </c>
      <c r="E171" t="s">
        <v>11</v>
      </c>
      <c r="G171" t="s">
        <v>74</v>
      </c>
      <c r="H171" t="s">
        <v>14</v>
      </c>
    </row>
    <row r="172" spans="1:8" hidden="1" x14ac:dyDescent="0.25">
      <c r="A172" t="s">
        <v>249</v>
      </c>
      <c r="B172" s="1" t="str">
        <f>HYPERLINK("https://asmlis.vasa.lt/Dashboard/Served?ServiceDateFrom=2025-11-24&amp;ServiceDateTo=2025-11-24&amp;DumpsterInvNr=13-L-317731", "13-L-317731")</f>
        <v>13-L-317731</v>
      </c>
      <c r="C172">
        <v>1.1000000000000001</v>
      </c>
      <c r="D172" t="s">
        <v>250</v>
      </c>
      <c r="E172" t="s">
        <v>11</v>
      </c>
      <c r="F172" t="s">
        <v>13</v>
      </c>
      <c r="G172" t="s">
        <v>9</v>
      </c>
      <c r="H172" t="s">
        <v>14</v>
      </c>
    </row>
    <row r="173" spans="1:8" hidden="1" x14ac:dyDescent="0.25">
      <c r="A173" t="s">
        <v>251</v>
      </c>
      <c r="B173" s="1" t="str">
        <f>HYPERLINK("https://asmlis.vasa.lt/Dashboard/Served?ServiceDateFrom=2025-11-24&amp;ServiceDateTo=2025-11-24&amp;DumpsterInvNr=13-L-318676", "13-L-318676")</f>
        <v>13-L-318676</v>
      </c>
      <c r="C173">
        <v>0.24</v>
      </c>
      <c r="D173" t="s">
        <v>253</v>
      </c>
      <c r="E173" t="s">
        <v>11</v>
      </c>
      <c r="F173" t="s">
        <v>13</v>
      </c>
      <c r="G173" t="s">
        <v>9</v>
      </c>
      <c r="H173" t="s">
        <v>14</v>
      </c>
    </row>
    <row r="174" spans="1:8" hidden="1" x14ac:dyDescent="0.25">
      <c r="A174" t="s">
        <v>254</v>
      </c>
      <c r="B174" s="1" t="str">
        <f>HYPERLINK("https://asmlis.vasa.lt/Dashboard/Served?ServiceDateFrom=2025-11-24&amp;ServiceDateTo=2025-11-24&amp;DumpsterInvNr=13-L-316510", "13-L-316510")</f>
        <v>13-L-316510</v>
      </c>
      <c r="C174">
        <v>5</v>
      </c>
      <c r="D174" t="s">
        <v>255</v>
      </c>
      <c r="E174" t="s">
        <v>11</v>
      </c>
      <c r="F174" t="s">
        <v>13</v>
      </c>
      <c r="G174" t="s">
        <v>9</v>
      </c>
      <c r="H174" t="s">
        <v>14</v>
      </c>
    </row>
    <row r="175" spans="1:8" hidden="1" x14ac:dyDescent="0.25">
      <c r="A175" t="s">
        <v>256</v>
      </c>
      <c r="B175" s="1" t="str">
        <f>HYPERLINK("https://asmlis.vasa.lt/Dashboard/Served?ServiceDateFrom=2025-11-24&amp;ServiceDateTo=2025-11-24&amp;DumpsterInvNr=13-L-315819", "13-L-315819")</f>
        <v>13-L-315819</v>
      </c>
      <c r="C175">
        <v>1.1000000000000001</v>
      </c>
      <c r="D175" t="s">
        <v>246</v>
      </c>
      <c r="E175" t="s">
        <v>11</v>
      </c>
      <c r="F175" t="s">
        <v>13</v>
      </c>
      <c r="G175" t="s">
        <v>9</v>
      </c>
      <c r="H175" t="s">
        <v>14</v>
      </c>
    </row>
    <row r="176" spans="1:8" hidden="1" x14ac:dyDescent="0.25">
      <c r="A176" t="s">
        <v>257</v>
      </c>
      <c r="B176" s="1" t="str">
        <f>HYPERLINK("https://asmlis.vasa.lt/Dashboard/Served?ServiceDateFrom=2025-11-24&amp;ServiceDateTo=2025-11-24&amp;DumpsterInvNr=13-L-315820", "13-L-315820")</f>
        <v>13-L-315820</v>
      </c>
      <c r="C176">
        <v>1.1000000000000001</v>
      </c>
      <c r="D176" t="s">
        <v>246</v>
      </c>
      <c r="E176" t="s">
        <v>11</v>
      </c>
      <c r="F176" t="s">
        <v>13</v>
      </c>
      <c r="G176" t="s">
        <v>9</v>
      </c>
      <c r="H176" t="s">
        <v>14</v>
      </c>
    </row>
    <row r="177" spans="1:8" hidden="1" x14ac:dyDescent="0.25">
      <c r="A177" t="s">
        <v>258</v>
      </c>
      <c r="B177" s="1" t="str">
        <f>HYPERLINK("https://asmlis.vasa.lt/Dashboard/Served?ServiceDateFrom=2025-11-24&amp;ServiceDateTo=2025-11-24&amp;DumpsterInvNr=13-L-311545", "13-L-311545")</f>
        <v>13-L-311545</v>
      </c>
      <c r="C177">
        <v>1.1000000000000001</v>
      </c>
      <c r="D177" t="s">
        <v>246</v>
      </c>
      <c r="E177" t="s">
        <v>11</v>
      </c>
      <c r="F177" t="s">
        <v>13</v>
      </c>
      <c r="G177" t="s">
        <v>9</v>
      </c>
      <c r="H177" t="s">
        <v>14</v>
      </c>
    </row>
    <row r="178" spans="1:8" hidden="1" x14ac:dyDescent="0.25">
      <c r="A178" t="s">
        <v>259</v>
      </c>
      <c r="B178" s="1" t="str">
        <f>HYPERLINK("https://asmlis.vasa.lt/Dashboard/Served?ServiceDateFrom=2025-11-24&amp;ServiceDateTo=2025-11-24&amp;DumpsterInvNr=13-P-204816", "13-P-204816")</f>
        <v>13-P-204816</v>
      </c>
      <c r="C178">
        <v>5</v>
      </c>
      <c r="D178" t="s">
        <v>260</v>
      </c>
      <c r="E178" t="s">
        <v>11</v>
      </c>
      <c r="G178" t="s">
        <v>234</v>
      </c>
      <c r="H178" t="s">
        <v>14</v>
      </c>
    </row>
    <row r="179" spans="1:8" hidden="1" x14ac:dyDescent="0.25">
      <c r="A179" t="s">
        <v>261</v>
      </c>
      <c r="B179" s="1" t="str">
        <f>HYPERLINK("https://asmlis.vasa.lt/Dashboard/Served?ServiceDateFrom=2025-11-24&amp;ServiceDateTo=2025-11-24&amp;DumpsterInvNr=13-L-317256", "13-L-317256")</f>
        <v>13-L-317256</v>
      </c>
      <c r="C179">
        <v>1.1000000000000001</v>
      </c>
      <c r="D179" t="s">
        <v>262</v>
      </c>
      <c r="E179" t="s">
        <v>11</v>
      </c>
      <c r="G179" t="s">
        <v>9</v>
      </c>
      <c r="H179" t="s">
        <v>14</v>
      </c>
    </row>
    <row r="180" spans="1:8" hidden="1" x14ac:dyDescent="0.25">
      <c r="A180" t="s">
        <v>263</v>
      </c>
      <c r="B180" s="1" t="str">
        <f>HYPERLINK("https://asmlis.vasa.lt/Dashboard/Served?ServiceDateFrom=2025-11-24&amp;ServiceDateTo=2025-11-24&amp;DumpsterInvNr=13-P-401416", "13-P-401416")</f>
        <v>13-P-401416</v>
      </c>
      <c r="C180">
        <v>1.1000000000000001</v>
      </c>
      <c r="D180" t="s">
        <v>265</v>
      </c>
      <c r="E180" t="s">
        <v>11</v>
      </c>
      <c r="G180" t="s">
        <v>264</v>
      </c>
      <c r="H180" t="s">
        <v>14</v>
      </c>
    </row>
    <row r="181" spans="1:8" hidden="1" x14ac:dyDescent="0.25">
      <c r="A181" t="s">
        <v>266</v>
      </c>
      <c r="B181" s="1" t="str">
        <f>HYPERLINK("https://asmlis.vasa.lt/Dashboard/Served?ServiceDateFrom=2025-11-24&amp;ServiceDateTo=2025-11-24&amp;DumpsterInvNr=13-L-318344", "13-L-318344")</f>
        <v>13-L-318344</v>
      </c>
      <c r="C181">
        <v>5</v>
      </c>
      <c r="D181" t="s">
        <v>267</v>
      </c>
      <c r="E181" t="s">
        <v>11</v>
      </c>
      <c r="F181" t="s">
        <v>13</v>
      </c>
      <c r="G181" t="s">
        <v>9</v>
      </c>
      <c r="H181" t="s">
        <v>14</v>
      </c>
    </row>
    <row r="182" spans="1:8" hidden="1" x14ac:dyDescent="0.25">
      <c r="A182" t="s">
        <v>268</v>
      </c>
      <c r="B182" s="1" t="str">
        <f>HYPERLINK("https://asmlis.vasa.lt/Dashboard/Served?ServiceDateFrom=2025-11-24&amp;ServiceDateTo=2025-11-24&amp;DumpsterInvNr=13-L-420959", "13-L-420959")</f>
        <v>13-L-420959</v>
      </c>
      <c r="C182">
        <v>1.1000000000000001</v>
      </c>
      <c r="D182" t="s">
        <v>269</v>
      </c>
      <c r="E182" t="s">
        <v>11</v>
      </c>
      <c r="G182" t="s">
        <v>74</v>
      </c>
      <c r="H182" t="s">
        <v>14</v>
      </c>
    </row>
    <row r="183" spans="1:8" hidden="1" x14ac:dyDescent="0.25">
      <c r="A183" t="s">
        <v>270</v>
      </c>
      <c r="B183" s="1" t="str">
        <f>HYPERLINK("https://asmlis.vasa.lt/Dashboard/Served?ServiceDateFrom=2025-11-24&amp;ServiceDateTo=2025-11-24&amp;DumpsterInvNr=13-L-421088", "13-L-421088")</f>
        <v>13-L-421088</v>
      </c>
      <c r="C183">
        <v>1.1000000000000001</v>
      </c>
      <c r="D183" t="s">
        <v>269</v>
      </c>
      <c r="E183" t="s">
        <v>11</v>
      </c>
      <c r="G183" t="s">
        <v>74</v>
      </c>
      <c r="H183" t="s">
        <v>14</v>
      </c>
    </row>
    <row r="184" spans="1:8" hidden="1" x14ac:dyDescent="0.25">
      <c r="A184" t="s">
        <v>271</v>
      </c>
      <c r="B184" s="1" t="str">
        <f>HYPERLINK("https://asmlis.vasa.lt/Dashboard/Served?ServiceDateFrom=2025-11-24&amp;ServiceDateTo=2025-11-24&amp;DumpsterInvNr=13-L-423212", "13-L-423212")</f>
        <v>13-L-423212</v>
      </c>
      <c r="C184">
        <v>5</v>
      </c>
      <c r="D184" t="s">
        <v>272</v>
      </c>
      <c r="E184" t="s">
        <v>11</v>
      </c>
      <c r="G184" t="s">
        <v>74</v>
      </c>
      <c r="H184" t="s">
        <v>14</v>
      </c>
    </row>
    <row r="185" spans="1:8" hidden="1" x14ac:dyDescent="0.25">
      <c r="A185" t="s">
        <v>273</v>
      </c>
      <c r="B185" s="1" t="str">
        <f>HYPERLINK("https://asmlis.vasa.lt/Dashboard/Served?ServiceDateFrom=2025-11-24&amp;ServiceDateTo=2025-11-24&amp;DumpsterInvNr=13-L-421067", "13-L-421067")</f>
        <v>13-L-421067</v>
      </c>
      <c r="C185">
        <v>1.1000000000000001</v>
      </c>
      <c r="D185" t="s">
        <v>269</v>
      </c>
      <c r="E185" t="s">
        <v>11</v>
      </c>
      <c r="F185" t="s">
        <v>13</v>
      </c>
      <c r="G185" t="s">
        <v>74</v>
      </c>
      <c r="H185" t="s">
        <v>14</v>
      </c>
    </row>
    <row r="186" spans="1:8" hidden="1" x14ac:dyDescent="0.25">
      <c r="A186" t="s">
        <v>274</v>
      </c>
      <c r="B186" s="1" t="str">
        <f>HYPERLINK("https://asmlis.vasa.lt/Dashboard/Served?ServiceDateFrom=2025-11-24&amp;ServiceDateTo=2025-11-24&amp;DumpsterInvNr=13-L-422968", "13-L-422968")</f>
        <v>13-L-422968</v>
      </c>
      <c r="C186">
        <v>1.1000000000000001</v>
      </c>
      <c r="D186" t="s">
        <v>269</v>
      </c>
      <c r="E186" t="s">
        <v>11</v>
      </c>
      <c r="F186" t="s">
        <v>13</v>
      </c>
      <c r="G186" t="s">
        <v>74</v>
      </c>
      <c r="H186" t="s">
        <v>14</v>
      </c>
    </row>
    <row r="187" spans="1:8" hidden="1" x14ac:dyDescent="0.25">
      <c r="A187" t="s">
        <v>275</v>
      </c>
      <c r="B187" s="1" t="str">
        <f>HYPERLINK("https://asmlis.vasa.lt/Dashboard/Served?ServiceDateFrom=2025-11-24&amp;ServiceDateTo=2025-11-24&amp;DumpsterInvNr=13-L-316367", "13-L-316367")</f>
        <v>13-L-316367</v>
      </c>
      <c r="C187">
        <v>0.12</v>
      </c>
      <c r="D187" t="s">
        <v>276</v>
      </c>
      <c r="E187" t="s">
        <v>11</v>
      </c>
      <c r="G187" t="s">
        <v>9</v>
      </c>
      <c r="H187" t="s">
        <v>14</v>
      </c>
    </row>
    <row r="188" spans="1:8" hidden="1" x14ac:dyDescent="0.25">
      <c r="A188" t="s">
        <v>277</v>
      </c>
      <c r="B188" s="1" t="str">
        <f>HYPERLINK("https://asmlis.vasa.lt/Dashboard/Served?ServiceDateFrom=2025-11-24&amp;ServiceDateTo=2025-11-24&amp;DumpsterInvNr=13-L-302931", "13-L-302931")</f>
        <v>13-L-302931</v>
      </c>
      <c r="C188">
        <v>1.1000000000000001</v>
      </c>
      <c r="D188" t="s">
        <v>278</v>
      </c>
      <c r="E188" t="s">
        <v>11</v>
      </c>
      <c r="G188" t="s">
        <v>9</v>
      </c>
      <c r="H188" t="s">
        <v>14</v>
      </c>
    </row>
    <row r="189" spans="1:8" hidden="1" x14ac:dyDescent="0.25">
      <c r="A189" t="s">
        <v>279</v>
      </c>
      <c r="B189" s="1" t="str">
        <f>HYPERLINK("https://asmlis.vasa.lt/Dashboard/Served?ServiceDateFrom=2025-11-24&amp;ServiceDateTo=2025-11-24&amp;DumpsterInvNr=13-P-213135", "13-P-213135")</f>
        <v>13-P-213135</v>
      </c>
      <c r="C189">
        <v>2.5</v>
      </c>
      <c r="D189" t="s">
        <v>280</v>
      </c>
      <c r="E189" t="s">
        <v>11</v>
      </c>
      <c r="G189" t="s">
        <v>234</v>
      </c>
      <c r="H189" t="s">
        <v>14</v>
      </c>
    </row>
    <row r="190" spans="1:8" hidden="1" x14ac:dyDescent="0.25">
      <c r="A190" t="s">
        <v>281</v>
      </c>
      <c r="B190" s="1" t="str">
        <f>HYPERLINK("https://asmlis.vasa.lt/Dashboard/Served?ServiceDateFrom=2025-11-24&amp;ServiceDateTo=2025-11-24&amp;DumpsterInvNr=13-L-316429", "13-L-316429")</f>
        <v>13-L-316429</v>
      </c>
      <c r="C190">
        <v>0.12</v>
      </c>
      <c r="D190" t="s">
        <v>276</v>
      </c>
      <c r="E190" t="s">
        <v>11</v>
      </c>
      <c r="F190" t="s">
        <v>13</v>
      </c>
      <c r="G190" t="s">
        <v>9</v>
      </c>
      <c r="H190" t="s">
        <v>14</v>
      </c>
    </row>
    <row r="191" spans="1:8" hidden="1" x14ac:dyDescent="0.25">
      <c r="A191" t="s">
        <v>283</v>
      </c>
      <c r="B191" s="1" t="str">
        <f>HYPERLINK("https://asmlis.vasa.lt/Dashboard/Served?ServiceDateFrom=2025-11-24&amp;ServiceDateTo=2025-11-24&amp;DumpsterInvNr=13-P-408935", "13-P-408935")</f>
        <v>13-P-408935</v>
      </c>
      <c r="C191">
        <v>1.1000000000000001</v>
      </c>
      <c r="D191" t="s">
        <v>284</v>
      </c>
      <c r="E191" t="s">
        <v>11</v>
      </c>
      <c r="G191" t="s">
        <v>264</v>
      </c>
      <c r="H191" t="s">
        <v>14</v>
      </c>
    </row>
    <row r="192" spans="1:8" hidden="1" x14ac:dyDescent="0.25">
      <c r="A192" t="s">
        <v>285</v>
      </c>
      <c r="B192" s="1" t="str">
        <f>HYPERLINK("https://asmlis.vasa.lt/Dashboard/Served?ServiceDateFrom=2025-11-24&amp;ServiceDateTo=2025-11-24&amp;DumpsterInvNr=13-L-315657", "13-L-315657")</f>
        <v>13-L-315657</v>
      </c>
      <c r="C192">
        <v>5</v>
      </c>
      <c r="D192" t="s">
        <v>286</v>
      </c>
      <c r="E192" t="s">
        <v>11</v>
      </c>
      <c r="F192" t="s">
        <v>13</v>
      </c>
      <c r="G192" t="s">
        <v>9</v>
      </c>
      <c r="H192" t="s">
        <v>14</v>
      </c>
    </row>
    <row r="193" spans="1:8" hidden="1" x14ac:dyDescent="0.25">
      <c r="A193" t="s">
        <v>287</v>
      </c>
      <c r="B193" s="1" t="str">
        <f>HYPERLINK("https://asmlis.vasa.lt/Dashboard/Served?ServiceDateFrom=2025-11-24&amp;ServiceDateTo=2025-11-24&amp;DumpsterInvNr=13-P-409198", "13-P-409198")</f>
        <v>13-P-409198</v>
      </c>
      <c r="C193">
        <v>1.1000000000000001</v>
      </c>
      <c r="D193" t="s">
        <v>284</v>
      </c>
      <c r="E193" t="s">
        <v>11</v>
      </c>
      <c r="G193" t="s">
        <v>264</v>
      </c>
      <c r="H193" t="s">
        <v>14</v>
      </c>
    </row>
    <row r="194" spans="1:8" hidden="1" x14ac:dyDescent="0.25">
      <c r="A194" t="s">
        <v>288</v>
      </c>
      <c r="B194" s="1" t="str">
        <f>HYPERLINK("https://asmlis.vasa.lt/Dashboard/Served?ServiceDateFrom=2025-11-24&amp;ServiceDateTo=2025-11-24&amp;DumpsterInvNr=13-L-317719", "13-L-317719")</f>
        <v>13-L-317719</v>
      </c>
      <c r="C194">
        <v>1.1000000000000001</v>
      </c>
      <c r="D194" t="s">
        <v>289</v>
      </c>
      <c r="E194" t="s">
        <v>11</v>
      </c>
      <c r="F194" t="s">
        <v>13</v>
      </c>
      <c r="G194" t="s">
        <v>9</v>
      </c>
      <c r="H194" t="s">
        <v>14</v>
      </c>
    </row>
    <row r="195" spans="1:8" hidden="1" x14ac:dyDescent="0.25">
      <c r="A195" t="s">
        <v>290</v>
      </c>
      <c r="B195" s="1" t="str">
        <f>HYPERLINK("https://asmlis.vasa.lt/Dashboard/Served?ServiceDateFrom=2025-11-24&amp;ServiceDateTo=2025-11-24&amp;DumpsterInvNr=13-L-423207", "13-L-423207")</f>
        <v>13-L-423207</v>
      </c>
      <c r="C195">
        <v>5</v>
      </c>
      <c r="D195" t="s">
        <v>291</v>
      </c>
      <c r="E195" t="s">
        <v>11</v>
      </c>
      <c r="G195" t="s">
        <v>74</v>
      </c>
      <c r="H195" t="s">
        <v>14</v>
      </c>
    </row>
    <row r="196" spans="1:8" hidden="1" x14ac:dyDescent="0.25">
      <c r="A196" t="s">
        <v>292</v>
      </c>
      <c r="B196" s="1" t="str">
        <f>HYPERLINK("https://asmlis.vasa.lt/Dashboard/Served?ServiceDateFrom=2025-11-24&amp;ServiceDateTo=2025-11-24&amp;DumpsterInvNr=13-L-316877", "13-L-316877")</f>
        <v>13-L-316877</v>
      </c>
      <c r="C196">
        <v>1.1000000000000001</v>
      </c>
      <c r="D196" t="s">
        <v>289</v>
      </c>
      <c r="E196" t="s">
        <v>11</v>
      </c>
      <c r="F196" t="s">
        <v>13</v>
      </c>
      <c r="G196" t="s">
        <v>9</v>
      </c>
      <c r="H196" t="s">
        <v>14</v>
      </c>
    </row>
    <row r="197" spans="1:8" hidden="1" x14ac:dyDescent="0.25">
      <c r="A197" t="s">
        <v>293</v>
      </c>
      <c r="B197" s="1" t="str">
        <f>HYPERLINK("https://asmlis.vasa.lt/Dashboard/Served?ServiceDateFrom=2025-11-24&amp;ServiceDateTo=2025-11-24&amp;DumpsterInvNr=13-L-420694", "13-L-420694")</f>
        <v>13-L-420694</v>
      </c>
      <c r="C197">
        <v>1.1000000000000001</v>
      </c>
      <c r="D197" t="s">
        <v>294</v>
      </c>
      <c r="E197" t="s">
        <v>11</v>
      </c>
      <c r="G197" t="s">
        <v>74</v>
      </c>
      <c r="H197" t="s">
        <v>14</v>
      </c>
    </row>
    <row r="198" spans="1:8" hidden="1" x14ac:dyDescent="0.25">
      <c r="A198" t="s">
        <v>295</v>
      </c>
      <c r="B198" s="1" t="str">
        <f>HYPERLINK("https://asmlis.vasa.lt/Dashboard/Served?ServiceDateFrom=2025-11-24&amp;ServiceDateTo=2025-11-24&amp;DumpsterInvNr=13-P-207720", "13-P-207720")</f>
        <v>13-P-207720</v>
      </c>
      <c r="C198">
        <v>5</v>
      </c>
      <c r="D198" t="s">
        <v>296</v>
      </c>
      <c r="E198" t="s">
        <v>11</v>
      </c>
      <c r="G198" t="s">
        <v>234</v>
      </c>
      <c r="H198" t="s">
        <v>14</v>
      </c>
    </row>
    <row r="199" spans="1:8" hidden="1" x14ac:dyDescent="0.25">
      <c r="A199" t="s">
        <v>297</v>
      </c>
      <c r="B199" s="1" t="str">
        <f>HYPERLINK("https://asmlis.vasa.lt/Dashboard/Served?ServiceDateFrom=2025-11-24&amp;ServiceDateTo=2025-11-24&amp;DumpsterInvNr=13-L-314169", "13-L-314169")</f>
        <v>13-L-314169</v>
      </c>
      <c r="C199">
        <v>5</v>
      </c>
      <c r="D199" t="s">
        <v>298</v>
      </c>
      <c r="E199" t="s">
        <v>11</v>
      </c>
      <c r="F199" t="s">
        <v>13</v>
      </c>
      <c r="G199" t="s">
        <v>9</v>
      </c>
      <c r="H199" t="s">
        <v>14</v>
      </c>
    </row>
    <row r="200" spans="1:8" hidden="1" x14ac:dyDescent="0.25">
      <c r="A200" t="s">
        <v>299</v>
      </c>
      <c r="B200" s="1" t="str">
        <f>HYPERLINK("https://asmlis.vasa.lt/Dashboard/Served?ServiceDateFrom=2025-11-24&amp;ServiceDateTo=2025-11-24&amp;DumpsterInvNr=13-L-301726", "13-L-301726")</f>
        <v>13-L-301726</v>
      </c>
      <c r="C200">
        <v>1.1000000000000001</v>
      </c>
      <c r="D200" t="s">
        <v>250</v>
      </c>
      <c r="E200" t="s">
        <v>11</v>
      </c>
      <c r="F200" t="s">
        <v>13</v>
      </c>
      <c r="G200" t="s">
        <v>9</v>
      </c>
      <c r="H200" t="s">
        <v>14</v>
      </c>
    </row>
    <row r="201" spans="1:8" hidden="1" x14ac:dyDescent="0.25">
      <c r="A201" t="s">
        <v>300</v>
      </c>
      <c r="B201" s="1" t="str">
        <f>HYPERLINK("https://asmlis.vasa.lt/Dashboard/Served?ServiceDateFrom=2025-11-24&amp;ServiceDateTo=2025-11-24&amp;DumpsterInvNr=13-L-317927", "13-L-317927")</f>
        <v>13-L-317927</v>
      </c>
      <c r="C201">
        <v>1.1000000000000001</v>
      </c>
      <c r="D201" t="s">
        <v>301</v>
      </c>
      <c r="E201" t="s">
        <v>11</v>
      </c>
      <c r="G201" t="s">
        <v>9</v>
      </c>
      <c r="H201" t="s">
        <v>14</v>
      </c>
    </row>
    <row r="202" spans="1:8" hidden="1" x14ac:dyDescent="0.25">
      <c r="A202" t="s">
        <v>302</v>
      </c>
      <c r="B202" s="1" t="str">
        <f>HYPERLINK("https://asmlis.vasa.lt/Dashboard/Served?ServiceDateFrom=2025-11-24&amp;ServiceDateTo=2025-11-24&amp;DumpsterInvNr=13-L-301727", "13-L-301727")</f>
        <v>13-L-301727</v>
      </c>
      <c r="C202">
        <v>1.1000000000000001</v>
      </c>
      <c r="D202" t="s">
        <v>250</v>
      </c>
      <c r="E202" t="s">
        <v>11</v>
      </c>
      <c r="F202" t="s">
        <v>13</v>
      </c>
      <c r="G202" t="s">
        <v>9</v>
      </c>
      <c r="H202" t="s">
        <v>14</v>
      </c>
    </row>
    <row r="203" spans="1:8" hidden="1" x14ac:dyDescent="0.25">
      <c r="A203" t="s">
        <v>303</v>
      </c>
      <c r="B203" s="1" t="str">
        <f>HYPERLINK("https://asmlis.vasa.lt/Dashboard/Served?ServiceDateFrom=2025-11-24&amp;ServiceDateTo=2025-11-24&amp;DumpsterInvNr=13-L-316611", "13-L-316611")</f>
        <v>13-L-316611</v>
      </c>
      <c r="C203">
        <v>1.1000000000000001</v>
      </c>
      <c r="D203" t="s">
        <v>301</v>
      </c>
      <c r="E203" t="s">
        <v>11</v>
      </c>
      <c r="G203" t="s">
        <v>9</v>
      </c>
      <c r="H203" t="s">
        <v>14</v>
      </c>
    </row>
    <row r="204" spans="1:8" hidden="1" x14ac:dyDescent="0.25">
      <c r="A204" t="s">
        <v>304</v>
      </c>
      <c r="B204" s="1" t="str">
        <f>HYPERLINK("https://asmlis.vasa.lt/Dashboard/Served?ServiceDateFrom=2025-11-24&amp;ServiceDateTo=2025-11-24&amp;DumpsterInvNr=13-L-313324", "13-L-313324")</f>
        <v>13-L-313324</v>
      </c>
      <c r="C204">
        <v>0.24</v>
      </c>
      <c r="D204" t="s">
        <v>305</v>
      </c>
      <c r="E204" t="s">
        <v>11</v>
      </c>
      <c r="G204" t="s">
        <v>9</v>
      </c>
      <c r="H204" t="s">
        <v>14</v>
      </c>
    </row>
    <row r="205" spans="1:8" hidden="1" x14ac:dyDescent="0.25">
      <c r="A205" t="s">
        <v>304</v>
      </c>
      <c r="B205" s="1" t="str">
        <f>HYPERLINK("https://asmlis.vasa.lt/Dashboard/Served?ServiceDateFrom=2025-11-24&amp;ServiceDateTo=2025-11-24&amp;DumpsterInvNr=13-L-304872", "13-L-304872")</f>
        <v>13-L-304872</v>
      </c>
      <c r="C205">
        <v>0.24</v>
      </c>
      <c r="D205" t="s">
        <v>305</v>
      </c>
      <c r="E205" t="s">
        <v>11</v>
      </c>
      <c r="G205" t="s">
        <v>9</v>
      </c>
      <c r="H205" t="s">
        <v>14</v>
      </c>
    </row>
    <row r="206" spans="1:8" hidden="1" x14ac:dyDescent="0.25">
      <c r="A206" t="s">
        <v>306</v>
      </c>
      <c r="B206" s="1" t="str">
        <f>HYPERLINK("https://asmlis.vasa.lt/Dashboard/Served?ServiceDateFrom=2025-11-24&amp;ServiceDateTo=2025-11-24&amp;DumpsterInvNr=13-P-402313", "13-P-402313")</f>
        <v>13-P-402313</v>
      </c>
      <c r="C206">
        <v>1.1000000000000001</v>
      </c>
      <c r="D206" t="s">
        <v>307</v>
      </c>
      <c r="E206" t="s">
        <v>11</v>
      </c>
      <c r="G206" t="s">
        <v>264</v>
      </c>
      <c r="H206" t="s">
        <v>14</v>
      </c>
    </row>
    <row r="207" spans="1:8" hidden="1" x14ac:dyDescent="0.25">
      <c r="A207" t="s">
        <v>308</v>
      </c>
      <c r="B207" s="1" t="str">
        <f>HYPERLINK("https://asmlis.vasa.lt/Dashboard/Served?ServiceDateFrom=2025-11-24&amp;ServiceDateTo=2025-11-24&amp;DumpsterInvNr=13-L-420589", "13-L-420589")</f>
        <v>13-L-420589</v>
      </c>
      <c r="C207">
        <v>1.1000000000000001</v>
      </c>
      <c r="D207" t="s">
        <v>309</v>
      </c>
      <c r="E207" t="s">
        <v>11</v>
      </c>
      <c r="G207" t="s">
        <v>74</v>
      </c>
      <c r="H207" t="s">
        <v>14</v>
      </c>
    </row>
    <row r="208" spans="1:8" hidden="1" x14ac:dyDescent="0.25">
      <c r="A208" t="s">
        <v>310</v>
      </c>
      <c r="B208" s="1" t="str">
        <f>HYPERLINK("https://asmlis.vasa.lt/Dashboard/Served?ServiceDateFrom=2025-11-24&amp;ServiceDateTo=2025-11-24&amp;DumpsterInvNr=13-P-213051", "13-P-213051")</f>
        <v>13-P-213051</v>
      </c>
      <c r="C208">
        <v>5</v>
      </c>
      <c r="D208" t="s">
        <v>311</v>
      </c>
      <c r="E208" t="s">
        <v>11</v>
      </c>
      <c r="F208" t="s">
        <v>13</v>
      </c>
      <c r="G208" t="s">
        <v>234</v>
      </c>
      <c r="H208" t="s">
        <v>14</v>
      </c>
    </row>
    <row r="209" spans="1:8" hidden="1" x14ac:dyDescent="0.25">
      <c r="A209" t="s">
        <v>312</v>
      </c>
      <c r="B209" s="1" t="str">
        <f>HYPERLINK("https://asmlis.vasa.lt/Dashboard/Served?ServiceDateFrom=2025-11-24&amp;ServiceDateTo=2025-11-24&amp;DumpsterInvNr=13-L-315370", "13-L-315370")</f>
        <v>13-L-315370</v>
      </c>
      <c r="C209">
        <v>0.77</v>
      </c>
      <c r="D209" t="s">
        <v>313</v>
      </c>
      <c r="E209" t="s">
        <v>11</v>
      </c>
      <c r="F209" t="s">
        <v>13</v>
      </c>
      <c r="G209" t="s">
        <v>9</v>
      </c>
      <c r="H209" t="s">
        <v>14</v>
      </c>
    </row>
    <row r="210" spans="1:8" hidden="1" x14ac:dyDescent="0.25">
      <c r="A210" t="s">
        <v>314</v>
      </c>
      <c r="B210" s="1" t="str">
        <f>HYPERLINK("https://asmlis.vasa.lt/Dashboard/Served?ServiceDateFrom=2025-11-24&amp;ServiceDateTo=2025-11-24&amp;DumpsterInvNr=13-L-312032", "13-L-312032")</f>
        <v>13-L-312032</v>
      </c>
      <c r="C210">
        <v>1.1000000000000001</v>
      </c>
      <c r="D210" t="s">
        <v>315</v>
      </c>
      <c r="E210" t="s">
        <v>11</v>
      </c>
      <c r="F210" t="s">
        <v>13</v>
      </c>
      <c r="G210" t="s">
        <v>9</v>
      </c>
      <c r="H210" t="s">
        <v>14</v>
      </c>
    </row>
    <row r="211" spans="1:8" hidden="1" x14ac:dyDescent="0.25">
      <c r="A211" t="s">
        <v>316</v>
      </c>
      <c r="B211" s="1" t="str">
        <f>HYPERLINK("https://asmlis.vasa.lt/Dashboard/Served?ServiceDateFrom=2025-11-24&amp;ServiceDateTo=2025-11-24&amp;DumpsterInvNr=13-L-316406", "13-L-316406")</f>
        <v>13-L-316406</v>
      </c>
      <c r="C211">
        <v>1.1000000000000001</v>
      </c>
      <c r="D211" t="s">
        <v>315</v>
      </c>
      <c r="E211" t="s">
        <v>11</v>
      </c>
      <c r="F211" t="s">
        <v>13</v>
      </c>
      <c r="G211" t="s">
        <v>9</v>
      </c>
      <c r="H211" t="s">
        <v>14</v>
      </c>
    </row>
    <row r="212" spans="1:8" hidden="1" x14ac:dyDescent="0.25">
      <c r="A212" t="s">
        <v>317</v>
      </c>
      <c r="B212" s="1" t="str">
        <f>HYPERLINK("https://asmlis.vasa.lt/Dashboard/Served?ServiceDateFrom=2025-11-24&amp;ServiceDateTo=2025-11-24&amp;DumpsterInvNr=13-L-313450", "13-L-313450")</f>
        <v>13-L-313450</v>
      </c>
      <c r="C212">
        <v>1.1000000000000001</v>
      </c>
      <c r="D212" t="s">
        <v>313</v>
      </c>
      <c r="E212" t="s">
        <v>11</v>
      </c>
      <c r="F212" t="s">
        <v>13</v>
      </c>
      <c r="G212" t="s">
        <v>9</v>
      </c>
      <c r="H212" t="s">
        <v>14</v>
      </c>
    </row>
    <row r="213" spans="1:8" hidden="1" x14ac:dyDescent="0.25">
      <c r="A213" t="s">
        <v>318</v>
      </c>
      <c r="B213" s="1" t="str">
        <f>HYPERLINK("https://asmlis.vasa.lt/Dashboard/Served?ServiceDateFrom=2025-11-24&amp;ServiceDateTo=2025-11-24&amp;DumpsterInvNr=13-L-318930", "13-L-318930")</f>
        <v>13-L-318930</v>
      </c>
      <c r="C213">
        <v>1.1000000000000001</v>
      </c>
      <c r="D213" t="s">
        <v>319</v>
      </c>
      <c r="E213" t="s">
        <v>11</v>
      </c>
      <c r="F213" t="s">
        <v>13</v>
      </c>
      <c r="G213" t="s">
        <v>9</v>
      </c>
      <c r="H213" t="s">
        <v>14</v>
      </c>
    </row>
    <row r="214" spans="1:8" hidden="1" x14ac:dyDescent="0.25">
      <c r="A214" t="s">
        <v>320</v>
      </c>
      <c r="B214" s="1" t="str">
        <f>HYPERLINK("https://asmlis.vasa.lt/Dashboard/Served?ServiceDateFrom=2025-11-24&amp;ServiceDateTo=2025-11-24&amp;DumpsterInvNr=13-L-423221", "13-L-423221")</f>
        <v>13-L-423221</v>
      </c>
      <c r="C214">
        <v>5</v>
      </c>
      <c r="D214" t="s">
        <v>321</v>
      </c>
      <c r="E214" t="s">
        <v>11</v>
      </c>
      <c r="G214" t="s">
        <v>74</v>
      </c>
      <c r="H214" t="s">
        <v>14</v>
      </c>
    </row>
    <row r="215" spans="1:8" hidden="1" x14ac:dyDescent="0.25">
      <c r="A215" t="s">
        <v>322</v>
      </c>
      <c r="B215" s="1" t="str">
        <f>HYPERLINK("https://asmlis.vasa.lt/Dashboard/Served?ServiceDateFrom=2025-11-24&amp;ServiceDateTo=2025-11-24&amp;DumpsterInvNr=13-L-315607", "13-L-315607")</f>
        <v>13-L-315607</v>
      </c>
      <c r="C215">
        <v>5</v>
      </c>
      <c r="D215" t="s">
        <v>323</v>
      </c>
      <c r="E215" t="s">
        <v>11</v>
      </c>
      <c r="F215" t="s">
        <v>13</v>
      </c>
      <c r="G215" t="s">
        <v>9</v>
      </c>
      <c r="H215" t="s">
        <v>14</v>
      </c>
    </row>
    <row r="216" spans="1:8" hidden="1" x14ac:dyDescent="0.25">
      <c r="A216" t="s">
        <v>324</v>
      </c>
      <c r="B216" s="1" t="str">
        <f>HYPERLINK("https://asmlis.vasa.lt/Dashboard/Served?ServiceDateFrom=2025-11-24&amp;ServiceDateTo=2025-11-24&amp;DumpsterInvNr=13-L-318887", "13-L-318887")</f>
        <v>13-L-318887</v>
      </c>
      <c r="C216">
        <v>1.1000000000000001</v>
      </c>
      <c r="D216" t="s">
        <v>325</v>
      </c>
      <c r="E216" t="s">
        <v>11</v>
      </c>
      <c r="G216" t="s">
        <v>9</v>
      </c>
      <c r="H216" t="s">
        <v>14</v>
      </c>
    </row>
    <row r="217" spans="1:8" hidden="1" x14ac:dyDescent="0.25">
      <c r="A217" t="s">
        <v>326</v>
      </c>
      <c r="B217" s="1" t="str">
        <f>HYPERLINK("https://asmlis.vasa.lt/Dashboard/Served?ServiceDateFrom=2025-11-24&amp;ServiceDateTo=2025-11-24&amp;DumpsterInvNr=13-L-315340", "13-L-315340")</f>
        <v>13-L-315340</v>
      </c>
      <c r="C217">
        <v>1.1000000000000001</v>
      </c>
      <c r="D217" t="s">
        <v>327</v>
      </c>
      <c r="E217" t="s">
        <v>11</v>
      </c>
      <c r="G217" t="s">
        <v>9</v>
      </c>
      <c r="H217" t="s">
        <v>14</v>
      </c>
    </row>
    <row r="218" spans="1:8" hidden="1" x14ac:dyDescent="0.25">
      <c r="A218" t="s">
        <v>328</v>
      </c>
      <c r="B218" s="1" t="str">
        <f>HYPERLINK("https://asmlis.vasa.lt/Dashboard/Served?ServiceDateFrom=2025-11-24&amp;ServiceDateTo=2025-11-24&amp;DumpsterInvNr=13-L-313861", "13-L-313861")</f>
        <v>13-L-313861</v>
      </c>
      <c r="C218">
        <v>1.1000000000000001</v>
      </c>
      <c r="D218" t="s">
        <v>329</v>
      </c>
      <c r="E218" t="s">
        <v>11</v>
      </c>
      <c r="G218" t="s">
        <v>9</v>
      </c>
      <c r="H218" t="s">
        <v>14</v>
      </c>
    </row>
    <row r="219" spans="1:8" hidden="1" x14ac:dyDescent="0.25">
      <c r="A219" t="s">
        <v>330</v>
      </c>
      <c r="B219" s="1" t="str">
        <f>HYPERLINK("https://asmlis.vasa.lt/Dashboard/Served?ServiceDateFrom=2025-11-24&amp;ServiceDateTo=2025-11-24&amp;DumpsterInvNr=13-L-318433", "13-L-318433")</f>
        <v>13-L-318433</v>
      </c>
      <c r="C219">
        <v>1.1000000000000001</v>
      </c>
      <c r="D219" t="s">
        <v>327</v>
      </c>
      <c r="E219" t="s">
        <v>11</v>
      </c>
      <c r="F219" t="s">
        <v>13</v>
      </c>
      <c r="G219" t="s">
        <v>9</v>
      </c>
      <c r="H219" t="s">
        <v>14</v>
      </c>
    </row>
    <row r="220" spans="1:8" hidden="1" x14ac:dyDescent="0.25">
      <c r="A220" t="s">
        <v>331</v>
      </c>
      <c r="B220" s="1" t="str">
        <f>HYPERLINK("https://asmlis.vasa.lt/Dashboard/Served?ServiceDateFrom=2025-11-24&amp;ServiceDateTo=2025-11-24&amp;DumpsterInvNr=13-L-424740", "13-L-424740")</f>
        <v>13-L-424740</v>
      </c>
      <c r="C220">
        <v>1.1000000000000001</v>
      </c>
      <c r="D220" t="s">
        <v>332</v>
      </c>
      <c r="E220" t="s">
        <v>11</v>
      </c>
      <c r="G220" t="s">
        <v>74</v>
      </c>
      <c r="H220" t="s">
        <v>14</v>
      </c>
    </row>
    <row r="221" spans="1:8" hidden="1" x14ac:dyDescent="0.25">
      <c r="A221" t="s">
        <v>333</v>
      </c>
      <c r="B221" s="1" t="str">
        <f>HYPERLINK("https://asmlis.vasa.lt/Dashboard/Served?ServiceDateFrom=2025-11-24&amp;ServiceDateTo=2025-11-24&amp;DumpsterInvNr=13-L-421100", "13-L-421100")</f>
        <v>13-L-421100</v>
      </c>
      <c r="C221">
        <v>1.1000000000000001</v>
      </c>
      <c r="D221" t="s">
        <v>334</v>
      </c>
      <c r="E221" t="s">
        <v>11</v>
      </c>
      <c r="F221" t="s">
        <v>13</v>
      </c>
      <c r="G221" t="s">
        <v>74</v>
      </c>
      <c r="H221" t="s">
        <v>14</v>
      </c>
    </row>
    <row r="222" spans="1:8" hidden="1" x14ac:dyDescent="0.25">
      <c r="A222" t="s">
        <v>335</v>
      </c>
      <c r="B222" s="1" t="str">
        <f>HYPERLINK("https://asmlis.vasa.lt/Dashboard/Served?ServiceDateFrom=2025-11-24&amp;ServiceDateTo=2025-11-24&amp;DumpsterInvNr=13-L-316910", "13-L-316910")</f>
        <v>13-L-316910</v>
      </c>
      <c r="C222">
        <v>5</v>
      </c>
      <c r="D222" t="s">
        <v>336</v>
      </c>
      <c r="E222" t="s">
        <v>11</v>
      </c>
      <c r="F222" t="s">
        <v>13</v>
      </c>
      <c r="G222" t="s">
        <v>9</v>
      </c>
      <c r="H222" t="s">
        <v>14</v>
      </c>
    </row>
    <row r="223" spans="1:8" hidden="1" x14ac:dyDescent="0.25">
      <c r="A223" t="s">
        <v>337</v>
      </c>
      <c r="B223" s="1" t="str">
        <f>HYPERLINK("https://asmlis.vasa.lt/Dashboard/Served?ServiceDateFrom=2025-11-24&amp;ServiceDateTo=2025-11-24&amp;DumpsterInvNr=13-P-212058", "13-P-212058")</f>
        <v>13-P-212058</v>
      </c>
      <c r="C223">
        <v>2.5</v>
      </c>
      <c r="D223" t="s">
        <v>338</v>
      </c>
      <c r="E223" t="s">
        <v>11</v>
      </c>
      <c r="F223" t="s">
        <v>13</v>
      </c>
      <c r="G223" t="s">
        <v>234</v>
      </c>
      <c r="H223" t="s">
        <v>14</v>
      </c>
    </row>
    <row r="224" spans="1:8" hidden="1" x14ac:dyDescent="0.25">
      <c r="A224" t="s">
        <v>339</v>
      </c>
      <c r="B224" s="1" t="str">
        <f>HYPERLINK("https://asmlis.vasa.lt/Dashboard/Served?ServiceDateFrom=2025-11-24&amp;ServiceDateTo=2025-11-24&amp;DumpsterInvNr=13-L-315955", "13-L-315955")</f>
        <v>13-L-315955</v>
      </c>
      <c r="C224">
        <v>1.1000000000000001</v>
      </c>
      <c r="D224" t="s">
        <v>329</v>
      </c>
      <c r="E224" t="s">
        <v>11</v>
      </c>
      <c r="F224" t="s">
        <v>13</v>
      </c>
      <c r="G224" t="s">
        <v>9</v>
      </c>
      <c r="H224" t="s">
        <v>14</v>
      </c>
    </row>
    <row r="225" spans="1:8" hidden="1" x14ac:dyDescent="0.25">
      <c r="A225" t="s">
        <v>340</v>
      </c>
      <c r="B225" s="1" t="str">
        <f>HYPERLINK("https://asmlis.vasa.lt/Dashboard/Served?ServiceDateFrom=2025-11-24&amp;ServiceDateTo=2025-11-24&amp;DumpsterInvNr=13-P-207190", "13-P-207190")</f>
        <v>13-P-207190</v>
      </c>
      <c r="C225">
        <v>2.5</v>
      </c>
      <c r="D225" t="s">
        <v>338</v>
      </c>
      <c r="E225" t="s">
        <v>11</v>
      </c>
      <c r="F225" t="s">
        <v>13</v>
      </c>
      <c r="G225" t="s">
        <v>234</v>
      </c>
      <c r="H225" t="s">
        <v>14</v>
      </c>
    </row>
    <row r="226" spans="1:8" hidden="1" x14ac:dyDescent="0.25">
      <c r="A226" t="s">
        <v>341</v>
      </c>
      <c r="B226" s="1" t="str">
        <f>HYPERLINK("https://asmlis.vasa.lt/Dashboard/Served?ServiceDateFrom=2025-11-24&amp;ServiceDateTo=2025-11-24&amp;DumpsterInvNr=13-L-316682", "13-L-316682")</f>
        <v>13-L-316682</v>
      </c>
      <c r="C226">
        <v>1.1000000000000001</v>
      </c>
      <c r="D226" t="s">
        <v>342</v>
      </c>
      <c r="E226" t="s">
        <v>11</v>
      </c>
      <c r="F226" t="s">
        <v>13</v>
      </c>
      <c r="G226" t="s">
        <v>9</v>
      </c>
      <c r="H226" t="s">
        <v>14</v>
      </c>
    </row>
    <row r="227" spans="1:8" hidden="1" x14ac:dyDescent="0.25">
      <c r="A227" t="s">
        <v>343</v>
      </c>
      <c r="B227" s="1" t="str">
        <f>HYPERLINK("https://asmlis.vasa.lt/Dashboard/Served?ServiceDateFrom=2025-11-24&amp;ServiceDateTo=2025-11-24&amp;DumpsterInvNr=13-L-318710", "13-L-318710")</f>
        <v>13-L-318710</v>
      </c>
      <c r="C227">
        <v>1.1000000000000001</v>
      </c>
      <c r="D227" t="s">
        <v>344</v>
      </c>
      <c r="E227" t="s">
        <v>11</v>
      </c>
      <c r="G227" t="s">
        <v>9</v>
      </c>
      <c r="H227" t="s">
        <v>14</v>
      </c>
    </row>
    <row r="228" spans="1:8" hidden="1" x14ac:dyDescent="0.25">
      <c r="A228" t="s">
        <v>345</v>
      </c>
      <c r="B228" s="1" t="str">
        <f>HYPERLINK("https://asmlis.vasa.lt/Dashboard/Served?ServiceDateFrom=2025-11-24&amp;ServiceDateTo=2025-11-24&amp;DumpsterInvNr=13-L-318709", "13-L-318709")</f>
        <v>13-L-318709</v>
      </c>
      <c r="C228">
        <v>1.1000000000000001</v>
      </c>
      <c r="D228" t="s">
        <v>344</v>
      </c>
      <c r="E228" t="s">
        <v>11</v>
      </c>
      <c r="G228" t="s">
        <v>9</v>
      </c>
      <c r="H228" t="s">
        <v>14</v>
      </c>
    </row>
    <row r="229" spans="1:8" hidden="1" x14ac:dyDescent="0.25">
      <c r="A229" t="s">
        <v>346</v>
      </c>
      <c r="B229" s="1" t="str">
        <f>HYPERLINK("https://asmlis.vasa.lt/Dashboard/Served?ServiceDateFrom=2025-11-24&amp;ServiceDateTo=2025-11-24&amp;DumpsterInvNr=13-L-318708", "13-L-318708")</f>
        <v>13-L-318708</v>
      </c>
      <c r="C229">
        <v>1.1000000000000001</v>
      </c>
      <c r="D229" t="s">
        <v>344</v>
      </c>
      <c r="E229" t="s">
        <v>11</v>
      </c>
      <c r="G229" t="s">
        <v>9</v>
      </c>
      <c r="H229" t="s">
        <v>14</v>
      </c>
    </row>
    <row r="230" spans="1:8" hidden="1" x14ac:dyDescent="0.25">
      <c r="A230" t="s">
        <v>347</v>
      </c>
      <c r="B230" s="1" t="str">
        <f>HYPERLINK("https://asmlis.vasa.lt/Dashboard/Served?ServiceDateFrom=2025-11-24&amp;ServiceDateTo=2025-11-24&amp;DumpsterInvNr=13-L-404136", "13-L-404136")</f>
        <v>13-L-404136</v>
      </c>
      <c r="C230">
        <v>1.1000000000000001</v>
      </c>
      <c r="D230" t="s">
        <v>348</v>
      </c>
      <c r="E230" t="s">
        <v>11</v>
      </c>
      <c r="G230" t="s">
        <v>74</v>
      </c>
      <c r="H230" t="s">
        <v>14</v>
      </c>
    </row>
    <row r="231" spans="1:8" hidden="1" x14ac:dyDescent="0.25">
      <c r="A231" t="s">
        <v>349</v>
      </c>
      <c r="B231" s="1" t="str">
        <f>HYPERLINK("https://asmlis.vasa.lt/Dashboard/Served?ServiceDateFrom=2025-11-24&amp;ServiceDateTo=2025-11-24&amp;DumpsterInvNr=13-P-402060", "13-P-402060")</f>
        <v>13-P-402060</v>
      </c>
      <c r="C231">
        <v>1.1000000000000001</v>
      </c>
      <c r="D231" t="s">
        <v>350</v>
      </c>
      <c r="E231" t="s">
        <v>11</v>
      </c>
      <c r="G231" t="s">
        <v>264</v>
      </c>
      <c r="H231" t="s">
        <v>14</v>
      </c>
    </row>
    <row r="232" spans="1:8" hidden="1" x14ac:dyDescent="0.25">
      <c r="A232" t="s">
        <v>351</v>
      </c>
      <c r="B232" s="1" t="str">
        <f>HYPERLINK("https://asmlis.vasa.lt/Dashboard/Served?ServiceDateFrom=2025-11-24&amp;ServiceDateTo=2025-11-24&amp;DumpsterInvNr=13-L-390039", "13-L-390039")</f>
        <v>13-L-390039</v>
      </c>
      <c r="C232">
        <v>1.1000000000000001</v>
      </c>
      <c r="D232" t="s">
        <v>344</v>
      </c>
      <c r="E232" t="s">
        <v>11</v>
      </c>
      <c r="F232" t="s">
        <v>13</v>
      </c>
      <c r="G232" t="s">
        <v>9</v>
      </c>
      <c r="H232" t="s">
        <v>14</v>
      </c>
    </row>
    <row r="233" spans="1:8" hidden="1" x14ac:dyDescent="0.25">
      <c r="A233" t="s">
        <v>353</v>
      </c>
      <c r="B233" s="1" t="str">
        <f>HYPERLINK("https://asmlis.vasa.lt/Dashboard/Served?ServiceDateFrom=2025-11-24&amp;ServiceDateTo=2025-11-24&amp;DumpsterInvNr=13-P-210597", "13-P-210597")</f>
        <v>13-P-210597</v>
      </c>
      <c r="C233">
        <v>2.5</v>
      </c>
      <c r="D233" t="s">
        <v>354</v>
      </c>
      <c r="E233" t="s">
        <v>11</v>
      </c>
      <c r="F233" t="s">
        <v>13</v>
      </c>
      <c r="G233" t="s">
        <v>234</v>
      </c>
      <c r="H233" t="s">
        <v>14</v>
      </c>
    </row>
    <row r="234" spans="1:8" hidden="1" x14ac:dyDescent="0.25">
      <c r="A234" t="s">
        <v>355</v>
      </c>
      <c r="B234" s="1" t="str">
        <f>HYPERLINK("https://asmlis.vasa.lt/Dashboard/Served?ServiceDateFrom=2025-11-24&amp;ServiceDateTo=2025-11-24&amp;DumpsterInvNr=13-L-310357", "13-L-310357")</f>
        <v>13-L-310357</v>
      </c>
      <c r="C234">
        <v>5</v>
      </c>
      <c r="D234" t="s">
        <v>356</v>
      </c>
      <c r="E234" t="s">
        <v>11</v>
      </c>
      <c r="F234" t="s">
        <v>13</v>
      </c>
      <c r="G234" t="s">
        <v>9</v>
      </c>
      <c r="H234" t="s">
        <v>14</v>
      </c>
    </row>
    <row r="235" spans="1:8" hidden="1" x14ac:dyDescent="0.25">
      <c r="A235" t="s">
        <v>357</v>
      </c>
      <c r="B235" s="1" t="str">
        <f>HYPERLINK("https://asmlis.vasa.lt/Dashboard/Served?ServiceDateFrom=2025-11-24&amp;ServiceDateTo=2025-11-24&amp;DumpsterInvNr=13-L-317956", "13-L-317956")</f>
        <v>13-L-317956</v>
      </c>
      <c r="C235">
        <v>1.1000000000000001</v>
      </c>
      <c r="D235" t="s">
        <v>358</v>
      </c>
      <c r="E235" t="s">
        <v>11</v>
      </c>
      <c r="G235" t="s">
        <v>9</v>
      </c>
      <c r="H235" t="s">
        <v>14</v>
      </c>
    </row>
    <row r="236" spans="1:8" hidden="1" x14ac:dyDescent="0.25">
      <c r="A236" t="s">
        <v>359</v>
      </c>
      <c r="B236" s="1" t="str">
        <f>HYPERLINK("https://asmlis.vasa.lt/Dashboard/Served?ServiceDateFrom=2025-11-24&amp;ServiceDateTo=2025-11-24&amp;DumpsterInvNr=13-L-315342", "13-L-315342")</f>
        <v>13-L-315342</v>
      </c>
      <c r="C236">
        <v>1.1000000000000001</v>
      </c>
      <c r="D236" t="s">
        <v>358</v>
      </c>
      <c r="E236" t="s">
        <v>11</v>
      </c>
      <c r="G236" t="s">
        <v>9</v>
      </c>
      <c r="H236" t="s">
        <v>14</v>
      </c>
    </row>
    <row r="237" spans="1:8" hidden="1" x14ac:dyDescent="0.25">
      <c r="A237" t="s">
        <v>360</v>
      </c>
      <c r="B237" s="1" t="str">
        <f>HYPERLINK("https://asmlis.vasa.lt/Dashboard/Served?ServiceDateFrom=2025-11-24&amp;ServiceDateTo=2025-11-24&amp;DumpsterInvNr=13-L-424144", "13-L-424144")</f>
        <v>13-L-424144</v>
      </c>
      <c r="C237">
        <v>1.1000000000000001</v>
      </c>
      <c r="D237" t="s">
        <v>361</v>
      </c>
      <c r="E237" t="s">
        <v>11</v>
      </c>
      <c r="G237" t="s">
        <v>74</v>
      </c>
      <c r="H237" t="s">
        <v>14</v>
      </c>
    </row>
    <row r="238" spans="1:8" hidden="1" x14ac:dyDescent="0.25">
      <c r="A238" t="s">
        <v>362</v>
      </c>
      <c r="B238" s="1" t="str">
        <f>HYPERLINK("https://asmlis.vasa.lt/Dashboard/Served?ServiceDateFrom=2025-11-24&amp;ServiceDateTo=2025-11-24&amp;DumpsterInvNr=13-L-317633", "13-L-317633")</f>
        <v>13-L-317633</v>
      </c>
      <c r="C238">
        <v>1.1000000000000001</v>
      </c>
      <c r="D238" t="s">
        <v>358</v>
      </c>
      <c r="E238" t="s">
        <v>11</v>
      </c>
      <c r="G238" t="s">
        <v>9</v>
      </c>
      <c r="H238" t="s">
        <v>14</v>
      </c>
    </row>
    <row r="239" spans="1:8" hidden="1" x14ac:dyDescent="0.25">
      <c r="A239" t="s">
        <v>363</v>
      </c>
      <c r="B239" s="1" t="str">
        <f>HYPERLINK("https://asmlis.vasa.lt/Dashboard/Served?ServiceDateFrom=2025-11-24&amp;ServiceDateTo=2025-11-24&amp;DumpsterInvNr=13-L-317108", "13-L-317108")</f>
        <v>13-L-317108</v>
      </c>
      <c r="C239">
        <v>0.24</v>
      </c>
      <c r="D239" t="s">
        <v>364</v>
      </c>
      <c r="E239" t="s">
        <v>11</v>
      </c>
      <c r="G239" t="s">
        <v>9</v>
      </c>
      <c r="H239" t="s">
        <v>14</v>
      </c>
    </row>
    <row r="240" spans="1:8" hidden="1" x14ac:dyDescent="0.25">
      <c r="A240" t="s">
        <v>363</v>
      </c>
      <c r="B240" s="1" t="str">
        <f>HYPERLINK("https://asmlis.vasa.lt/Dashboard/Served?ServiceDateFrom=2025-11-24&amp;ServiceDateTo=2025-11-24&amp;DumpsterInvNr=13-P-204972", "13-P-204972")</f>
        <v>13-P-204972</v>
      </c>
      <c r="C240">
        <v>5</v>
      </c>
      <c r="D240" t="s">
        <v>365</v>
      </c>
      <c r="E240" t="s">
        <v>11</v>
      </c>
      <c r="G240" t="s">
        <v>234</v>
      </c>
      <c r="H240" t="s">
        <v>14</v>
      </c>
    </row>
    <row r="241" spans="1:8" hidden="1" x14ac:dyDescent="0.25">
      <c r="A241" t="s">
        <v>366</v>
      </c>
      <c r="B241" s="1" t="str">
        <f>HYPERLINK("https://asmlis.vasa.lt/Dashboard/Served?ServiceDateFrom=2025-11-24&amp;ServiceDateTo=2025-11-24&amp;DumpsterInvNr=13-L-315401", "13-L-315401")</f>
        <v>13-L-315401</v>
      </c>
      <c r="C241">
        <v>1.1000000000000001</v>
      </c>
      <c r="D241" t="s">
        <v>358</v>
      </c>
      <c r="E241" t="s">
        <v>11</v>
      </c>
      <c r="G241" t="s">
        <v>9</v>
      </c>
      <c r="H241" t="s">
        <v>14</v>
      </c>
    </row>
    <row r="242" spans="1:8" hidden="1" x14ac:dyDescent="0.25">
      <c r="A242" t="s">
        <v>367</v>
      </c>
      <c r="B242" s="1" t="str">
        <f>HYPERLINK("https://asmlis.vasa.lt/Dashboard/Served?ServiceDateFrom=2025-11-24&amp;ServiceDateTo=2025-11-24&amp;DumpsterInvNr=13-L-421852", "13-L-421852")</f>
        <v>13-L-421852</v>
      </c>
      <c r="C242">
        <v>1.1000000000000001</v>
      </c>
      <c r="D242" t="s">
        <v>348</v>
      </c>
      <c r="E242" t="s">
        <v>11</v>
      </c>
      <c r="G242" t="s">
        <v>74</v>
      </c>
      <c r="H242" t="s">
        <v>14</v>
      </c>
    </row>
    <row r="243" spans="1:8" hidden="1" x14ac:dyDescent="0.25">
      <c r="A243" t="s">
        <v>368</v>
      </c>
      <c r="B243" s="1" t="str">
        <f>HYPERLINK("https://asmlis.vasa.lt/Dashboard/Served?ServiceDateFrom=2025-11-24&amp;ServiceDateTo=2025-11-24&amp;DumpsterInvNr=13-L-426133", "13-L-426133")</f>
        <v>13-L-426133</v>
      </c>
      <c r="C243">
        <v>1.1000000000000001</v>
      </c>
      <c r="D243" t="s">
        <v>348</v>
      </c>
      <c r="E243" t="s">
        <v>11</v>
      </c>
      <c r="G243" t="s">
        <v>74</v>
      </c>
      <c r="H243" t="s">
        <v>14</v>
      </c>
    </row>
    <row r="244" spans="1:8" hidden="1" x14ac:dyDescent="0.25">
      <c r="A244" t="s">
        <v>369</v>
      </c>
      <c r="B244" s="1" t="str">
        <f>HYPERLINK("https://asmlis.vasa.lt/Dashboard/Served?ServiceDateFrom=2025-11-24&amp;ServiceDateTo=2025-11-24&amp;DumpsterInvNr=13-L-318974", "13-L-318974")</f>
        <v>13-L-318974</v>
      </c>
      <c r="C244">
        <v>0.24</v>
      </c>
      <c r="D244" t="s">
        <v>364</v>
      </c>
      <c r="E244" t="s">
        <v>11</v>
      </c>
      <c r="F244" t="s">
        <v>13</v>
      </c>
      <c r="G244" t="s">
        <v>9</v>
      </c>
      <c r="H244" t="s">
        <v>14</v>
      </c>
    </row>
    <row r="245" spans="1:8" hidden="1" x14ac:dyDescent="0.25">
      <c r="A245" t="s">
        <v>370</v>
      </c>
      <c r="B245" s="1" t="str">
        <f>HYPERLINK("https://asmlis.vasa.lt/Dashboard/Served?ServiceDateFrom=2025-11-24&amp;ServiceDateTo=2025-11-24&amp;DumpsterInvNr=13-L-317895", "13-L-317895")</f>
        <v>13-L-317895</v>
      </c>
      <c r="C245">
        <v>1.1000000000000001</v>
      </c>
      <c r="D245" t="s">
        <v>358</v>
      </c>
      <c r="E245" t="s">
        <v>11</v>
      </c>
      <c r="G245" t="s">
        <v>9</v>
      </c>
      <c r="H245" t="s">
        <v>14</v>
      </c>
    </row>
    <row r="246" spans="1:8" hidden="1" x14ac:dyDescent="0.25">
      <c r="A246" t="s">
        <v>371</v>
      </c>
      <c r="B246" s="1" t="str">
        <f>HYPERLINK("https://asmlis.vasa.lt/Dashboard/Served?ServiceDateFrom=2025-11-24&amp;ServiceDateTo=2025-11-24&amp;DumpsterInvNr=13-L-425969", "13-L-425969")</f>
        <v>13-L-425969</v>
      </c>
      <c r="C246">
        <v>1.1000000000000001</v>
      </c>
      <c r="D246" t="s">
        <v>348</v>
      </c>
      <c r="E246" t="s">
        <v>11</v>
      </c>
      <c r="G246" t="s">
        <v>74</v>
      </c>
      <c r="H246" t="s">
        <v>14</v>
      </c>
    </row>
    <row r="247" spans="1:8" hidden="1" x14ac:dyDescent="0.25">
      <c r="A247" t="s">
        <v>372</v>
      </c>
      <c r="B247" s="1" t="str">
        <f>HYPERLINK("https://asmlis.vasa.lt/Dashboard/Served?ServiceDateFrom=2025-11-24&amp;ServiceDateTo=2025-11-24&amp;DumpsterInvNr=13-L-317897", "13-L-317897")</f>
        <v>13-L-317897</v>
      </c>
      <c r="C247">
        <v>1.1000000000000001</v>
      </c>
      <c r="D247" t="s">
        <v>358</v>
      </c>
      <c r="E247" t="s">
        <v>11</v>
      </c>
      <c r="G247" t="s">
        <v>9</v>
      </c>
      <c r="H247" t="s">
        <v>14</v>
      </c>
    </row>
    <row r="248" spans="1:8" hidden="1" x14ac:dyDescent="0.25">
      <c r="A248" t="s">
        <v>373</v>
      </c>
      <c r="B248" s="1" t="str">
        <f>HYPERLINK("https://asmlis.vasa.lt/Dashboard/Served?ServiceDateFrom=2025-11-24&amp;ServiceDateTo=2025-11-24&amp;DumpsterInvNr=13-L-308832", "13-L-308832")</f>
        <v>13-L-308832</v>
      </c>
      <c r="C248">
        <v>5</v>
      </c>
      <c r="D248" t="s">
        <v>374</v>
      </c>
      <c r="E248" t="s">
        <v>11</v>
      </c>
      <c r="F248" t="s">
        <v>13</v>
      </c>
      <c r="G248" t="s">
        <v>9</v>
      </c>
      <c r="H248" t="s">
        <v>14</v>
      </c>
    </row>
    <row r="249" spans="1:8" hidden="1" x14ac:dyDescent="0.25">
      <c r="A249" t="s">
        <v>375</v>
      </c>
      <c r="B249" s="1" t="str">
        <f>HYPERLINK("https://asmlis.vasa.lt/Dashboard/Served?ServiceDateFrom=2025-11-24&amp;ServiceDateTo=2025-11-24&amp;DumpsterInvNr=13-L-424070", "13-L-424070")</f>
        <v>13-L-424070</v>
      </c>
      <c r="C249">
        <v>1.1000000000000001</v>
      </c>
      <c r="D249" t="s">
        <v>348</v>
      </c>
      <c r="E249" t="s">
        <v>11</v>
      </c>
      <c r="G249" t="s">
        <v>74</v>
      </c>
      <c r="H249" t="s">
        <v>14</v>
      </c>
    </row>
    <row r="250" spans="1:8" hidden="1" x14ac:dyDescent="0.25">
      <c r="A250" t="s">
        <v>376</v>
      </c>
      <c r="B250" s="1" t="str">
        <f>HYPERLINK("https://asmlis.vasa.lt/Dashboard/Served?ServiceDateFrom=2025-11-24&amp;ServiceDateTo=2025-11-24&amp;DumpsterInvNr=13-L-422746", "13-L-422746")</f>
        <v>13-L-422746</v>
      </c>
      <c r="C250">
        <v>1.1000000000000001</v>
      </c>
      <c r="D250" t="s">
        <v>348</v>
      </c>
      <c r="E250" t="s">
        <v>11</v>
      </c>
      <c r="G250" t="s">
        <v>74</v>
      </c>
      <c r="H250" t="s">
        <v>14</v>
      </c>
    </row>
    <row r="251" spans="1:8" hidden="1" x14ac:dyDescent="0.25">
      <c r="A251" t="s">
        <v>377</v>
      </c>
      <c r="B251" s="1" t="str">
        <f>HYPERLINK("https://asmlis.vasa.lt/Dashboard/Served?ServiceDateFrom=2025-11-24&amp;ServiceDateTo=2025-11-24&amp;DumpsterInvNr=13-L-318952", "13-L-318952")</f>
        <v>13-L-318952</v>
      </c>
      <c r="C251">
        <v>1.1000000000000001</v>
      </c>
      <c r="D251" t="s">
        <v>358</v>
      </c>
      <c r="E251" t="s">
        <v>11</v>
      </c>
      <c r="F251" t="s">
        <v>13</v>
      </c>
      <c r="G251" t="s">
        <v>9</v>
      </c>
      <c r="H251" t="s">
        <v>14</v>
      </c>
    </row>
    <row r="252" spans="1:8" hidden="1" x14ac:dyDescent="0.25">
      <c r="A252" t="s">
        <v>378</v>
      </c>
      <c r="B252" s="1" t="str">
        <f>HYPERLINK("https://asmlis.vasa.lt/Dashboard/Served?ServiceDateFrom=2025-11-24&amp;ServiceDateTo=2025-11-24&amp;DumpsterInvNr=13-L-318716", "13-L-318716")</f>
        <v>13-L-318716</v>
      </c>
      <c r="C252">
        <v>1.1000000000000001</v>
      </c>
      <c r="D252" t="s">
        <v>358</v>
      </c>
      <c r="E252" t="s">
        <v>11</v>
      </c>
      <c r="F252" t="s">
        <v>13</v>
      </c>
      <c r="G252" t="s">
        <v>9</v>
      </c>
      <c r="H252" t="s">
        <v>14</v>
      </c>
    </row>
    <row r="253" spans="1:8" hidden="1" x14ac:dyDescent="0.25">
      <c r="A253" t="s">
        <v>379</v>
      </c>
      <c r="B253" s="1" t="str">
        <f>HYPERLINK("https://asmlis.vasa.lt/Dashboard/Served?ServiceDateFrom=2025-11-24&amp;ServiceDateTo=2025-11-24&amp;DumpsterInvNr=13-L-319732", "13-L-319732")</f>
        <v>13-L-319732</v>
      </c>
      <c r="C253">
        <v>1.1000000000000001</v>
      </c>
      <c r="D253" t="s">
        <v>358</v>
      </c>
      <c r="E253" t="s">
        <v>11</v>
      </c>
      <c r="F253" t="s">
        <v>13</v>
      </c>
      <c r="G253" t="s">
        <v>9</v>
      </c>
      <c r="H253" t="s">
        <v>14</v>
      </c>
    </row>
    <row r="254" spans="1:8" hidden="1" x14ac:dyDescent="0.25">
      <c r="A254" t="s">
        <v>380</v>
      </c>
      <c r="B254" s="1" t="str">
        <f>HYPERLINK("https://asmlis.vasa.lt/Dashboard/Served?ServiceDateFrom=2025-11-24&amp;ServiceDateTo=2025-11-24&amp;DumpsterInvNr=13-P-416336", "13-P-416336")</f>
        <v>13-P-416336</v>
      </c>
      <c r="C254">
        <v>1.1000000000000001</v>
      </c>
      <c r="D254" t="s">
        <v>381</v>
      </c>
      <c r="E254" t="s">
        <v>11</v>
      </c>
      <c r="G254" t="s">
        <v>264</v>
      </c>
      <c r="H254" t="s">
        <v>14</v>
      </c>
    </row>
    <row r="255" spans="1:8" hidden="1" x14ac:dyDescent="0.25">
      <c r="A255" t="s">
        <v>382</v>
      </c>
      <c r="B255" s="1" t="str">
        <f>HYPERLINK("https://asmlis.vasa.lt/Dashboard/Served?ServiceDateFrom=2025-11-24&amp;ServiceDateTo=2025-11-24&amp;DumpsterInvNr=13-L-425906", "13-L-425906")</f>
        <v>13-L-425906</v>
      </c>
      <c r="C255">
        <v>1.1000000000000001</v>
      </c>
      <c r="D255" t="s">
        <v>348</v>
      </c>
      <c r="E255" t="s">
        <v>11</v>
      </c>
      <c r="G255" t="s">
        <v>74</v>
      </c>
      <c r="H255" t="s">
        <v>14</v>
      </c>
    </row>
    <row r="256" spans="1:8" hidden="1" x14ac:dyDescent="0.25">
      <c r="A256" t="s">
        <v>383</v>
      </c>
      <c r="B256" s="1" t="str">
        <f>HYPERLINK("https://asmlis.vasa.lt/Dashboard/Served?ServiceDateFrom=2025-11-24&amp;ServiceDateTo=2025-11-24&amp;DumpsterInvNr=13-P-204875", "13-P-204875")</f>
        <v>13-P-204875</v>
      </c>
      <c r="C256">
        <v>5</v>
      </c>
      <c r="D256" t="s">
        <v>384</v>
      </c>
      <c r="E256" t="s">
        <v>11</v>
      </c>
      <c r="G256" t="s">
        <v>234</v>
      </c>
      <c r="H256" t="s">
        <v>14</v>
      </c>
    </row>
    <row r="257" spans="1:8" hidden="1" x14ac:dyDescent="0.25">
      <c r="A257" t="s">
        <v>385</v>
      </c>
      <c r="B257" s="1" t="str">
        <f>HYPERLINK("https://asmlis.vasa.lt/Dashboard/Served?ServiceDateFrom=2025-11-24&amp;ServiceDateTo=2025-11-24&amp;DumpsterInvNr=13-L-424147", "13-L-424147")</f>
        <v>13-L-424147</v>
      </c>
      <c r="C257">
        <v>1.1000000000000001</v>
      </c>
      <c r="D257" t="s">
        <v>348</v>
      </c>
      <c r="E257" t="s">
        <v>11</v>
      </c>
      <c r="G257" t="s">
        <v>74</v>
      </c>
      <c r="H257" t="s">
        <v>14</v>
      </c>
    </row>
    <row r="258" spans="1:8" hidden="1" x14ac:dyDescent="0.25">
      <c r="A258" t="s">
        <v>386</v>
      </c>
      <c r="B258" s="1" t="str">
        <f>HYPERLINK("https://asmlis.vasa.lt/Dashboard/Served?ServiceDateFrom=2025-11-24&amp;ServiceDateTo=2025-11-24&amp;DumpsterInvNr=13-L-305615", "13-L-305615")</f>
        <v>13-L-305615</v>
      </c>
      <c r="C258">
        <v>5</v>
      </c>
      <c r="D258" t="s">
        <v>387</v>
      </c>
      <c r="E258" t="s">
        <v>11</v>
      </c>
      <c r="F258" t="s">
        <v>13</v>
      </c>
      <c r="G258" t="s">
        <v>9</v>
      </c>
      <c r="H258" t="s">
        <v>14</v>
      </c>
    </row>
    <row r="259" spans="1:8" hidden="1" x14ac:dyDescent="0.25">
      <c r="A259" t="s">
        <v>388</v>
      </c>
      <c r="B259" s="1" t="str">
        <f>HYPERLINK("https://asmlis.vasa.lt/Dashboard/Served?ServiceDateFrom=2025-11-24&amp;ServiceDateTo=2025-11-24&amp;DumpsterInvNr=13-L-423043", "13-L-423043")</f>
        <v>13-L-423043</v>
      </c>
      <c r="C259">
        <v>1.1000000000000001</v>
      </c>
      <c r="D259" t="s">
        <v>348</v>
      </c>
      <c r="E259" t="s">
        <v>11</v>
      </c>
      <c r="G259" t="s">
        <v>74</v>
      </c>
      <c r="H259" t="s">
        <v>14</v>
      </c>
    </row>
    <row r="260" spans="1:8" hidden="1" x14ac:dyDescent="0.25">
      <c r="A260" t="s">
        <v>389</v>
      </c>
      <c r="B260" s="1" t="str">
        <f>HYPERLINK("https://asmlis.vasa.lt/Dashboard/Served?ServiceDateFrom=2025-11-24&amp;ServiceDateTo=2025-11-24&amp;DumpsterInvNr=13-L-422814", "13-L-422814")</f>
        <v>13-L-422814</v>
      </c>
      <c r="C260">
        <v>1.1000000000000001</v>
      </c>
      <c r="D260" t="s">
        <v>390</v>
      </c>
      <c r="E260" t="s">
        <v>11</v>
      </c>
      <c r="G260" t="s">
        <v>74</v>
      </c>
      <c r="H260" t="s">
        <v>14</v>
      </c>
    </row>
    <row r="261" spans="1:8" hidden="1" x14ac:dyDescent="0.25">
      <c r="A261" t="s">
        <v>391</v>
      </c>
      <c r="B261" s="1" t="str">
        <f>HYPERLINK("https://asmlis.vasa.lt/Dashboard/Served?ServiceDateFrom=2025-11-24&amp;ServiceDateTo=2025-11-24&amp;DumpsterInvNr=13-L-317396", "13-L-317396")</f>
        <v>13-L-317396</v>
      </c>
      <c r="C261">
        <v>1.1000000000000001</v>
      </c>
      <c r="D261" t="s">
        <v>392</v>
      </c>
      <c r="E261" t="s">
        <v>11</v>
      </c>
      <c r="G261" t="s">
        <v>9</v>
      </c>
      <c r="H261" t="s">
        <v>14</v>
      </c>
    </row>
    <row r="262" spans="1:8" hidden="1" x14ac:dyDescent="0.25">
      <c r="A262" t="s">
        <v>393</v>
      </c>
      <c r="B262" s="1" t="str">
        <f>HYPERLINK("https://asmlis.vasa.lt/Dashboard/Served?ServiceDateFrom=2025-11-24&amp;ServiceDateTo=2025-11-24&amp;DumpsterInvNr=13-L-424775", "13-L-424775")</f>
        <v>13-L-424775</v>
      </c>
      <c r="C262">
        <v>1.1000000000000001</v>
      </c>
      <c r="D262" t="s">
        <v>348</v>
      </c>
      <c r="E262" t="s">
        <v>11</v>
      </c>
      <c r="G262" t="s">
        <v>74</v>
      </c>
      <c r="H262" t="s">
        <v>14</v>
      </c>
    </row>
    <row r="263" spans="1:8" hidden="1" x14ac:dyDescent="0.25">
      <c r="A263" t="s">
        <v>394</v>
      </c>
      <c r="B263" s="1" t="str">
        <f>HYPERLINK("https://asmlis.vasa.lt/Dashboard/Served?ServiceDateFrom=2025-11-24&amp;ServiceDateTo=2025-11-24&amp;DumpsterInvNr=13-L-426015", "13-L-426015")</f>
        <v>13-L-426015</v>
      </c>
      <c r="C263">
        <v>1.1000000000000001</v>
      </c>
      <c r="D263" t="s">
        <v>348</v>
      </c>
      <c r="E263" t="s">
        <v>11</v>
      </c>
      <c r="G263" t="s">
        <v>74</v>
      </c>
      <c r="H263" t="s">
        <v>14</v>
      </c>
    </row>
    <row r="264" spans="1:8" hidden="1" x14ac:dyDescent="0.25">
      <c r="A264" t="s">
        <v>395</v>
      </c>
      <c r="B264" s="1" t="str">
        <f>HYPERLINK("https://asmlis.vasa.lt/Dashboard/Served?ServiceDateFrom=2025-11-24&amp;ServiceDateTo=2025-11-24&amp;DumpsterInvNr=13-P-401346", "13-P-401346")</f>
        <v>13-P-401346</v>
      </c>
      <c r="C264">
        <v>1.1000000000000001</v>
      </c>
      <c r="D264" t="s">
        <v>381</v>
      </c>
      <c r="E264" t="s">
        <v>11</v>
      </c>
      <c r="F264" t="s">
        <v>13</v>
      </c>
      <c r="G264" t="s">
        <v>264</v>
      </c>
      <c r="H264" t="s">
        <v>14</v>
      </c>
    </row>
    <row r="265" spans="1:8" hidden="1" x14ac:dyDescent="0.25">
      <c r="A265" t="s">
        <v>396</v>
      </c>
      <c r="B265" s="1" t="str">
        <f>HYPERLINK("https://asmlis.vasa.lt/Dashboard/Served?ServiceDateFrom=2025-11-24&amp;ServiceDateTo=2025-11-24&amp;DumpsterInvNr=13-L-317193", "13-L-317193")</f>
        <v>13-L-317193</v>
      </c>
      <c r="C265">
        <v>1.1000000000000001</v>
      </c>
      <c r="D265" t="s">
        <v>392</v>
      </c>
      <c r="E265" t="s">
        <v>11</v>
      </c>
      <c r="G265" t="s">
        <v>9</v>
      </c>
      <c r="H265" t="s">
        <v>14</v>
      </c>
    </row>
    <row r="266" spans="1:8" hidden="1" x14ac:dyDescent="0.25">
      <c r="A266" t="s">
        <v>396</v>
      </c>
      <c r="B266" s="1" t="str">
        <f>HYPERLINK("https://asmlis.vasa.lt/Dashboard/Served?ServiceDateFrom=2025-11-24&amp;ServiceDateTo=2025-11-24&amp;DumpsterInvNr=13-P-416605", "13-P-416605")</f>
        <v>13-P-416605</v>
      </c>
      <c r="C266">
        <v>1.1000000000000001</v>
      </c>
      <c r="D266" t="s">
        <v>381</v>
      </c>
      <c r="E266" t="s">
        <v>11</v>
      </c>
      <c r="F266" t="s">
        <v>13</v>
      </c>
      <c r="G266" t="s">
        <v>264</v>
      </c>
      <c r="H266" t="s">
        <v>14</v>
      </c>
    </row>
    <row r="267" spans="1:8" hidden="1" x14ac:dyDescent="0.25">
      <c r="A267" t="s">
        <v>397</v>
      </c>
      <c r="B267" s="1" t="str">
        <f>HYPERLINK("https://asmlis.vasa.lt/Dashboard/Served?ServiceDateFrom=2025-11-24&amp;ServiceDateTo=2025-11-24&amp;DumpsterInvNr=13-P-416405", "13-P-416405")</f>
        <v>13-P-416405</v>
      </c>
      <c r="C267">
        <v>1.1000000000000001</v>
      </c>
      <c r="D267" t="s">
        <v>381</v>
      </c>
      <c r="E267" t="s">
        <v>11</v>
      </c>
      <c r="F267" t="s">
        <v>13</v>
      </c>
      <c r="G267" t="s">
        <v>264</v>
      </c>
      <c r="H267" t="s">
        <v>14</v>
      </c>
    </row>
    <row r="268" spans="1:8" hidden="1" x14ac:dyDescent="0.25">
      <c r="A268" t="s">
        <v>398</v>
      </c>
      <c r="B268" s="1" t="str">
        <f>HYPERLINK("https://asmlis.vasa.lt/Dashboard/Served?ServiceDateFrom=2025-11-24&amp;ServiceDateTo=2025-11-24&amp;DumpsterInvNr=13-L-319731", "13-L-319731")</f>
        <v>13-L-319731</v>
      </c>
      <c r="C268">
        <v>1.1000000000000001</v>
      </c>
      <c r="D268" t="s">
        <v>399</v>
      </c>
      <c r="E268" t="s">
        <v>11</v>
      </c>
      <c r="G268" t="s">
        <v>9</v>
      </c>
      <c r="H268" t="s">
        <v>14</v>
      </c>
    </row>
    <row r="269" spans="1:8" hidden="1" x14ac:dyDescent="0.25">
      <c r="A269" t="s">
        <v>400</v>
      </c>
      <c r="B269" s="1" t="str">
        <f>HYPERLINK("https://asmlis.vasa.lt/Dashboard/Served?ServiceDateFrom=2025-11-24&amp;ServiceDateTo=2025-11-24&amp;DumpsterInvNr=13-L-422070", "13-L-422070")</f>
        <v>13-L-422070</v>
      </c>
      <c r="C269">
        <v>5</v>
      </c>
      <c r="D269" t="s">
        <v>401</v>
      </c>
      <c r="E269" t="s">
        <v>11</v>
      </c>
      <c r="G269" t="s">
        <v>74</v>
      </c>
      <c r="H269" t="s">
        <v>14</v>
      </c>
    </row>
    <row r="270" spans="1:8" hidden="1" x14ac:dyDescent="0.25">
      <c r="A270" t="s">
        <v>402</v>
      </c>
      <c r="B270" s="1" t="str">
        <f>HYPERLINK("https://asmlis.vasa.lt/Dashboard/Served?ServiceDateFrom=2025-11-24&amp;ServiceDateTo=2025-11-24&amp;DumpsterInvNr=13-L-427023", "13-L-427023")</f>
        <v>13-L-427023</v>
      </c>
      <c r="C270">
        <v>1.1000000000000001</v>
      </c>
      <c r="D270" t="s">
        <v>348</v>
      </c>
      <c r="E270" t="s">
        <v>11</v>
      </c>
      <c r="G270" t="s">
        <v>74</v>
      </c>
      <c r="H270" t="s">
        <v>14</v>
      </c>
    </row>
    <row r="271" spans="1:8" hidden="1" x14ac:dyDescent="0.25">
      <c r="A271" t="s">
        <v>403</v>
      </c>
      <c r="B271" s="1" t="str">
        <f>HYPERLINK("https://asmlis.vasa.lt/Dashboard/Served?ServiceDateFrom=2025-11-24&amp;ServiceDateTo=2025-11-24&amp;DumpsterInvNr=13-L-319730", "13-L-319730")</f>
        <v>13-L-319730</v>
      </c>
      <c r="C271">
        <v>1.1000000000000001</v>
      </c>
      <c r="D271" t="s">
        <v>399</v>
      </c>
      <c r="E271" t="s">
        <v>11</v>
      </c>
      <c r="G271" t="s">
        <v>9</v>
      </c>
      <c r="H271" t="s">
        <v>14</v>
      </c>
    </row>
    <row r="272" spans="1:8" hidden="1" x14ac:dyDescent="0.25">
      <c r="A272" t="s">
        <v>404</v>
      </c>
      <c r="B272" s="1" t="str">
        <f>HYPERLINK("https://asmlis.vasa.lt/Dashboard/Served?ServiceDateFrom=2025-11-24&amp;ServiceDateTo=2025-11-24&amp;DumpsterInvNr=13-P-204973", "13-P-204973")</f>
        <v>13-P-204973</v>
      </c>
      <c r="C272">
        <v>5</v>
      </c>
      <c r="D272" t="s">
        <v>405</v>
      </c>
      <c r="E272" t="s">
        <v>11</v>
      </c>
      <c r="G272" t="s">
        <v>234</v>
      </c>
      <c r="H272" t="s">
        <v>14</v>
      </c>
    </row>
    <row r="273" spans="1:8" hidden="1" x14ac:dyDescent="0.25">
      <c r="A273" t="s">
        <v>406</v>
      </c>
      <c r="B273" s="1" t="str">
        <f>HYPERLINK("https://asmlis.vasa.lt/Dashboard/Served?ServiceDateFrom=2025-11-24&amp;ServiceDateTo=2025-11-24&amp;DumpsterInvNr=13-L-313535", "13-L-313535")</f>
        <v>13-L-313535</v>
      </c>
      <c r="C273">
        <v>5</v>
      </c>
      <c r="D273" t="s">
        <v>407</v>
      </c>
      <c r="E273" t="s">
        <v>11</v>
      </c>
      <c r="F273" t="s">
        <v>13</v>
      </c>
      <c r="G273" t="s">
        <v>9</v>
      </c>
      <c r="H273" t="s">
        <v>14</v>
      </c>
    </row>
    <row r="274" spans="1:8" hidden="1" x14ac:dyDescent="0.25">
      <c r="A274" t="s">
        <v>408</v>
      </c>
      <c r="B274" s="1" t="str">
        <f>HYPERLINK("https://asmlis.vasa.lt/Dashboard/Served?ServiceDateFrom=2025-11-24&amp;ServiceDateTo=2025-11-24&amp;DumpsterInvNr=13-L-424142", "13-L-424142")</f>
        <v>13-L-424142</v>
      </c>
      <c r="C274">
        <v>1.1000000000000001</v>
      </c>
      <c r="D274" t="s">
        <v>409</v>
      </c>
      <c r="E274" t="s">
        <v>11</v>
      </c>
      <c r="G274" t="s">
        <v>74</v>
      </c>
      <c r="H274" t="s">
        <v>14</v>
      </c>
    </row>
    <row r="275" spans="1:8" hidden="1" x14ac:dyDescent="0.25">
      <c r="A275" t="s">
        <v>410</v>
      </c>
      <c r="B275" s="1" t="str">
        <f>HYPERLINK("https://asmlis.vasa.lt/Dashboard/Served?ServiceDateFrom=2025-11-24&amp;ServiceDateTo=2025-11-24&amp;DumpsterInvNr=13-P-300617", "13-P-300617")</f>
        <v>13-P-300617</v>
      </c>
      <c r="C275">
        <v>1.1000000000000001</v>
      </c>
      <c r="D275" t="s">
        <v>413</v>
      </c>
      <c r="E275" t="s">
        <v>11</v>
      </c>
      <c r="F275" t="s">
        <v>13</v>
      </c>
      <c r="G275" t="s">
        <v>412</v>
      </c>
      <c r="H275" t="s">
        <v>14</v>
      </c>
    </row>
    <row r="276" spans="1:8" hidden="1" x14ac:dyDescent="0.25">
      <c r="A276" t="s">
        <v>414</v>
      </c>
      <c r="B276" s="1" t="str">
        <f>HYPERLINK("https://asmlis.vasa.lt/Dashboard/Served?ServiceDateFrom=2025-11-24&amp;ServiceDateTo=2025-11-24&amp;DumpsterInvNr=13-P-300564", "13-P-300564")</f>
        <v>13-P-300564</v>
      </c>
      <c r="C276">
        <v>1.1000000000000001</v>
      </c>
      <c r="D276" t="s">
        <v>415</v>
      </c>
      <c r="E276" t="s">
        <v>11</v>
      </c>
      <c r="F276" t="s">
        <v>13</v>
      </c>
      <c r="G276" t="s">
        <v>412</v>
      </c>
      <c r="H276" t="s">
        <v>14</v>
      </c>
    </row>
    <row r="277" spans="1:8" hidden="1" x14ac:dyDescent="0.25">
      <c r="A277" t="s">
        <v>416</v>
      </c>
      <c r="B277" s="1" t="str">
        <f>HYPERLINK("https://asmlis.vasa.lt/Dashboard/Served?ServiceDateFrom=2025-11-24&amp;ServiceDateTo=2025-11-24&amp;DumpsterInvNr=13-P-300584", "13-P-300584")</f>
        <v>13-P-300584</v>
      </c>
      <c r="C277">
        <v>1.1000000000000001</v>
      </c>
      <c r="D277" t="s">
        <v>417</v>
      </c>
      <c r="E277" t="s">
        <v>11</v>
      </c>
      <c r="F277" t="s">
        <v>13</v>
      </c>
      <c r="G277" t="s">
        <v>412</v>
      </c>
      <c r="H277" t="s">
        <v>14</v>
      </c>
    </row>
    <row r="278" spans="1:8" hidden="1" x14ac:dyDescent="0.25">
      <c r="A278" t="s">
        <v>418</v>
      </c>
      <c r="B278" s="1" t="str">
        <f>HYPERLINK("https://asmlis.vasa.lt/Dashboard/Served?ServiceDateFrom=2025-11-24&amp;ServiceDateTo=2025-11-24&amp;DumpsterInvNr=13-P-300505", "13-P-300505")</f>
        <v>13-P-300505</v>
      </c>
      <c r="C278">
        <v>1.1000000000000001</v>
      </c>
      <c r="D278" t="s">
        <v>419</v>
      </c>
      <c r="E278" t="s">
        <v>11</v>
      </c>
      <c r="F278" t="s">
        <v>13</v>
      </c>
      <c r="G278" t="s">
        <v>412</v>
      </c>
      <c r="H278" t="s">
        <v>14</v>
      </c>
    </row>
    <row r="279" spans="1:8" hidden="1" x14ac:dyDescent="0.25">
      <c r="A279" t="s">
        <v>420</v>
      </c>
      <c r="B279" s="1" t="str">
        <f>HYPERLINK("https://asmlis.vasa.lt/Dashboard/Served?ServiceDateFrom=2025-11-24&amp;ServiceDateTo=2025-11-24&amp;DumpsterInvNr=13-L-427022", "13-L-427022")</f>
        <v>13-L-427022</v>
      </c>
      <c r="C279">
        <v>1.1000000000000001</v>
      </c>
      <c r="D279" t="s">
        <v>348</v>
      </c>
      <c r="E279" t="s">
        <v>11</v>
      </c>
      <c r="G279" t="s">
        <v>74</v>
      </c>
      <c r="H279" t="s">
        <v>14</v>
      </c>
    </row>
    <row r="280" spans="1:8" hidden="1" x14ac:dyDescent="0.25">
      <c r="A280" t="s">
        <v>421</v>
      </c>
      <c r="B280" s="1" t="str">
        <f>HYPERLINK("https://asmlis.vasa.lt/Dashboard/Served?ServiceDateFrom=2025-11-24&amp;ServiceDateTo=2025-11-24&amp;DumpsterInvNr=13-P-300574", "13-P-300574")</f>
        <v>13-P-300574</v>
      </c>
      <c r="C280">
        <v>1.1000000000000001</v>
      </c>
      <c r="D280" t="s">
        <v>422</v>
      </c>
      <c r="E280" t="s">
        <v>11</v>
      </c>
      <c r="F280" t="s">
        <v>13</v>
      </c>
      <c r="G280" t="s">
        <v>412</v>
      </c>
      <c r="H280" t="s">
        <v>14</v>
      </c>
    </row>
    <row r="281" spans="1:8" hidden="1" x14ac:dyDescent="0.25">
      <c r="A281" t="s">
        <v>423</v>
      </c>
      <c r="B281" s="1" t="str">
        <f>HYPERLINK("https://asmlis.vasa.lt/Dashboard/Served?ServiceDateFrom=2025-11-24&amp;ServiceDateTo=2025-11-24&amp;DumpsterInvNr=13-P-300292", "13-P-300292")</f>
        <v>13-P-300292</v>
      </c>
      <c r="C281">
        <v>0.24</v>
      </c>
      <c r="D281" t="s">
        <v>424</v>
      </c>
      <c r="E281" t="s">
        <v>11</v>
      </c>
      <c r="F281" t="s">
        <v>13</v>
      </c>
      <c r="G281" t="s">
        <v>412</v>
      </c>
      <c r="H281" t="s">
        <v>14</v>
      </c>
    </row>
    <row r="282" spans="1:8" hidden="1" x14ac:dyDescent="0.25">
      <c r="A282" t="s">
        <v>425</v>
      </c>
      <c r="B282" s="1" t="str">
        <f>HYPERLINK("https://asmlis.vasa.lt/Dashboard/Served?ServiceDateFrom=2025-11-24&amp;ServiceDateTo=2025-11-24&amp;DumpsterInvNr=13-L-420119", "13-L-420119")</f>
        <v>13-L-420119</v>
      </c>
      <c r="C282">
        <v>5</v>
      </c>
      <c r="D282" t="s">
        <v>426</v>
      </c>
      <c r="E282" t="s">
        <v>11</v>
      </c>
      <c r="F282" t="s">
        <v>13</v>
      </c>
      <c r="G282" t="s">
        <v>74</v>
      </c>
      <c r="H282" t="s">
        <v>14</v>
      </c>
    </row>
    <row r="283" spans="1:8" hidden="1" x14ac:dyDescent="0.25">
      <c r="A283" t="s">
        <v>427</v>
      </c>
      <c r="B283" s="1" t="str">
        <f>HYPERLINK("https://asmlis.vasa.lt/Dashboard/Served?ServiceDateFrom=2025-11-24&amp;ServiceDateTo=2025-11-24&amp;DumpsterInvNr=13-P-300494", "13-P-300494")</f>
        <v>13-P-300494</v>
      </c>
      <c r="C283">
        <v>1.1000000000000001</v>
      </c>
      <c r="D283" t="s">
        <v>428</v>
      </c>
      <c r="E283" t="s">
        <v>11</v>
      </c>
      <c r="G283" t="s">
        <v>412</v>
      </c>
      <c r="H283" t="s">
        <v>14</v>
      </c>
    </row>
    <row r="284" spans="1:8" hidden="1" x14ac:dyDescent="0.25">
      <c r="A284" t="s">
        <v>429</v>
      </c>
      <c r="B284" s="1" t="str">
        <f>HYPERLINK("https://asmlis.vasa.lt/Dashboard/Served?ServiceDateFrom=2025-11-24&amp;ServiceDateTo=2025-11-24&amp;DumpsterInvNr=13-L-136686", "13-L-136686")</f>
        <v>13-L-136686</v>
      </c>
      <c r="C284">
        <v>5</v>
      </c>
      <c r="D284" t="s">
        <v>431</v>
      </c>
      <c r="E284" t="s">
        <v>11</v>
      </c>
      <c r="F284" t="s">
        <v>13</v>
      </c>
      <c r="G284" t="s">
        <v>430</v>
      </c>
      <c r="H284" t="s">
        <v>432</v>
      </c>
    </row>
    <row r="285" spans="1:8" hidden="1" x14ac:dyDescent="0.25">
      <c r="A285" t="s">
        <v>433</v>
      </c>
      <c r="B285" s="1" t="str">
        <f>HYPERLINK("https://asmlis.vasa.lt/Dashboard/Served?ServiceDateFrom=2025-11-24&amp;ServiceDateTo=2025-11-24&amp;DumpsterInvNr=13-L-421144", "13-L-421144")</f>
        <v>13-L-421144</v>
      </c>
      <c r="C285">
        <v>0.77</v>
      </c>
      <c r="D285" t="s">
        <v>348</v>
      </c>
      <c r="E285" t="s">
        <v>11</v>
      </c>
      <c r="G285" t="s">
        <v>74</v>
      </c>
      <c r="H285" t="s">
        <v>14</v>
      </c>
    </row>
    <row r="286" spans="1:8" hidden="1" x14ac:dyDescent="0.25">
      <c r="A286" t="s">
        <v>434</v>
      </c>
      <c r="B286" s="1" t="str">
        <f>HYPERLINK("https://asmlis.vasa.lt/Dashboard/Served?ServiceDateFrom=2025-11-24&amp;ServiceDateTo=2025-11-24&amp;DumpsterInvNr=13-P-409120", "13-P-409120")</f>
        <v>13-P-409120</v>
      </c>
      <c r="C286">
        <v>1.1000000000000001</v>
      </c>
      <c r="D286" t="s">
        <v>435</v>
      </c>
      <c r="E286" t="s">
        <v>11</v>
      </c>
      <c r="G286" t="s">
        <v>264</v>
      </c>
      <c r="H286" t="s">
        <v>14</v>
      </c>
    </row>
    <row r="287" spans="1:8" hidden="1" x14ac:dyDescent="0.25">
      <c r="A287" t="s">
        <v>436</v>
      </c>
      <c r="B287" s="1" t="str">
        <f>HYPERLINK("https://asmlis.vasa.lt/Dashboard/Served?ServiceDateFrom=2025-11-24&amp;ServiceDateTo=2025-11-24&amp;DumpsterInvNr=13-L-421019", "13-L-421019")</f>
        <v>13-L-421019</v>
      </c>
      <c r="C287">
        <v>1.1000000000000001</v>
      </c>
      <c r="D287" t="s">
        <v>348</v>
      </c>
      <c r="E287" t="s">
        <v>11</v>
      </c>
      <c r="G287" t="s">
        <v>74</v>
      </c>
      <c r="H287" t="s">
        <v>14</v>
      </c>
    </row>
    <row r="288" spans="1:8" hidden="1" x14ac:dyDescent="0.25">
      <c r="A288" t="s">
        <v>437</v>
      </c>
      <c r="B288" s="1" t="str">
        <f>HYPERLINK("https://asmlis.vasa.lt/Dashboard/Served?ServiceDateFrom=2025-11-24&amp;ServiceDateTo=2025-11-24&amp;DumpsterInvNr=13-P-212772", "13-P-212772")</f>
        <v>13-P-212772</v>
      </c>
      <c r="C288">
        <v>2.5</v>
      </c>
      <c r="D288" t="s">
        <v>438</v>
      </c>
      <c r="E288" t="s">
        <v>11</v>
      </c>
      <c r="G288" t="s">
        <v>234</v>
      </c>
      <c r="H288" t="s">
        <v>14</v>
      </c>
    </row>
    <row r="289" spans="1:8" hidden="1" x14ac:dyDescent="0.25">
      <c r="A289" t="s">
        <v>439</v>
      </c>
      <c r="B289" s="1" t="str">
        <f>HYPERLINK("https://asmlis.vasa.lt/Dashboard/Served?ServiceDateFrom=2025-11-24&amp;ServiceDateTo=2025-11-24&amp;DumpsterInvNr=13-L-422789", "13-L-422789")</f>
        <v>13-L-422789</v>
      </c>
      <c r="C289">
        <v>1.1000000000000001</v>
      </c>
      <c r="D289" t="s">
        <v>348</v>
      </c>
      <c r="E289" t="s">
        <v>11</v>
      </c>
      <c r="G289" t="s">
        <v>74</v>
      </c>
      <c r="H289" t="s">
        <v>14</v>
      </c>
    </row>
    <row r="290" spans="1:8" hidden="1" x14ac:dyDescent="0.25">
      <c r="A290" t="s">
        <v>440</v>
      </c>
      <c r="B290" s="1" t="str">
        <f>HYPERLINK("https://asmlis.vasa.lt/Dashboard/Served?ServiceDateFrom=2025-11-24&amp;ServiceDateTo=2025-11-24&amp;DumpsterInvNr=13-L-311723", "13-L-311723")</f>
        <v>13-L-311723</v>
      </c>
      <c r="C290">
        <v>5</v>
      </c>
      <c r="D290" t="s">
        <v>441</v>
      </c>
      <c r="E290" t="s">
        <v>11</v>
      </c>
      <c r="F290" t="s">
        <v>13</v>
      </c>
      <c r="G290" t="s">
        <v>9</v>
      </c>
      <c r="H290" t="s">
        <v>14</v>
      </c>
    </row>
    <row r="291" spans="1:8" hidden="1" x14ac:dyDescent="0.25">
      <c r="A291" t="s">
        <v>442</v>
      </c>
      <c r="B291" s="1" t="str">
        <f>HYPERLINK("https://asmlis.vasa.lt/Dashboard/Served?ServiceDateFrom=2025-11-24&amp;ServiceDateTo=2025-11-24&amp;DumpsterInvNr=13-L-317172", "13-L-317172")</f>
        <v>13-L-317172</v>
      </c>
      <c r="C291">
        <v>1.1000000000000001</v>
      </c>
      <c r="D291" t="s">
        <v>443</v>
      </c>
      <c r="E291" t="s">
        <v>11</v>
      </c>
      <c r="G291" t="s">
        <v>9</v>
      </c>
      <c r="H291" t="s">
        <v>14</v>
      </c>
    </row>
    <row r="292" spans="1:8" hidden="1" x14ac:dyDescent="0.25">
      <c r="A292" t="s">
        <v>444</v>
      </c>
      <c r="B292" s="1" t="str">
        <f>HYPERLINK("https://asmlis.vasa.lt/Dashboard/Served?ServiceDateFrom=2025-11-24&amp;ServiceDateTo=2025-11-24&amp;DumpsterInvNr=13-L-425968", "13-L-425968")</f>
        <v>13-L-425968</v>
      </c>
      <c r="C292">
        <v>1.1000000000000001</v>
      </c>
      <c r="D292" t="s">
        <v>348</v>
      </c>
      <c r="E292" t="s">
        <v>11</v>
      </c>
      <c r="G292" t="s">
        <v>74</v>
      </c>
      <c r="H292" t="s">
        <v>14</v>
      </c>
    </row>
    <row r="293" spans="1:8" hidden="1" x14ac:dyDescent="0.25">
      <c r="A293" t="s">
        <v>445</v>
      </c>
      <c r="B293" s="1" t="str">
        <f>HYPERLINK("https://asmlis.vasa.lt/Dashboard/Served?ServiceDateFrom=2025-11-24&amp;ServiceDateTo=2025-11-24&amp;DumpsterInvNr=13-L-422790", "13-L-422790")</f>
        <v>13-L-422790</v>
      </c>
      <c r="C293">
        <v>1.1000000000000001</v>
      </c>
      <c r="D293" t="s">
        <v>348</v>
      </c>
      <c r="E293" t="s">
        <v>11</v>
      </c>
      <c r="G293" t="s">
        <v>74</v>
      </c>
      <c r="H293" t="s">
        <v>14</v>
      </c>
    </row>
    <row r="294" spans="1:8" hidden="1" x14ac:dyDescent="0.25">
      <c r="A294" t="s">
        <v>446</v>
      </c>
      <c r="B294" s="1" t="str">
        <f>HYPERLINK("https://asmlis.vasa.lt/Dashboard/Served?ServiceDateFrom=2025-11-24&amp;ServiceDateTo=2025-11-24&amp;DumpsterInvNr=13-L-314243", "13-L-314243")</f>
        <v>13-L-314243</v>
      </c>
      <c r="C294">
        <v>1.1000000000000001</v>
      </c>
      <c r="D294" t="s">
        <v>443</v>
      </c>
      <c r="E294" t="s">
        <v>11</v>
      </c>
      <c r="G294" t="s">
        <v>9</v>
      </c>
      <c r="H294" t="s">
        <v>14</v>
      </c>
    </row>
    <row r="295" spans="1:8" hidden="1" x14ac:dyDescent="0.25">
      <c r="A295" t="s">
        <v>447</v>
      </c>
      <c r="B295" s="1" t="str">
        <f>HYPERLINK("https://asmlis.vasa.lt/Dashboard/Served?ServiceDateFrom=2025-11-24&amp;ServiceDateTo=2025-11-24&amp;DumpsterInvNr=13-L-316417", "13-L-316417")</f>
        <v>13-L-316417</v>
      </c>
      <c r="C295">
        <v>1.1000000000000001</v>
      </c>
      <c r="D295" t="s">
        <v>448</v>
      </c>
      <c r="E295" t="s">
        <v>11</v>
      </c>
      <c r="F295" t="s">
        <v>13</v>
      </c>
      <c r="G295" t="s">
        <v>9</v>
      </c>
      <c r="H295" t="s">
        <v>14</v>
      </c>
    </row>
    <row r="296" spans="1:8" hidden="1" x14ac:dyDescent="0.25">
      <c r="A296" t="s">
        <v>449</v>
      </c>
      <c r="B296" s="1" t="str">
        <f>HYPERLINK("https://asmlis.vasa.lt/Dashboard/Served?ServiceDateFrom=2025-11-24&amp;ServiceDateTo=2025-11-24&amp;DumpsterInvNr=13-L-423215", "13-L-423215")</f>
        <v>13-L-423215</v>
      </c>
      <c r="C296">
        <v>5</v>
      </c>
      <c r="D296" t="s">
        <v>450</v>
      </c>
      <c r="E296" t="s">
        <v>11</v>
      </c>
      <c r="G296" t="s">
        <v>74</v>
      </c>
      <c r="H296" t="s">
        <v>14</v>
      </c>
    </row>
    <row r="297" spans="1:8" hidden="1" x14ac:dyDescent="0.25">
      <c r="A297" t="s">
        <v>451</v>
      </c>
      <c r="B297" s="1" t="str">
        <f>HYPERLINK("https://asmlis.vasa.lt/Dashboard/Served?ServiceDateFrom=2025-11-24&amp;ServiceDateTo=2025-11-24&amp;DumpsterInvNr=13-L-424149", "13-L-424149")</f>
        <v>13-L-424149</v>
      </c>
      <c r="C297">
        <v>1.1000000000000001</v>
      </c>
      <c r="D297" t="s">
        <v>348</v>
      </c>
      <c r="E297" t="s">
        <v>11</v>
      </c>
      <c r="G297" t="s">
        <v>74</v>
      </c>
      <c r="H297" t="s">
        <v>14</v>
      </c>
    </row>
    <row r="298" spans="1:8" hidden="1" x14ac:dyDescent="0.25">
      <c r="A298" t="s">
        <v>452</v>
      </c>
      <c r="B298" s="1" t="str">
        <f>HYPERLINK("https://asmlis.vasa.lt/Dashboard/Served?ServiceDateFrom=2025-11-24&amp;ServiceDateTo=2025-11-24&amp;DumpsterInvNr=13-L-316415", "13-L-316415")</f>
        <v>13-L-316415</v>
      </c>
      <c r="C298">
        <v>1.1000000000000001</v>
      </c>
      <c r="D298" t="s">
        <v>448</v>
      </c>
      <c r="E298" t="s">
        <v>11</v>
      </c>
      <c r="F298" t="s">
        <v>13</v>
      </c>
      <c r="G298" t="s">
        <v>9</v>
      </c>
      <c r="H298" t="s">
        <v>14</v>
      </c>
    </row>
    <row r="299" spans="1:8" hidden="1" x14ac:dyDescent="0.25">
      <c r="A299" t="s">
        <v>453</v>
      </c>
      <c r="B299" s="1" t="str">
        <f>HYPERLINK("https://asmlis.vasa.lt/Dashboard/Served?ServiceDateFrom=2025-11-24&amp;ServiceDateTo=2025-11-24&amp;DumpsterInvNr=13-L-316416", "13-L-316416")</f>
        <v>13-L-316416</v>
      </c>
      <c r="C299">
        <v>1.1000000000000001</v>
      </c>
      <c r="D299" t="s">
        <v>448</v>
      </c>
      <c r="E299" t="s">
        <v>11</v>
      </c>
      <c r="F299" t="s">
        <v>13</v>
      </c>
      <c r="G299" t="s">
        <v>9</v>
      </c>
      <c r="H299" t="s">
        <v>14</v>
      </c>
    </row>
    <row r="300" spans="1:8" hidden="1" x14ac:dyDescent="0.25">
      <c r="A300" t="s">
        <v>454</v>
      </c>
      <c r="B300" s="1" t="str">
        <f>HYPERLINK("https://asmlis.vasa.lt/Dashboard/Served?ServiceDateFrom=2025-11-24&amp;ServiceDateTo=2025-11-24&amp;DumpsterInvNr=13-L-308855", "13-L-308855")</f>
        <v>13-L-308855</v>
      </c>
      <c r="C300">
        <v>5</v>
      </c>
      <c r="D300" t="s">
        <v>455</v>
      </c>
      <c r="E300" t="s">
        <v>11</v>
      </c>
      <c r="G300" t="s">
        <v>9</v>
      </c>
      <c r="H300" t="s">
        <v>14</v>
      </c>
    </row>
    <row r="301" spans="1:8" hidden="1" x14ac:dyDescent="0.25">
      <c r="A301" t="s">
        <v>456</v>
      </c>
      <c r="B301" s="1" t="str">
        <f>HYPERLINK("https://asmlis.vasa.lt/Dashboard/Served?ServiceDateFrom=2025-11-24&amp;ServiceDateTo=2025-11-24&amp;DumpsterInvNr=13-L-314245", "13-L-314245")</f>
        <v>13-L-314245</v>
      </c>
      <c r="C301">
        <v>1.1000000000000001</v>
      </c>
      <c r="D301" t="s">
        <v>443</v>
      </c>
      <c r="E301" t="s">
        <v>11</v>
      </c>
      <c r="G301" t="s">
        <v>9</v>
      </c>
      <c r="H301" t="s">
        <v>14</v>
      </c>
    </row>
    <row r="302" spans="1:8" hidden="1" x14ac:dyDescent="0.25">
      <c r="A302" t="s">
        <v>457</v>
      </c>
      <c r="B302" s="1" t="str">
        <f>HYPERLINK("https://asmlis.vasa.lt/Dashboard/Served?ServiceDateFrom=2025-11-24&amp;ServiceDateTo=2025-11-24&amp;DumpsterInvNr=13-P-300533", "13-P-300533")</f>
        <v>13-P-300533</v>
      </c>
      <c r="C302">
        <v>1.1000000000000001</v>
      </c>
      <c r="D302" t="s">
        <v>458</v>
      </c>
      <c r="E302" t="s">
        <v>11</v>
      </c>
      <c r="F302" t="s">
        <v>13</v>
      </c>
      <c r="G302" t="s">
        <v>412</v>
      </c>
      <c r="H302" t="s">
        <v>14</v>
      </c>
    </row>
    <row r="303" spans="1:8" hidden="1" x14ac:dyDescent="0.25">
      <c r="A303" t="s">
        <v>459</v>
      </c>
      <c r="B303" s="1" t="str">
        <f>HYPERLINK("https://asmlis.vasa.lt/Dashboard/Served?ServiceDateFrom=2025-11-24&amp;ServiceDateTo=2025-11-24&amp;DumpsterInvNr=13-L-317044", "13-L-317044")</f>
        <v>13-L-317044</v>
      </c>
      <c r="C303">
        <v>0.66</v>
      </c>
      <c r="D303" t="s">
        <v>460</v>
      </c>
      <c r="E303" t="s">
        <v>11</v>
      </c>
      <c r="G303" t="s">
        <v>9</v>
      </c>
      <c r="H303" t="s">
        <v>14</v>
      </c>
    </row>
    <row r="304" spans="1:8" hidden="1" x14ac:dyDescent="0.25">
      <c r="A304" t="s">
        <v>461</v>
      </c>
      <c r="B304" s="1" t="str">
        <f>HYPERLINK("https://asmlis.vasa.lt/Dashboard/Served?ServiceDateFrom=2025-11-24&amp;ServiceDateTo=2025-11-24&amp;DumpsterInvNr=13-L-313862", "13-L-313862")</f>
        <v>13-L-313862</v>
      </c>
      <c r="C304">
        <v>1.1000000000000001</v>
      </c>
      <c r="D304" t="s">
        <v>443</v>
      </c>
      <c r="E304" t="s">
        <v>11</v>
      </c>
      <c r="G304" t="s">
        <v>9</v>
      </c>
      <c r="H304" t="s">
        <v>14</v>
      </c>
    </row>
    <row r="305" spans="1:8" hidden="1" x14ac:dyDescent="0.25">
      <c r="A305" t="s">
        <v>462</v>
      </c>
      <c r="B305" s="1" t="str">
        <f>HYPERLINK("https://asmlis.vasa.lt/Dashboard/Served?ServiceDateFrom=2025-11-24&amp;ServiceDateTo=2025-11-24&amp;DumpsterInvNr=13-L-422042", "13-L-422042")</f>
        <v>13-L-422042</v>
      </c>
      <c r="C305">
        <v>5</v>
      </c>
      <c r="D305" t="s">
        <v>463</v>
      </c>
      <c r="E305" t="s">
        <v>11</v>
      </c>
      <c r="F305" t="s">
        <v>13</v>
      </c>
      <c r="G305" t="s">
        <v>74</v>
      </c>
      <c r="H305" t="s">
        <v>14</v>
      </c>
    </row>
    <row r="306" spans="1:8" hidden="1" x14ac:dyDescent="0.25">
      <c r="A306" t="s">
        <v>464</v>
      </c>
      <c r="B306" s="1" t="str">
        <f>HYPERLINK("https://asmlis.vasa.lt/Dashboard/Served?ServiceDateFrom=2025-11-24&amp;ServiceDateTo=2025-11-24&amp;DumpsterInvNr=13-P-300634", "13-P-300634")</f>
        <v>13-P-300634</v>
      </c>
      <c r="C306">
        <v>1.1000000000000001</v>
      </c>
      <c r="D306" t="s">
        <v>465</v>
      </c>
      <c r="E306" t="s">
        <v>11</v>
      </c>
      <c r="F306" t="s">
        <v>13</v>
      </c>
      <c r="G306" t="s">
        <v>412</v>
      </c>
      <c r="H306" t="s">
        <v>14</v>
      </c>
    </row>
    <row r="307" spans="1:8" hidden="1" x14ac:dyDescent="0.25">
      <c r="A307" t="s">
        <v>466</v>
      </c>
      <c r="B307" s="1" t="str">
        <f>HYPERLINK("https://asmlis.vasa.lt/Dashboard/Served?ServiceDateFrom=2025-11-24&amp;ServiceDateTo=2025-11-24&amp;DumpsterInvNr=13-P-300517", "13-P-300517")</f>
        <v>13-P-300517</v>
      </c>
      <c r="C307">
        <v>1.1000000000000001</v>
      </c>
      <c r="D307" t="s">
        <v>467</v>
      </c>
      <c r="E307" t="s">
        <v>11</v>
      </c>
      <c r="F307" t="s">
        <v>13</v>
      </c>
      <c r="G307" t="s">
        <v>412</v>
      </c>
      <c r="H307" t="s">
        <v>14</v>
      </c>
    </row>
    <row r="308" spans="1:8" hidden="1" x14ac:dyDescent="0.25">
      <c r="A308" t="s">
        <v>468</v>
      </c>
      <c r="B308" s="1" t="str">
        <f>HYPERLINK("https://asmlis.vasa.lt/Dashboard/Served?ServiceDateFrom=2025-11-24&amp;ServiceDateTo=2025-11-24&amp;DumpsterInvNr=13-L-424304", "13-L-424304")</f>
        <v>13-L-424304</v>
      </c>
      <c r="C308">
        <v>5</v>
      </c>
      <c r="D308" t="s">
        <v>469</v>
      </c>
      <c r="E308" t="s">
        <v>11</v>
      </c>
      <c r="F308" t="s">
        <v>13</v>
      </c>
      <c r="G308" t="s">
        <v>74</v>
      </c>
      <c r="H308" t="s">
        <v>14</v>
      </c>
    </row>
    <row r="309" spans="1:8" hidden="1" x14ac:dyDescent="0.25">
      <c r="A309" t="s">
        <v>470</v>
      </c>
      <c r="B309" s="1" t="str">
        <f>HYPERLINK("https://asmlis.vasa.lt/Dashboard/Served?ServiceDateFrom=2025-11-24&amp;ServiceDateTo=2025-11-24&amp;DumpsterInvNr=13-L-318421", "13-L-318421")</f>
        <v>13-L-318421</v>
      </c>
      <c r="C309">
        <v>5</v>
      </c>
      <c r="D309" t="s">
        <v>471</v>
      </c>
      <c r="E309" t="s">
        <v>11</v>
      </c>
      <c r="F309" t="s">
        <v>13</v>
      </c>
      <c r="G309" t="s">
        <v>9</v>
      </c>
      <c r="H309" t="s">
        <v>14</v>
      </c>
    </row>
    <row r="310" spans="1:8" hidden="1" x14ac:dyDescent="0.25">
      <c r="A310" t="s">
        <v>209</v>
      </c>
      <c r="B310" s="1" t="str">
        <f>HYPERLINK("https://asmlis.vasa.lt/Dashboard/Served?ServiceDateFrom=2025-11-24&amp;ServiceDateTo=2025-11-24&amp;DumpsterInvNr=13-L-309150", "13-L-309150")</f>
        <v>13-L-309150</v>
      </c>
      <c r="C310">
        <v>0.66</v>
      </c>
      <c r="D310" t="s">
        <v>460</v>
      </c>
      <c r="E310" t="s">
        <v>11</v>
      </c>
      <c r="F310" t="s">
        <v>13</v>
      </c>
      <c r="G310" t="s">
        <v>9</v>
      </c>
      <c r="H310" t="s">
        <v>14</v>
      </c>
    </row>
    <row r="311" spans="1:8" hidden="1" x14ac:dyDescent="0.25">
      <c r="A311" t="s">
        <v>472</v>
      </c>
      <c r="B311" s="1" t="str">
        <f>HYPERLINK("https://asmlis.vasa.lt/Dashboard/Served?ServiceDateFrom=2025-11-24&amp;ServiceDateTo=2025-11-24&amp;DumpsterInvNr=13-L-317726", "13-L-317726")</f>
        <v>13-L-317726</v>
      </c>
      <c r="C311">
        <v>1.1000000000000001</v>
      </c>
      <c r="D311" t="s">
        <v>460</v>
      </c>
      <c r="E311" t="s">
        <v>11</v>
      </c>
      <c r="F311" t="s">
        <v>13</v>
      </c>
      <c r="G311" t="s">
        <v>9</v>
      </c>
      <c r="H311" t="s">
        <v>14</v>
      </c>
    </row>
    <row r="312" spans="1:8" hidden="1" x14ac:dyDescent="0.25">
      <c r="A312" t="s">
        <v>252</v>
      </c>
      <c r="B312" s="1" t="str">
        <f>HYPERLINK("https://asmlis.vasa.lt/Dashboard/Served?ServiceDateFrom=2025-11-24&amp;ServiceDateTo=2025-11-24&amp;DumpsterInvNr=13-P-300433", "13-P-300433")</f>
        <v>13-P-300433</v>
      </c>
      <c r="C312">
        <v>1.1000000000000001</v>
      </c>
      <c r="D312" t="s">
        <v>473</v>
      </c>
      <c r="E312" t="s">
        <v>11</v>
      </c>
      <c r="F312" t="s">
        <v>13</v>
      </c>
      <c r="G312" t="s">
        <v>412</v>
      </c>
      <c r="H312" t="s">
        <v>14</v>
      </c>
    </row>
    <row r="313" spans="1:8" hidden="1" x14ac:dyDescent="0.25">
      <c r="A313" t="s">
        <v>474</v>
      </c>
      <c r="B313" s="1" t="str">
        <f>HYPERLINK("https://asmlis.vasa.lt/Dashboard/Served?ServiceDateFrom=2025-11-24&amp;ServiceDateTo=2025-11-24&amp;DumpsterInvNr=13-P-300418", "13-P-300418")</f>
        <v>13-P-300418</v>
      </c>
      <c r="C313">
        <v>1.1000000000000001</v>
      </c>
      <c r="D313" t="s">
        <v>473</v>
      </c>
      <c r="E313" t="s">
        <v>11</v>
      </c>
      <c r="F313" t="s">
        <v>13</v>
      </c>
      <c r="G313" t="s">
        <v>412</v>
      </c>
      <c r="H313" t="s">
        <v>14</v>
      </c>
    </row>
    <row r="314" spans="1:8" hidden="1" x14ac:dyDescent="0.25">
      <c r="A314" t="s">
        <v>475</v>
      </c>
      <c r="B314" s="1" t="str">
        <f>HYPERLINK("https://asmlis.vasa.lt/Dashboard/Served?ServiceDateFrom=2025-11-24&amp;ServiceDateTo=2025-11-24&amp;DumpsterInvNr=13-P-205049", "13-P-205049")</f>
        <v>13-P-205049</v>
      </c>
      <c r="C314">
        <v>5</v>
      </c>
      <c r="D314" t="s">
        <v>476</v>
      </c>
      <c r="E314" t="s">
        <v>11</v>
      </c>
      <c r="G314" t="s">
        <v>234</v>
      </c>
      <c r="H314" t="s">
        <v>14</v>
      </c>
    </row>
    <row r="315" spans="1:8" hidden="1" x14ac:dyDescent="0.25">
      <c r="A315" t="s">
        <v>477</v>
      </c>
      <c r="B315" s="1" t="str">
        <f>HYPERLINK("https://asmlis.vasa.lt/Dashboard/Served?ServiceDateFrom=2025-11-24&amp;ServiceDateTo=2025-11-24&amp;DumpsterInvNr=13-L-421925", "13-L-421925")</f>
        <v>13-L-421925</v>
      </c>
      <c r="C315">
        <v>1.1000000000000001</v>
      </c>
      <c r="D315" t="s">
        <v>348</v>
      </c>
      <c r="E315" t="s">
        <v>11</v>
      </c>
      <c r="G315" t="s">
        <v>74</v>
      </c>
      <c r="H315" t="s">
        <v>14</v>
      </c>
    </row>
    <row r="316" spans="1:8" hidden="1" x14ac:dyDescent="0.25">
      <c r="A316" t="s">
        <v>478</v>
      </c>
      <c r="B316" s="1" t="str">
        <f>HYPERLINK("https://asmlis.vasa.lt/Dashboard/Served?ServiceDateFrom=2025-11-24&amp;ServiceDateTo=2025-11-24&amp;DumpsterInvNr=13-L-140291", "13-L-140291")</f>
        <v>13-L-140291</v>
      </c>
      <c r="C316">
        <v>5</v>
      </c>
      <c r="D316" t="s">
        <v>479</v>
      </c>
      <c r="E316" t="s">
        <v>11</v>
      </c>
      <c r="F316" t="s">
        <v>13</v>
      </c>
      <c r="G316" t="s">
        <v>430</v>
      </c>
      <c r="H316" t="s">
        <v>432</v>
      </c>
    </row>
    <row r="317" spans="1:8" hidden="1" x14ac:dyDescent="0.25">
      <c r="A317" t="s">
        <v>480</v>
      </c>
      <c r="B317" s="1" t="str">
        <f>HYPERLINK("https://asmlis.vasa.lt/Dashboard/Served?ServiceDateFrom=2025-11-24&amp;ServiceDateTo=2025-11-24&amp;DumpsterInvNr=13-L-425691", "13-L-425691")</f>
        <v>13-L-425691</v>
      </c>
      <c r="C317">
        <v>1.1000000000000001</v>
      </c>
      <c r="D317" t="s">
        <v>348</v>
      </c>
      <c r="E317" t="s">
        <v>11</v>
      </c>
      <c r="F317" t="s">
        <v>13</v>
      </c>
      <c r="G317" t="s">
        <v>74</v>
      </c>
      <c r="H317" t="s">
        <v>14</v>
      </c>
    </row>
    <row r="318" spans="1:8" hidden="1" x14ac:dyDescent="0.25">
      <c r="A318" t="s">
        <v>481</v>
      </c>
      <c r="B318" s="1" t="str">
        <f>HYPERLINK("https://asmlis.vasa.lt/Dashboard/Served?ServiceDateFrom=2025-11-24&amp;ServiceDateTo=2025-11-24&amp;DumpsterInvNr=13-L-302000", "13-L-302000")</f>
        <v>13-L-302000</v>
      </c>
      <c r="C318">
        <v>1.1000000000000001</v>
      </c>
      <c r="D318" t="s">
        <v>482</v>
      </c>
      <c r="E318" t="s">
        <v>11</v>
      </c>
      <c r="G318" t="s">
        <v>9</v>
      </c>
      <c r="H318" t="s">
        <v>14</v>
      </c>
    </row>
    <row r="319" spans="1:8" hidden="1" x14ac:dyDescent="0.25">
      <c r="A319" t="s">
        <v>483</v>
      </c>
      <c r="B319" s="1" t="str">
        <f>HYPERLINK("https://asmlis.vasa.lt/Dashboard/Served?ServiceDateFrom=2025-11-24&amp;ServiceDateTo=2025-11-24&amp;DumpsterInvNr=13-L-421927", "13-L-421927")</f>
        <v>13-L-421927</v>
      </c>
      <c r="C319">
        <v>1.1000000000000001</v>
      </c>
      <c r="D319" t="s">
        <v>348</v>
      </c>
      <c r="E319" t="s">
        <v>11</v>
      </c>
      <c r="F319" t="s">
        <v>13</v>
      </c>
      <c r="G319" t="s">
        <v>74</v>
      </c>
      <c r="H319" t="s">
        <v>14</v>
      </c>
    </row>
    <row r="320" spans="1:8" hidden="1" x14ac:dyDescent="0.25">
      <c r="A320" t="s">
        <v>484</v>
      </c>
      <c r="B320" s="1" t="str">
        <f>HYPERLINK("https://asmlis.vasa.lt/Dashboard/Served?ServiceDateFrom=2025-11-24&amp;ServiceDateTo=2025-11-24&amp;DumpsterInvNr=13-P-412276", "13-P-412276")</f>
        <v>13-P-412276</v>
      </c>
      <c r="C320">
        <v>1.1000000000000001</v>
      </c>
      <c r="D320" t="s">
        <v>485</v>
      </c>
      <c r="E320" t="s">
        <v>11</v>
      </c>
      <c r="G320" t="s">
        <v>264</v>
      </c>
      <c r="H320" t="s">
        <v>14</v>
      </c>
    </row>
    <row r="321" spans="1:8" hidden="1" x14ac:dyDescent="0.25">
      <c r="A321" t="s">
        <v>486</v>
      </c>
      <c r="B321" s="1" t="str">
        <f>HYPERLINK("https://asmlis.vasa.lt/Dashboard/Served?ServiceDateFrom=2025-11-24&amp;ServiceDateTo=2025-11-24&amp;DumpsterInvNr=13-L-316232", "13-L-316232")</f>
        <v>13-L-316232</v>
      </c>
      <c r="C321">
        <v>1.1000000000000001</v>
      </c>
      <c r="D321" t="s">
        <v>487</v>
      </c>
      <c r="E321" t="s">
        <v>11</v>
      </c>
      <c r="G321" t="s">
        <v>9</v>
      </c>
      <c r="H321" t="s">
        <v>14</v>
      </c>
    </row>
    <row r="322" spans="1:8" hidden="1" x14ac:dyDescent="0.25">
      <c r="A322" t="s">
        <v>488</v>
      </c>
      <c r="B322" s="1" t="str">
        <f>HYPERLINK("https://asmlis.vasa.lt/Dashboard/Served?ServiceDateFrom=2025-11-24&amp;ServiceDateTo=2025-11-24&amp;DumpsterInvNr=13-L-313779", "13-L-313779")</f>
        <v>13-L-313779</v>
      </c>
      <c r="C322">
        <v>1.1000000000000001</v>
      </c>
      <c r="D322" t="s">
        <v>489</v>
      </c>
      <c r="E322" t="s">
        <v>11</v>
      </c>
      <c r="G322" t="s">
        <v>9</v>
      </c>
      <c r="H322" t="s">
        <v>14</v>
      </c>
    </row>
    <row r="323" spans="1:8" hidden="1" x14ac:dyDescent="0.25">
      <c r="A323" t="s">
        <v>490</v>
      </c>
      <c r="B323" s="1" t="str">
        <f>HYPERLINK("https://asmlis.vasa.lt/Dashboard/Served?ServiceDateFrom=2025-11-24&amp;ServiceDateTo=2025-11-24&amp;DumpsterInvNr=13-L-424151", "13-L-424151")</f>
        <v>13-L-424151</v>
      </c>
      <c r="C323">
        <v>1.1000000000000001</v>
      </c>
      <c r="D323" t="s">
        <v>348</v>
      </c>
      <c r="E323" t="s">
        <v>11</v>
      </c>
      <c r="G323" t="s">
        <v>74</v>
      </c>
      <c r="H323" t="s">
        <v>14</v>
      </c>
    </row>
    <row r="324" spans="1:8" hidden="1" x14ac:dyDescent="0.25">
      <c r="A324" t="s">
        <v>491</v>
      </c>
      <c r="B324" s="1" t="str">
        <f>HYPERLINK("https://asmlis.vasa.lt/Dashboard/Served?ServiceDateFrom=2025-11-24&amp;ServiceDateTo=2025-11-24&amp;DumpsterInvNr=13-L-313523", "13-L-313523")</f>
        <v>13-L-313523</v>
      </c>
      <c r="C324">
        <v>5</v>
      </c>
      <c r="D324" t="s">
        <v>492</v>
      </c>
      <c r="E324" t="s">
        <v>11</v>
      </c>
      <c r="F324" t="s">
        <v>13</v>
      </c>
      <c r="G324" t="s">
        <v>9</v>
      </c>
      <c r="H324" t="s">
        <v>14</v>
      </c>
    </row>
    <row r="325" spans="1:8" hidden="1" x14ac:dyDescent="0.25">
      <c r="A325" t="s">
        <v>493</v>
      </c>
      <c r="B325" s="1" t="str">
        <f>HYPERLINK("https://asmlis.vasa.lt/Dashboard/Served?ServiceDateFrom=2025-11-24&amp;ServiceDateTo=2025-11-24&amp;DumpsterInvNr=13-L-423016", "13-L-423016")</f>
        <v>13-L-423016</v>
      </c>
      <c r="C325">
        <v>5</v>
      </c>
      <c r="D325" t="s">
        <v>494</v>
      </c>
      <c r="E325" t="s">
        <v>11</v>
      </c>
      <c r="F325" t="s">
        <v>13</v>
      </c>
      <c r="G325" t="s">
        <v>74</v>
      </c>
      <c r="H325" t="s">
        <v>14</v>
      </c>
    </row>
    <row r="326" spans="1:8" hidden="1" x14ac:dyDescent="0.25">
      <c r="A326" t="s">
        <v>495</v>
      </c>
      <c r="B326" s="1" t="str">
        <f>HYPERLINK("https://asmlis.vasa.lt/Dashboard/Served?ServiceDateFrom=2025-11-24&amp;ServiceDateTo=2025-11-24&amp;DumpsterInvNr=13-P-415486", "13-P-415486")</f>
        <v>13-P-415486</v>
      </c>
      <c r="C326">
        <v>1.1000000000000001</v>
      </c>
      <c r="D326" t="s">
        <v>485</v>
      </c>
      <c r="E326" t="s">
        <v>11</v>
      </c>
      <c r="G326" t="s">
        <v>264</v>
      </c>
      <c r="H326" t="s">
        <v>14</v>
      </c>
    </row>
    <row r="327" spans="1:8" hidden="1" x14ac:dyDescent="0.25">
      <c r="A327" t="s">
        <v>496</v>
      </c>
      <c r="B327" s="1" t="str">
        <f>HYPERLINK("https://asmlis.vasa.lt/Dashboard/Served?ServiceDateFrom=2025-11-24&amp;ServiceDateTo=2025-11-24&amp;DumpsterInvNr=13-L-423717", "13-L-423717")</f>
        <v>13-L-423717</v>
      </c>
      <c r="C327">
        <v>1.1000000000000001</v>
      </c>
      <c r="D327" t="s">
        <v>348</v>
      </c>
      <c r="E327" t="s">
        <v>11</v>
      </c>
      <c r="G327" t="s">
        <v>74</v>
      </c>
      <c r="H327" t="s">
        <v>14</v>
      </c>
    </row>
    <row r="328" spans="1:8" hidden="1" x14ac:dyDescent="0.25">
      <c r="A328" t="s">
        <v>497</v>
      </c>
      <c r="B328" s="1" t="str">
        <f>HYPERLINK("https://asmlis.vasa.lt/Dashboard/Served?ServiceDateFrom=2025-11-24&amp;ServiceDateTo=2025-11-24&amp;DumpsterInvNr=13-L-313988", "13-L-313988")</f>
        <v>13-L-313988</v>
      </c>
      <c r="C328">
        <v>1.1000000000000001</v>
      </c>
      <c r="D328" t="s">
        <v>489</v>
      </c>
      <c r="E328" t="s">
        <v>11</v>
      </c>
      <c r="G328" t="s">
        <v>9</v>
      </c>
      <c r="H328" t="s">
        <v>14</v>
      </c>
    </row>
    <row r="329" spans="1:8" hidden="1" x14ac:dyDescent="0.25">
      <c r="A329" t="s">
        <v>498</v>
      </c>
      <c r="B329" s="1" t="str">
        <f>HYPERLINK("https://asmlis.vasa.lt/Dashboard/Served?ServiceDateFrom=2025-11-24&amp;ServiceDateTo=2025-11-24&amp;DumpsterInvNr=13-L-312242", "13-L-312242")</f>
        <v>13-L-312242</v>
      </c>
      <c r="C329">
        <v>1.1000000000000001</v>
      </c>
      <c r="D329" t="s">
        <v>499</v>
      </c>
      <c r="E329" t="s">
        <v>11</v>
      </c>
      <c r="G329" t="s">
        <v>9</v>
      </c>
      <c r="H329" t="s">
        <v>14</v>
      </c>
    </row>
    <row r="330" spans="1:8" hidden="1" x14ac:dyDescent="0.25">
      <c r="A330" t="s">
        <v>500</v>
      </c>
      <c r="B330" s="1" t="str">
        <f>HYPERLINK("https://asmlis.vasa.lt/Dashboard/Served?ServiceDateFrom=2025-11-24&amp;ServiceDateTo=2025-11-24&amp;DumpsterInvNr=13-L-418270", "13-L-418270")</f>
        <v>13-L-418270</v>
      </c>
      <c r="C330">
        <v>5</v>
      </c>
      <c r="D330" t="s">
        <v>501</v>
      </c>
      <c r="E330" t="s">
        <v>11</v>
      </c>
      <c r="F330" t="s">
        <v>13</v>
      </c>
      <c r="G330" t="s">
        <v>74</v>
      </c>
      <c r="H330" t="s">
        <v>14</v>
      </c>
    </row>
    <row r="331" spans="1:8" hidden="1" x14ac:dyDescent="0.25">
      <c r="A331" t="s">
        <v>502</v>
      </c>
      <c r="B331" s="1" t="str">
        <f>HYPERLINK("https://asmlis.vasa.lt/Dashboard/Served?ServiceDateFrom=2025-11-24&amp;ServiceDateTo=2025-11-24&amp;DumpsterInvNr=13-L-313317", "13-L-313317")</f>
        <v>13-L-313317</v>
      </c>
      <c r="C331">
        <v>1.1000000000000001</v>
      </c>
      <c r="D331" t="s">
        <v>487</v>
      </c>
      <c r="E331" t="s">
        <v>11</v>
      </c>
      <c r="G331" t="s">
        <v>9</v>
      </c>
      <c r="H331" t="s">
        <v>14</v>
      </c>
    </row>
    <row r="332" spans="1:8" hidden="1" x14ac:dyDescent="0.25">
      <c r="A332" t="s">
        <v>503</v>
      </c>
      <c r="B332" s="1" t="str">
        <f>HYPERLINK("https://asmlis.vasa.lt/Dashboard/Served?ServiceDateFrom=2025-11-24&amp;ServiceDateTo=2025-11-24&amp;DumpsterInvNr=13-L-427030", "13-L-427030")</f>
        <v>13-L-427030</v>
      </c>
      <c r="C332">
        <v>1.1000000000000001</v>
      </c>
      <c r="D332" t="s">
        <v>348</v>
      </c>
      <c r="E332" t="s">
        <v>11</v>
      </c>
      <c r="G332" t="s">
        <v>74</v>
      </c>
      <c r="H332" t="s">
        <v>14</v>
      </c>
    </row>
    <row r="333" spans="1:8" hidden="1" x14ac:dyDescent="0.25">
      <c r="A333" t="s">
        <v>504</v>
      </c>
      <c r="B333" s="1" t="str">
        <f>HYPERLINK("https://asmlis.vasa.lt/Dashboard/Served?ServiceDateFrom=2025-11-24&amp;ServiceDateTo=2025-11-24&amp;DumpsterInvNr=13-L-425258", "13-L-425258")</f>
        <v>13-L-425258</v>
      </c>
      <c r="C333">
        <v>1.1000000000000001</v>
      </c>
      <c r="D333" t="s">
        <v>348</v>
      </c>
      <c r="E333" t="s">
        <v>11</v>
      </c>
      <c r="G333" t="s">
        <v>74</v>
      </c>
      <c r="H333" t="s">
        <v>14</v>
      </c>
    </row>
    <row r="334" spans="1:8" hidden="1" x14ac:dyDescent="0.25">
      <c r="A334" t="s">
        <v>505</v>
      </c>
      <c r="B334" s="1" t="str">
        <f>HYPERLINK("https://asmlis.vasa.lt/Dashboard/Served?ServiceDateFrom=2025-11-24&amp;ServiceDateTo=2025-11-24&amp;DumpsterInvNr=13-L-318425", "13-L-318425")</f>
        <v>13-L-318425</v>
      </c>
      <c r="C334">
        <v>1.1000000000000001</v>
      </c>
      <c r="D334" t="s">
        <v>506</v>
      </c>
      <c r="E334" t="s">
        <v>11</v>
      </c>
      <c r="F334" t="s">
        <v>13</v>
      </c>
      <c r="G334" t="s">
        <v>9</v>
      </c>
      <c r="H334" t="s">
        <v>14</v>
      </c>
    </row>
    <row r="335" spans="1:8" hidden="1" x14ac:dyDescent="0.25">
      <c r="A335" t="s">
        <v>507</v>
      </c>
      <c r="B335" s="1" t="str">
        <f>HYPERLINK("https://asmlis.vasa.lt/Dashboard/Served?ServiceDateFrom=2025-11-24&amp;ServiceDateTo=2025-11-24&amp;DumpsterInvNr=13-L-314375", "13-L-314375")</f>
        <v>13-L-314375</v>
      </c>
      <c r="C335">
        <v>0.66</v>
      </c>
      <c r="D335" t="s">
        <v>499</v>
      </c>
      <c r="E335" t="s">
        <v>11</v>
      </c>
      <c r="F335" t="s">
        <v>13</v>
      </c>
      <c r="G335" t="s">
        <v>9</v>
      </c>
      <c r="H335" t="s">
        <v>14</v>
      </c>
    </row>
    <row r="336" spans="1:8" hidden="1" x14ac:dyDescent="0.25">
      <c r="A336" t="s">
        <v>508</v>
      </c>
      <c r="B336" s="1" t="str">
        <f>HYPERLINK("https://asmlis.vasa.lt/Dashboard/Served?ServiceDateFrom=2025-11-24&amp;ServiceDateTo=2025-11-24&amp;DumpsterInvNr=13-L-313602", "13-L-313602")</f>
        <v>13-L-313602</v>
      </c>
      <c r="C336">
        <v>1.1000000000000001</v>
      </c>
      <c r="D336" t="s">
        <v>499</v>
      </c>
      <c r="E336" t="s">
        <v>11</v>
      </c>
      <c r="F336" t="s">
        <v>13</v>
      </c>
      <c r="G336" t="s">
        <v>9</v>
      </c>
      <c r="H336" t="s">
        <v>14</v>
      </c>
    </row>
    <row r="337" spans="1:8" hidden="1" x14ac:dyDescent="0.25">
      <c r="A337" t="s">
        <v>509</v>
      </c>
      <c r="B337" s="1" t="str">
        <f>HYPERLINK("https://asmlis.vasa.lt/Dashboard/Served?ServiceDateFrom=2025-11-24&amp;ServiceDateTo=2025-11-24&amp;DumpsterInvNr=13-L-421054", "13-L-421054")</f>
        <v>13-L-421054</v>
      </c>
      <c r="C337">
        <v>1.1000000000000001</v>
      </c>
      <c r="D337" t="s">
        <v>348</v>
      </c>
      <c r="E337" t="s">
        <v>11</v>
      </c>
      <c r="G337" t="s">
        <v>74</v>
      </c>
      <c r="H337" t="s">
        <v>14</v>
      </c>
    </row>
    <row r="338" spans="1:8" hidden="1" x14ac:dyDescent="0.25">
      <c r="A338" t="s">
        <v>510</v>
      </c>
      <c r="B338" s="1" t="str">
        <f>HYPERLINK("https://asmlis.vasa.lt/Dashboard/Served?ServiceDateFrom=2025-11-24&amp;ServiceDateTo=2025-11-24&amp;DumpsterInvNr=13-L-423219", "13-L-423219")</f>
        <v>13-L-423219</v>
      </c>
      <c r="C338">
        <v>5</v>
      </c>
      <c r="D338" t="s">
        <v>511</v>
      </c>
      <c r="E338" t="s">
        <v>11</v>
      </c>
      <c r="G338" t="s">
        <v>74</v>
      </c>
      <c r="H338" t="s">
        <v>14</v>
      </c>
    </row>
    <row r="339" spans="1:8" hidden="1" x14ac:dyDescent="0.25">
      <c r="A339" t="s">
        <v>512</v>
      </c>
      <c r="B339" s="1" t="str">
        <f>HYPERLINK("https://asmlis.vasa.lt/Dashboard/Served?ServiceDateFrom=2025-11-24&amp;ServiceDateTo=2025-11-24&amp;DumpsterInvNr=13-L-317218", "13-L-317218")</f>
        <v>13-L-317218</v>
      </c>
      <c r="C339">
        <v>1.1000000000000001</v>
      </c>
      <c r="D339" t="s">
        <v>487</v>
      </c>
      <c r="E339" t="s">
        <v>11</v>
      </c>
      <c r="F339" t="s">
        <v>13</v>
      </c>
      <c r="G339" t="s">
        <v>9</v>
      </c>
      <c r="H339" t="s">
        <v>14</v>
      </c>
    </row>
    <row r="340" spans="1:8" hidden="1" x14ac:dyDescent="0.25">
      <c r="A340" t="s">
        <v>513</v>
      </c>
      <c r="B340" s="1" t="str">
        <f>HYPERLINK("https://asmlis.vasa.lt/Dashboard/Served?ServiceDateFrom=2025-11-24&amp;ServiceDateTo=2025-11-24&amp;DumpsterInvNr=13-L-105145", "13-L-105145")</f>
        <v>13-L-105145</v>
      </c>
      <c r="C340">
        <v>5</v>
      </c>
      <c r="D340" t="s">
        <v>514</v>
      </c>
      <c r="E340" t="s">
        <v>11</v>
      </c>
      <c r="F340" t="s">
        <v>13</v>
      </c>
      <c r="G340" t="s">
        <v>430</v>
      </c>
      <c r="H340" t="s">
        <v>432</v>
      </c>
    </row>
    <row r="341" spans="1:8" hidden="1" x14ac:dyDescent="0.25">
      <c r="A341" t="s">
        <v>515</v>
      </c>
      <c r="B341" s="1" t="str">
        <f>HYPERLINK("https://asmlis.vasa.lt/Dashboard/Served?ServiceDateFrom=2025-11-24&amp;ServiceDateTo=2025-11-24&amp;DumpsterInvNr=13-L-307863", "13-L-307863")</f>
        <v>13-L-307863</v>
      </c>
      <c r="C341">
        <v>0.24</v>
      </c>
      <c r="D341" t="s">
        <v>516</v>
      </c>
      <c r="E341" t="s">
        <v>11</v>
      </c>
      <c r="G341" t="s">
        <v>9</v>
      </c>
      <c r="H341" t="s">
        <v>14</v>
      </c>
    </row>
    <row r="342" spans="1:8" hidden="1" x14ac:dyDescent="0.25">
      <c r="A342" t="s">
        <v>517</v>
      </c>
      <c r="B342" s="1" t="str">
        <f>HYPERLINK("https://asmlis.vasa.lt/Dashboard/Served?ServiceDateFrom=2025-11-24&amp;ServiceDateTo=2025-11-24&amp;DumpsterInvNr=13-L-423024", "13-L-423024")</f>
        <v>13-L-423024</v>
      </c>
      <c r="C342">
        <v>1.1000000000000001</v>
      </c>
      <c r="D342" t="s">
        <v>348</v>
      </c>
      <c r="E342" t="s">
        <v>11</v>
      </c>
      <c r="G342" t="s">
        <v>74</v>
      </c>
      <c r="H342" t="s">
        <v>14</v>
      </c>
    </row>
    <row r="343" spans="1:8" hidden="1" x14ac:dyDescent="0.25">
      <c r="A343" t="s">
        <v>518</v>
      </c>
      <c r="B343" s="1" t="str">
        <f>HYPERLINK("https://asmlis.vasa.lt/Dashboard/Served?ServiceDateFrom=2025-11-24&amp;ServiceDateTo=2025-11-24&amp;DumpsterInvNr=13-P-416180", "13-P-416180")</f>
        <v>13-P-416180</v>
      </c>
      <c r="C343">
        <v>1.1000000000000001</v>
      </c>
      <c r="D343" t="s">
        <v>519</v>
      </c>
      <c r="E343" t="s">
        <v>11</v>
      </c>
      <c r="G343" t="s">
        <v>264</v>
      </c>
      <c r="H343" t="s">
        <v>14</v>
      </c>
    </row>
    <row r="344" spans="1:8" hidden="1" x14ac:dyDescent="0.25">
      <c r="A344" t="s">
        <v>520</v>
      </c>
      <c r="B344" s="1" t="str">
        <f>HYPERLINK("https://asmlis.vasa.lt/Dashboard/Served?ServiceDateFrom=2025-11-24&amp;ServiceDateTo=2025-11-24&amp;DumpsterInvNr=13-L-422788", "13-L-422788")</f>
        <v>13-L-422788</v>
      </c>
      <c r="C344">
        <v>1.1000000000000001</v>
      </c>
      <c r="D344" t="s">
        <v>348</v>
      </c>
      <c r="E344" t="s">
        <v>11</v>
      </c>
      <c r="G344" t="s">
        <v>74</v>
      </c>
      <c r="H344" t="s">
        <v>14</v>
      </c>
    </row>
    <row r="345" spans="1:8" hidden="1" x14ac:dyDescent="0.25">
      <c r="A345" t="s">
        <v>521</v>
      </c>
      <c r="B345" s="1" t="str">
        <f>HYPERLINK("https://asmlis.vasa.lt/Dashboard/Served?ServiceDateFrom=2025-11-24&amp;ServiceDateTo=2025-11-24&amp;DumpsterInvNr=13-L-311792", "13-L-311792")</f>
        <v>13-L-311792</v>
      </c>
      <c r="C345">
        <v>1.1000000000000001</v>
      </c>
      <c r="D345" t="s">
        <v>522</v>
      </c>
      <c r="E345" t="s">
        <v>11</v>
      </c>
      <c r="G345" t="s">
        <v>9</v>
      </c>
      <c r="H345" t="s">
        <v>14</v>
      </c>
    </row>
    <row r="346" spans="1:8" hidden="1" x14ac:dyDescent="0.25">
      <c r="A346" t="s">
        <v>523</v>
      </c>
      <c r="B346" s="1" t="str">
        <f>HYPERLINK("https://asmlis.vasa.lt/Dashboard/Served?ServiceDateFrom=2025-11-24&amp;ServiceDateTo=2025-11-24&amp;DumpsterInvNr=13-L-425259", "13-L-425259")</f>
        <v>13-L-425259</v>
      </c>
      <c r="C346">
        <v>1.1000000000000001</v>
      </c>
      <c r="D346" t="s">
        <v>348</v>
      </c>
      <c r="E346" t="s">
        <v>11</v>
      </c>
      <c r="G346" t="s">
        <v>74</v>
      </c>
      <c r="H346" t="s">
        <v>14</v>
      </c>
    </row>
    <row r="347" spans="1:8" hidden="1" x14ac:dyDescent="0.25">
      <c r="A347" t="s">
        <v>524</v>
      </c>
      <c r="B347" s="1" t="str">
        <f>HYPERLINK("https://asmlis.vasa.lt/Dashboard/Served?ServiceDateFrom=2025-11-24&amp;ServiceDateTo=2025-11-24&amp;DumpsterInvNr=13-L-314376", "13-L-314376")</f>
        <v>13-L-314376</v>
      </c>
      <c r="C347">
        <v>1.1000000000000001</v>
      </c>
      <c r="D347" t="s">
        <v>482</v>
      </c>
      <c r="E347" t="s">
        <v>11</v>
      </c>
      <c r="G347" t="s">
        <v>9</v>
      </c>
      <c r="H347" t="s">
        <v>14</v>
      </c>
    </row>
    <row r="348" spans="1:8" hidden="1" x14ac:dyDescent="0.25">
      <c r="A348" t="s">
        <v>525</v>
      </c>
      <c r="B348" s="1" t="str">
        <f>HYPERLINK("https://asmlis.vasa.lt/Dashboard/Served?ServiceDateFrom=2025-11-24&amp;ServiceDateTo=2025-11-24&amp;DumpsterInvNr=13-L-318422", "13-L-318422")</f>
        <v>13-L-318422</v>
      </c>
      <c r="C348">
        <v>5</v>
      </c>
      <c r="D348" t="s">
        <v>526</v>
      </c>
      <c r="E348" t="s">
        <v>11</v>
      </c>
      <c r="F348" t="s">
        <v>13</v>
      </c>
      <c r="G348" t="s">
        <v>9</v>
      </c>
      <c r="H348" t="s">
        <v>14</v>
      </c>
    </row>
    <row r="349" spans="1:8" hidden="1" x14ac:dyDescent="0.25">
      <c r="A349" t="s">
        <v>527</v>
      </c>
      <c r="B349" s="1" t="str">
        <f>HYPERLINK("https://asmlis.vasa.lt/Dashboard/Served?ServiceDateFrom=2025-11-24&amp;ServiceDateTo=2025-11-24&amp;DumpsterInvNr=13-L-318428", "13-L-318428")</f>
        <v>13-L-318428</v>
      </c>
      <c r="C349">
        <v>0.66</v>
      </c>
      <c r="D349" t="s">
        <v>528</v>
      </c>
      <c r="E349" t="s">
        <v>11</v>
      </c>
      <c r="G349" t="s">
        <v>9</v>
      </c>
      <c r="H349" t="s">
        <v>14</v>
      </c>
    </row>
    <row r="350" spans="1:8" hidden="1" x14ac:dyDescent="0.25">
      <c r="A350" t="s">
        <v>529</v>
      </c>
      <c r="B350" s="1" t="str">
        <f>HYPERLINK("https://asmlis.vasa.lt/Dashboard/Served?ServiceDateFrom=2025-11-24&amp;ServiceDateTo=2025-11-24&amp;DumpsterInvNr=13-P-302418", "13-P-302418")</f>
        <v>13-P-302418</v>
      </c>
      <c r="C350">
        <v>5</v>
      </c>
      <c r="D350" t="s">
        <v>530</v>
      </c>
      <c r="E350" t="s">
        <v>11</v>
      </c>
      <c r="G350" t="s">
        <v>412</v>
      </c>
      <c r="H350" t="s">
        <v>14</v>
      </c>
    </row>
    <row r="351" spans="1:8" hidden="1" x14ac:dyDescent="0.25">
      <c r="A351" t="s">
        <v>531</v>
      </c>
      <c r="B351" s="1" t="str">
        <f>HYPERLINK("https://asmlis.vasa.lt/Dashboard/Served?ServiceDateFrom=2025-11-24&amp;ServiceDateTo=2025-11-24&amp;DumpsterInvNr=13-P-300510", "13-P-300510")</f>
        <v>13-P-300510</v>
      </c>
      <c r="C351">
        <v>1.1000000000000001</v>
      </c>
      <c r="D351" t="s">
        <v>301</v>
      </c>
      <c r="E351" t="s">
        <v>11</v>
      </c>
      <c r="F351" t="s">
        <v>13</v>
      </c>
      <c r="G351" t="s">
        <v>412</v>
      </c>
      <c r="H351" t="s">
        <v>14</v>
      </c>
    </row>
    <row r="352" spans="1:8" hidden="1" x14ac:dyDescent="0.25">
      <c r="A352" t="s">
        <v>532</v>
      </c>
      <c r="B352" s="1" t="str">
        <f>HYPERLINK("https://asmlis.vasa.lt/Dashboard/Served?ServiceDateFrom=2025-11-24&amp;ServiceDateTo=2025-11-24&amp;DumpsterInvNr=13-P-204239", "13-P-204239")</f>
        <v>13-P-204239</v>
      </c>
      <c r="C352">
        <v>5</v>
      </c>
      <c r="D352" t="s">
        <v>533</v>
      </c>
      <c r="E352" t="s">
        <v>11</v>
      </c>
      <c r="F352" t="s">
        <v>13</v>
      </c>
      <c r="G352" t="s">
        <v>234</v>
      </c>
      <c r="H352" t="s">
        <v>14</v>
      </c>
    </row>
    <row r="353" spans="1:8" hidden="1" x14ac:dyDescent="0.25">
      <c r="A353" t="s">
        <v>534</v>
      </c>
      <c r="B353" s="1" t="str">
        <f>HYPERLINK("https://asmlis.vasa.lt/Dashboard/Served?ServiceDateFrom=2025-11-24&amp;ServiceDateTo=2025-11-24&amp;DumpsterInvNr=13-L-318213", "13-L-318213")</f>
        <v>13-L-318213</v>
      </c>
      <c r="C353">
        <v>1.1000000000000001</v>
      </c>
      <c r="D353" t="s">
        <v>482</v>
      </c>
      <c r="E353" t="s">
        <v>11</v>
      </c>
      <c r="G353" t="s">
        <v>9</v>
      </c>
      <c r="H353" t="s">
        <v>14</v>
      </c>
    </row>
    <row r="354" spans="1:8" hidden="1" x14ac:dyDescent="0.25">
      <c r="A354" t="s">
        <v>535</v>
      </c>
      <c r="B354" s="1" t="str">
        <f>HYPERLINK("https://asmlis.vasa.lt/Dashboard/Served?ServiceDateFrom=2025-11-24&amp;ServiceDateTo=2025-11-24&amp;DumpsterInvNr=13-P-409088", "13-P-409088")</f>
        <v>13-P-409088</v>
      </c>
      <c r="C354">
        <v>1.1000000000000001</v>
      </c>
      <c r="D354" t="s">
        <v>536</v>
      </c>
      <c r="E354" t="s">
        <v>11</v>
      </c>
      <c r="F354" t="s">
        <v>13</v>
      </c>
      <c r="G354" t="s">
        <v>264</v>
      </c>
      <c r="H354" t="s">
        <v>14</v>
      </c>
    </row>
    <row r="355" spans="1:8" hidden="1" x14ac:dyDescent="0.25">
      <c r="A355" t="s">
        <v>537</v>
      </c>
      <c r="B355" s="1" t="str">
        <f>HYPERLINK("https://asmlis.vasa.lt/Dashboard/Served?ServiceDateFrom=2025-11-24&amp;ServiceDateTo=2025-11-24&amp;DumpsterInvNr=13-L-318674", "13-L-318674")</f>
        <v>13-L-318674</v>
      </c>
      <c r="C355">
        <v>1.1000000000000001</v>
      </c>
      <c r="D355" t="s">
        <v>538</v>
      </c>
      <c r="E355" t="s">
        <v>11</v>
      </c>
      <c r="G355" t="s">
        <v>9</v>
      </c>
      <c r="H355" t="s">
        <v>14</v>
      </c>
    </row>
    <row r="356" spans="1:8" hidden="1" x14ac:dyDescent="0.25">
      <c r="A356" t="s">
        <v>539</v>
      </c>
      <c r="B356" s="1" t="str">
        <f>HYPERLINK("https://asmlis.vasa.lt/Dashboard/Served?ServiceDateFrom=2025-11-24&amp;ServiceDateTo=2025-11-24&amp;DumpsterInvNr=13-L-425967", "13-L-425967")</f>
        <v>13-L-425967</v>
      </c>
      <c r="C356">
        <v>1.1000000000000001</v>
      </c>
      <c r="D356" t="s">
        <v>540</v>
      </c>
      <c r="E356" t="s">
        <v>11</v>
      </c>
      <c r="G356" t="s">
        <v>74</v>
      </c>
      <c r="H356" t="s">
        <v>14</v>
      </c>
    </row>
    <row r="357" spans="1:8" hidden="1" x14ac:dyDescent="0.25">
      <c r="A357" t="s">
        <v>541</v>
      </c>
      <c r="B357" s="1" t="str">
        <f>HYPERLINK("https://asmlis.vasa.lt/Dashboard/Served?ServiceDateFrom=2025-11-24&amp;ServiceDateTo=2025-11-24&amp;DumpsterInvNr=13-L-311789", "13-L-311789")</f>
        <v>13-L-311789</v>
      </c>
      <c r="C357">
        <v>1.1000000000000001</v>
      </c>
      <c r="D357" t="s">
        <v>542</v>
      </c>
      <c r="E357" t="s">
        <v>11</v>
      </c>
      <c r="F357" t="s">
        <v>13</v>
      </c>
      <c r="G357" t="s">
        <v>9</v>
      </c>
      <c r="H357" t="s">
        <v>14</v>
      </c>
    </row>
    <row r="358" spans="1:8" hidden="1" x14ac:dyDescent="0.25">
      <c r="A358" t="s">
        <v>541</v>
      </c>
      <c r="B358" s="1" t="str">
        <f>HYPERLINK("https://asmlis.vasa.lt/Dashboard/Served?ServiceDateFrom=2025-11-24&amp;ServiceDateTo=2025-11-24&amp;DumpsterInvNr=13-L-105146", "13-L-105146")</f>
        <v>13-L-105146</v>
      </c>
      <c r="C358">
        <v>5</v>
      </c>
      <c r="D358" t="s">
        <v>543</v>
      </c>
      <c r="E358" t="s">
        <v>11</v>
      </c>
      <c r="F358" t="s">
        <v>13</v>
      </c>
      <c r="G358" t="s">
        <v>430</v>
      </c>
      <c r="H358" t="s">
        <v>432</v>
      </c>
    </row>
    <row r="359" spans="1:8" hidden="1" x14ac:dyDescent="0.25">
      <c r="A359" t="s">
        <v>544</v>
      </c>
      <c r="B359" s="1" t="str">
        <f>HYPERLINK("https://asmlis.vasa.lt/Dashboard/Served?ServiceDateFrom=2025-11-24&amp;ServiceDateTo=2025-11-24&amp;DumpsterInvNr=13-L-318673", "13-L-318673")</f>
        <v>13-L-318673</v>
      </c>
      <c r="C359">
        <v>1.1000000000000001</v>
      </c>
      <c r="D359" t="s">
        <v>538</v>
      </c>
      <c r="E359" t="s">
        <v>11</v>
      </c>
      <c r="G359" t="s">
        <v>9</v>
      </c>
      <c r="H359" t="s">
        <v>14</v>
      </c>
    </row>
    <row r="360" spans="1:8" hidden="1" x14ac:dyDescent="0.25">
      <c r="A360" t="s">
        <v>545</v>
      </c>
      <c r="B360" s="1" t="str">
        <f>HYPERLINK("https://asmlis.vasa.lt/Dashboard/Served?ServiceDateFrom=2025-11-24&amp;ServiceDateTo=2025-11-24&amp;DumpsterInvNr=13-L-318624", "13-L-318624")</f>
        <v>13-L-318624</v>
      </c>
      <c r="C360">
        <v>1.1000000000000001</v>
      </c>
      <c r="D360" t="s">
        <v>482</v>
      </c>
      <c r="E360" t="s">
        <v>11</v>
      </c>
      <c r="G360" t="s">
        <v>9</v>
      </c>
      <c r="H360" t="s">
        <v>14</v>
      </c>
    </row>
    <row r="361" spans="1:8" hidden="1" x14ac:dyDescent="0.25">
      <c r="A361" t="s">
        <v>546</v>
      </c>
      <c r="B361" s="1" t="str">
        <f>HYPERLINK("https://asmlis.vasa.lt/Dashboard/Served?ServiceDateFrom=2025-11-24&amp;ServiceDateTo=2025-11-24&amp;DumpsterInvNr=13-L-426747", "13-L-426747")</f>
        <v>13-L-426747</v>
      </c>
      <c r="C361">
        <v>1.1000000000000001</v>
      </c>
      <c r="D361" t="s">
        <v>348</v>
      </c>
      <c r="E361" t="s">
        <v>11</v>
      </c>
      <c r="G361" t="s">
        <v>74</v>
      </c>
      <c r="H361" t="s">
        <v>14</v>
      </c>
    </row>
    <row r="362" spans="1:8" hidden="1" x14ac:dyDescent="0.25">
      <c r="A362" t="s">
        <v>547</v>
      </c>
      <c r="B362" s="1" t="str">
        <f>HYPERLINK("https://asmlis.vasa.lt/Dashboard/Served?ServiceDateFrom=2025-11-24&amp;ServiceDateTo=2025-11-24&amp;DumpsterInvNr=13-L-318427", "13-L-318427")</f>
        <v>13-L-318427</v>
      </c>
      <c r="C362">
        <v>0.66</v>
      </c>
      <c r="D362" t="s">
        <v>528</v>
      </c>
      <c r="E362" t="s">
        <v>11</v>
      </c>
      <c r="G362" t="s">
        <v>9</v>
      </c>
      <c r="H362" t="s">
        <v>14</v>
      </c>
    </row>
    <row r="363" spans="1:8" hidden="1" x14ac:dyDescent="0.25">
      <c r="A363" t="s">
        <v>548</v>
      </c>
      <c r="B363" s="1" t="str">
        <f>HYPERLINK("https://asmlis.vasa.lt/Dashboard/Served?ServiceDateFrom=2025-11-24&amp;ServiceDateTo=2025-11-24&amp;DumpsterInvNr=13-L-314377", "13-L-314377")</f>
        <v>13-L-314377</v>
      </c>
      <c r="C363">
        <v>1.1000000000000001</v>
      </c>
      <c r="D363" t="s">
        <v>482</v>
      </c>
      <c r="E363" t="s">
        <v>11</v>
      </c>
      <c r="F363" t="s">
        <v>13</v>
      </c>
      <c r="G363" t="s">
        <v>9</v>
      </c>
      <c r="H363" t="s">
        <v>14</v>
      </c>
    </row>
    <row r="364" spans="1:8" hidden="1" x14ac:dyDescent="0.25">
      <c r="A364" t="s">
        <v>549</v>
      </c>
      <c r="B364" s="1" t="str">
        <f>HYPERLINK("https://asmlis.vasa.lt/Dashboard/Served?ServiceDateFrom=2025-11-24&amp;ServiceDateTo=2025-11-24&amp;DumpsterInvNr=13-P-416169", "13-P-416169")</f>
        <v>13-P-416169</v>
      </c>
      <c r="C364">
        <v>1.1000000000000001</v>
      </c>
      <c r="D364" t="s">
        <v>550</v>
      </c>
      <c r="E364" t="s">
        <v>11</v>
      </c>
      <c r="F364" t="s">
        <v>13</v>
      </c>
      <c r="G364" t="s">
        <v>264</v>
      </c>
      <c r="H364" t="s">
        <v>14</v>
      </c>
    </row>
    <row r="365" spans="1:8" hidden="1" x14ac:dyDescent="0.25">
      <c r="A365" t="s">
        <v>551</v>
      </c>
      <c r="B365" s="1" t="str">
        <f>HYPERLINK("https://asmlis.vasa.lt/Dashboard/Served?ServiceDateFrom=2025-11-24&amp;ServiceDateTo=2025-11-24&amp;DumpsterInvNr=13-P-408981", "13-P-408981")</f>
        <v>13-P-408981</v>
      </c>
      <c r="C365">
        <v>1.1000000000000001</v>
      </c>
      <c r="D365" t="s">
        <v>550</v>
      </c>
      <c r="E365" t="s">
        <v>11</v>
      </c>
      <c r="F365" t="s">
        <v>13</v>
      </c>
      <c r="G365" t="s">
        <v>264</v>
      </c>
      <c r="H365" t="s">
        <v>14</v>
      </c>
    </row>
    <row r="366" spans="1:8" hidden="1" x14ac:dyDescent="0.25">
      <c r="A366" t="s">
        <v>552</v>
      </c>
      <c r="B366" s="1" t="str">
        <f>HYPERLINK("https://asmlis.vasa.lt/Dashboard/Served?ServiceDateFrom=2025-11-24&amp;ServiceDateTo=2025-11-24&amp;DumpsterInvNr=13-L-308719", "13-L-308719")</f>
        <v>13-L-308719</v>
      </c>
      <c r="C366">
        <v>1.1000000000000001</v>
      </c>
      <c r="D366" t="s">
        <v>542</v>
      </c>
      <c r="E366" t="s">
        <v>11</v>
      </c>
      <c r="F366" t="s">
        <v>13</v>
      </c>
      <c r="G366" t="s">
        <v>9</v>
      </c>
      <c r="H366" t="s">
        <v>14</v>
      </c>
    </row>
    <row r="367" spans="1:8" hidden="1" x14ac:dyDescent="0.25">
      <c r="A367" t="s">
        <v>553</v>
      </c>
      <c r="B367" s="1" t="str">
        <f>HYPERLINK("https://asmlis.vasa.lt/Dashboard/Served?ServiceDateFrom=2025-11-24&amp;ServiceDateTo=2025-11-24&amp;DumpsterInvNr=13-L-417861", "13-L-417861")</f>
        <v>13-L-417861</v>
      </c>
      <c r="C367">
        <v>5</v>
      </c>
      <c r="D367" t="s">
        <v>554</v>
      </c>
      <c r="E367" t="s">
        <v>11</v>
      </c>
      <c r="F367" t="s">
        <v>13</v>
      </c>
      <c r="G367" t="s">
        <v>74</v>
      </c>
      <c r="H367" t="s">
        <v>14</v>
      </c>
    </row>
    <row r="368" spans="1:8" hidden="1" x14ac:dyDescent="0.25">
      <c r="A368" t="s">
        <v>555</v>
      </c>
      <c r="B368" s="1" t="str">
        <f>HYPERLINK("https://asmlis.vasa.lt/Dashboard/Served?ServiceDateFrom=2025-11-24&amp;ServiceDateTo=2025-11-24&amp;DumpsterInvNr=13-L-422982", "13-L-422982")</f>
        <v>13-L-422982</v>
      </c>
      <c r="C368">
        <v>1.1000000000000001</v>
      </c>
      <c r="D368" t="s">
        <v>348</v>
      </c>
      <c r="E368" t="s">
        <v>11</v>
      </c>
      <c r="G368" t="s">
        <v>74</v>
      </c>
      <c r="H368" t="s">
        <v>14</v>
      </c>
    </row>
    <row r="369" spans="1:8" hidden="1" x14ac:dyDescent="0.25">
      <c r="A369" t="s">
        <v>556</v>
      </c>
      <c r="B369" s="1" t="str">
        <f>HYPERLINK("https://asmlis.vasa.lt/Dashboard/Served?ServiceDateFrom=2025-11-24&amp;ServiceDateTo=2025-11-24&amp;DumpsterInvNr=13-L-315854", "13-L-315854")</f>
        <v>13-L-315854</v>
      </c>
      <c r="C369">
        <v>1.1000000000000001</v>
      </c>
      <c r="D369" t="s">
        <v>557</v>
      </c>
      <c r="E369" t="s">
        <v>11</v>
      </c>
      <c r="F369" t="s">
        <v>13</v>
      </c>
      <c r="G369" t="s">
        <v>9</v>
      </c>
      <c r="H369" t="s">
        <v>14</v>
      </c>
    </row>
    <row r="370" spans="1:8" hidden="1" x14ac:dyDescent="0.25">
      <c r="A370" t="s">
        <v>558</v>
      </c>
      <c r="B370" s="1" t="str">
        <f>HYPERLINK("https://asmlis.vasa.lt/Dashboard/Served?ServiceDateFrom=2025-11-24&amp;ServiceDateTo=2025-11-24&amp;DumpsterInvNr=13-L-313519", "13-L-313519")</f>
        <v>13-L-313519</v>
      </c>
      <c r="C370">
        <v>5</v>
      </c>
      <c r="D370" t="s">
        <v>559</v>
      </c>
      <c r="E370" t="s">
        <v>11</v>
      </c>
      <c r="F370" t="s">
        <v>13</v>
      </c>
      <c r="G370" t="s">
        <v>9</v>
      </c>
      <c r="H370" t="s">
        <v>14</v>
      </c>
    </row>
    <row r="371" spans="1:8" hidden="1" x14ac:dyDescent="0.25">
      <c r="A371" t="s">
        <v>560</v>
      </c>
      <c r="B371" s="1" t="str">
        <f>HYPERLINK("https://asmlis.vasa.lt/Dashboard/Served?ServiceDateFrom=2025-11-24&amp;ServiceDateTo=2025-11-24&amp;DumpsterInvNr=13-L-423216", "13-L-423216")</f>
        <v>13-L-423216</v>
      </c>
      <c r="C371">
        <v>5</v>
      </c>
      <c r="D371" t="s">
        <v>561</v>
      </c>
      <c r="E371" t="s">
        <v>11</v>
      </c>
      <c r="F371" t="s">
        <v>13</v>
      </c>
      <c r="G371" t="s">
        <v>74</v>
      </c>
      <c r="H371" t="s">
        <v>14</v>
      </c>
    </row>
    <row r="372" spans="1:8" hidden="1" x14ac:dyDescent="0.25">
      <c r="A372" t="s">
        <v>282</v>
      </c>
      <c r="B372" s="1" t="str">
        <f>HYPERLINK("https://asmlis.vasa.lt/Dashboard/Served?ServiceDateFrom=2025-11-24&amp;ServiceDateTo=2025-11-24&amp;DumpsterInvNr=13-P-302417", "13-P-302417")</f>
        <v>13-P-302417</v>
      </c>
      <c r="C372">
        <v>5</v>
      </c>
      <c r="D372" t="s">
        <v>562</v>
      </c>
      <c r="E372" t="s">
        <v>11</v>
      </c>
      <c r="G372" t="s">
        <v>412</v>
      </c>
      <c r="H372" t="s">
        <v>14</v>
      </c>
    </row>
    <row r="373" spans="1:8" hidden="1" x14ac:dyDescent="0.25">
      <c r="A373" t="s">
        <v>563</v>
      </c>
      <c r="B373" s="1" t="str">
        <f>HYPERLINK("https://asmlis.vasa.lt/Dashboard/Served?ServiceDateFrom=2025-11-24&amp;ServiceDateTo=2025-11-24&amp;DumpsterInvNr=13-P-401300", "13-P-401300")</f>
        <v>13-P-401300</v>
      </c>
      <c r="C373">
        <v>1.1000000000000001</v>
      </c>
      <c r="D373" t="s">
        <v>564</v>
      </c>
      <c r="E373" t="s">
        <v>11</v>
      </c>
      <c r="F373" t="s">
        <v>13</v>
      </c>
      <c r="G373" t="s">
        <v>264</v>
      </c>
      <c r="H373" t="s">
        <v>14</v>
      </c>
    </row>
    <row r="374" spans="1:8" hidden="1" x14ac:dyDescent="0.25">
      <c r="A374" t="s">
        <v>565</v>
      </c>
      <c r="B374" s="1" t="str">
        <f>HYPERLINK("https://asmlis.vasa.lt/Dashboard/Served?ServiceDateFrom=2025-11-24&amp;ServiceDateTo=2025-11-24&amp;DumpsterInvNr=13-P-401113", "13-P-401113")</f>
        <v>13-P-401113</v>
      </c>
      <c r="C374">
        <v>1.1000000000000001</v>
      </c>
      <c r="D374" t="s">
        <v>564</v>
      </c>
      <c r="E374" t="s">
        <v>11</v>
      </c>
      <c r="F374" t="s">
        <v>13</v>
      </c>
      <c r="G374" t="s">
        <v>264</v>
      </c>
      <c r="H374" t="s">
        <v>14</v>
      </c>
    </row>
    <row r="375" spans="1:8" hidden="1" x14ac:dyDescent="0.25">
      <c r="A375" t="s">
        <v>566</v>
      </c>
      <c r="B375" s="1" t="str">
        <f>HYPERLINK("https://asmlis.vasa.lt/Dashboard/Served?ServiceDateFrom=2025-11-24&amp;ServiceDateTo=2025-11-24&amp;DumpsterInvNr=13-L-301189", "13-L-301189")</f>
        <v>13-L-301189</v>
      </c>
      <c r="C375">
        <v>0.77</v>
      </c>
      <c r="D375" t="s">
        <v>567</v>
      </c>
      <c r="E375" t="s">
        <v>11</v>
      </c>
      <c r="G375" t="s">
        <v>9</v>
      </c>
      <c r="H375" t="s">
        <v>14</v>
      </c>
    </row>
    <row r="376" spans="1:8" hidden="1" x14ac:dyDescent="0.25">
      <c r="A376" t="s">
        <v>568</v>
      </c>
      <c r="B376" s="1" t="str">
        <f>HYPERLINK("https://asmlis.vasa.lt/Dashboard/Served?ServiceDateFrom=2025-11-24&amp;ServiceDateTo=2025-11-24&amp;DumpsterInvNr=13-L-145371", "13-L-145371")</f>
        <v>13-L-145371</v>
      </c>
      <c r="C376">
        <v>5</v>
      </c>
      <c r="D376" t="s">
        <v>569</v>
      </c>
      <c r="E376" t="s">
        <v>11</v>
      </c>
      <c r="F376" t="s">
        <v>13</v>
      </c>
      <c r="G376" t="s">
        <v>430</v>
      </c>
      <c r="H376" t="s">
        <v>432</v>
      </c>
    </row>
    <row r="377" spans="1:8" hidden="1" x14ac:dyDescent="0.25">
      <c r="A377" t="s">
        <v>570</v>
      </c>
      <c r="B377" s="1" t="str">
        <f>HYPERLINK("https://asmlis.vasa.lt/Dashboard/Served?ServiceDateFrom=2025-11-24&amp;ServiceDateTo=2025-11-24&amp;DumpsterInvNr=13-L-316250", "13-L-316250")</f>
        <v>13-L-316250</v>
      </c>
      <c r="C377">
        <v>1.1000000000000001</v>
      </c>
      <c r="D377" t="s">
        <v>571</v>
      </c>
      <c r="E377" t="s">
        <v>11</v>
      </c>
      <c r="G377" t="s">
        <v>9</v>
      </c>
      <c r="H377" t="s">
        <v>14</v>
      </c>
    </row>
    <row r="378" spans="1:8" hidden="1" x14ac:dyDescent="0.25">
      <c r="A378" t="s">
        <v>572</v>
      </c>
      <c r="B378" s="1" t="str">
        <f>HYPERLINK("https://asmlis.vasa.lt/Dashboard/Served?ServiceDateFrom=2025-11-24&amp;ServiceDateTo=2025-11-24&amp;DumpsterInvNr=13-P-301645", "13-P-301645")</f>
        <v>13-P-301645</v>
      </c>
      <c r="C378">
        <v>1.1000000000000001</v>
      </c>
      <c r="D378" t="s">
        <v>573</v>
      </c>
      <c r="E378" t="s">
        <v>11</v>
      </c>
      <c r="F378" t="s">
        <v>13</v>
      </c>
      <c r="G378" t="s">
        <v>412</v>
      </c>
      <c r="H378" t="s">
        <v>14</v>
      </c>
    </row>
    <row r="379" spans="1:8" hidden="1" x14ac:dyDescent="0.25">
      <c r="A379" t="s">
        <v>574</v>
      </c>
      <c r="B379" s="1" t="str">
        <f>HYPERLINK("https://asmlis.vasa.lt/Dashboard/Served?ServiceDateFrom=2025-11-24&amp;ServiceDateTo=2025-11-24&amp;DumpsterInvNr=13-L-316252", "13-L-316252")</f>
        <v>13-L-316252</v>
      </c>
      <c r="C379">
        <v>1.1000000000000001</v>
      </c>
      <c r="D379" t="s">
        <v>482</v>
      </c>
      <c r="E379" t="s">
        <v>11</v>
      </c>
      <c r="G379" t="s">
        <v>9</v>
      </c>
      <c r="H379" t="s">
        <v>14</v>
      </c>
    </row>
    <row r="380" spans="1:8" hidden="1" x14ac:dyDescent="0.25">
      <c r="A380" t="s">
        <v>575</v>
      </c>
      <c r="B380" s="1" t="str">
        <f>HYPERLINK("https://asmlis.vasa.lt/Dashboard/Served?ServiceDateFrom=2025-11-24&amp;ServiceDateTo=2025-11-24&amp;DumpsterInvNr=13-L-425641", "13-L-425641")</f>
        <v>13-L-425641</v>
      </c>
      <c r="C380">
        <v>1.1000000000000001</v>
      </c>
      <c r="D380" t="s">
        <v>348</v>
      </c>
      <c r="E380" t="s">
        <v>11</v>
      </c>
      <c r="G380" t="s">
        <v>74</v>
      </c>
      <c r="H380" t="s">
        <v>14</v>
      </c>
    </row>
    <row r="381" spans="1:8" hidden="1" x14ac:dyDescent="0.25">
      <c r="A381" t="s">
        <v>576</v>
      </c>
      <c r="B381" s="1" t="str">
        <f>HYPERLINK("https://asmlis.vasa.lt/Dashboard/Served?ServiceDateFrom=2025-11-24&amp;ServiceDateTo=2025-11-24&amp;DumpsterInvNr=13-P-409142", "13-P-409142")</f>
        <v>13-P-409142</v>
      </c>
      <c r="C381">
        <v>1.1000000000000001</v>
      </c>
      <c r="D381" t="s">
        <v>578</v>
      </c>
      <c r="E381" t="s">
        <v>11</v>
      </c>
      <c r="F381" t="s">
        <v>13</v>
      </c>
      <c r="G381" t="s">
        <v>264</v>
      </c>
      <c r="H381" t="s">
        <v>14</v>
      </c>
    </row>
    <row r="382" spans="1:8" hidden="1" x14ac:dyDescent="0.25">
      <c r="A382" t="s">
        <v>579</v>
      </c>
      <c r="B382" s="1" t="str">
        <f>HYPERLINK("https://asmlis.vasa.lt/Dashboard/Served?ServiceDateFrom=2025-11-24&amp;ServiceDateTo=2025-11-24&amp;DumpsterInvNr=13-L-316251", "13-L-316251")</f>
        <v>13-L-316251</v>
      </c>
      <c r="C382">
        <v>1.1000000000000001</v>
      </c>
      <c r="D382" t="s">
        <v>482</v>
      </c>
      <c r="E382" t="s">
        <v>11</v>
      </c>
      <c r="G382" t="s">
        <v>9</v>
      </c>
      <c r="H382" t="s">
        <v>14</v>
      </c>
    </row>
    <row r="383" spans="1:8" hidden="1" x14ac:dyDescent="0.25">
      <c r="A383" t="s">
        <v>579</v>
      </c>
      <c r="B383" s="1" t="str">
        <f>HYPERLINK("https://asmlis.vasa.lt/Dashboard/Served?ServiceDateFrom=2025-11-24&amp;ServiceDateTo=2025-11-24&amp;DumpsterInvNr=13-L-316249", "13-L-316249")</f>
        <v>13-L-316249</v>
      </c>
      <c r="C383">
        <v>1.1000000000000001</v>
      </c>
      <c r="D383" t="s">
        <v>580</v>
      </c>
      <c r="E383" t="s">
        <v>11</v>
      </c>
      <c r="G383" t="s">
        <v>9</v>
      </c>
      <c r="H383" t="s">
        <v>14</v>
      </c>
    </row>
    <row r="384" spans="1:8" hidden="1" x14ac:dyDescent="0.25">
      <c r="A384" t="s">
        <v>581</v>
      </c>
      <c r="B384" s="1" t="str">
        <f>HYPERLINK("https://asmlis.vasa.lt/Dashboard/Served?ServiceDateFrom=2025-11-24&amp;ServiceDateTo=2025-11-24&amp;DumpsterInvNr=13-L-424415", "13-L-424415")</f>
        <v>13-L-424415</v>
      </c>
      <c r="C384">
        <v>1.1000000000000001</v>
      </c>
      <c r="D384" t="s">
        <v>348</v>
      </c>
      <c r="E384" t="s">
        <v>11</v>
      </c>
      <c r="G384" t="s">
        <v>74</v>
      </c>
      <c r="H384" t="s">
        <v>14</v>
      </c>
    </row>
    <row r="385" spans="1:8" hidden="1" x14ac:dyDescent="0.25">
      <c r="A385" t="s">
        <v>582</v>
      </c>
      <c r="B385" s="1" t="str">
        <f>HYPERLINK("https://asmlis.vasa.lt/Dashboard/Served?ServiceDateFrom=2025-11-24&amp;ServiceDateTo=2025-11-24&amp;DumpsterInvNr=13-P-213123", "13-P-213123")</f>
        <v>13-P-213123</v>
      </c>
      <c r="C385">
        <v>5</v>
      </c>
      <c r="D385" t="s">
        <v>583</v>
      </c>
      <c r="E385" t="s">
        <v>11</v>
      </c>
      <c r="G385" t="s">
        <v>234</v>
      </c>
      <c r="H385" t="s">
        <v>14</v>
      </c>
    </row>
    <row r="386" spans="1:8" hidden="1" x14ac:dyDescent="0.25">
      <c r="A386" t="s">
        <v>584</v>
      </c>
      <c r="B386" s="1" t="str">
        <f>HYPERLINK("https://asmlis.vasa.lt/Dashboard/Served?ServiceDateFrom=2025-11-24&amp;ServiceDateTo=2025-11-24&amp;DumpsterInvNr=13-L-412256", "13-L-412256")</f>
        <v>13-L-412256</v>
      </c>
      <c r="C386">
        <v>1.1000000000000001</v>
      </c>
      <c r="D386" t="s">
        <v>348</v>
      </c>
      <c r="E386" t="s">
        <v>11</v>
      </c>
      <c r="G386" t="s">
        <v>74</v>
      </c>
      <c r="H386" t="s">
        <v>14</v>
      </c>
    </row>
    <row r="387" spans="1:8" hidden="1" x14ac:dyDescent="0.25">
      <c r="A387" t="s">
        <v>585</v>
      </c>
      <c r="B387" s="1" t="str">
        <f>HYPERLINK("https://asmlis.vasa.lt/Dashboard/Served?ServiceDateFrom=2025-11-24&amp;ServiceDateTo=2025-11-24&amp;DumpsterInvNr=13-P-302637", "13-P-302637")</f>
        <v>13-P-302637</v>
      </c>
      <c r="C387">
        <v>5</v>
      </c>
      <c r="D387" t="s">
        <v>586</v>
      </c>
      <c r="E387" t="s">
        <v>11</v>
      </c>
      <c r="G387" t="s">
        <v>412</v>
      </c>
      <c r="H387" t="s">
        <v>14</v>
      </c>
    </row>
    <row r="388" spans="1:8" hidden="1" x14ac:dyDescent="0.25">
      <c r="A388" t="s">
        <v>587</v>
      </c>
      <c r="B388" s="1" t="str">
        <f>HYPERLINK("https://asmlis.vasa.lt/Dashboard/Served?ServiceDateFrom=2025-11-24&amp;ServiceDateTo=2025-11-24&amp;DumpsterInvNr=13-L-318602", "13-L-318602")</f>
        <v>13-L-318602</v>
      </c>
      <c r="C388">
        <v>0.24</v>
      </c>
      <c r="D388" t="s">
        <v>588</v>
      </c>
      <c r="E388" t="s">
        <v>11</v>
      </c>
      <c r="G388" t="s">
        <v>9</v>
      </c>
      <c r="H388" t="s">
        <v>14</v>
      </c>
    </row>
    <row r="389" spans="1:8" hidden="1" x14ac:dyDescent="0.25">
      <c r="A389" t="s">
        <v>589</v>
      </c>
      <c r="B389" s="1" t="str">
        <f>HYPERLINK("https://asmlis.vasa.lt/Dashboard/Served?ServiceDateFrom=2025-11-24&amp;ServiceDateTo=2025-11-24&amp;DumpsterInvNr=13-P-301649", "13-P-301649")</f>
        <v>13-P-301649</v>
      </c>
      <c r="C389">
        <v>1.1000000000000001</v>
      </c>
      <c r="D389" t="s">
        <v>590</v>
      </c>
      <c r="E389" t="s">
        <v>11</v>
      </c>
      <c r="F389" t="s">
        <v>13</v>
      </c>
      <c r="G389" t="s">
        <v>412</v>
      </c>
      <c r="H389" t="s">
        <v>14</v>
      </c>
    </row>
    <row r="390" spans="1:8" hidden="1" x14ac:dyDescent="0.25">
      <c r="A390" t="s">
        <v>591</v>
      </c>
      <c r="B390" s="1" t="str">
        <f>HYPERLINK("https://asmlis.vasa.lt/Dashboard/Served?ServiceDateFrom=2025-11-24&amp;ServiceDateTo=2025-11-24&amp;DumpsterInvNr=13-L-139394", "13-L-139394")</f>
        <v>13-L-139394</v>
      </c>
      <c r="C390">
        <v>5</v>
      </c>
      <c r="D390" t="s">
        <v>592</v>
      </c>
      <c r="E390" t="s">
        <v>11</v>
      </c>
      <c r="F390" t="s">
        <v>13</v>
      </c>
      <c r="G390" t="s">
        <v>430</v>
      </c>
      <c r="H390" t="s">
        <v>432</v>
      </c>
    </row>
    <row r="391" spans="1:8" hidden="1" x14ac:dyDescent="0.25">
      <c r="A391" t="s">
        <v>593</v>
      </c>
      <c r="B391" s="1" t="str">
        <f>HYPERLINK("https://asmlis.vasa.lt/Dashboard/Served?ServiceDateFrom=2025-11-24&amp;ServiceDateTo=2025-11-24&amp;DumpsterInvNr=13-L-314660", "13-L-314660")</f>
        <v>13-L-314660</v>
      </c>
      <c r="C391">
        <v>3</v>
      </c>
      <c r="D391" t="s">
        <v>594</v>
      </c>
      <c r="E391" t="s">
        <v>11</v>
      </c>
      <c r="F391" t="s">
        <v>13</v>
      </c>
      <c r="G391" t="s">
        <v>9</v>
      </c>
      <c r="H391" t="s">
        <v>14</v>
      </c>
    </row>
    <row r="392" spans="1:8" hidden="1" x14ac:dyDescent="0.25">
      <c r="A392" t="s">
        <v>595</v>
      </c>
      <c r="B392" s="1" t="str">
        <f>HYPERLINK("https://asmlis.vasa.lt/Dashboard/Served?ServiceDateFrom=2025-11-24&amp;ServiceDateTo=2025-11-24&amp;DumpsterInvNr=13-L-318601", "13-L-318601")</f>
        <v>13-L-318601</v>
      </c>
      <c r="C392">
        <v>0.24</v>
      </c>
      <c r="D392" t="s">
        <v>588</v>
      </c>
      <c r="E392" t="s">
        <v>11</v>
      </c>
      <c r="F392" t="s">
        <v>13</v>
      </c>
      <c r="G392" t="s">
        <v>9</v>
      </c>
      <c r="H392" t="s">
        <v>14</v>
      </c>
    </row>
    <row r="393" spans="1:8" hidden="1" x14ac:dyDescent="0.25">
      <c r="A393" t="s">
        <v>596</v>
      </c>
      <c r="B393" s="1" t="str">
        <f>HYPERLINK("https://asmlis.vasa.lt/Dashboard/Served?ServiceDateFrom=2025-11-24&amp;ServiceDateTo=2025-11-24&amp;DumpsterInvNr=13-P-409071", "13-P-409071")</f>
        <v>13-P-409071</v>
      </c>
      <c r="C393">
        <v>1.1000000000000001</v>
      </c>
      <c r="D393" t="s">
        <v>597</v>
      </c>
      <c r="E393" t="s">
        <v>11</v>
      </c>
      <c r="F393" t="s">
        <v>13</v>
      </c>
      <c r="G393" t="s">
        <v>264</v>
      </c>
      <c r="H393" t="s">
        <v>14</v>
      </c>
    </row>
    <row r="394" spans="1:8" hidden="1" x14ac:dyDescent="0.25">
      <c r="A394" t="s">
        <v>598</v>
      </c>
      <c r="B394" s="1" t="str">
        <f>HYPERLINK("https://asmlis.vasa.lt/Dashboard/Served?ServiceDateFrom=2025-11-24&amp;ServiceDateTo=2025-11-24&amp;DumpsterInvNr=13-L-314661", "13-L-314661")</f>
        <v>13-L-314661</v>
      </c>
      <c r="C394">
        <v>3</v>
      </c>
      <c r="D394" t="s">
        <v>594</v>
      </c>
      <c r="E394" t="s">
        <v>11</v>
      </c>
      <c r="F394" t="s">
        <v>13</v>
      </c>
      <c r="G394" t="s">
        <v>9</v>
      </c>
      <c r="H394" t="s">
        <v>14</v>
      </c>
    </row>
    <row r="395" spans="1:8" hidden="1" x14ac:dyDescent="0.25">
      <c r="A395" t="s">
        <v>599</v>
      </c>
      <c r="B395" s="1" t="str">
        <f>HYPERLINK("https://asmlis.vasa.lt/Dashboard/Served?ServiceDateFrom=2025-11-24&amp;ServiceDateTo=2025-11-24&amp;DumpsterInvNr=13-L-318603", "13-L-318603")</f>
        <v>13-L-318603</v>
      </c>
      <c r="C395">
        <v>0.24</v>
      </c>
      <c r="D395" t="s">
        <v>588</v>
      </c>
      <c r="E395" t="s">
        <v>11</v>
      </c>
      <c r="F395" t="s">
        <v>13</v>
      </c>
      <c r="G395" t="s">
        <v>9</v>
      </c>
      <c r="H395" t="s">
        <v>14</v>
      </c>
    </row>
    <row r="396" spans="1:8" hidden="1" x14ac:dyDescent="0.25">
      <c r="A396" t="s">
        <v>600</v>
      </c>
      <c r="B396" s="1" t="str">
        <f>HYPERLINK("https://asmlis.vasa.lt/Dashboard/Served?ServiceDateFrom=2025-11-24&amp;ServiceDateTo=2025-11-24&amp;DumpsterInvNr=13-L-316248", "13-L-316248")</f>
        <v>13-L-316248</v>
      </c>
      <c r="C396">
        <v>1.1000000000000001</v>
      </c>
      <c r="D396" t="s">
        <v>522</v>
      </c>
      <c r="E396" t="s">
        <v>11</v>
      </c>
      <c r="F396" t="s">
        <v>13</v>
      </c>
      <c r="G396" t="s">
        <v>9</v>
      </c>
      <c r="H396" t="s">
        <v>14</v>
      </c>
    </row>
    <row r="397" spans="1:8" hidden="1" x14ac:dyDescent="0.25">
      <c r="A397" t="s">
        <v>601</v>
      </c>
      <c r="B397" s="1" t="str">
        <f>HYPERLINK("https://asmlis.vasa.lt/Dashboard/Served?ServiceDateFrom=2025-11-24&amp;ServiceDateTo=2025-11-24&amp;DumpsterInvNr=13-L-308653", "13-L-308653")</f>
        <v>13-L-308653</v>
      </c>
      <c r="C397">
        <v>1.1000000000000001</v>
      </c>
      <c r="D397" t="s">
        <v>571</v>
      </c>
      <c r="E397" t="s">
        <v>11</v>
      </c>
      <c r="F397" t="s">
        <v>13</v>
      </c>
      <c r="G397" t="s">
        <v>9</v>
      </c>
      <c r="H397" t="s">
        <v>14</v>
      </c>
    </row>
    <row r="398" spans="1:8" hidden="1" x14ac:dyDescent="0.25">
      <c r="A398" t="s">
        <v>602</v>
      </c>
      <c r="B398" s="1" t="str">
        <f>HYPERLINK("https://asmlis.vasa.lt/Dashboard/Served?ServiceDateFrom=2025-11-24&amp;ServiceDateTo=2025-11-24&amp;DumpsterInvNr=13-L-425364", "13-L-425364")</f>
        <v>13-L-425364</v>
      </c>
      <c r="C398">
        <v>1.1000000000000001</v>
      </c>
      <c r="D398" t="s">
        <v>348</v>
      </c>
      <c r="E398" t="s">
        <v>11</v>
      </c>
      <c r="G398" t="s">
        <v>74</v>
      </c>
      <c r="H398" t="s">
        <v>14</v>
      </c>
    </row>
    <row r="399" spans="1:8" hidden="1" x14ac:dyDescent="0.25">
      <c r="A399" t="s">
        <v>603</v>
      </c>
      <c r="B399" s="1" t="str">
        <f>HYPERLINK("https://asmlis.vasa.lt/Dashboard/Served?ServiceDateFrom=2025-11-24&amp;ServiceDateTo=2025-11-24&amp;DumpsterInvNr=13-P-300483", "13-P-300483")</f>
        <v>13-P-300483</v>
      </c>
      <c r="C399">
        <v>1.1000000000000001</v>
      </c>
      <c r="D399" t="s">
        <v>604</v>
      </c>
      <c r="E399" t="s">
        <v>11</v>
      </c>
      <c r="F399" t="s">
        <v>13</v>
      </c>
      <c r="G399" t="s">
        <v>412</v>
      </c>
      <c r="H399" t="s">
        <v>14</v>
      </c>
    </row>
    <row r="400" spans="1:8" hidden="1" x14ac:dyDescent="0.25">
      <c r="A400" t="s">
        <v>605</v>
      </c>
      <c r="B400" s="1" t="str">
        <f>HYPERLINK("https://asmlis.vasa.lt/Dashboard/Served?ServiceDateFrom=2025-11-24&amp;ServiceDateTo=2025-11-24&amp;DumpsterInvNr=13-L-319704", "13-L-319704")</f>
        <v>13-L-319704</v>
      </c>
      <c r="C400">
        <v>1.1000000000000001</v>
      </c>
      <c r="D400" t="s">
        <v>606</v>
      </c>
      <c r="E400" t="s">
        <v>11</v>
      </c>
      <c r="G400" t="s">
        <v>9</v>
      </c>
      <c r="H400" t="s">
        <v>14</v>
      </c>
    </row>
    <row r="401" spans="1:8" hidden="1" x14ac:dyDescent="0.25">
      <c r="A401" t="s">
        <v>607</v>
      </c>
      <c r="B401" s="1" t="str">
        <f>HYPERLINK("https://asmlis.vasa.lt/Dashboard/Served?ServiceDateFrom=2025-11-24&amp;ServiceDateTo=2025-11-24&amp;DumpsterInvNr=13-L-301457", "13-L-301457")</f>
        <v>13-L-301457</v>
      </c>
      <c r="C401">
        <v>0.77</v>
      </c>
      <c r="D401" t="s">
        <v>608</v>
      </c>
      <c r="E401" t="s">
        <v>11</v>
      </c>
      <c r="F401" t="s">
        <v>13</v>
      </c>
      <c r="G401" t="s">
        <v>9</v>
      </c>
      <c r="H401" t="s">
        <v>14</v>
      </c>
    </row>
    <row r="402" spans="1:8" hidden="1" x14ac:dyDescent="0.25">
      <c r="A402" t="s">
        <v>609</v>
      </c>
      <c r="B402" s="1" t="str">
        <f>HYPERLINK("https://asmlis.vasa.lt/Dashboard/Served?ServiceDateFrom=2025-11-24&amp;ServiceDateTo=2025-11-24&amp;DumpsterInvNr=13-L-314242", "13-L-314242")</f>
        <v>13-L-314242</v>
      </c>
      <c r="C402">
        <v>1.1000000000000001</v>
      </c>
      <c r="D402" t="s">
        <v>610</v>
      </c>
      <c r="E402" t="s">
        <v>11</v>
      </c>
      <c r="F402" t="s">
        <v>13</v>
      </c>
      <c r="G402" t="s">
        <v>9</v>
      </c>
      <c r="H402" t="s">
        <v>14</v>
      </c>
    </row>
    <row r="403" spans="1:8" hidden="1" x14ac:dyDescent="0.25">
      <c r="A403" t="s">
        <v>611</v>
      </c>
      <c r="B403" s="1" t="str">
        <f>HYPERLINK("https://asmlis.vasa.lt/Dashboard/Served?ServiceDateFrom=2025-11-24&amp;ServiceDateTo=2025-11-24&amp;DumpsterInvNr=13-L-317065", "13-L-317065")</f>
        <v>13-L-317065</v>
      </c>
      <c r="C403">
        <v>1.1000000000000001</v>
      </c>
      <c r="D403" t="s">
        <v>580</v>
      </c>
      <c r="E403" t="s">
        <v>11</v>
      </c>
      <c r="F403" t="s">
        <v>13</v>
      </c>
      <c r="G403" t="s">
        <v>9</v>
      </c>
      <c r="H403" t="s">
        <v>14</v>
      </c>
    </row>
    <row r="404" spans="1:8" hidden="1" x14ac:dyDescent="0.25">
      <c r="A404" t="s">
        <v>612</v>
      </c>
      <c r="B404" s="1" t="str">
        <f>HYPERLINK("https://asmlis.vasa.lt/Dashboard/Served?ServiceDateFrom=2025-11-24&amp;ServiceDateTo=2025-11-24&amp;DumpsterInvNr=13-L-315131", "13-L-315131")</f>
        <v>13-L-315131</v>
      </c>
      <c r="C404">
        <v>1.1000000000000001</v>
      </c>
      <c r="D404" t="s">
        <v>487</v>
      </c>
      <c r="E404" t="s">
        <v>11</v>
      </c>
      <c r="F404" t="s">
        <v>13</v>
      </c>
      <c r="G404" t="s">
        <v>9</v>
      </c>
      <c r="H404" t="s">
        <v>14</v>
      </c>
    </row>
    <row r="405" spans="1:8" hidden="1" x14ac:dyDescent="0.25">
      <c r="A405" t="s">
        <v>613</v>
      </c>
      <c r="B405" s="1" t="str">
        <f>HYPERLINK("https://asmlis.vasa.lt/Dashboard/Served?ServiceDateFrom=2025-11-24&amp;ServiceDateTo=2025-11-24&amp;DumpsterInvNr=13-L-317878", "13-L-317878")</f>
        <v>13-L-317878</v>
      </c>
      <c r="C405">
        <v>1.1000000000000001</v>
      </c>
      <c r="D405" t="s">
        <v>606</v>
      </c>
      <c r="E405" t="s">
        <v>11</v>
      </c>
      <c r="G405" t="s">
        <v>9</v>
      </c>
      <c r="H405" t="s">
        <v>14</v>
      </c>
    </row>
    <row r="406" spans="1:8" hidden="1" x14ac:dyDescent="0.25">
      <c r="A406" t="s">
        <v>614</v>
      </c>
      <c r="B406" s="1" t="str">
        <f>HYPERLINK("https://asmlis.vasa.lt/Dashboard/Served?ServiceDateFrom=2025-11-24&amp;ServiceDateTo=2025-11-24&amp;DumpsterInvNr=13-L-316449", "13-L-316449")</f>
        <v>13-L-316449</v>
      </c>
      <c r="C406">
        <v>1.1000000000000001</v>
      </c>
      <c r="D406" t="s">
        <v>615</v>
      </c>
      <c r="E406" t="s">
        <v>11</v>
      </c>
      <c r="G406" t="s">
        <v>9</v>
      </c>
      <c r="H406" t="s">
        <v>14</v>
      </c>
    </row>
    <row r="407" spans="1:8" hidden="1" x14ac:dyDescent="0.25">
      <c r="A407" t="s">
        <v>616</v>
      </c>
      <c r="B407" s="1" t="str">
        <f>HYPERLINK("https://asmlis.vasa.lt/Dashboard/Served?ServiceDateFrom=2025-11-24&amp;ServiceDateTo=2025-11-24&amp;DumpsterInvNr=13-P-302183", "13-P-302183")</f>
        <v>13-P-302183</v>
      </c>
      <c r="C407">
        <v>1.1000000000000001</v>
      </c>
      <c r="D407" t="s">
        <v>617</v>
      </c>
      <c r="E407" t="s">
        <v>11</v>
      </c>
      <c r="G407" t="s">
        <v>412</v>
      </c>
      <c r="H407" t="s">
        <v>14</v>
      </c>
    </row>
    <row r="408" spans="1:8" hidden="1" x14ac:dyDescent="0.25">
      <c r="A408" t="s">
        <v>618</v>
      </c>
      <c r="B408" s="1" t="str">
        <f>HYPERLINK("https://asmlis.vasa.lt/Dashboard/Served?ServiceDateFrom=2025-11-24&amp;ServiceDateTo=2025-11-24&amp;DumpsterInvNr=13-L-308264", "13-L-308264")</f>
        <v>13-L-308264</v>
      </c>
      <c r="C408">
        <v>5</v>
      </c>
      <c r="D408" t="s">
        <v>619</v>
      </c>
      <c r="E408" t="s">
        <v>11</v>
      </c>
      <c r="F408" t="s">
        <v>13</v>
      </c>
      <c r="G408" t="s">
        <v>9</v>
      </c>
      <c r="H408" t="s">
        <v>14</v>
      </c>
    </row>
    <row r="409" spans="1:8" hidden="1" x14ac:dyDescent="0.25">
      <c r="A409" t="s">
        <v>620</v>
      </c>
      <c r="B409" s="1" t="str">
        <f>HYPERLINK("https://asmlis.vasa.lt/Dashboard/Served?ServiceDateFrom=2025-11-24&amp;ServiceDateTo=2025-11-24&amp;DumpsterInvNr=13-P-415332", "13-P-415332")</f>
        <v>13-P-415332</v>
      </c>
      <c r="C409">
        <v>1.1000000000000001</v>
      </c>
      <c r="D409" t="s">
        <v>621</v>
      </c>
      <c r="E409" t="s">
        <v>11</v>
      </c>
      <c r="G409" t="s">
        <v>264</v>
      </c>
      <c r="H409" t="s">
        <v>14</v>
      </c>
    </row>
    <row r="410" spans="1:8" hidden="1" x14ac:dyDescent="0.25">
      <c r="A410" t="s">
        <v>622</v>
      </c>
      <c r="B410" s="1" t="str">
        <f>HYPERLINK("https://asmlis.vasa.lt/Dashboard/Served?ServiceDateFrom=2025-11-24&amp;ServiceDateTo=2025-11-24&amp;DumpsterInvNr=13-L-316448", "13-L-316448")</f>
        <v>13-L-316448</v>
      </c>
      <c r="C410">
        <v>1.1000000000000001</v>
      </c>
      <c r="D410" t="s">
        <v>615</v>
      </c>
      <c r="E410" t="s">
        <v>11</v>
      </c>
      <c r="F410" t="s">
        <v>13</v>
      </c>
      <c r="G410" t="s">
        <v>9</v>
      </c>
      <c r="H410" t="s">
        <v>14</v>
      </c>
    </row>
    <row r="411" spans="1:8" hidden="1" x14ac:dyDescent="0.25">
      <c r="A411" t="s">
        <v>623</v>
      </c>
      <c r="B411" s="1" t="str">
        <f>HYPERLINK("https://asmlis.vasa.lt/Dashboard/Served?ServiceDateFrom=2025-11-24&amp;ServiceDateTo=2025-11-24&amp;DumpsterInvNr=13-L-316430", "13-L-316430")</f>
        <v>13-L-316430</v>
      </c>
      <c r="C411">
        <v>1.1000000000000001</v>
      </c>
      <c r="D411" t="s">
        <v>624</v>
      </c>
      <c r="E411" t="s">
        <v>11</v>
      </c>
      <c r="F411" t="s">
        <v>13</v>
      </c>
      <c r="G411" t="s">
        <v>9</v>
      </c>
      <c r="H411" t="s">
        <v>14</v>
      </c>
    </row>
    <row r="412" spans="1:8" hidden="1" x14ac:dyDescent="0.25">
      <c r="A412" t="s">
        <v>625</v>
      </c>
      <c r="B412" s="1" t="str">
        <f>HYPERLINK("https://asmlis.vasa.lt/Dashboard/Served?ServiceDateFrom=2025-11-24&amp;ServiceDateTo=2025-11-24&amp;DumpsterInvNr=13-L-420916", "13-L-420916")</f>
        <v>13-L-420916</v>
      </c>
      <c r="C412">
        <v>5</v>
      </c>
      <c r="D412" t="s">
        <v>626</v>
      </c>
      <c r="E412" t="s">
        <v>11</v>
      </c>
      <c r="F412" t="s">
        <v>13</v>
      </c>
      <c r="G412" t="s">
        <v>74</v>
      </c>
      <c r="H412" t="s">
        <v>14</v>
      </c>
    </row>
    <row r="413" spans="1:8" hidden="1" x14ac:dyDescent="0.25">
      <c r="A413" t="s">
        <v>627</v>
      </c>
      <c r="B413" s="1" t="str">
        <f>HYPERLINK("https://asmlis.vasa.lt/Dashboard/Served?ServiceDateFrom=2025-11-24&amp;ServiceDateTo=2025-11-24&amp;DumpsterInvNr=13-L-317365", "13-L-317365")</f>
        <v>13-L-317365</v>
      </c>
      <c r="C413">
        <v>1.1000000000000001</v>
      </c>
      <c r="D413" t="s">
        <v>628</v>
      </c>
      <c r="E413" t="s">
        <v>11</v>
      </c>
      <c r="F413" t="s">
        <v>13</v>
      </c>
      <c r="G413" t="s">
        <v>9</v>
      </c>
      <c r="H413" t="s">
        <v>14</v>
      </c>
    </row>
    <row r="414" spans="1:8" hidden="1" x14ac:dyDescent="0.25">
      <c r="A414" t="s">
        <v>629</v>
      </c>
      <c r="B414" s="1" t="str">
        <f>HYPERLINK("https://asmlis.vasa.lt/Dashboard/Served?ServiceDateFrom=2025-11-24&amp;ServiceDateTo=2025-11-24&amp;DumpsterInvNr=13-P-415733", "13-P-415733")</f>
        <v>13-P-415733</v>
      </c>
      <c r="C414">
        <v>1.1000000000000001</v>
      </c>
      <c r="D414" t="s">
        <v>621</v>
      </c>
      <c r="E414" t="s">
        <v>11</v>
      </c>
      <c r="G414" t="s">
        <v>264</v>
      </c>
      <c r="H414" t="s">
        <v>14</v>
      </c>
    </row>
    <row r="415" spans="1:8" hidden="1" x14ac:dyDescent="0.25">
      <c r="A415" t="s">
        <v>630</v>
      </c>
      <c r="B415" s="1" t="str">
        <f>HYPERLINK("https://asmlis.vasa.lt/Dashboard/Served?ServiceDateFrom=2025-11-24&amp;ServiceDateTo=2025-11-24&amp;DumpsterInvNr=13-L-105147", "13-L-105147")</f>
        <v>13-L-105147</v>
      </c>
      <c r="C415">
        <v>5</v>
      </c>
      <c r="D415" t="s">
        <v>631</v>
      </c>
      <c r="E415" t="s">
        <v>11</v>
      </c>
      <c r="F415" t="s">
        <v>13</v>
      </c>
      <c r="G415" t="s">
        <v>430</v>
      </c>
      <c r="H415" t="s">
        <v>432</v>
      </c>
    </row>
    <row r="416" spans="1:8" hidden="1" x14ac:dyDescent="0.25">
      <c r="A416" t="s">
        <v>633</v>
      </c>
      <c r="B416" s="1" t="str">
        <f>HYPERLINK("https://asmlis.vasa.lt/Dashboard/Served?ServiceDateFrom=2025-11-24&amp;ServiceDateTo=2025-11-24&amp;DumpsterInvNr=13-L-105148", "13-L-105148")</f>
        <v>13-L-105148</v>
      </c>
      <c r="C416">
        <v>5</v>
      </c>
      <c r="D416" t="s">
        <v>631</v>
      </c>
      <c r="E416" t="s">
        <v>11</v>
      </c>
      <c r="F416" t="s">
        <v>13</v>
      </c>
      <c r="G416" t="s">
        <v>430</v>
      </c>
      <c r="H416" t="s">
        <v>432</v>
      </c>
    </row>
    <row r="417" spans="1:8" hidden="1" x14ac:dyDescent="0.25">
      <c r="A417" t="s">
        <v>634</v>
      </c>
      <c r="B417" s="1" t="str">
        <f>HYPERLINK("https://asmlis.vasa.lt/Dashboard/Served?ServiceDateFrom=2025-11-24&amp;ServiceDateTo=2025-11-24&amp;DumpsterInvNr=13-P-204809", "13-P-204809")</f>
        <v>13-P-204809</v>
      </c>
      <c r="C417">
        <v>5</v>
      </c>
      <c r="D417" t="s">
        <v>635</v>
      </c>
      <c r="E417" t="s">
        <v>11</v>
      </c>
      <c r="G417" t="s">
        <v>234</v>
      </c>
      <c r="H417" t="s">
        <v>14</v>
      </c>
    </row>
    <row r="418" spans="1:8" hidden="1" x14ac:dyDescent="0.25">
      <c r="A418" t="s">
        <v>636</v>
      </c>
      <c r="B418" s="1" t="str">
        <f>HYPERLINK("https://asmlis.vasa.lt/Dashboard/Served?ServiceDateFrom=2025-11-24&amp;ServiceDateTo=2025-11-24&amp;DumpsterInvNr=13-P-416499", "13-P-416499")</f>
        <v>13-P-416499</v>
      </c>
      <c r="C418">
        <v>1.1000000000000001</v>
      </c>
      <c r="D418" t="s">
        <v>621</v>
      </c>
      <c r="E418" t="s">
        <v>11</v>
      </c>
      <c r="F418" t="s">
        <v>13</v>
      </c>
      <c r="G418" t="s">
        <v>264</v>
      </c>
      <c r="H418" t="s">
        <v>14</v>
      </c>
    </row>
    <row r="419" spans="1:8" hidden="1" x14ac:dyDescent="0.25">
      <c r="A419" t="s">
        <v>637</v>
      </c>
      <c r="B419" s="1" t="str">
        <f>HYPERLINK("https://asmlis.vasa.lt/Dashboard/Served?ServiceDateFrom=2025-11-24&amp;ServiceDateTo=2025-11-24&amp;DumpsterInvNr=13-L-316387", "13-L-316387")</f>
        <v>13-L-316387</v>
      </c>
      <c r="C419">
        <v>1.1000000000000001</v>
      </c>
      <c r="D419" t="s">
        <v>638</v>
      </c>
      <c r="E419" t="s">
        <v>11</v>
      </c>
      <c r="G419" t="s">
        <v>9</v>
      </c>
      <c r="H419" t="s">
        <v>14</v>
      </c>
    </row>
    <row r="420" spans="1:8" hidden="1" x14ac:dyDescent="0.25">
      <c r="A420" t="s">
        <v>632</v>
      </c>
      <c r="B420" s="1" t="str">
        <f>HYPERLINK("https://asmlis.vasa.lt/Dashboard/Served?ServiceDateFrom=2025-11-24&amp;ServiceDateTo=2025-11-24&amp;DumpsterInvNr=13-L-319660", "13-L-319660")</f>
        <v>13-L-319660</v>
      </c>
      <c r="C420">
        <v>1.1000000000000001</v>
      </c>
      <c r="D420" t="s">
        <v>639</v>
      </c>
      <c r="E420" t="s">
        <v>11</v>
      </c>
      <c r="G420" t="s">
        <v>9</v>
      </c>
      <c r="H420" t="s">
        <v>14</v>
      </c>
    </row>
    <row r="421" spans="1:8" hidden="1" x14ac:dyDescent="0.25">
      <c r="A421" t="s">
        <v>640</v>
      </c>
      <c r="B421" s="1" t="str">
        <f>HYPERLINK("https://asmlis.vasa.lt/Dashboard/Served?ServiceDateFrom=2025-11-24&amp;ServiceDateTo=2025-11-24&amp;DumpsterInvNr=13-L-319703", "13-L-319703")</f>
        <v>13-L-319703</v>
      </c>
      <c r="C421">
        <v>1.1000000000000001</v>
      </c>
      <c r="D421" t="s">
        <v>641</v>
      </c>
      <c r="E421" t="s">
        <v>11</v>
      </c>
      <c r="G421" t="s">
        <v>9</v>
      </c>
      <c r="H421" t="s">
        <v>14</v>
      </c>
    </row>
    <row r="422" spans="1:8" hidden="1" x14ac:dyDescent="0.25">
      <c r="A422" t="s">
        <v>640</v>
      </c>
      <c r="B422" s="1" t="str">
        <f>HYPERLINK("https://asmlis.vasa.lt/Dashboard/Served?ServiceDateFrom=2025-11-24&amp;ServiceDateTo=2025-11-24&amp;DumpsterInvNr=13-L-315859", "13-L-315859")</f>
        <v>13-L-315859</v>
      </c>
      <c r="C422">
        <v>1.1000000000000001</v>
      </c>
      <c r="D422" t="s">
        <v>615</v>
      </c>
      <c r="E422" t="s">
        <v>11</v>
      </c>
      <c r="G422" t="s">
        <v>9</v>
      </c>
      <c r="H422" t="s">
        <v>14</v>
      </c>
    </row>
    <row r="423" spans="1:8" hidden="1" x14ac:dyDescent="0.25">
      <c r="A423" t="s">
        <v>642</v>
      </c>
      <c r="B423" s="1" t="str">
        <f>HYPERLINK("https://asmlis.vasa.lt/Dashboard/Served?ServiceDateFrom=2025-11-24&amp;ServiceDateTo=2025-11-24&amp;DumpsterInvNr=13-P-300507", "13-P-300507")</f>
        <v>13-P-300507</v>
      </c>
      <c r="C423">
        <v>1.1000000000000001</v>
      </c>
      <c r="D423" t="s">
        <v>643</v>
      </c>
      <c r="E423" t="s">
        <v>11</v>
      </c>
      <c r="F423" t="s">
        <v>13</v>
      </c>
      <c r="G423" t="s">
        <v>412</v>
      </c>
      <c r="H423" t="s">
        <v>14</v>
      </c>
    </row>
    <row r="424" spans="1:8" hidden="1" x14ac:dyDescent="0.25">
      <c r="A424" t="s">
        <v>644</v>
      </c>
      <c r="B424" s="1" t="str">
        <f>HYPERLINK("https://asmlis.vasa.lt/Dashboard/Served?ServiceDateFrom=2025-11-24&amp;ServiceDateTo=2025-11-24&amp;DumpsterInvNr=13-L-316386", "13-L-316386")</f>
        <v>13-L-316386</v>
      </c>
      <c r="C424">
        <v>1.1000000000000001</v>
      </c>
      <c r="D424" t="s">
        <v>639</v>
      </c>
      <c r="E424" t="s">
        <v>11</v>
      </c>
      <c r="G424" t="s">
        <v>9</v>
      </c>
      <c r="H424" t="s">
        <v>14</v>
      </c>
    </row>
    <row r="425" spans="1:8" hidden="1" x14ac:dyDescent="0.25">
      <c r="A425" t="s">
        <v>645</v>
      </c>
      <c r="B425" s="1" t="str">
        <f>HYPERLINK("https://asmlis.vasa.lt/Dashboard/Served?ServiceDateFrom=2025-11-24&amp;ServiceDateTo=2025-11-24&amp;DumpsterInvNr=13-L-316810", "13-L-316810")</f>
        <v>13-L-316810</v>
      </c>
      <c r="C425">
        <v>1.1000000000000001</v>
      </c>
      <c r="D425" t="s">
        <v>615</v>
      </c>
      <c r="E425" t="s">
        <v>11</v>
      </c>
      <c r="G425" t="s">
        <v>9</v>
      </c>
      <c r="H425" t="s">
        <v>14</v>
      </c>
    </row>
    <row r="426" spans="1:8" hidden="1" x14ac:dyDescent="0.25">
      <c r="A426" t="s">
        <v>646</v>
      </c>
      <c r="B426" s="1" t="str">
        <f>HYPERLINK("https://asmlis.vasa.lt/Dashboard/Served?ServiceDateFrom=2025-11-24&amp;ServiceDateTo=2025-11-24&amp;DumpsterInvNr=13-P-300619", "13-P-300619")</f>
        <v>13-P-300619</v>
      </c>
      <c r="C426">
        <v>1.1000000000000001</v>
      </c>
      <c r="D426" t="s">
        <v>223</v>
      </c>
      <c r="E426" t="s">
        <v>11</v>
      </c>
      <c r="F426" t="s">
        <v>13</v>
      </c>
      <c r="G426" t="s">
        <v>412</v>
      </c>
      <c r="H426" t="s">
        <v>14</v>
      </c>
    </row>
    <row r="427" spans="1:8" hidden="1" x14ac:dyDescent="0.25">
      <c r="A427" t="s">
        <v>647</v>
      </c>
      <c r="B427" s="1" t="str">
        <f>HYPERLINK("https://asmlis.vasa.lt/Dashboard/Served?ServiceDateFrom=2025-11-24&amp;ServiceDateTo=2025-11-24&amp;DumpsterInvNr=13-L-390063", "13-L-390063")</f>
        <v>13-L-390063</v>
      </c>
      <c r="C427">
        <v>1.1000000000000001</v>
      </c>
      <c r="D427" t="s">
        <v>641</v>
      </c>
      <c r="E427" t="s">
        <v>11</v>
      </c>
      <c r="G427" t="s">
        <v>9</v>
      </c>
      <c r="H427" t="s">
        <v>14</v>
      </c>
    </row>
    <row r="428" spans="1:8" hidden="1" x14ac:dyDescent="0.25">
      <c r="A428" t="s">
        <v>648</v>
      </c>
      <c r="B428" s="1" t="str">
        <f>HYPERLINK("https://asmlis.vasa.lt/Dashboard/Served?ServiceDateFrom=2025-11-24&amp;ServiceDateTo=2025-11-24&amp;DumpsterInvNr=13-P-302292", "13-P-302292")</f>
        <v>13-P-302292</v>
      </c>
      <c r="C428">
        <v>5</v>
      </c>
      <c r="D428" t="s">
        <v>649</v>
      </c>
      <c r="E428" t="s">
        <v>11</v>
      </c>
      <c r="F428" t="s">
        <v>13</v>
      </c>
      <c r="G428" t="s">
        <v>412</v>
      </c>
      <c r="H428" t="s">
        <v>14</v>
      </c>
    </row>
    <row r="429" spans="1:8" hidden="1" x14ac:dyDescent="0.25">
      <c r="A429" t="s">
        <v>650</v>
      </c>
      <c r="B429" s="1" t="str">
        <f>HYPERLINK("https://asmlis.vasa.lt/Dashboard/Served?ServiceDateFrom=2025-11-24&amp;ServiceDateTo=2025-11-24&amp;DumpsterInvNr=13-P-302279", "13-P-302279")</f>
        <v>13-P-302279</v>
      </c>
      <c r="C429">
        <v>5</v>
      </c>
      <c r="D429" t="s">
        <v>649</v>
      </c>
      <c r="E429" t="s">
        <v>11</v>
      </c>
      <c r="F429" t="s">
        <v>13</v>
      </c>
      <c r="G429" t="s">
        <v>412</v>
      </c>
      <c r="H429" t="s">
        <v>14</v>
      </c>
    </row>
    <row r="430" spans="1:8" hidden="1" x14ac:dyDescent="0.25">
      <c r="A430" t="s">
        <v>651</v>
      </c>
      <c r="B430" s="1" t="str">
        <f>HYPERLINK("https://asmlis.vasa.lt/Dashboard/Served?ServiceDateFrom=2025-11-24&amp;ServiceDateTo=2025-11-24&amp;DumpsterInvNr=13-P-300659", "13-P-300659")</f>
        <v>13-P-300659</v>
      </c>
      <c r="C430">
        <v>1.1000000000000001</v>
      </c>
      <c r="D430" t="s">
        <v>213</v>
      </c>
      <c r="E430" t="s">
        <v>11</v>
      </c>
      <c r="F430" t="s">
        <v>13</v>
      </c>
      <c r="G430" t="s">
        <v>412</v>
      </c>
      <c r="H430" t="s">
        <v>14</v>
      </c>
    </row>
    <row r="431" spans="1:8" hidden="1" x14ac:dyDescent="0.25">
      <c r="A431" t="s">
        <v>652</v>
      </c>
      <c r="B431" s="1" t="str">
        <f>HYPERLINK("https://asmlis.vasa.lt/Dashboard/Served?ServiceDateFrom=2025-11-24&amp;ServiceDateTo=2025-11-24&amp;DumpsterInvNr=13-P-300713", "13-P-300713")</f>
        <v>13-P-300713</v>
      </c>
      <c r="C431">
        <v>1.1000000000000001</v>
      </c>
      <c r="D431" t="s">
        <v>213</v>
      </c>
      <c r="E431" t="s">
        <v>11</v>
      </c>
      <c r="F431" t="s">
        <v>13</v>
      </c>
      <c r="G431" t="s">
        <v>412</v>
      </c>
      <c r="H431" t="s">
        <v>14</v>
      </c>
    </row>
    <row r="432" spans="1:8" hidden="1" x14ac:dyDescent="0.25">
      <c r="A432" t="s">
        <v>653</v>
      </c>
      <c r="B432" s="1" t="str">
        <f>HYPERLINK("https://asmlis.vasa.lt/Dashboard/Served?ServiceDateFrom=2025-11-24&amp;ServiceDateTo=2025-11-24&amp;DumpsterInvNr=13-L-422078", "13-L-422078")</f>
        <v>13-L-422078</v>
      </c>
      <c r="C432">
        <v>5</v>
      </c>
      <c r="D432" t="s">
        <v>654</v>
      </c>
      <c r="E432" t="s">
        <v>11</v>
      </c>
      <c r="G432" t="s">
        <v>74</v>
      </c>
      <c r="H432" t="s">
        <v>14</v>
      </c>
    </row>
    <row r="433" spans="1:8" hidden="1" x14ac:dyDescent="0.25">
      <c r="A433" t="s">
        <v>655</v>
      </c>
      <c r="B433" s="1" t="str">
        <f>HYPERLINK("https://asmlis.vasa.lt/Dashboard/Served?ServiceDateFrom=2025-11-24&amp;ServiceDateTo=2025-11-24&amp;DumpsterInvNr=13-P-300567", "13-P-300567")</f>
        <v>13-P-300567</v>
      </c>
      <c r="C433">
        <v>1.1000000000000001</v>
      </c>
      <c r="D433" t="s">
        <v>213</v>
      </c>
      <c r="E433" t="s">
        <v>11</v>
      </c>
      <c r="F433" t="s">
        <v>13</v>
      </c>
      <c r="G433" t="s">
        <v>412</v>
      </c>
      <c r="H433" t="s">
        <v>14</v>
      </c>
    </row>
    <row r="434" spans="1:8" hidden="1" x14ac:dyDescent="0.25">
      <c r="A434" t="s">
        <v>656</v>
      </c>
      <c r="B434" s="1" t="str">
        <f>HYPERLINK("https://asmlis.vasa.lt/Dashboard/Served?ServiceDateFrom=2025-11-24&amp;ServiceDateTo=2025-11-24&amp;DumpsterInvNr=13-P-415696", "13-P-415696")</f>
        <v>13-P-415696</v>
      </c>
      <c r="C434">
        <v>1.1000000000000001</v>
      </c>
      <c r="D434" t="s">
        <v>657</v>
      </c>
      <c r="E434" t="s">
        <v>11</v>
      </c>
      <c r="G434" t="s">
        <v>264</v>
      </c>
      <c r="H434" t="s">
        <v>14</v>
      </c>
    </row>
    <row r="435" spans="1:8" hidden="1" x14ac:dyDescent="0.25">
      <c r="A435" t="s">
        <v>658</v>
      </c>
      <c r="B435" s="1" t="str">
        <f>HYPERLINK("https://asmlis.vasa.lt/Dashboard/Served?ServiceDateFrom=2025-11-24&amp;ServiceDateTo=2025-11-24&amp;DumpsterInvNr=13-P-300432", "13-P-300432")</f>
        <v>13-P-300432</v>
      </c>
      <c r="C435">
        <v>1.1000000000000001</v>
      </c>
      <c r="D435" t="s">
        <v>223</v>
      </c>
      <c r="E435" t="s">
        <v>11</v>
      </c>
      <c r="F435" t="s">
        <v>13</v>
      </c>
      <c r="G435" t="s">
        <v>412</v>
      </c>
      <c r="H435" t="s">
        <v>14</v>
      </c>
    </row>
    <row r="436" spans="1:8" hidden="1" x14ac:dyDescent="0.25">
      <c r="A436" t="s">
        <v>659</v>
      </c>
      <c r="B436" s="1" t="str">
        <f>HYPERLINK("https://asmlis.vasa.lt/Dashboard/Served?ServiceDateFrom=2025-11-24&amp;ServiceDateTo=2025-11-24&amp;DumpsterInvNr=13-L-422863", "13-L-422863")</f>
        <v>13-L-422863</v>
      </c>
      <c r="C436">
        <v>1.1000000000000001</v>
      </c>
      <c r="D436" t="s">
        <v>660</v>
      </c>
      <c r="E436" t="s">
        <v>11</v>
      </c>
      <c r="G436" t="s">
        <v>74</v>
      </c>
      <c r="H436" t="s">
        <v>14</v>
      </c>
    </row>
    <row r="437" spans="1:8" hidden="1" x14ac:dyDescent="0.25">
      <c r="A437" t="s">
        <v>661</v>
      </c>
      <c r="B437" s="1" t="str">
        <f>HYPERLINK("https://asmlis.vasa.lt/Dashboard/Served?ServiceDateFrom=2025-11-24&amp;ServiceDateTo=2025-11-24&amp;DumpsterInvNr=13-P-300600", "13-P-300600")</f>
        <v>13-P-300600</v>
      </c>
      <c r="C437">
        <v>1.1000000000000001</v>
      </c>
      <c r="D437" t="s">
        <v>223</v>
      </c>
      <c r="E437" t="s">
        <v>11</v>
      </c>
      <c r="F437" t="s">
        <v>13</v>
      </c>
      <c r="G437" t="s">
        <v>412</v>
      </c>
      <c r="H437" t="s">
        <v>14</v>
      </c>
    </row>
    <row r="438" spans="1:8" hidden="1" x14ac:dyDescent="0.25">
      <c r="A438" t="s">
        <v>662</v>
      </c>
      <c r="B438" s="1" t="str">
        <f>HYPERLINK("https://asmlis.vasa.lt/Dashboard/Served?ServiceDateFrom=2025-11-24&amp;ServiceDateTo=2025-11-24&amp;DumpsterInvNr=13-L-304399", "13-L-304399")</f>
        <v>13-L-304399</v>
      </c>
      <c r="C438">
        <v>3</v>
      </c>
      <c r="D438" t="s">
        <v>663</v>
      </c>
      <c r="E438" t="s">
        <v>11</v>
      </c>
      <c r="F438" t="s">
        <v>13</v>
      </c>
      <c r="G438" t="s">
        <v>9</v>
      </c>
      <c r="H438" t="s">
        <v>14</v>
      </c>
    </row>
    <row r="439" spans="1:8" hidden="1" x14ac:dyDescent="0.25">
      <c r="A439" t="s">
        <v>664</v>
      </c>
      <c r="B439" s="1" t="str">
        <f>HYPERLINK("https://asmlis.vasa.lt/Dashboard/Served?ServiceDateFrom=2025-11-24&amp;ServiceDateTo=2025-11-24&amp;DumpsterInvNr=13-P-306759", "13-P-306759")</f>
        <v>13-P-306759</v>
      </c>
      <c r="C439">
        <v>1.1000000000000001</v>
      </c>
      <c r="D439" t="s">
        <v>666</v>
      </c>
      <c r="E439" t="s">
        <v>11</v>
      </c>
      <c r="F439" t="s">
        <v>13</v>
      </c>
      <c r="G439" t="s">
        <v>412</v>
      </c>
      <c r="H439" t="s">
        <v>14</v>
      </c>
    </row>
    <row r="440" spans="1:8" hidden="1" x14ac:dyDescent="0.25">
      <c r="A440" t="s">
        <v>667</v>
      </c>
      <c r="B440" s="1" t="str">
        <f>HYPERLINK("https://asmlis.vasa.lt/Dashboard/Served?ServiceDateFrom=2025-11-24&amp;ServiceDateTo=2025-11-24&amp;DumpsterInvNr=13-L-318645", "13-L-318645")</f>
        <v>13-L-318645</v>
      </c>
      <c r="C440">
        <v>1.1000000000000001</v>
      </c>
      <c r="D440" t="s">
        <v>668</v>
      </c>
      <c r="E440" t="s">
        <v>11</v>
      </c>
      <c r="G440" t="s">
        <v>9</v>
      </c>
      <c r="H440" t="s">
        <v>14</v>
      </c>
    </row>
    <row r="441" spans="1:8" hidden="1" x14ac:dyDescent="0.25">
      <c r="A441" t="s">
        <v>669</v>
      </c>
      <c r="B441" s="1" t="str">
        <f>HYPERLINK("https://asmlis.vasa.lt/Dashboard/Served?ServiceDateFrom=2025-11-24&amp;ServiceDateTo=2025-11-24&amp;DumpsterInvNr=13-P-416113", "13-P-416113")</f>
        <v>13-P-416113</v>
      </c>
      <c r="C441">
        <v>1.1000000000000001</v>
      </c>
      <c r="D441" t="s">
        <v>657</v>
      </c>
      <c r="E441" t="s">
        <v>11</v>
      </c>
      <c r="F441" t="s">
        <v>13</v>
      </c>
      <c r="G441" t="s">
        <v>264</v>
      </c>
      <c r="H441" t="s">
        <v>14</v>
      </c>
    </row>
    <row r="442" spans="1:8" hidden="1" x14ac:dyDescent="0.25">
      <c r="A442" t="s">
        <v>670</v>
      </c>
      <c r="B442" s="1" t="str">
        <f>HYPERLINK("https://asmlis.vasa.lt/Dashboard/Served?ServiceDateFrom=2025-11-24&amp;ServiceDateTo=2025-11-24&amp;DumpsterInvNr=13-L-303711", "13-L-303711")</f>
        <v>13-L-303711</v>
      </c>
      <c r="C442">
        <v>1.1000000000000001</v>
      </c>
      <c r="D442" t="s">
        <v>668</v>
      </c>
      <c r="E442" t="s">
        <v>11</v>
      </c>
      <c r="G442" t="s">
        <v>9</v>
      </c>
      <c r="H442" t="s">
        <v>14</v>
      </c>
    </row>
    <row r="443" spans="1:8" hidden="1" x14ac:dyDescent="0.25">
      <c r="A443" t="s">
        <v>671</v>
      </c>
      <c r="B443" s="1" t="str">
        <f>HYPERLINK("https://asmlis.vasa.lt/Dashboard/Served?ServiceDateFrom=2025-11-24&amp;ServiceDateTo=2025-11-24&amp;DumpsterInvNr=13-L-424408", "13-L-424408")</f>
        <v>13-L-424408</v>
      </c>
      <c r="C443">
        <v>1.1000000000000001</v>
      </c>
      <c r="D443" t="s">
        <v>672</v>
      </c>
      <c r="E443" t="s">
        <v>11</v>
      </c>
      <c r="G443" t="s">
        <v>74</v>
      </c>
      <c r="H443" t="s">
        <v>14</v>
      </c>
    </row>
    <row r="444" spans="1:8" hidden="1" x14ac:dyDescent="0.25">
      <c r="A444" t="s">
        <v>673</v>
      </c>
      <c r="B444" s="1" t="str">
        <f>HYPERLINK("https://asmlis.vasa.lt/Dashboard/Served?ServiceDateFrom=2025-11-24&amp;ServiceDateTo=2025-11-24&amp;DumpsterInvNr=13-P-204873", "13-P-204873")</f>
        <v>13-P-204873</v>
      </c>
      <c r="C444">
        <v>5</v>
      </c>
      <c r="D444" t="s">
        <v>674</v>
      </c>
      <c r="E444" t="s">
        <v>11</v>
      </c>
      <c r="G444" t="s">
        <v>234</v>
      </c>
      <c r="H444" t="s">
        <v>14</v>
      </c>
    </row>
    <row r="445" spans="1:8" hidden="1" x14ac:dyDescent="0.25">
      <c r="A445" t="s">
        <v>352</v>
      </c>
      <c r="B445" s="1" t="str">
        <f>HYPERLINK("https://asmlis.vasa.lt/Dashboard/Served?ServiceDateFrom=2025-11-24&amp;ServiceDateTo=2025-11-24&amp;DumpsterInvNr=13-L-422081", "13-L-422081")</f>
        <v>13-L-422081</v>
      </c>
      <c r="C445">
        <v>5</v>
      </c>
      <c r="D445" t="s">
        <v>675</v>
      </c>
      <c r="E445" t="s">
        <v>11</v>
      </c>
      <c r="F445" t="s">
        <v>13</v>
      </c>
      <c r="G445" t="s">
        <v>74</v>
      </c>
      <c r="H445" t="s">
        <v>14</v>
      </c>
    </row>
    <row r="446" spans="1:8" hidden="1" x14ac:dyDescent="0.25">
      <c r="A446" t="s">
        <v>676</v>
      </c>
      <c r="B446" s="1" t="str">
        <f>HYPERLINK("https://asmlis.vasa.lt/Dashboard/Served?ServiceDateFrom=2025-11-24&amp;ServiceDateTo=2025-11-24&amp;DumpsterInvNr=13-L-422076", "13-L-422076")</f>
        <v>13-L-422076</v>
      </c>
      <c r="C446">
        <v>5</v>
      </c>
      <c r="D446" t="s">
        <v>677</v>
      </c>
      <c r="E446" t="s">
        <v>11</v>
      </c>
      <c r="F446" t="s">
        <v>13</v>
      </c>
      <c r="G446" t="s">
        <v>74</v>
      </c>
      <c r="H446" t="s">
        <v>14</v>
      </c>
    </row>
    <row r="447" spans="1:8" hidden="1" x14ac:dyDescent="0.25">
      <c r="A447" t="s">
        <v>678</v>
      </c>
      <c r="B447" s="1" t="str">
        <f>HYPERLINK("https://asmlis.vasa.lt/Dashboard/Served?ServiceDateFrom=2025-11-24&amp;ServiceDateTo=2025-11-24&amp;DumpsterInvNr=13-L-146416", "13-L-146416")</f>
        <v>13-L-146416</v>
      </c>
      <c r="C447">
        <v>5</v>
      </c>
      <c r="D447" t="s">
        <v>679</v>
      </c>
      <c r="E447" t="s">
        <v>11</v>
      </c>
      <c r="F447" t="s">
        <v>13</v>
      </c>
      <c r="G447" t="s">
        <v>430</v>
      </c>
      <c r="H447" t="s">
        <v>432</v>
      </c>
    </row>
    <row r="448" spans="1:8" hidden="1" x14ac:dyDescent="0.25">
      <c r="A448" t="s">
        <v>680</v>
      </c>
      <c r="B448" s="1" t="str">
        <f>HYPERLINK("https://asmlis.vasa.lt/Dashboard/Served?ServiceDateFrom=2025-11-24&amp;ServiceDateTo=2025-11-24&amp;DumpsterInvNr=13-L-420197", "13-L-420197")</f>
        <v>13-L-420197</v>
      </c>
      <c r="C448">
        <v>5</v>
      </c>
      <c r="D448" t="s">
        <v>681</v>
      </c>
      <c r="E448" t="s">
        <v>11</v>
      </c>
      <c r="F448" t="s">
        <v>13</v>
      </c>
      <c r="G448" t="s">
        <v>74</v>
      </c>
      <c r="H448" t="s">
        <v>14</v>
      </c>
    </row>
    <row r="449" spans="1:8" hidden="1" x14ac:dyDescent="0.25">
      <c r="A449" t="s">
        <v>680</v>
      </c>
      <c r="B449" s="1" t="str">
        <f>HYPERLINK("https://asmlis.vasa.lt/Dashboard/Served?ServiceDateFrom=2025-11-24&amp;ServiceDateTo=2025-11-24&amp;DumpsterInvNr=13-L-146415", "13-L-146415")</f>
        <v>13-L-146415</v>
      </c>
      <c r="C449">
        <v>5</v>
      </c>
      <c r="D449" t="s">
        <v>679</v>
      </c>
      <c r="E449" t="s">
        <v>11</v>
      </c>
      <c r="F449" t="s">
        <v>13</v>
      </c>
      <c r="G449" t="s">
        <v>430</v>
      </c>
      <c r="H449" t="s">
        <v>432</v>
      </c>
    </row>
    <row r="450" spans="1:8" hidden="1" x14ac:dyDescent="0.25">
      <c r="A450" t="s">
        <v>682</v>
      </c>
      <c r="B450" s="1" t="str">
        <f>HYPERLINK("https://asmlis.vasa.lt/Dashboard/Served?ServiceDateFrom=2025-11-24&amp;ServiceDateTo=2025-11-24&amp;DumpsterInvNr=13-L-422861", "13-L-422861")</f>
        <v>13-L-422861</v>
      </c>
      <c r="C450">
        <v>1.1000000000000001</v>
      </c>
      <c r="D450" t="s">
        <v>672</v>
      </c>
      <c r="E450" t="s">
        <v>11</v>
      </c>
      <c r="G450" t="s">
        <v>74</v>
      </c>
      <c r="H450" t="s">
        <v>14</v>
      </c>
    </row>
    <row r="451" spans="1:8" hidden="1" x14ac:dyDescent="0.25">
      <c r="A451" t="s">
        <v>683</v>
      </c>
      <c r="B451" s="1" t="str">
        <f>HYPERLINK("https://asmlis.vasa.lt/Dashboard/Served?ServiceDateFrom=2025-11-24&amp;ServiceDateTo=2025-11-24&amp;DumpsterInvNr=13-P-409162", "13-P-409162")</f>
        <v>13-P-409162</v>
      </c>
      <c r="C451">
        <v>1.1000000000000001</v>
      </c>
      <c r="D451" t="s">
        <v>684</v>
      </c>
      <c r="E451" t="s">
        <v>11</v>
      </c>
      <c r="G451" t="s">
        <v>264</v>
      </c>
      <c r="H451" t="s">
        <v>14</v>
      </c>
    </row>
    <row r="452" spans="1:8" hidden="1" x14ac:dyDescent="0.25">
      <c r="A452" t="s">
        <v>685</v>
      </c>
      <c r="B452" s="1" t="str">
        <f>HYPERLINK("https://asmlis.vasa.lt/Dashboard/Served?ServiceDateFrom=2025-11-24&amp;ServiceDateTo=2025-11-24&amp;DumpsterInvNr=13-L-317192", "13-L-317192")</f>
        <v>13-L-317192</v>
      </c>
      <c r="C452">
        <v>1.1000000000000001</v>
      </c>
      <c r="D452" t="s">
        <v>686</v>
      </c>
      <c r="E452" t="s">
        <v>11</v>
      </c>
      <c r="G452" t="s">
        <v>9</v>
      </c>
      <c r="H452" t="s">
        <v>14</v>
      </c>
    </row>
    <row r="453" spans="1:8" hidden="1" x14ac:dyDescent="0.25">
      <c r="A453" t="s">
        <v>687</v>
      </c>
      <c r="B453" s="1" t="str">
        <f>HYPERLINK("https://asmlis.vasa.lt/Dashboard/Served?ServiceDateFrom=2025-11-24&amp;ServiceDateTo=2025-11-24&amp;DumpsterInvNr=13-L-422860", "13-L-422860")</f>
        <v>13-L-422860</v>
      </c>
      <c r="C453">
        <v>1.1000000000000001</v>
      </c>
      <c r="D453" t="s">
        <v>672</v>
      </c>
      <c r="E453" t="s">
        <v>11</v>
      </c>
      <c r="G453" t="s">
        <v>74</v>
      </c>
      <c r="H453" t="s">
        <v>14</v>
      </c>
    </row>
    <row r="454" spans="1:8" hidden="1" x14ac:dyDescent="0.25">
      <c r="A454" t="s">
        <v>688</v>
      </c>
      <c r="B454" s="1" t="str">
        <f>HYPERLINK("https://asmlis.vasa.lt/Dashboard/Served?ServiceDateFrom=2025-11-24&amp;ServiceDateTo=2025-11-24&amp;DumpsterInvNr=13-P-301682", "13-P-301682")</f>
        <v>13-P-301682</v>
      </c>
      <c r="C454">
        <v>1.1000000000000001</v>
      </c>
      <c r="D454" t="s">
        <v>689</v>
      </c>
      <c r="E454" t="s">
        <v>11</v>
      </c>
      <c r="G454" t="s">
        <v>412</v>
      </c>
      <c r="H454" t="s">
        <v>14</v>
      </c>
    </row>
    <row r="455" spans="1:8" hidden="1" x14ac:dyDescent="0.25">
      <c r="A455" t="s">
        <v>690</v>
      </c>
      <c r="B455" s="1" t="str">
        <f>HYPERLINK("https://asmlis.vasa.lt/Dashboard/Served?ServiceDateFrom=2025-11-24&amp;ServiceDateTo=2025-11-24&amp;DumpsterInvNr=13-L-307552", "13-L-307552")</f>
        <v>13-L-307552</v>
      </c>
      <c r="C455">
        <v>5</v>
      </c>
      <c r="D455" t="s">
        <v>691</v>
      </c>
      <c r="E455" t="s">
        <v>11</v>
      </c>
      <c r="F455" t="s">
        <v>13</v>
      </c>
      <c r="G455" t="s">
        <v>9</v>
      </c>
      <c r="H455" t="s">
        <v>14</v>
      </c>
    </row>
    <row r="456" spans="1:8" hidden="1" x14ac:dyDescent="0.25">
      <c r="A456" t="s">
        <v>690</v>
      </c>
      <c r="B456" s="1" t="str">
        <f>HYPERLINK("https://asmlis.vasa.lt/Dashboard/Served?ServiceDateFrom=2025-11-24&amp;ServiceDateTo=2025-11-24&amp;DumpsterInvNr=13-P-409189", "13-P-409189")</f>
        <v>13-P-409189</v>
      </c>
      <c r="C456">
        <v>1.1000000000000001</v>
      </c>
      <c r="D456" t="s">
        <v>684</v>
      </c>
      <c r="E456" t="s">
        <v>11</v>
      </c>
      <c r="F456" t="s">
        <v>13</v>
      </c>
      <c r="G456" t="s">
        <v>264</v>
      </c>
      <c r="H456" t="s">
        <v>14</v>
      </c>
    </row>
    <row r="457" spans="1:8" hidden="1" x14ac:dyDescent="0.25">
      <c r="A457" t="s">
        <v>692</v>
      </c>
      <c r="B457" s="1" t="str">
        <f>HYPERLINK("https://asmlis.vasa.lt/Dashboard/Served?ServiceDateFrom=2025-11-24&amp;ServiceDateTo=2025-11-24&amp;DumpsterInvNr=13-L-317984", "13-L-317984")</f>
        <v>13-L-317984</v>
      </c>
      <c r="C457">
        <v>1.1000000000000001</v>
      </c>
      <c r="D457" t="s">
        <v>686</v>
      </c>
      <c r="E457" t="s">
        <v>11</v>
      </c>
      <c r="G457" t="s">
        <v>9</v>
      </c>
      <c r="H457" t="s">
        <v>14</v>
      </c>
    </row>
    <row r="458" spans="1:8" hidden="1" x14ac:dyDescent="0.25">
      <c r="A458" t="s">
        <v>693</v>
      </c>
      <c r="B458" s="1" t="str">
        <f>HYPERLINK("https://asmlis.vasa.lt/Dashboard/Served?ServiceDateFrom=2025-11-24&amp;ServiceDateTo=2025-11-24&amp;DumpsterInvNr=13-L-310054", "13-L-310054")</f>
        <v>13-L-310054</v>
      </c>
      <c r="C458">
        <v>1.1000000000000001</v>
      </c>
      <c r="D458" t="s">
        <v>694</v>
      </c>
      <c r="E458" t="s">
        <v>11</v>
      </c>
      <c r="G458" t="s">
        <v>9</v>
      </c>
      <c r="H458" t="s">
        <v>14</v>
      </c>
    </row>
    <row r="459" spans="1:8" hidden="1" x14ac:dyDescent="0.25">
      <c r="A459" t="s">
        <v>695</v>
      </c>
      <c r="B459" s="1" t="str">
        <f>HYPERLINK("https://asmlis.vasa.lt/Dashboard/Served?ServiceDateFrom=2025-11-24&amp;ServiceDateTo=2025-11-24&amp;DumpsterInvNr=13-L-422859", "13-L-422859")</f>
        <v>13-L-422859</v>
      </c>
      <c r="C459">
        <v>1.1000000000000001</v>
      </c>
      <c r="D459" t="s">
        <v>672</v>
      </c>
      <c r="E459" t="s">
        <v>11</v>
      </c>
      <c r="G459" t="s">
        <v>74</v>
      </c>
      <c r="H459" t="s">
        <v>14</v>
      </c>
    </row>
    <row r="460" spans="1:8" hidden="1" x14ac:dyDescent="0.25">
      <c r="A460" t="s">
        <v>696</v>
      </c>
      <c r="B460" s="1" t="str">
        <f>HYPERLINK("https://asmlis.vasa.lt/Dashboard/Served?ServiceDateFrom=2025-11-24&amp;ServiceDateTo=2025-11-24&amp;DumpsterInvNr=13-P-306747", "13-P-306747")</f>
        <v>13-P-306747</v>
      </c>
      <c r="C460">
        <v>5</v>
      </c>
      <c r="D460" t="s">
        <v>697</v>
      </c>
      <c r="E460" t="s">
        <v>11</v>
      </c>
      <c r="G460" t="s">
        <v>412</v>
      </c>
      <c r="H460" t="s">
        <v>14</v>
      </c>
    </row>
    <row r="461" spans="1:8" hidden="1" x14ac:dyDescent="0.25">
      <c r="A461" t="s">
        <v>698</v>
      </c>
      <c r="B461" s="1" t="str">
        <f>HYPERLINK("https://asmlis.vasa.lt/Dashboard/Served?ServiceDateFrom=2025-11-24&amp;ServiceDateTo=2025-11-24&amp;DumpsterInvNr=13-L-425958", "13-L-425958")</f>
        <v>13-L-425958</v>
      </c>
      <c r="C461">
        <v>1.1000000000000001</v>
      </c>
      <c r="D461" t="s">
        <v>672</v>
      </c>
      <c r="E461" t="s">
        <v>11</v>
      </c>
      <c r="G461" t="s">
        <v>74</v>
      </c>
      <c r="H461" t="s">
        <v>14</v>
      </c>
    </row>
    <row r="462" spans="1:8" hidden="1" x14ac:dyDescent="0.25">
      <c r="A462" t="s">
        <v>699</v>
      </c>
      <c r="B462" s="1" t="str">
        <f>HYPERLINK("https://asmlis.vasa.lt/Dashboard/Served?ServiceDateFrom=2025-11-24&amp;ServiceDateTo=2025-11-24&amp;DumpsterInvNr=13-L-316395", "13-L-316395")</f>
        <v>13-L-316395</v>
      </c>
      <c r="C462">
        <v>1.1000000000000001</v>
      </c>
      <c r="D462" t="s">
        <v>686</v>
      </c>
      <c r="E462" t="s">
        <v>11</v>
      </c>
      <c r="G462" t="s">
        <v>9</v>
      </c>
      <c r="H462" t="s">
        <v>14</v>
      </c>
    </row>
    <row r="463" spans="1:8" hidden="1" x14ac:dyDescent="0.25">
      <c r="A463" t="s">
        <v>700</v>
      </c>
      <c r="B463" s="1" t="str">
        <f>HYPERLINK("https://asmlis.vasa.lt/Dashboard/Served?ServiceDateFrom=2025-11-24&amp;ServiceDateTo=2025-11-24&amp;DumpsterInvNr=13-L-315358", "13-L-315358")</f>
        <v>13-L-315358</v>
      </c>
      <c r="C463">
        <v>1.1000000000000001</v>
      </c>
      <c r="D463" t="s">
        <v>694</v>
      </c>
      <c r="E463" t="s">
        <v>11</v>
      </c>
      <c r="F463" t="s">
        <v>13</v>
      </c>
      <c r="G463" t="s">
        <v>9</v>
      </c>
      <c r="H463" t="s">
        <v>14</v>
      </c>
    </row>
    <row r="464" spans="1:8" hidden="1" x14ac:dyDescent="0.25">
      <c r="A464" t="s">
        <v>701</v>
      </c>
      <c r="B464" s="1" t="str">
        <f>HYPERLINK("https://asmlis.vasa.lt/Dashboard/Served?ServiceDateFrom=2025-11-24&amp;ServiceDateTo=2025-11-24&amp;DumpsterInvNr=13-L-408184", "13-L-408184")</f>
        <v>13-L-408184</v>
      </c>
      <c r="C464">
        <v>1.1000000000000001</v>
      </c>
      <c r="D464" t="s">
        <v>672</v>
      </c>
      <c r="E464" t="s">
        <v>11</v>
      </c>
      <c r="G464" t="s">
        <v>74</v>
      </c>
      <c r="H464" t="s">
        <v>14</v>
      </c>
    </row>
    <row r="465" spans="1:8" hidden="1" x14ac:dyDescent="0.25">
      <c r="A465" t="s">
        <v>702</v>
      </c>
      <c r="B465" s="1" t="str">
        <f>HYPERLINK("https://asmlis.vasa.lt/Dashboard/Served?ServiceDateFrom=2025-11-24&amp;ServiceDateTo=2025-11-24&amp;DumpsterInvNr=13-L-423235", "13-L-423235")</f>
        <v>13-L-423235</v>
      </c>
      <c r="C465">
        <v>5</v>
      </c>
      <c r="D465" t="s">
        <v>703</v>
      </c>
      <c r="E465" t="s">
        <v>11</v>
      </c>
      <c r="F465" t="s">
        <v>13</v>
      </c>
      <c r="G465" t="s">
        <v>74</v>
      </c>
      <c r="H465" t="s">
        <v>14</v>
      </c>
    </row>
    <row r="466" spans="1:8" hidden="1" x14ac:dyDescent="0.25">
      <c r="A466" t="s">
        <v>704</v>
      </c>
      <c r="B466" s="1" t="str">
        <f>HYPERLINK("https://asmlis.vasa.lt/Dashboard/Served?ServiceDateFrom=2025-11-24&amp;ServiceDateTo=2025-11-24&amp;DumpsterInvNr=13-P-204916", "13-P-204916")</f>
        <v>13-P-204916</v>
      </c>
      <c r="C466">
        <v>5</v>
      </c>
      <c r="D466" t="s">
        <v>705</v>
      </c>
      <c r="E466" t="s">
        <v>11</v>
      </c>
      <c r="G466" t="s">
        <v>234</v>
      </c>
      <c r="H466" t="s">
        <v>14</v>
      </c>
    </row>
    <row r="467" spans="1:8" hidden="1" x14ac:dyDescent="0.25">
      <c r="A467" t="s">
        <v>706</v>
      </c>
      <c r="B467" s="1" t="str">
        <f>HYPERLINK("https://asmlis.vasa.lt/Dashboard/Served?ServiceDateFrom=2025-11-24&amp;ServiceDateTo=2025-11-24&amp;DumpsterInvNr=13-L-314573", "13-L-314573")</f>
        <v>13-L-314573</v>
      </c>
      <c r="C467">
        <v>1.1000000000000001</v>
      </c>
      <c r="D467" t="s">
        <v>615</v>
      </c>
      <c r="E467" t="s">
        <v>11</v>
      </c>
      <c r="G467" t="s">
        <v>9</v>
      </c>
      <c r="H467" t="s">
        <v>14</v>
      </c>
    </row>
    <row r="468" spans="1:8" hidden="1" x14ac:dyDescent="0.25">
      <c r="A468" t="s">
        <v>707</v>
      </c>
      <c r="B468" s="1" t="str">
        <f>HYPERLINK("https://asmlis.vasa.lt/Dashboard/Served?ServiceDateFrom=2025-11-24&amp;ServiceDateTo=2025-11-24&amp;DumpsterInvNr=13-L-314602", "13-L-314602")</f>
        <v>13-L-314602</v>
      </c>
      <c r="C468">
        <v>1.1000000000000001</v>
      </c>
      <c r="D468" t="s">
        <v>615</v>
      </c>
      <c r="E468" t="s">
        <v>11</v>
      </c>
      <c r="G468" t="s">
        <v>9</v>
      </c>
      <c r="H468" t="s">
        <v>14</v>
      </c>
    </row>
    <row r="469" spans="1:8" hidden="1" x14ac:dyDescent="0.25">
      <c r="A469" t="s">
        <v>708</v>
      </c>
      <c r="B469" s="1" t="str">
        <f>HYPERLINK("https://asmlis.vasa.lt/Dashboard/Served?ServiceDateFrom=2025-11-24&amp;ServiceDateTo=2025-11-24&amp;DumpsterInvNr=13-L-317839", "13-L-317839")</f>
        <v>13-L-317839</v>
      </c>
      <c r="C469">
        <v>1.1000000000000001</v>
      </c>
      <c r="D469" t="s">
        <v>615</v>
      </c>
      <c r="E469" t="s">
        <v>11</v>
      </c>
      <c r="G469" t="s">
        <v>9</v>
      </c>
      <c r="H469" t="s">
        <v>14</v>
      </c>
    </row>
    <row r="470" spans="1:8" hidden="1" x14ac:dyDescent="0.25">
      <c r="A470" t="s">
        <v>708</v>
      </c>
      <c r="B470" s="1" t="str">
        <f>HYPERLINK("https://asmlis.vasa.lt/Dashboard/Served?ServiceDateFrom=2025-11-24&amp;ServiceDateTo=2025-11-24&amp;DumpsterInvNr=13-P-302134", "13-P-302134")</f>
        <v>13-P-302134</v>
      </c>
      <c r="C470">
        <v>1.1000000000000001</v>
      </c>
      <c r="D470" t="s">
        <v>709</v>
      </c>
      <c r="E470" t="s">
        <v>11</v>
      </c>
      <c r="G470" t="s">
        <v>412</v>
      </c>
      <c r="H470" t="s">
        <v>14</v>
      </c>
    </row>
    <row r="471" spans="1:8" hidden="1" x14ac:dyDescent="0.25">
      <c r="A471" t="s">
        <v>710</v>
      </c>
      <c r="B471" s="1" t="str">
        <f>HYPERLINK("https://asmlis.vasa.lt/Dashboard/Served?ServiceDateFrom=2025-11-24&amp;ServiceDateTo=2025-11-24&amp;DumpsterInvNr=13-L-316466", "13-L-316466")</f>
        <v>13-L-316466</v>
      </c>
      <c r="C471">
        <v>1.1000000000000001</v>
      </c>
      <c r="D471" t="s">
        <v>711</v>
      </c>
      <c r="E471" t="s">
        <v>11</v>
      </c>
      <c r="F471" t="s">
        <v>712</v>
      </c>
      <c r="G471" t="s">
        <v>9</v>
      </c>
      <c r="H471" t="s">
        <v>14</v>
      </c>
    </row>
    <row r="472" spans="1:8" hidden="1" x14ac:dyDescent="0.25">
      <c r="A472" t="s">
        <v>713</v>
      </c>
      <c r="B472" s="1" t="str">
        <f>HYPERLINK("https://asmlis.vasa.lt/Dashboard/Served?ServiceDateFrom=2025-11-24&amp;ServiceDateTo=2025-11-24&amp;DumpsterInvNr=13-L-422862", "13-L-422862")</f>
        <v>13-L-422862</v>
      </c>
      <c r="C472">
        <v>1.1000000000000001</v>
      </c>
      <c r="D472" t="s">
        <v>672</v>
      </c>
      <c r="E472" t="s">
        <v>11</v>
      </c>
      <c r="G472" t="s">
        <v>74</v>
      </c>
      <c r="H472" t="s">
        <v>14</v>
      </c>
    </row>
    <row r="473" spans="1:8" hidden="1" x14ac:dyDescent="0.25">
      <c r="A473" t="s">
        <v>714</v>
      </c>
      <c r="B473" s="1" t="str">
        <f>HYPERLINK("https://asmlis.vasa.lt/Dashboard/Served?ServiceDateFrom=2025-11-24&amp;ServiceDateTo=2025-11-24&amp;DumpsterInvNr=13-L-137764", "13-L-137764")</f>
        <v>13-L-137764</v>
      </c>
      <c r="C473">
        <v>5</v>
      </c>
      <c r="D473" t="s">
        <v>715</v>
      </c>
      <c r="E473" t="s">
        <v>11</v>
      </c>
      <c r="F473" t="s">
        <v>13</v>
      </c>
      <c r="G473" t="s">
        <v>430</v>
      </c>
      <c r="H473" t="s">
        <v>432</v>
      </c>
    </row>
    <row r="474" spans="1:8" hidden="1" x14ac:dyDescent="0.25">
      <c r="A474" t="s">
        <v>716</v>
      </c>
      <c r="B474" s="1" t="str">
        <f>HYPERLINK("https://asmlis.vasa.lt/Dashboard/Served?ServiceDateFrom=2025-11-24&amp;ServiceDateTo=2025-11-24&amp;DumpsterInvNr=13-L-317102", "13-L-317102")</f>
        <v>13-L-317102</v>
      </c>
      <c r="C474">
        <v>1.1000000000000001</v>
      </c>
      <c r="D474" t="s">
        <v>717</v>
      </c>
      <c r="E474" t="s">
        <v>11</v>
      </c>
      <c r="G474" t="s">
        <v>9</v>
      </c>
      <c r="H474" t="s">
        <v>14</v>
      </c>
    </row>
    <row r="475" spans="1:8" hidden="1" x14ac:dyDescent="0.25">
      <c r="A475" t="s">
        <v>716</v>
      </c>
      <c r="B475" s="1" t="str">
        <f>HYPERLINK("https://asmlis.vasa.lt/Dashboard/Served?ServiceDateFrom=2025-11-24&amp;ServiceDateTo=2025-11-24&amp;DumpsterInvNr=13-L-317101", "13-L-317101")</f>
        <v>13-L-317101</v>
      </c>
      <c r="C475">
        <v>1.1000000000000001</v>
      </c>
      <c r="D475" t="s">
        <v>717</v>
      </c>
      <c r="E475" t="s">
        <v>11</v>
      </c>
      <c r="G475" t="s">
        <v>9</v>
      </c>
      <c r="H475" t="s">
        <v>14</v>
      </c>
    </row>
    <row r="476" spans="1:8" hidden="1" x14ac:dyDescent="0.25">
      <c r="A476" t="s">
        <v>718</v>
      </c>
      <c r="B476" s="1" t="str">
        <f>HYPERLINK("https://asmlis.vasa.lt/Dashboard/Served?ServiceDateFrom=2025-11-24&amp;ServiceDateTo=2025-11-24&amp;DumpsterInvNr=13-L-313670", "13-L-313670")</f>
        <v>13-L-313670</v>
      </c>
      <c r="C476">
        <v>1.1000000000000001</v>
      </c>
      <c r="D476" t="s">
        <v>719</v>
      </c>
      <c r="E476" t="s">
        <v>11</v>
      </c>
      <c r="G476" t="s">
        <v>9</v>
      </c>
      <c r="H476" t="s">
        <v>14</v>
      </c>
    </row>
    <row r="477" spans="1:8" hidden="1" x14ac:dyDescent="0.25">
      <c r="A477" t="s">
        <v>720</v>
      </c>
      <c r="B477" s="1" t="str">
        <f>HYPERLINK("https://asmlis.vasa.lt/Dashboard/Served?ServiceDateFrom=2025-11-24&amp;ServiceDateTo=2025-11-24&amp;DumpsterInvNr=13-L-318067", "13-L-318067")</f>
        <v>13-L-318067</v>
      </c>
      <c r="C477">
        <v>1.1000000000000001</v>
      </c>
      <c r="D477" t="s">
        <v>721</v>
      </c>
      <c r="E477" t="s">
        <v>11</v>
      </c>
      <c r="G477" t="s">
        <v>9</v>
      </c>
      <c r="H477" t="s">
        <v>14</v>
      </c>
    </row>
    <row r="478" spans="1:8" hidden="1" x14ac:dyDescent="0.25">
      <c r="A478" t="s">
        <v>720</v>
      </c>
      <c r="B478" s="1" t="str">
        <f>HYPERLINK("https://asmlis.vasa.lt/Dashboard/Served?ServiceDateFrom=2025-11-24&amp;ServiceDateTo=2025-11-24&amp;DumpsterInvNr=13-L-317459", "13-L-317459")</f>
        <v>13-L-317459</v>
      </c>
      <c r="C478">
        <v>5</v>
      </c>
      <c r="D478" t="s">
        <v>722</v>
      </c>
      <c r="E478" t="s">
        <v>11</v>
      </c>
      <c r="F478" t="s">
        <v>13</v>
      </c>
      <c r="G478" t="s">
        <v>9</v>
      </c>
      <c r="H478" t="s">
        <v>14</v>
      </c>
    </row>
    <row r="479" spans="1:8" hidden="1" x14ac:dyDescent="0.25">
      <c r="A479" t="s">
        <v>723</v>
      </c>
      <c r="B479" s="1" t="str">
        <f>HYPERLINK("https://asmlis.vasa.lt/Dashboard/Served?ServiceDateFrom=2025-11-24&amp;ServiceDateTo=2025-11-24&amp;DumpsterInvNr=13-L-137090", "13-L-137090")</f>
        <v>13-L-137090</v>
      </c>
      <c r="C479">
        <v>5</v>
      </c>
      <c r="D479" t="s">
        <v>724</v>
      </c>
      <c r="E479" t="s">
        <v>11</v>
      </c>
      <c r="F479" t="s">
        <v>13</v>
      </c>
      <c r="G479" t="s">
        <v>430</v>
      </c>
      <c r="H479" t="s">
        <v>432</v>
      </c>
    </row>
    <row r="480" spans="1:8" hidden="1" x14ac:dyDescent="0.25">
      <c r="A480" t="s">
        <v>725</v>
      </c>
      <c r="B480" s="1" t="str">
        <f>HYPERLINK("https://asmlis.vasa.lt/Dashboard/Served?ServiceDateFrom=2025-11-24&amp;ServiceDateTo=2025-11-24&amp;DumpsterInvNr=13-L-421184", "13-L-421184")</f>
        <v>13-L-421184</v>
      </c>
      <c r="C480">
        <v>1.1000000000000001</v>
      </c>
      <c r="D480" t="s">
        <v>726</v>
      </c>
      <c r="E480" t="s">
        <v>11</v>
      </c>
      <c r="G480" t="s">
        <v>74</v>
      </c>
      <c r="H480" t="s">
        <v>14</v>
      </c>
    </row>
    <row r="481" spans="1:8" hidden="1" x14ac:dyDescent="0.25">
      <c r="A481" t="s">
        <v>727</v>
      </c>
      <c r="B481" s="1" t="str">
        <f>HYPERLINK("https://asmlis.vasa.lt/Dashboard/Served?ServiceDateFrom=2025-11-24&amp;ServiceDateTo=2025-11-24&amp;DumpsterInvNr=13-L-302865", "13-L-302865")</f>
        <v>13-L-302865</v>
      </c>
      <c r="C481">
        <v>1.1000000000000001</v>
      </c>
      <c r="D481" t="s">
        <v>721</v>
      </c>
      <c r="E481" t="s">
        <v>11</v>
      </c>
      <c r="G481" t="s">
        <v>9</v>
      </c>
      <c r="H481" t="s">
        <v>14</v>
      </c>
    </row>
    <row r="482" spans="1:8" hidden="1" x14ac:dyDescent="0.25">
      <c r="A482" t="s">
        <v>728</v>
      </c>
      <c r="B482" s="1" t="str">
        <f>HYPERLINK("https://asmlis.vasa.lt/Dashboard/Served?ServiceDateFrom=2025-11-24&amp;ServiceDateTo=2025-11-24&amp;DumpsterInvNr=13-L-421055", "13-L-421055")</f>
        <v>13-L-421055</v>
      </c>
      <c r="C482">
        <v>1.1000000000000001</v>
      </c>
      <c r="D482" t="s">
        <v>726</v>
      </c>
      <c r="E482" t="s">
        <v>11</v>
      </c>
      <c r="G482" t="s">
        <v>74</v>
      </c>
      <c r="H482" t="s">
        <v>14</v>
      </c>
    </row>
    <row r="483" spans="1:8" hidden="1" x14ac:dyDescent="0.25">
      <c r="A483" t="s">
        <v>729</v>
      </c>
      <c r="B483" s="1" t="str">
        <f>HYPERLINK("https://asmlis.vasa.lt/Dashboard/Served?ServiceDateFrom=2025-11-24&amp;ServiceDateTo=2025-11-24&amp;DumpsterInvNr=13-P-303743", "13-P-303743")</f>
        <v>13-P-303743</v>
      </c>
      <c r="C483">
        <v>1.1000000000000001</v>
      </c>
      <c r="D483" t="s">
        <v>516</v>
      </c>
      <c r="E483" t="s">
        <v>11</v>
      </c>
      <c r="G483" t="s">
        <v>412</v>
      </c>
      <c r="H483" t="s">
        <v>14</v>
      </c>
    </row>
    <row r="484" spans="1:8" hidden="1" x14ac:dyDescent="0.25">
      <c r="A484" t="s">
        <v>730</v>
      </c>
      <c r="B484" s="1" t="str">
        <f>HYPERLINK("https://asmlis.vasa.lt/Dashboard/Served?ServiceDateFrom=2025-11-24&amp;ServiceDateTo=2025-11-24&amp;DumpsterInvNr=13-P-204908", "13-P-204908")</f>
        <v>13-P-204908</v>
      </c>
      <c r="C484">
        <v>5</v>
      </c>
      <c r="D484" t="s">
        <v>731</v>
      </c>
      <c r="E484" t="s">
        <v>11</v>
      </c>
      <c r="G484" t="s">
        <v>234</v>
      </c>
      <c r="H484" t="s">
        <v>14</v>
      </c>
    </row>
    <row r="485" spans="1:8" hidden="1" x14ac:dyDescent="0.25">
      <c r="A485" t="s">
        <v>732</v>
      </c>
      <c r="B485" s="1" t="str">
        <f>HYPERLINK("https://asmlis.vasa.lt/Dashboard/Served?ServiceDateFrom=2025-11-24&amp;ServiceDateTo=2025-11-24&amp;DumpsterInvNr=13-L-422015", "13-L-422015")</f>
        <v>13-L-422015</v>
      </c>
      <c r="C485">
        <v>5</v>
      </c>
      <c r="D485" t="s">
        <v>733</v>
      </c>
      <c r="E485" t="s">
        <v>11</v>
      </c>
      <c r="F485" t="s">
        <v>13</v>
      </c>
      <c r="G485" t="s">
        <v>74</v>
      </c>
      <c r="H485" t="s">
        <v>14</v>
      </c>
    </row>
    <row r="486" spans="1:8" hidden="1" x14ac:dyDescent="0.25">
      <c r="A486" t="s">
        <v>734</v>
      </c>
      <c r="B486" s="1" t="str">
        <f>HYPERLINK("https://asmlis.vasa.lt/Dashboard/Served?ServiceDateFrom=2025-11-24&amp;ServiceDateTo=2025-11-24&amp;DumpsterInvNr=13-L-302869", "13-L-302869")</f>
        <v>13-L-302869</v>
      </c>
      <c r="C486">
        <v>0.66</v>
      </c>
      <c r="D486" t="s">
        <v>721</v>
      </c>
      <c r="E486" t="s">
        <v>11</v>
      </c>
      <c r="G486" t="s">
        <v>9</v>
      </c>
      <c r="H486" t="s">
        <v>14</v>
      </c>
    </row>
    <row r="487" spans="1:8" hidden="1" x14ac:dyDescent="0.25">
      <c r="A487" t="s">
        <v>735</v>
      </c>
      <c r="B487" s="1" t="str">
        <f>HYPERLINK("https://asmlis.vasa.lt/Dashboard/Served?ServiceDateFrom=2025-11-24&amp;ServiceDateTo=2025-11-24&amp;DumpsterInvNr=13-P-304043", "13-P-304043")</f>
        <v>13-P-304043</v>
      </c>
      <c r="C487">
        <v>5</v>
      </c>
      <c r="D487" t="s">
        <v>737</v>
      </c>
      <c r="E487" t="s">
        <v>11</v>
      </c>
      <c r="G487" t="s">
        <v>412</v>
      </c>
      <c r="H487" t="s">
        <v>14</v>
      </c>
    </row>
    <row r="488" spans="1:8" hidden="1" x14ac:dyDescent="0.25">
      <c r="A488" t="s">
        <v>738</v>
      </c>
      <c r="B488" s="1" t="str">
        <f>HYPERLINK("https://asmlis.vasa.lt/Dashboard/Served?ServiceDateFrom=2025-11-24&amp;ServiceDateTo=2025-11-24&amp;DumpsterInvNr=13-P-409169", "13-P-409169")</f>
        <v>13-P-409169</v>
      </c>
      <c r="C488">
        <v>1.1000000000000001</v>
      </c>
      <c r="D488" t="s">
        <v>739</v>
      </c>
      <c r="E488" t="s">
        <v>11</v>
      </c>
      <c r="G488" t="s">
        <v>264</v>
      </c>
      <c r="H488" t="s">
        <v>14</v>
      </c>
    </row>
    <row r="489" spans="1:8" hidden="1" x14ac:dyDescent="0.25">
      <c r="A489" t="s">
        <v>740</v>
      </c>
      <c r="B489" s="1" t="str">
        <f>HYPERLINK("https://asmlis.vasa.lt/Dashboard/Served?ServiceDateFrom=2025-11-24&amp;ServiceDateTo=2025-11-24&amp;DumpsterInvNr=13-L-318972", "13-L-318972")</f>
        <v>13-L-318972</v>
      </c>
      <c r="C489">
        <v>1.1000000000000001</v>
      </c>
      <c r="D489" t="s">
        <v>741</v>
      </c>
      <c r="E489" t="s">
        <v>11</v>
      </c>
      <c r="F489" t="s">
        <v>13</v>
      </c>
      <c r="G489" t="s">
        <v>9</v>
      </c>
      <c r="H489" t="s">
        <v>14</v>
      </c>
    </row>
    <row r="490" spans="1:8" hidden="1" x14ac:dyDescent="0.25">
      <c r="A490" t="s">
        <v>742</v>
      </c>
      <c r="B490" s="1" t="str">
        <f>HYPERLINK("https://asmlis.vasa.lt/Dashboard/Served?ServiceDateFrom=2025-11-24&amp;ServiceDateTo=2025-11-24&amp;DumpsterInvNr=13-L-303052", "13-L-303052")</f>
        <v>13-L-303052</v>
      </c>
      <c r="C490">
        <v>1.1000000000000001</v>
      </c>
      <c r="D490" t="s">
        <v>743</v>
      </c>
      <c r="E490" t="s">
        <v>11</v>
      </c>
      <c r="G490" t="s">
        <v>9</v>
      </c>
      <c r="H490" t="s">
        <v>14</v>
      </c>
    </row>
    <row r="491" spans="1:8" hidden="1" x14ac:dyDescent="0.25">
      <c r="A491" t="s">
        <v>744</v>
      </c>
      <c r="B491" s="1" t="str">
        <f>HYPERLINK("https://asmlis.vasa.lt/Dashboard/Served?ServiceDateFrom=2025-11-24&amp;ServiceDateTo=2025-11-24&amp;DumpsterInvNr=13-P-300526", "13-P-300526")</f>
        <v>13-P-300526</v>
      </c>
      <c r="C491">
        <v>1.1000000000000001</v>
      </c>
      <c r="D491" t="s">
        <v>538</v>
      </c>
      <c r="E491" t="s">
        <v>11</v>
      </c>
      <c r="F491" t="s">
        <v>13</v>
      </c>
      <c r="G491" t="s">
        <v>412</v>
      </c>
      <c r="H491" t="s">
        <v>14</v>
      </c>
    </row>
    <row r="492" spans="1:8" hidden="1" x14ac:dyDescent="0.25">
      <c r="A492" t="s">
        <v>745</v>
      </c>
      <c r="B492" s="1" t="str">
        <f>HYPERLINK("https://asmlis.vasa.lt/Dashboard/Served?ServiceDateFrom=2025-11-24&amp;ServiceDateTo=2025-11-24&amp;DumpsterInvNr=13-P-306994", "13-P-306994")</f>
        <v>13-P-306994</v>
      </c>
      <c r="C492">
        <v>1.1000000000000001</v>
      </c>
      <c r="D492" t="s">
        <v>538</v>
      </c>
      <c r="E492" t="s">
        <v>11</v>
      </c>
      <c r="F492" t="s">
        <v>13</v>
      </c>
      <c r="G492" t="s">
        <v>412</v>
      </c>
      <c r="H492" t="s">
        <v>14</v>
      </c>
    </row>
    <row r="493" spans="1:8" hidden="1" x14ac:dyDescent="0.25">
      <c r="A493" t="s">
        <v>746</v>
      </c>
      <c r="B493" s="1" t="str">
        <f>HYPERLINK("https://asmlis.vasa.lt/Dashboard/Served?ServiceDateFrom=2025-11-24&amp;ServiceDateTo=2025-11-24&amp;DumpsterInvNr=13-L-318971", "13-L-318971")</f>
        <v>13-L-318971</v>
      </c>
      <c r="C493">
        <v>1.1000000000000001</v>
      </c>
      <c r="D493" t="s">
        <v>741</v>
      </c>
      <c r="E493" t="s">
        <v>11</v>
      </c>
      <c r="F493" t="s">
        <v>13</v>
      </c>
      <c r="G493" t="s">
        <v>9</v>
      </c>
      <c r="H493" t="s">
        <v>14</v>
      </c>
    </row>
    <row r="494" spans="1:8" hidden="1" x14ac:dyDescent="0.25">
      <c r="A494" t="s">
        <v>747</v>
      </c>
      <c r="B494" s="1" t="str">
        <f>HYPERLINK("https://asmlis.vasa.lt/Dashboard/Served?ServiceDateFrom=2025-11-24&amp;ServiceDateTo=2025-11-24&amp;DumpsterInvNr=13-L-313578", "13-L-313578")</f>
        <v>13-L-313578</v>
      </c>
      <c r="C494">
        <v>1.1000000000000001</v>
      </c>
      <c r="D494" t="s">
        <v>721</v>
      </c>
      <c r="E494" t="s">
        <v>11</v>
      </c>
      <c r="G494" t="s">
        <v>9</v>
      </c>
      <c r="H494" t="s">
        <v>14</v>
      </c>
    </row>
    <row r="495" spans="1:8" hidden="1" x14ac:dyDescent="0.25">
      <c r="A495" t="s">
        <v>748</v>
      </c>
      <c r="B495" s="1" t="str">
        <f>HYPERLINK("https://asmlis.vasa.lt/Dashboard/Served?ServiceDateFrom=2025-11-24&amp;ServiceDateTo=2025-11-24&amp;DumpsterInvNr=13-L-318970", "13-L-318970")</f>
        <v>13-L-318970</v>
      </c>
      <c r="C495">
        <v>1.1000000000000001</v>
      </c>
      <c r="D495" t="s">
        <v>741</v>
      </c>
      <c r="E495" t="s">
        <v>11</v>
      </c>
      <c r="F495" t="s">
        <v>13</v>
      </c>
      <c r="G495" t="s">
        <v>9</v>
      </c>
      <c r="H495" t="s">
        <v>14</v>
      </c>
    </row>
    <row r="496" spans="1:8" hidden="1" x14ac:dyDescent="0.25">
      <c r="A496" t="s">
        <v>749</v>
      </c>
      <c r="B496" s="1" t="str">
        <f>HYPERLINK("https://asmlis.vasa.lt/Dashboard/Served?ServiceDateFrom=2025-11-24&amp;ServiceDateTo=2025-11-24&amp;DumpsterInvNr=13-P-409058", "13-P-409058")</f>
        <v>13-P-409058</v>
      </c>
      <c r="C496">
        <v>1.1000000000000001</v>
      </c>
      <c r="D496" t="s">
        <v>739</v>
      </c>
      <c r="E496" t="s">
        <v>11</v>
      </c>
      <c r="G496" t="s">
        <v>264</v>
      </c>
      <c r="H496" t="s">
        <v>14</v>
      </c>
    </row>
    <row r="497" spans="1:8" hidden="1" x14ac:dyDescent="0.25">
      <c r="A497" t="s">
        <v>750</v>
      </c>
      <c r="B497" s="1" t="str">
        <f>HYPERLINK("https://asmlis.vasa.lt/Dashboard/Served?ServiceDateFrom=2025-11-24&amp;ServiceDateTo=2025-11-24&amp;DumpsterInvNr=13-L-315987", "13-L-315987")</f>
        <v>13-L-315987</v>
      </c>
      <c r="C497">
        <v>1.1000000000000001</v>
      </c>
      <c r="D497" t="s">
        <v>743</v>
      </c>
      <c r="E497" t="s">
        <v>11</v>
      </c>
      <c r="G497" t="s">
        <v>9</v>
      </c>
      <c r="H497" t="s">
        <v>14</v>
      </c>
    </row>
    <row r="498" spans="1:8" hidden="1" x14ac:dyDescent="0.25">
      <c r="A498" t="s">
        <v>751</v>
      </c>
      <c r="B498" s="1" t="str">
        <f>HYPERLINK("https://asmlis.vasa.lt/Dashboard/Served?ServiceDateFrom=2025-11-24&amp;ServiceDateTo=2025-11-24&amp;DumpsterInvNr=13-L-133846", "13-L-133846")</f>
        <v>13-L-133846</v>
      </c>
      <c r="C498">
        <v>5</v>
      </c>
      <c r="D498" t="s">
        <v>752</v>
      </c>
      <c r="E498" t="s">
        <v>11</v>
      </c>
      <c r="F498" t="s">
        <v>13</v>
      </c>
      <c r="G498" t="s">
        <v>430</v>
      </c>
      <c r="H498" t="s">
        <v>432</v>
      </c>
    </row>
    <row r="499" spans="1:8" hidden="1" x14ac:dyDescent="0.25">
      <c r="A499" t="s">
        <v>753</v>
      </c>
      <c r="B499" s="1" t="str">
        <f>HYPERLINK("https://asmlis.vasa.lt/Dashboard/Served?ServiceDateFrom=2025-11-24&amp;ServiceDateTo=2025-11-24&amp;DumpsterInvNr=13-L-419025", "13-L-419025")</f>
        <v>13-L-419025</v>
      </c>
      <c r="C499">
        <v>1.1000000000000001</v>
      </c>
      <c r="D499" t="s">
        <v>672</v>
      </c>
      <c r="E499" t="s">
        <v>11</v>
      </c>
      <c r="G499" t="s">
        <v>74</v>
      </c>
      <c r="H499" t="s">
        <v>14</v>
      </c>
    </row>
    <row r="500" spans="1:8" hidden="1" x14ac:dyDescent="0.25">
      <c r="A500" t="s">
        <v>754</v>
      </c>
      <c r="B500" s="1" t="str">
        <f>HYPERLINK("https://asmlis.vasa.lt/Dashboard/Served?ServiceDateFrom=2025-11-24&amp;ServiceDateTo=2025-11-24&amp;DumpsterInvNr=13-L-303053", "13-L-303053")</f>
        <v>13-L-303053</v>
      </c>
      <c r="C500">
        <v>1.1000000000000001</v>
      </c>
      <c r="D500" t="s">
        <v>743</v>
      </c>
      <c r="E500" t="s">
        <v>11</v>
      </c>
      <c r="G500" t="s">
        <v>9</v>
      </c>
      <c r="H500" t="s">
        <v>14</v>
      </c>
    </row>
    <row r="501" spans="1:8" hidden="1" x14ac:dyDescent="0.25">
      <c r="A501" t="s">
        <v>755</v>
      </c>
      <c r="B501" s="1" t="str">
        <f>HYPERLINK("https://asmlis.vasa.lt/Dashboard/Served?ServiceDateFrom=2025-11-24&amp;ServiceDateTo=2025-11-24&amp;DumpsterInvNr=13-L-310706", "13-L-310706")</f>
        <v>13-L-310706</v>
      </c>
      <c r="C501">
        <v>1.1000000000000001</v>
      </c>
      <c r="D501" t="s">
        <v>721</v>
      </c>
      <c r="E501" t="s">
        <v>11</v>
      </c>
      <c r="G501" t="s">
        <v>9</v>
      </c>
      <c r="H501" t="s">
        <v>14</v>
      </c>
    </row>
    <row r="502" spans="1:8" hidden="1" x14ac:dyDescent="0.25">
      <c r="A502" t="s">
        <v>756</v>
      </c>
      <c r="B502" s="1" t="str">
        <f>HYPERLINK("https://asmlis.vasa.lt/Dashboard/Served?ServiceDateFrom=2025-11-24&amp;ServiceDateTo=2025-11-24&amp;DumpsterInvNr=13-L-306181", "13-L-306181")</f>
        <v>13-L-306181</v>
      </c>
      <c r="C502">
        <v>1.1000000000000001</v>
      </c>
      <c r="D502" t="s">
        <v>721</v>
      </c>
      <c r="E502" t="s">
        <v>11</v>
      </c>
      <c r="G502" t="s">
        <v>9</v>
      </c>
      <c r="H502" t="s">
        <v>14</v>
      </c>
    </row>
    <row r="503" spans="1:8" hidden="1" x14ac:dyDescent="0.25">
      <c r="A503" t="s">
        <v>757</v>
      </c>
      <c r="B503" s="1" t="str">
        <f>HYPERLINK("https://asmlis.vasa.lt/Dashboard/Served?ServiceDateFrom=2025-11-24&amp;ServiceDateTo=2025-11-24&amp;DumpsterInvNr=13-L-300415", "13-L-300415")</f>
        <v>13-L-300415</v>
      </c>
      <c r="C503">
        <v>1.1000000000000001</v>
      </c>
      <c r="D503" t="s">
        <v>758</v>
      </c>
      <c r="E503" t="s">
        <v>11</v>
      </c>
      <c r="G503" t="s">
        <v>9</v>
      </c>
      <c r="H503" t="s">
        <v>14</v>
      </c>
    </row>
    <row r="504" spans="1:8" hidden="1" x14ac:dyDescent="0.25">
      <c r="A504" t="s">
        <v>759</v>
      </c>
      <c r="B504" s="1" t="str">
        <f>HYPERLINK("https://asmlis.vasa.lt/Dashboard/Served?ServiceDateFrom=2025-11-24&amp;ServiceDateTo=2025-11-24&amp;DumpsterInvNr=13-L-307276", "13-L-307276")</f>
        <v>13-L-307276</v>
      </c>
      <c r="C504">
        <v>1.1000000000000001</v>
      </c>
      <c r="D504" t="s">
        <v>758</v>
      </c>
      <c r="E504" t="s">
        <v>11</v>
      </c>
      <c r="F504" t="s">
        <v>13</v>
      </c>
      <c r="G504" t="s">
        <v>9</v>
      </c>
      <c r="H504" t="s">
        <v>14</v>
      </c>
    </row>
    <row r="505" spans="1:8" hidden="1" x14ac:dyDescent="0.25">
      <c r="A505" t="s">
        <v>760</v>
      </c>
      <c r="B505" s="1" t="str">
        <f>HYPERLINK("https://asmlis.vasa.lt/Dashboard/Served?ServiceDateFrom=2025-11-24&amp;ServiceDateTo=2025-11-24&amp;DumpsterInvNr=13-L-310074", "13-L-310074")</f>
        <v>13-L-310074</v>
      </c>
      <c r="C505">
        <v>0.24</v>
      </c>
      <c r="D505" t="s">
        <v>721</v>
      </c>
      <c r="E505" t="s">
        <v>11</v>
      </c>
      <c r="F505" t="s">
        <v>13</v>
      </c>
      <c r="G505" t="s">
        <v>9</v>
      </c>
      <c r="H505" t="s">
        <v>14</v>
      </c>
    </row>
    <row r="506" spans="1:8" hidden="1" x14ac:dyDescent="0.25">
      <c r="A506" t="s">
        <v>761</v>
      </c>
      <c r="B506" s="1" t="str">
        <f>HYPERLINK("https://asmlis.vasa.lt/Dashboard/Served?ServiceDateFrom=2025-11-24&amp;ServiceDateTo=2025-11-24&amp;DumpsterInvNr=13-L-315703", "13-L-315703")</f>
        <v>13-L-315703</v>
      </c>
      <c r="C506">
        <v>5</v>
      </c>
      <c r="D506" t="s">
        <v>762</v>
      </c>
      <c r="E506" t="s">
        <v>11</v>
      </c>
      <c r="F506" t="s">
        <v>13</v>
      </c>
      <c r="G506" t="s">
        <v>9</v>
      </c>
      <c r="H506" t="s">
        <v>14</v>
      </c>
    </row>
    <row r="507" spans="1:8" hidden="1" x14ac:dyDescent="0.25">
      <c r="A507" t="s">
        <v>761</v>
      </c>
      <c r="B507" s="1" t="str">
        <f>HYPERLINK("https://asmlis.vasa.lt/Dashboard/Served?ServiceDateFrom=2025-11-24&amp;ServiceDateTo=2025-11-24&amp;DumpsterInvNr=13-P-302610", "13-P-302610")</f>
        <v>13-P-302610</v>
      </c>
      <c r="C507">
        <v>5</v>
      </c>
      <c r="D507" t="s">
        <v>763</v>
      </c>
      <c r="E507" t="s">
        <v>11</v>
      </c>
      <c r="G507" t="s">
        <v>412</v>
      </c>
      <c r="H507" t="s">
        <v>14</v>
      </c>
    </row>
    <row r="508" spans="1:8" hidden="1" x14ac:dyDescent="0.25">
      <c r="A508" t="s">
        <v>764</v>
      </c>
      <c r="B508" s="1" t="str">
        <f>HYPERLINK("https://asmlis.vasa.lt/Dashboard/Served?ServiceDateFrom=2025-11-24&amp;ServiceDateTo=2025-11-24&amp;DumpsterInvNr=13-P-204841", "13-P-204841")</f>
        <v>13-P-204841</v>
      </c>
      <c r="C508">
        <v>5</v>
      </c>
      <c r="D508" t="s">
        <v>765</v>
      </c>
      <c r="E508" t="s">
        <v>11</v>
      </c>
      <c r="G508" t="s">
        <v>234</v>
      </c>
      <c r="H508" t="s">
        <v>14</v>
      </c>
    </row>
    <row r="509" spans="1:8" hidden="1" x14ac:dyDescent="0.25">
      <c r="A509" t="s">
        <v>411</v>
      </c>
      <c r="B509" s="1" t="str">
        <f>HYPERLINK("https://asmlis.vasa.lt/Dashboard/Served?ServiceDateFrom=2025-11-24&amp;ServiceDateTo=2025-11-24&amp;DumpsterInvNr=13-L-316644", "13-L-316644")</f>
        <v>13-L-316644</v>
      </c>
      <c r="C509">
        <v>1.1000000000000001</v>
      </c>
      <c r="D509" t="s">
        <v>758</v>
      </c>
      <c r="E509" t="s">
        <v>11</v>
      </c>
      <c r="F509" t="s">
        <v>13</v>
      </c>
      <c r="G509" t="s">
        <v>9</v>
      </c>
      <c r="H509" t="s">
        <v>14</v>
      </c>
    </row>
    <row r="510" spans="1:8" hidden="1" x14ac:dyDescent="0.25">
      <c r="A510" t="s">
        <v>766</v>
      </c>
      <c r="B510" s="1" t="str">
        <f>HYPERLINK("https://asmlis.vasa.lt/Dashboard/Served?ServiceDateFrom=2025-11-24&amp;ServiceDateTo=2025-11-24&amp;DumpsterInvNr=13-L-302866", "13-L-302866")</f>
        <v>13-L-302866</v>
      </c>
      <c r="C510">
        <v>1.1000000000000001</v>
      </c>
      <c r="D510" t="s">
        <v>721</v>
      </c>
      <c r="E510" t="s">
        <v>11</v>
      </c>
      <c r="F510" t="s">
        <v>13</v>
      </c>
      <c r="G510" t="s">
        <v>9</v>
      </c>
      <c r="H510" t="s">
        <v>14</v>
      </c>
    </row>
    <row r="511" spans="1:8" hidden="1" x14ac:dyDescent="0.25">
      <c r="A511" t="s">
        <v>767</v>
      </c>
      <c r="B511" s="1" t="str">
        <f>HYPERLINK("https://asmlis.vasa.lt/Dashboard/Served?ServiceDateFrom=2025-11-24&amp;ServiceDateTo=2025-11-24&amp;DumpsterInvNr=13-L-310073", "13-L-310073")</f>
        <v>13-L-310073</v>
      </c>
      <c r="C511">
        <v>0.24</v>
      </c>
      <c r="D511" t="s">
        <v>721</v>
      </c>
      <c r="E511" t="s">
        <v>11</v>
      </c>
      <c r="F511" t="s">
        <v>13</v>
      </c>
      <c r="G511" t="s">
        <v>9</v>
      </c>
      <c r="H511" t="s">
        <v>14</v>
      </c>
    </row>
    <row r="512" spans="1:8" hidden="1" x14ac:dyDescent="0.25">
      <c r="A512" t="s">
        <v>768</v>
      </c>
      <c r="B512" s="1" t="str">
        <f>HYPERLINK("https://asmlis.vasa.lt/Dashboard/Served?ServiceDateFrom=2025-11-24&amp;ServiceDateTo=2025-11-24&amp;DumpsterInvNr=13-L-302864", "13-L-302864")</f>
        <v>13-L-302864</v>
      </c>
      <c r="C512">
        <v>1.1000000000000001</v>
      </c>
      <c r="D512" t="s">
        <v>721</v>
      </c>
      <c r="E512" t="s">
        <v>11</v>
      </c>
      <c r="F512" t="s">
        <v>13</v>
      </c>
      <c r="G512" t="s">
        <v>9</v>
      </c>
      <c r="H512" t="s">
        <v>14</v>
      </c>
    </row>
    <row r="513" spans="1:8" hidden="1" x14ac:dyDescent="0.25">
      <c r="A513" t="s">
        <v>769</v>
      </c>
      <c r="B513" s="1" t="str">
        <f>HYPERLINK("https://asmlis.vasa.lt/Dashboard/Served?ServiceDateFrom=2025-11-24&amp;ServiceDateTo=2025-11-24&amp;DumpsterInvNr=13-L-423631", "13-L-423631")</f>
        <v>13-L-423631</v>
      </c>
      <c r="C513">
        <v>1.1000000000000001</v>
      </c>
      <c r="D513" t="s">
        <v>770</v>
      </c>
      <c r="E513" t="s">
        <v>11</v>
      </c>
      <c r="F513" t="s">
        <v>13</v>
      </c>
      <c r="G513" t="s">
        <v>74</v>
      </c>
      <c r="H513" t="s">
        <v>14</v>
      </c>
    </row>
    <row r="514" spans="1:8" hidden="1" x14ac:dyDescent="0.25">
      <c r="A514" t="s">
        <v>771</v>
      </c>
      <c r="B514" s="1" t="str">
        <f>HYPERLINK("https://asmlis.vasa.lt/Dashboard/Served?ServiceDateFrom=2025-11-24&amp;ServiceDateTo=2025-11-24&amp;DumpsterInvNr=13-L-315369", "13-L-315369")</f>
        <v>13-L-315369</v>
      </c>
      <c r="C514">
        <v>1.1000000000000001</v>
      </c>
      <c r="D514" t="s">
        <v>772</v>
      </c>
      <c r="E514" t="s">
        <v>11</v>
      </c>
      <c r="F514" t="s">
        <v>13</v>
      </c>
      <c r="G514" t="s">
        <v>9</v>
      </c>
      <c r="H514" t="s">
        <v>14</v>
      </c>
    </row>
    <row r="515" spans="1:8" hidden="1" x14ac:dyDescent="0.25">
      <c r="A515" t="s">
        <v>773</v>
      </c>
      <c r="B515" s="1" t="str">
        <f>HYPERLINK("https://asmlis.vasa.lt/Dashboard/Served?ServiceDateFrom=2025-11-24&amp;ServiceDateTo=2025-11-24&amp;DumpsterInvNr=13-L-317762", "13-L-317762")</f>
        <v>13-L-317762</v>
      </c>
      <c r="C515">
        <v>1.1000000000000001</v>
      </c>
      <c r="D515" t="s">
        <v>774</v>
      </c>
      <c r="E515" t="s">
        <v>11</v>
      </c>
      <c r="G515" t="s">
        <v>9</v>
      </c>
      <c r="H515" t="s">
        <v>14</v>
      </c>
    </row>
    <row r="516" spans="1:8" hidden="1" x14ac:dyDescent="0.25">
      <c r="A516" t="s">
        <v>775</v>
      </c>
      <c r="B516" s="1" t="str">
        <f>HYPERLINK("https://asmlis.vasa.lt/Dashboard/Served?ServiceDateFrom=2025-11-24&amp;ServiceDateTo=2025-11-24&amp;DumpsterInvNr=13-L-143704", "13-L-143704")</f>
        <v>13-L-143704</v>
      </c>
      <c r="C516">
        <v>5</v>
      </c>
      <c r="D516" t="s">
        <v>776</v>
      </c>
      <c r="E516" t="s">
        <v>11</v>
      </c>
      <c r="F516" t="s">
        <v>13</v>
      </c>
      <c r="G516" t="s">
        <v>430</v>
      </c>
      <c r="H516" t="s">
        <v>432</v>
      </c>
    </row>
    <row r="517" spans="1:8" hidden="1" x14ac:dyDescent="0.25">
      <c r="A517" t="s">
        <v>777</v>
      </c>
      <c r="B517" s="1" t="str">
        <f>HYPERLINK("https://asmlis.vasa.lt/Dashboard/Served?ServiceDateFrom=2025-11-24&amp;ServiceDateTo=2025-11-24&amp;DumpsterInvNr=13-L-423619", "13-L-423619")</f>
        <v>13-L-423619</v>
      </c>
      <c r="C517">
        <v>1.1000000000000001</v>
      </c>
      <c r="D517" t="s">
        <v>770</v>
      </c>
      <c r="E517" t="s">
        <v>11</v>
      </c>
      <c r="G517" t="s">
        <v>74</v>
      </c>
      <c r="H517" t="s">
        <v>14</v>
      </c>
    </row>
    <row r="518" spans="1:8" hidden="1" x14ac:dyDescent="0.25">
      <c r="A518" t="s">
        <v>778</v>
      </c>
      <c r="B518" s="1" t="str">
        <f>HYPERLINK("https://asmlis.vasa.lt/Dashboard/Served?ServiceDateFrom=2025-11-24&amp;ServiceDateTo=2025-11-24&amp;DumpsterInvNr=13-L-316891", "13-L-316891")</f>
        <v>13-L-316891</v>
      </c>
      <c r="C518">
        <v>1.1000000000000001</v>
      </c>
      <c r="D518" t="s">
        <v>779</v>
      </c>
      <c r="E518" t="s">
        <v>11</v>
      </c>
      <c r="F518" t="s">
        <v>13</v>
      </c>
      <c r="G518" t="s">
        <v>9</v>
      </c>
      <c r="H518" t="s">
        <v>14</v>
      </c>
    </row>
    <row r="519" spans="1:8" hidden="1" x14ac:dyDescent="0.25">
      <c r="A519" t="s">
        <v>780</v>
      </c>
      <c r="B519" s="1" t="str">
        <f>HYPERLINK("https://asmlis.vasa.lt/Dashboard/Served?ServiceDateFrom=2025-11-24&amp;ServiceDateTo=2025-11-24&amp;DumpsterInvNr=13-L-317760", "13-L-317760")</f>
        <v>13-L-317760</v>
      </c>
      <c r="C519">
        <v>1.1000000000000001</v>
      </c>
      <c r="D519" t="s">
        <v>774</v>
      </c>
      <c r="E519" t="s">
        <v>11</v>
      </c>
      <c r="G519" t="s">
        <v>9</v>
      </c>
      <c r="H519" t="s">
        <v>14</v>
      </c>
    </row>
    <row r="520" spans="1:8" hidden="1" x14ac:dyDescent="0.25">
      <c r="A520" t="s">
        <v>781</v>
      </c>
      <c r="B520" s="1" t="str">
        <f>HYPERLINK("https://asmlis.vasa.lt/Dashboard/Served?ServiceDateFrom=2025-11-24&amp;ServiceDateTo=2025-11-24&amp;DumpsterInvNr=13-L-424052", "13-L-424052")</f>
        <v>13-L-424052</v>
      </c>
      <c r="C520">
        <v>1.1000000000000001</v>
      </c>
      <c r="D520" t="s">
        <v>770</v>
      </c>
      <c r="E520" t="s">
        <v>11</v>
      </c>
      <c r="G520" t="s">
        <v>74</v>
      </c>
      <c r="H520" t="s">
        <v>14</v>
      </c>
    </row>
    <row r="521" spans="1:8" hidden="1" x14ac:dyDescent="0.25">
      <c r="A521" t="s">
        <v>781</v>
      </c>
      <c r="B521" s="1" t="str">
        <f>HYPERLINK("https://asmlis.vasa.lt/Dashboard/Served?ServiceDateFrom=2025-11-24&amp;ServiceDateTo=2025-11-24&amp;DumpsterInvNr=13-L-316892", "13-L-316892")</f>
        <v>13-L-316892</v>
      </c>
      <c r="C521">
        <v>1.1000000000000001</v>
      </c>
      <c r="D521" t="s">
        <v>779</v>
      </c>
      <c r="E521" t="s">
        <v>11</v>
      </c>
      <c r="F521" t="s">
        <v>13</v>
      </c>
      <c r="G521" t="s">
        <v>9</v>
      </c>
      <c r="H521" t="s">
        <v>14</v>
      </c>
    </row>
    <row r="522" spans="1:8" hidden="1" x14ac:dyDescent="0.25">
      <c r="A522" t="s">
        <v>782</v>
      </c>
      <c r="B522" s="1" t="str">
        <f>HYPERLINK("https://asmlis.vasa.lt/Dashboard/Served?ServiceDateFrom=2025-11-24&amp;ServiceDateTo=2025-11-24&amp;DumpsterInvNr=13-L-316890", "13-L-316890")</f>
        <v>13-L-316890</v>
      </c>
      <c r="C522">
        <v>1.1000000000000001</v>
      </c>
      <c r="D522" t="s">
        <v>779</v>
      </c>
      <c r="E522" t="s">
        <v>11</v>
      </c>
      <c r="F522" t="s">
        <v>13</v>
      </c>
      <c r="G522" t="s">
        <v>9</v>
      </c>
      <c r="H522" t="s">
        <v>14</v>
      </c>
    </row>
    <row r="523" spans="1:8" hidden="1" x14ac:dyDescent="0.25">
      <c r="A523" t="s">
        <v>782</v>
      </c>
      <c r="B523" s="1" t="str">
        <f>HYPERLINK("https://asmlis.vasa.lt/Dashboard/Served?ServiceDateFrom=2025-11-24&amp;ServiceDateTo=2025-11-24&amp;DumpsterInvNr=13-P-302086", "13-P-302086")</f>
        <v>13-P-302086</v>
      </c>
      <c r="C523">
        <v>1.1000000000000001</v>
      </c>
      <c r="D523" t="s">
        <v>615</v>
      </c>
      <c r="E523" t="s">
        <v>11</v>
      </c>
      <c r="F523" t="s">
        <v>13</v>
      </c>
      <c r="G523" t="s">
        <v>412</v>
      </c>
      <c r="H523" t="s">
        <v>14</v>
      </c>
    </row>
    <row r="524" spans="1:8" hidden="1" x14ac:dyDescent="0.25">
      <c r="A524" t="s">
        <v>783</v>
      </c>
      <c r="B524" s="1" t="str">
        <f>HYPERLINK("https://asmlis.vasa.lt/Dashboard/Served?ServiceDateFrom=2025-11-24&amp;ServiceDateTo=2025-11-24&amp;DumpsterInvNr=13-P-302089", "13-P-302089")</f>
        <v>13-P-302089</v>
      </c>
      <c r="C524">
        <v>1.1000000000000001</v>
      </c>
      <c r="D524" t="s">
        <v>615</v>
      </c>
      <c r="E524" t="s">
        <v>11</v>
      </c>
      <c r="F524" t="s">
        <v>13</v>
      </c>
      <c r="G524" t="s">
        <v>412</v>
      </c>
      <c r="H524" t="s">
        <v>14</v>
      </c>
    </row>
    <row r="525" spans="1:8" hidden="1" x14ac:dyDescent="0.25">
      <c r="A525" t="s">
        <v>784</v>
      </c>
      <c r="B525" s="1" t="str">
        <f>HYPERLINK("https://asmlis.vasa.lt/Dashboard/Served?ServiceDateFrom=2025-11-24&amp;ServiceDateTo=2025-11-24&amp;DumpsterInvNr=13-L-143351", "13-L-143351")</f>
        <v>13-L-143351</v>
      </c>
      <c r="C525">
        <v>5</v>
      </c>
      <c r="D525" t="s">
        <v>785</v>
      </c>
      <c r="E525" t="s">
        <v>11</v>
      </c>
      <c r="F525" t="s">
        <v>13</v>
      </c>
      <c r="G525" t="s">
        <v>430</v>
      </c>
      <c r="H525" t="s">
        <v>432</v>
      </c>
    </row>
    <row r="526" spans="1:8" hidden="1" x14ac:dyDescent="0.25">
      <c r="A526" t="s">
        <v>786</v>
      </c>
      <c r="B526" s="1" t="str">
        <f>HYPERLINK("https://asmlis.vasa.lt/Dashboard/Served?ServiceDateFrom=2025-11-24&amp;ServiceDateTo=2025-11-24&amp;DumpsterInvNr=13-L-316821", "13-L-316821")</f>
        <v>13-L-316821</v>
      </c>
      <c r="C526">
        <v>1.1000000000000001</v>
      </c>
      <c r="D526" t="s">
        <v>774</v>
      </c>
      <c r="E526" t="s">
        <v>11</v>
      </c>
      <c r="G526" t="s">
        <v>9</v>
      </c>
      <c r="H526" t="s">
        <v>14</v>
      </c>
    </row>
    <row r="527" spans="1:8" hidden="1" x14ac:dyDescent="0.25">
      <c r="A527" t="s">
        <v>787</v>
      </c>
      <c r="B527" s="1" t="str">
        <f>HYPERLINK("https://asmlis.vasa.lt/Dashboard/Served?ServiceDateFrom=2025-11-24&amp;ServiceDateTo=2025-11-24&amp;DumpsterInvNr=13-L-317761", "13-L-317761")</f>
        <v>13-L-317761</v>
      </c>
      <c r="C527">
        <v>1.1000000000000001</v>
      </c>
      <c r="D527" t="s">
        <v>774</v>
      </c>
      <c r="E527" t="s">
        <v>11</v>
      </c>
      <c r="G527" t="s">
        <v>9</v>
      </c>
      <c r="H527" t="s">
        <v>14</v>
      </c>
    </row>
    <row r="528" spans="1:8" hidden="1" x14ac:dyDescent="0.25">
      <c r="A528" t="s">
        <v>788</v>
      </c>
      <c r="B528" s="1" t="str">
        <f>HYPERLINK("https://asmlis.vasa.lt/Dashboard/Served?ServiceDateFrom=2025-11-24&amp;ServiceDateTo=2025-11-24&amp;DumpsterInvNr=13-L-424051", "13-L-424051")</f>
        <v>13-L-424051</v>
      </c>
      <c r="C528">
        <v>1.1000000000000001</v>
      </c>
      <c r="D528" t="s">
        <v>770</v>
      </c>
      <c r="E528" t="s">
        <v>11</v>
      </c>
      <c r="G528" t="s">
        <v>74</v>
      </c>
      <c r="H528" t="s">
        <v>14</v>
      </c>
    </row>
    <row r="529" spans="1:8" hidden="1" x14ac:dyDescent="0.25">
      <c r="A529" t="s">
        <v>789</v>
      </c>
      <c r="B529" s="1" t="str">
        <f>HYPERLINK("https://asmlis.vasa.lt/Dashboard/Served?ServiceDateFrom=2025-11-24&amp;ServiceDateTo=2025-11-24&amp;DumpsterInvNr=13-L-317100", "13-L-317100")</f>
        <v>13-L-317100</v>
      </c>
      <c r="C529">
        <v>5</v>
      </c>
      <c r="D529" t="s">
        <v>790</v>
      </c>
      <c r="E529" t="s">
        <v>11</v>
      </c>
      <c r="F529" t="s">
        <v>13</v>
      </c>
      <c r="G529" t="s">
        <v>9</v>
      </c>
      <c r="H529" t="s">
        <v>14</v>
      </c>
    </row>
    <row r="530" spans="1:8" hidden="1" x14ac:dyDescent="0.25">
      <c r="A530" t="s">
        <v>791</v>
      </c>
      <c r="B530" s="1" t="str">
        <f>HYPERLINK("https://asmlis.vasa.lt/Dashboard/Served?ServiceDateFrom=2025-11-24&amp;ServiceDateTo=2025-11-24&amp;DumpsterInvNr=13-P-204849", "13-P-204849")</f>
        <v>13-P-204849</v>
      </c>
      <c r="C530">
        <v>5</v>
      </c>
      <c r="D530" t="s">
        <v>792</v>
      </c>
      <c r="E530" t="s">
        <v>11</v>
      </c>
      <c r="G530" t="s">
        <v>234</v>
      </c>
      <c r="H530" t="s">
        <v>14</v>
      </c>
    </row>
    <row r="531" spans="1:8" hidden="1" x14ac:dyDescent="0.25">
      <c r="A531" t="s">
        <v>793</v>
      </c>
      <c r="B531" s="1" t="str">
        <f>HYPERLINK("https://asmlis.vasa.lt/Dashboard/Served?ServiceDateFrom=2025-11-24&amp;ServiceDateTo=2025-11-24&amp;DumpsterInvNr=13-L-426141", "13-L-426141")</f>
        <v>13-L-426141</v>
      </c>
      <c r="C531">
        <v>1.1000000000000001</v>
      </c>
      <c r="D531" t="s">
        <v>770</v>
      </c>
      <c r="E531" t="s">
        <v>11</v>
      </c>
      <c r="G531" t="s">
        <v>74</v>
      </c>
      <c r="H531" t="s">
        <v>14</v>
      </c>
    </row>
    <row r="532" spans="1:8" hidden="1" x14ac:dyDescent="0.25">
      <c r="A532" t="s">
        <v>794</v>
      </c>
      <c r="B532" s="1" t="str">
        <f>HYPERLINK("https://asmlis.vasa.lt/Dashboard/Served?ServiceDateFrom=2025-11-24&amp;ServiceDateTo=2025-11-24&amp;DumpsterInvNr=13-L-317759", "13-L-317759")</f>
        <v>13-L-317759</v>
      </c>
      <c r="C532">
        <v>1.1000000000000001</v>
      </c>
      <c r="D532" t="s">
        <v>774</v>
      </c>
      <c r="E532" t="s">
        <v>11</v>
      </c>
      <c r="G532" t="s">
        <v>9</v>
      </c>
      <c r="H532" t="s">
        <v>14</v>
      </c>
    </row>
    <row r="533" spans="1:8" hidden="1" x14ac:dyDescent="0.25">
      <c r="A533" t="s">
        <v>795</v>
      </c>
      <c r="B533" s="1" t="str">
        <f>HYPERLINK("https://asmlis.vasa.lt/Dashboard/Served?ServiceDateFrom=2025-11-24&amp;ServiceDateTo=2025-11-24&amp;DumpsterInvNr=13-L-317763", "13-L-317763")</f>
        <v>13-L-317763</v>
      </c>
      <c r="C533">
        <v>1.1000000000000001</v>
      </c>
      <c r="D533" t="s">
        <v>774</v>
      </c>
      <c r="E533" t="s">
        <v>11</v>
      </c>
      <c r="G533" t="s">
        <v>9</v>
      </c>
      <c r="H533" t="s">
        <v>14</v>
      </c>
    </row>
    <row r="534" spans="1:8" hidden="1" x14ac:dyDescent="0.25">
      <c r="A534" t="s">
        <v>796</v>
      </c>
      <c r="B534" s="1" t="str">
        <f>HYPERLINK("https://asmlis.vasa.lt/Dashboard/Served?ServiceDateFrom=2025-11-24&amp;ServiceDateTo=2025-11-24&amp;DumpsterInvNr=13-L-426052", "13-L-426052")</f>
        <v>13-L-426052</v>
      </c>
      <c r="C534">
        <v>1.1000000000000001</v>
      </c>
      <c r="D534" t="s">
        <v>770</v>
      </c>
      <c r="E534" t="s">
        <v>11</v>
      </c>
      <c r="G534" t="s">
        <v>74</v>
      </c>
      <c r="H534" t="s">
        <v>14</v>
      </c>
    </row>
    <row r="535" spans="1:8" hidden="1" x14ac:dyDescent="0.25">
      <c r="A535" t="s">
        <v>796</v>
      </c>
      <c r="B535" s="1" t="str">
        <f>HYPERLINK("https://asmlis.vasa.lt/Dashboard/Served?ServiceDateFrom=2025-11-24&amp;ServiceDateTo=2025-11-24&amp;DumpsterInvNr=13-L-316637", "13-L-316637")</f>
        <v>13-L-316637</v>
      </c>
      <c r="C535">
        <v>1.1000000000000001</v>
      </c>
      <c r="D535" t="s">
        <v>797</v>
      </c>
      <c r="E535" t="s">
        <v>11</v>
      </c>
      <c r="G535" t="s">
        <v>9</v>
      </c>
      <c r="H535" t="s">
        <v>14</v>
      </c>
    </row>
    <row r="536" spans="1:8" hidden="1" x14ac:dyDescent="0.25">
      <c r="A536" t="s">
        <v>798</v>
      </c>
      <c r="B536" s="1" t="str">
        <f>HYPERLINK("https://asmlis.vasa.lt/Dashboard/Served?ServiceDateFrom=2025-11-24&amp;ServiceDateTo=2025-11-24&amp;DumpsterInvNr=13-L-420903", "13-L-420903")</f>
        <v>13-L-420903</v>
      </c>
      <c r="C536">
        <v>5</v>
      </c>
      <c r="D536" t="s">
        <v>799</v>
      </c>
      <c r="E536" t="s">
        <v>11</v>
      </c>
      <c r="F536" t="s">
        <v>13</v>
      </c>
      <c r="G536" t="s">
        <v>74</v>
      </c>
      <c r="H536" t="s">
        <v>14</v>
      </c>
    </row>
    <row r="537" spans="1:8" hidden="1" x14ac:dyDescent="0.25">
      <c r="A537" t="s">
        <v>800</v>
      </c>
      <c r="B537" s="1" t="str">
        <f>HYPERLINK("https://asmlis.vasa.lt/Dashboard/Served?ServiceDateFrom=2025-11-24&amp;ServiceDateTo=2025-11-24&amp;DumpsterInvNr=13-L-318392", "13-L-318392")</f>
        <v>13-L-318392</v>
      </c>
      <c r="C537">
        <v>1.1000000000000001</v>
      </c>
      <c r="D537" t="s">
        <v>797</v>
      </c>
      <c r="E537" t="s">
        <v>11</v>
      </c>
      <c r="G537" t="s">
        <v>9</v>
      </c>
      <c r="H537" t="s">
        <v>14</v>
      </c>
    </row>
    <row r="538" spans="1:8" hidden="1" x14ac:dyDescent="0.25">
      <c r="A538" t="s">
        <v>801</v>
      </c>
      <c r="B538" s="1" t="str">
        <f>HYPERLINK("https://asmlis.vasa.lt/Dashboard/Served?ServiceDateFrom=2025-11-24&amp;ServiceDateTo=2025-11-24&amp;DumpsterInvNr=13-L-390048", "13-L-390048")</f>
        <v>13-L-390048</v>
      </c>
      <c r="C538">
        <v>1.1000000000000001</v>
      </c>
      <c r="D538" t="s">
        <v>802</v>
      </c>
      <c r="E538" t="s">
        <v>11</v>
      </c>
      <c r="G538" t="s">
        <v>9</v>
      </c>
      <c r="H538" t="s">
        <v>14</v>
      </c>
    </row>
    <row r="539" spans="1:8" hidden="1" x14ac:dyDescent="0.25">
      <c r="A539" t="s">
        <v>803</v>
      </c>
      <c r="B539" s="1" t="str">
        <f>HYPERLINK("https://asmlis.vasa.lt/Dashboard/Served?ServiceDateFrom=2025-11-24&amp;ServiceDateTo=2025-11-24&amp;DumpsterInvNr=13-P-306758", "13-P-306758")</f>
        <v>13-P-306758</v>
      </c>
      <c r="C539">
        <v>1.1000000000000001</v>
      </c>
      <c r="D539" t="s">
        <v>686</v>
      </c>
      <c r="E539" t="s">
        <v>11</v>
      </c>
      <c r="G539" t="s">
        <v>412</v>
      </c>
      <c r="H539" t="s">
        <v>14</v>
      </c>
    </row>
    <row r="540" spans="1:8" hidden="1" x14ac:dyDescent="0.25">
      <c r="A540" t="s">
        <v>804</v>
      </c>
      <c r="B540" s="1" t="str">
        <f>HYPERLINK("https://asmlis.vasa.lt/Dashboard/Served?ServiceDateFrom=2025-11-24&amp;ServiceDateTo=2025-11-24&amp;DumpsterInvNr=13-L-303992", "13-L-303992")</f>
        <v>13-L-303992</v>
      </c>
      <c r="C540">
        <v>1.1000000000000001</v>
      </c>
      <c r="D540" t="s">
        <v>797</v>
      </c>
      <c r="E540" t="s">
        <v>11</v>
      </c>
      <c r="G540" t="s">
        <v>9</v>
      </c>
      <c r="H540" t="s">
        <v>14</v>
      </c>
    </row>
    <row r="541" spans="1:8" hidden="1" x14ac:dyDescent="0.25">
      <c r="A541" t="s">
        <v>805</v>
      </c>
      <c r="B541" s="1" t="str">
        <f>HYPERLINK("https://asmlis.vasa.lt/Dashboard/Served?ServiceDateFrom=2025-11-24&amp;ServiceDateTo=2025-11-24&amp;DumpsterInvNr=13-P-306868", "13-P-306868")</f>
        <v>13-P-306868</v>
      </c>
      <c r="C541">
        <v>1.1000000000000001</v>
      </c>
      <c r="D541" t="s">
        <v>686</v>
      </c>
      <c r="E541" t="s">
        <v>11</v>
      </c>
      <c r="F541" t="s">
        <v>13</v>
      </c>
      <c r="G541" t="s">
        <v>412</v>
      </c>
      <c r="H541" t="s">
        <v>14</v>
      </c>
    </row>
    <row r="542" spans="1:8" hidden="1" x14ac:dyDescent="0.25">
      <c r="A542" t="s">
        <v>806</v>
      </c>
      <c r="B542" s="1" t="str">
        <f>HYPERLINK("https://asmlis.vasa.lt/Dashboard/Served?ServiceDateFrom=2025-11-24&amp;ServiceDateTo=2025-11-24&amp;DumpsterInvNr=13-P-300727", "13-P-300727")</f>
        <v>13-P-300727</v>
      </c>
      <c r="C542">
        <v>1.1000000000000001</v>
      </c>
      <c r="D542" t="s">
        <v>686</v>
      </c>
      <c r="E542" t="s">
        <v>11</v>
      </c>
      <c r="F542" t="s">
        <v>13</v>
      </c>
      <c r="G542" t="s">
        <v>412</v>
      </c>
      <c r="H542" t="s">
        <v>14</v>
      </c>
    </row>
    <row r="543" spans="1:8" hidden="1" x14ac:dyDescent="0.25">
      <c r="A543" t="s">
        <v>807</v>
      </c>
      <c r="B543" s="1" t="str">
        <f>HYPERLINK("https://asmlis.vasa.lt/Dashboard/Served?ServiceDateFrom=2025-11-24&amp;ServiceDateTo=2025-11-24&amp;DumpsterInvNr=13-P-300700", "13-P-300700")</f>
        <v>13-P-300700</v>
      </c>
      <c r="C543">
        <v>1.1000000000000001</v>
      </c>
      <c r="D543" t="s">
        <v>686</v>
      </c>
      <c r="E543" t="s">
        <v>11</v>
      </c>
      <c r="F543" t="s">
        <v>13</v>
      </c>
      <c r="G543" t="s">
        <v>412</v>
      </c>
      <c r="H543" t="s">
        <v>14</v>
      </c>
    </row>
    <row r="544" spans="1:8" hidden="1" x14ac:dyDescent="0.25">
      <c r="A544" t="s">
        <v>808</v>
      </c>
      <c r="B544" s="1" t="str">
        <f>HYPERLINK("https://asmlis.vasa.lt/Dashboard/Served?ServiceDateFrom=2025-11-24&amp;ServiceDateTo=2025-11-24&amp;DumpsterInvNr=13-P-302644", "13-P-302644")</f>
        <v>13-P-302644</v>
      </c>
      <c r="C544">
        <v>5</v>
      </c>
      <c r="D544" t="s">
        <v>809</v>
      </c>
      <c r="E544" t="s">
        <v>11</v>
      </c>
      <c r="G544" t="s">
        <v>412</v>
      </c>
      <c r="H544" t="s">
        <v>14</v>
      </c>
    </row>
    <row r="545" spans="1:8" hidden="1" x14ac:dyDescent="0.25">
      <c r="A545" t="s">
        <v>810</v>
      </c>
      <c r="B545" s="1" t="str">
        <f>HYPERLINK("https://asmlis.vasa.lt/Dashboard/Served?ServiceDateFrom=2025-11-24&amp;ServiceDateTo=2025-11-24&amp;DumpsterInvNr=13-L-300687", "13-L-300687")</f>
        <v>13-L-300687</v>
      </c>
      <c r="C545">
        <v>1.1000000000000001</v>
      </c>
      <c r="D545" t="s">
        <v>797</v>
      </c>
      <c r="E545" t="s">
        <v>11</v>
      </c>
      <c r="F545" t="s">
        <v>13</v>
      </c>
      <c r="G545" t="s">
        <v>9</v>
      </c>
      <c r="H545" t="s">
        <v>14</v>
      </c>
    </row>
    <row r="546" spans="1:8" hidden="1" x14ac:dyDescent="0.25">
      <c r="A546" t="s">
        <v>811</v>
      </c>
      <c r="B546" s="1" t="str">
        <f>HYPERLINK("https://asmlis.vasa.lt/Dashboard/Served?ServiceDateFrom=2025-11-24&amp;ServiceDateTo=2025-11-24&amp;DumpsterInvNr=13-L-424167", "13-L-424167")</f>
        <v>13-L-424167</v>
      </c>
      <c r="C546">
        <v>1.1000000000000001</v>
      </c>
      <c r="D546" t="s">
        <v>770</v>
      </c>
      <c r="E546" t="s">
        <v>11</v>
      </c>
      <c r="G546" t="s">
        <v>74</v>
      </c>
      <c r="H546" t="s">
        <v>14</v>
      </c>
    </row>
    <row r="547" spans="1:8" hidden="1" x14ac:dyDescent="0.25">
      <c r="A547" t="s">
        <v>812</v>
      </c>
      <c r="B547" s="1" t="str">
        <f>HYPERLINK("https://asmlis.vasa.lt/Dashboard/Served?ServiceDateFrom=2025-11-24&amp;ServiceDateTo=2025-11-24&amp;DumpsterInvNr=13-L-426140", "13-L-426140")</f>
        <v>13-L-426140</v>
      </c>
      <c r="C547">
        <v>1.1000000000000001</v>
      </c>
      <c r="D547" t="s">
        <v>770</v>
      </c>
      <c r="E547" t="s">
        <v>11</v>
      </c>
      <c r="F547" t="s">
        <v>13</v>
      </c>
      <c r="G547" t="s">
        <v>74</v>
      </c>
      <c r="H547" t="s">
        <v>14</v>
      </c>
    </row>
    <row r="548" spans="1:8" hidden="1" x14ac:dyDescent="0.25">
      <c r="A548" t="s">
        <v>813</v>
      </c>
      <c r="B548" s="1" t="str">
        <f>HYPERLINK("https://asmlis.vasa.lt/Dashboard/Served?ServiceDateFrom=2025-11-24&amp;ServiceDateTo=2025-11-24&amp;DumpsterInvNr=13-L-317888", "13-L-317888")</f>
        <v>13-L-317888</v>
      </c>
      <c r="C548">
        <v>1.1000000000000001</v>
      </c>
      <c r="D548" t="s">
        <v>814</v>
      </c>
      <c r="E548" t="s">
        <v>11</v>
      </c>
      <c r="G548" t="s">
        <v>9</v>
      </c>
      <c r="H548" t="s">
        <v>14</v>
      </c>
    </row>
    <row r="549" spans="1:8" hidden="1" x14ac:dyDescent="0.25">
      <c r="A549" t="s">
        <v>815</v>
      </c>
      <c r="B549" s="1" t="str">
        <f>HYPERLINK("https://asmlis.vasa.lt/Dashboard/Served?ServiceDateFrom=2025-11-24&amp;ServiceDateTo=2025-11-24&amp;DumpsterInvNr=13-L-423080", "13-L-423080")</f>
        <v>13-L-423080</v>
      </c>
      <c r="C549">
        <v>1.1000000000000001</v>
      </c>
      <c r="D549" t="s">
        <v>770</v>
      </c>
      <c r="E549" t="s">
        <v>11</v>
      </c>
      <c r="G549" t="s">
        <v>74</v>
      </c>
      <c r="H549" t="s">
        <v>14</v>
      </c>
    </row>
    <row r="550" spans="1:8" hidden="1" x14ac:dyDescent="0.25">
      <c r="A550" t="s">
        <v>816</v>
      </c>
      <c r="B550" s="1" t="str">
        <f>HYPERLINK("https://asmlis.vasa.lt/Dashboard/Served?ServiceDateFrom=2025-11-24&amp;ServiceDateTo=2025-11-24&amp;DumpsterInvNr=13-L-423079", "13-L-423079")</f>
        <v>13-L-423079</v>
      </c>
      <c r="C550">
        <v>1.1000000000000001</v>
      </c>
      <c r="D550" t="s">
        <v>770</v>
      </c>
      <c r="E550" t="s">
        <v>11</v>
      </c>
      <c r="F550" t="s">
        <v>13</v>
      </c>
      <c r="G550" t="s">
        <v>74</v>
      </c>
      <c r="H550" t="s">
        <v>14</v>
      </c>
    </row>
    <row r="551" spans="1:8" hidden="1" x14ac:dyDescent="0.25">
      <c r="A551" t="s">
        <v>817</v>
      </c>
      <c r="B551" s="1" t="str">
        <f>HYPERLINK("https://asmlis.vasa.lt/Dashboard/Served?ServiceDateFrom=2025-11-24&amp;ServiceDateTo=2025-11-24&amp;DumpsterInvNr=13-L-303250", "13-L-303250")</f>
        <v>13-L-303250</v>
      </c>
      <c r="C551">
        <v>0.77</v>
      </c>
      <c r="D551" t="s">
        <v>797</v>
      </c>
      <c r="E551" t="s">
        <v>11</v>
      </c>
      <c r="G551" t="s">
        <v>9</v>
      </c>
      <c r="H551" t="s">
        <v>14</v>
      </c>
    </row>
    <row r="552" spans="1:8" hidden="1" x14ac:dyDescent="0.25">
      <c r="A552" t="s">
        <v>818</v>
      </c>
      <c r="B552" s="1" t="str">
        <f>HYPERLINK("https://asmlis.vasa.lt/Dashboard/Served?ServiceDateFrom=2025-11-24&amp;ServiceDateTo=2025-11-24&amp;DumpsterInvNr=13-L-305592", "13-L-305592")</f>
        <v>13-L-305592</v>
      </c>
      <c r="C552">
        <v>5</v>
      </c>
      <c r="D552" t="s">
        <v>819</v>
      </c>
      <c r="E552" t="s">
        <v>11</v>
      </c>
      <c r="F552" t="s">
        <v>13</v>
      </c>
      <c r="G552" t="s">
        <v>9</v>
      </c>
      <c r="H552" t="s">
        <v>14</v>
      </c>
    </row>
    <row r="553" spans="1:8" hidden="1" x14ac:dyDescent="0.25">
      <c r="A553" t="s">
        <v>820</v>
      </c>
      <c r="B553" s="1" t="str">
        <f>HYPERLINK("https://asmlis.vasa.lt/Dashboard/Served?ServiceDateFrom=2025-11-24&amp;ServiceDateTo=2025-11-24&amp;DumpsterInvNr=13-P-300810", "13-P-300810")</f>
        <v>13-P-300810</v>
      </c>
      <c r="C553">
        <v>1.1000000000000001</v>
      </c>
      <c r="D553" t="s">
        <v>821</v>
      </c>
      <c r="E553" t="s">
        <v>11</v>
      </c>
      <c r="F553" t="s">
        <v>13</v>
      </c>
      <c r="G553" t="s">
        <v>412</v>
      </c>
      <c r="H553" t="s">
        <v>14</v>
      </c>
    </row>
    <row r="554" spans="1:8" hidden="1" x14ac:dyDescent="0.25">
      <c r="A554" t="s">
        <v>822</v>
      </c>
      <c r="B554" s="1" t="str">
        <f>HYPERLINK("https://asmlis.vasa.lt/Dashboard/Served?ServiceDateFrom=2025-11-24&amp;ServiceDateTo=2025-11-24&amp;DumpsterInvNr=13-L-318303", "13-L-318303")</f>
        <v>13-L-318303</v>
      </c>
      <c r="C554">
        <v>0.77</v>
      </c>
      <c r="D554" t="s">
        <v>797</v>
      </c>
      <c r="E554" t="s">
        <v>11</v>
      </c>
      <c r="F554" t="s">
        <v>13</v>
      </c>
      <c r="G554" t="s">
        <v>9</v>
      </c>
      <c r="H554" t="s">
        <v>14</v>
      </c>
    </row>
    <row r="555" spans="1:8" hidden="1" x14ac:dyDescent="0.25">
      <c r="A555" t="s">
        <v>822</v>
      </c>
      <c r="B555" s="1" t="str">
        <f>HYPERLINK("https://asmlis.vasa.lt/Dashboard/Served?ServiceDateFrom=2025-11-24&amp;ServiceDateTo=2025-11-24&amp;DumpsterInvNr=13-P-416164", "13-P-416164")</f>
        <v>13-P-416164</v>
      </c>
      <c r="C555">
        <v>1.1000000000000001</v>
      </c>
      <c r="D555" t="s">
        <v>823</v>
      </c>
      <c r="E555" t="s">
        <v>11</v>
      </c>
      <c r="G555" t="s">
        <v>264</v>
      </c>
      <c r="H555" t="s">
        <v>14</v>
      </c>
    </row>
    <row r="556" spans="1:8" hidden="1" x14ac:dyDescent="0.25">
      <c r="A556" t="s">
        <v>824</v>
      </c>
      <c r="B556" s="1" t="str">
        <f>HYPERLINK("https://asmlis.vasa.lt/Dashboard/Served?ServiceDateFrom=2025-11-24&amp;ServiceDateTo=2025-11-24&amp;DumpsterInvNr=13-L-304876", "13-L-304876")</f>
        <v>13-L-304876</v>
      </c>
      <c r="C556">
        <v>1.1000000000000001</v>
      </c>
      <c r="D556" t="s">
        <v>797</v>
      </c>
      <c r="E556" t="s">
        <v>11</v>
      </c>
      <c r="F556" t="s">
        <v>13</v>
      </c>
      <c r="G556" t="s">
        <v>9</v>
      </c>
      <c r="H556" t="s">
        <v>14</v>
      </c>
    </row>
    <row r="557" spans="1:8" hidden="1" x14ac:dyDescent="0.25">
      <c r="A557" t="s">
        <v>825</v>
      </c>
      <c r="B557" s="1" t="str">
        <f>HYPERLINK("https://asmlis.vasa.lt/Dashboard/Served?ServiceDateFrom=2025-11-24&amp;ServiceDateTo=2025-11-24&amp;DumpsterInvNr=13-L-315659", "13-L-315659")</f>
        <v>13-L-315659</v>
      </c>
      <c r="C557">
        <v>5</v>
      </c>
      <c r="D557" t="s">
        <v>826</v>
      </c>
      <c r="E557" t="s">
        <v>11</v>
      </c>
      <c r="F557" t="s">
        <v>13</v>
      </c>
      <c r="G557" t="s">
        <v>9</v>
      </c>
      <c r="H557" t="s">
        <v>14</v>
      </c>
    </row>
    <row r="558" spans="1:8" hidden="1" x14ac:dyDescent="0.25">
      <c r="A558" t="s">
        <v>827</v>
      </c>
      <c r="B558" s="1" t="str">
        <f>HYPERLINK("https://asmlis.vasa.lt/Dashboard/Served?ServiceDateFrom=2025-11-24&amp;ServiceDateTo=2025-11-24&amp;DumpsterInvNr=13-P-401519", "13-P-401519")</f>
        <v>13-P-401519</v>
      </c>
      <c r="C558">
        <v>1.1000000000000001</v>
      </c>
      <c r="D558" t="s">
        <v>823</v>
      </c>
      <c r="E558" t="s">
        <v>11</v>
      </c>
      <c r="F558" t="s">
        <v>13</v>
      </c>
      <c r="G558" t="s">
        <v>264</v>
      </c>
      <c r="H558" t="s">
        <v>14</v>
      </c>
    </row>
    <row r="559" spans="1:8" hidden="1" x14ac:dyDescent="0.25">
      <c r="A559" t="s">
        <v>828</v>
      </c>
      <c r="B559" s="1" t="str">
        <f>HYPERLINK("https://asmlis.vasa.lt/Dashboard/Served?ServiceDateFrom=2025-11-24&amp;ServiceDateTo=2025-11-24&amp;DumpsterInvNr=13-P-300734", "13-P-300734")</f>
        <v>13-P-300734</v>
      </c>
      <c r="C559">
        <v>5</v>
      </c>
      <c r="D559" t="s">
        <v>829</v>
      </c>
      <c r="E559" t="s">
        <v>11</v>
      </c>
      <c r="G559" t="s">
        <v>412</v>
      </c>
      <c r="H559" t="s">
        <v>14</v>
      </c>
    </row>
    <row r="560" spans="1:8" hidden="1" x14ac:dyDescent="0.25">
      <c r="A560" t="s">
        <v>830</v>
      </c>
      <c r="B560" s="1" t="str">
        <f>HYPERLINK("https://asmlis.vasa.lt/Dashboard/Served?ServiceDateFrom=2025-11-24&amp;ServiceDateTo=2025-11-24&amp;DumpsterInvNr=13-L-317953", "13-L-317953")</f>
        <v>13-L-317953</v>
      </c>
      <c r="C560">
        <v>1.1000000000000001</v>
      </c>
      <c r="D560" t="s">
        <v>831</v>
      </c>
      <c r="E560" t="s">
        <v>11</v>
      </c>
      <c r="G560" t="s">
        <v>9</v>
      </c>
      <c r="H560" t="s">
        <v>14</v>
      </c>
    </row>
    <row r="561" spans="1:8" hidden="1" x14ac:dyDescent="0.25">
      <c r="A561" t="s">
        <v>830</v>
      </c>
      <c r="B561" s="1" t="str">
        <f>HYPERLINK("https://asmlis.vasa.lt/Dashboard/Served?ServiceDateFrom=2025-11-24&amp;ServiceDateTo=2025-11-24&amp;DumpsterInvNr=13-L-318902", "13-L-318902")</f>
        <v>13-L-318902</v>
      </c>
      <c r="C561">
        <v>1.1000000000000001</v>
      </c>
      <c r="D561" t="s">
        <v>831</v>
      </c>
      <c r="E561" t="s">
        <v>11</v>
      </c>
      <c r="G561" t="s">
        <v>9</v>
      </c>
      <c r="H561" t="s">
        <v>14</v>
      </c>
    </row>
    <row r="562" spans="1:8" hidden="1" x14ac:dyDescent="0.25">
      <c r="A562" t="s">
        <v>832</v>
      </c>
      <c r="B562" s="1" t="str">
        <f>HYPERLINK("https://asmlis.vasa.lt/Dashboard/Served?ServiceDateFrom=2025-11-24&amp;ServiceDateTo=2025-11-24&amp;DumpsterInvNr=13-L-303456", "13-L-303456")</f>
        <v>13-L-303456</v>
      </c>
      <c r="C562">
        <v>0.24</v>
      </c>
      <c r="D562" t="s">
        <v>833</v>
      </c>
      <c r="E562" t="s">
        <v>11</v>
      </c>
      <c r="G562" t="s">
        <v>9</v>
      </c>
      <c r="H562" t="s">
        <v>14</v>
      </c>
    </row>
    <row r="563" spans="1:8" hidden="1" x14ac:dyDescent="0.25">
      <c r="A563" t="s">
        <v>834</v>
      </c>
      <c r="B563" s="1" t="str">
        <f>HYPERLINK("https://asmlis.vasa.lt/Dashboard/Served?ServiceDateFrom=2025-11-24&amp;ServiceDateTo=2025-11-24&amp;DumpsterInvNr=13-P-210526", "13-P-210526")</f>
        <v>13-P-210526</v>
      </c>
      <c r="C563">
        <v>2.5</v>
      </c>
      <c r="D563" t="s">
        <v>835</v>
      </c>
      <c r="E563" t="s">
        <v>11</v>
      </c>
      <c r="F563" t="s">
        <v>13</v>
      </c>
      <c r="G563" t="s">
        <v>234</v>
      </c>
      <c r="H563" t="s">
        <v>14</v>
      </c>
    </row>
    <row r="564" spans="1:8" hidden="1" x14ac:dyDescent="0.25">
      <c r="A564" t="s">
        <v>836</v>
      </c>
      <c r="B564" s="1" t="str">
        <f>HYPERLINK("https://asmlis.vasa.lt/Dashboard/Served?ServiceDateFrom=2025-11-24&amp;ServiceDateTo=2025-11-24&amp;DumpsterInvNr=13-P-210504", "13-P-210504")</f>
        <v>13-P-210504</v>
      </c>
      <c r="C564">
        <v>2.5</v>
      </c>
      <c r="D564" t="s">
        <v>835</v>
      </c>
      <c r="E564" t="s">
        <v>11</v>
      </c>
      <c r="F564" t="s">
        <v>13</v>
      </c>
      <c r="G564" t="s">
        <v>234</v>
      </c>
      <c r="H564" t="s">
        <v>14</v>
      </c>
    </row>
    <row r="565" spans="1:8" hidden="1" x14ac:dyDescent="0.25">
      <c r="A565" t="s">
        <v>837</v>
      </c>
      <c r="B565" s="1" t="str">
        <f>HYPERLINK("https://asmlis.vasa.lt/Dashboard/Served?ServiceDateFrom=2025-11-24&amp;ServiceDateTo=2025-11-24&amp;DumpsterInvNr=13-L-307956", "13-L-307956")</f>
        <v>13-L-307956</v>
      </c>
      <c r="C565">
        <v>0.77</v>
      </c>
      <c r="D565" t="s">
        <v>838</v>
      </c>
      <c r="E565" t="s">
        <v>11</v>
      </c>
      <c r="G565" t="s">
        <v>9</v>
      </c>
      <c r="H565" t="s">
        <v>14</v>
      </c>
    </row>
    <row r="566" spans="1:8" hidden="1" x14ac:dyDescent="0.25">
      <c r="A566" t="s">
        <v>837</v>
      </c>
      <c r="B566" s="1" t="str">
        <f>HYPERLINK("https://asmlis.vasa.lt/Dashboard/Served?ServiceDateFrom=2025-11-24&amp;ServiceDateTo=2025-11-24&amp;DumpsterInvNr=13-L-424801", "13-L-424801")</f>
        <v>13-L-424801</v>
      </c>
      <c r="C566">
        <v>1.1000000000000001</v>
      </c>
      <c r="D566" t="s">
        <v>839</v>
      </c>
      <c r="E566" t="s">
        <v>11</v>
      </c>
      <c r="G566" t="s">
        <v>74</v>
      </c>
      <c r="H566" t="s">
        <v>14</v>
      </c>
    </row>
    <row r="567" spans="1:8" hidden="1" x14ac:dyDescent="0.25">
      <c r="A567" t="s">
        <v>840</v>
      </c>
      <c r="B567" s="1" t="str">
        <f>HYPERLINK("https://asmlis.vasa.lt/Dashboard/Served?ServiceDateFrom=2025-11-24&amp;ServiceDateTo=2025-11-24&amp;DumpsterInvNr=13-L-304395", "13-L-304395")</f>
        <v>13-L-304395</v>
      </c>
      <c r="C567">
        <v>1.3</v>
      </c>
      <c r="D567" t="s">
        <v>841</v>
      </c>
      <c r="E567" t="s">
        <v>11</v>
      </c>
      <c r="F567" t="s">
        <v>13</v>
      </c>
      <c r="G567" t="s">
        <v>9</v>
      </c>
      <c r="H567" t="s">
        <v>14</v>
      </c>
    </row>
    <row r="568" spans="1:8" hidden="1" x14ac:dyDescent="0.25">
      <c r="A568" t="s">
        <v>842</v>
      </c>
      <c r="B568" s="1" t="str">
        <f>HYPERLINK("https://asmlis.vasa.lt/Dashboard/Served?ServiceDateFrom=2025-11-24&amp;ServiceDateTo=2025-11-24&amp;DumpsterInvNr=13-L-139238", "13-L-139238")</f>
        <v>13-L-139238</v>
      </c>
      <c r="C568">
        <v>5</v>
      </c>
      <c r="D568" t="s">
        <v>843</v>
      </c>
      <c r="E568" t="s">
        <v>11</v>
      </c>
      <c r="F568" t="s">
        <v>13</v>
      </c>
      <c r="G568" t="s">
        <v>430</v>
      </c>
      <c r="H568" t="s">
        <v>432</v>
      </c>
    </row>
    <row r="569" spans="1:8" hidden="1" x14ac:dyDescent="0.25">
      <c r="A569" t="s">
        <v>844</v>
      </c>
      <c r="B569" s="1" t="str">
        <f>HYPERLINK("https://asmlis.vasa.lt/Dashboard/Served?ServiceDateFrom=2025-11-24&amp;ServiceDateTo=2025-11-24&amp;DumpsterInvNr=13-L-318016", "13-L-318016")</f>
        <v>13-L-318016</v>
      </c>
      <c r="C569">
        <v>1.1000000000000001</v>
      </c>
      <c r="D569" t="s">
        <v>831</v>
      </c>
      <c r="E569" t="s">
        <v>11</v>
      </c>
      <c r="G569" t="s">
        <v>9</v>
      </c>
      <c r="H569" t="s">
        <v>14</v>
      </c>
    </row>
    <row r="570" spans="1:8" hidden="1" x14ac:dyDescent="0.25">
      <c r="A570" t="s">
        <v>845</v>
      </c>
      <c r="B570" s="1" t="str">
        <f>HYPERLINK("https://asmlis.vasa.lt/Dashboard/Served?ServiceDateFrom=2025-11-24&amp;ServiceDateTo=2025-11-24&amp;DumpsterInvNr=13-L-423209", "13-L-423209")</f>
        <v>13-L-423209</v>
      </c>
      <c r="C570">
        <v>3</v>
      </c>
      <c r="D570" t="s">
        <v>846</v>
      </c>
      <c r="E570" t="s">
        <v>11</v>
      </c>
      <c r="F570" t="s">
        <v>13</v>
      </c>
      <c r="G570" t="s">
        <v>74</v>
      </c>
      <c r="H570" t="s">
        <v>14</v>
      </c>
    </row>
    <row r="571" spans="1:8" hidden="1" x14ac:dyDescent="0.25">
      <c r="A571" t="s">
        <v>847</v>
      </c>
      <c r="B571" s="1" t="str">
        <f>HYPERLINK("https://asmlis.vasa.lt/Dashboard/Served?ServiceDateFrom=2025-11-24&amp;ServiceDateTo=2025-11-24&amp;DumpsterInvNr=13-L-423299", "13-L-423299")</f>
        <v>13-L-423299</v>
      </c>
      <c r="C571">
        <v>3</v>
      </c>
      <c r="D571" t="s">
        <v>846</v>
      </c>
      <c r="E571" t="s">
        <v>11</v>
      </c>
      <c r="F571" t="s">
        <v>13</v>
      </c>
      <c r="G571" t="s">
        <v>74</v>
      </c>
      <c r="H571" t="s">
        <v>14</v>
      </c>
    </row>
    <row r="572" spans="1:8" hidden="1" x14ac:dyDescent="0.25">
      <c r="A572" t="s">
        <v>848</v>
      </c>
      <c r="B572" s="1" t="str">
        <f>HYPERLINK("https://asmlis.vasa.lt/Dashboard/Served?ServiceDateFrom=2025-11-24&amp;ServiceDateTo=2025-11-24&amp;DumpsterInvNr=13-L-423210", "13-L-423210")</f>
        <v>13-L-423210</v>
      </c>
      <c r="C572">
        <v>5</v>
      </c>
      <c r="D572" t="s">
        <v>846</v>
      </c>
      <c r="E572" t="s">
        <v>11</v>
      </c>
      <c r="F572" t="s">
        <v>13</v>
      </c>
      <c r="G572" t="s">
        <v>74</v>
      </c>
      <c r="H572" t="s">
        <v>14</v>
      </c>
    </row>
    <row r="573" spans="1:8" hidden="1" x14ac:dyDescent="0.25">
      <c r="A573" t="s">
        <v>849</v>
      </c>
      <c r="B573" s="1" t="str">
        <f>HYPERLINK("https://asmlis.vasa.lt/Dashboard/Served?ServiceDateFrom=2025-11-24&amp;ServiceDateTo=2025-11-24&amp;DumpsterInvNr=13-P-302015", "13-P-302015")</f>
        <v>13-P-302015</v>
      </c>
      <c r="C573">
        <v>1.1000000000000001</v>
      </c>
      <c r="D573" t="s">
        <v>850</v>
      </c>
      <c r="E573" t="s">
        <v>11</v>
      </c>
      <c r="G573" t="s">
        <v>412</v>
      </c>
      <c r="H573" t="s">
        <v>14</v>
      </c>
    </row>
    <row r="574" spans="1:8" hidden="1" x14ac:dyDescent="0.25">
      <c r="A574" t="s">
        <v>851</v>
      </c>
      <c r="B574" s="1" t="str">
        <f>HYPERLINK("https://asmlis.vasa.lt/Dashboard/Served?ServiceDateFrom=2025-11-24&amp;ServiceDateTo=2025-11-24&amp;DumpsterInvNr=13-P-306786", "13-P-306786")</f>
        <v>13-P-306786</v>
      </c>
      <c r="C574">
        <v>0.66</v>
      </c>
      <c r="D574" t="s">
        <v>852</v>
      </c>
      <c r="E574" t="s">
        <v>11</v>
      </c>
      <c r="F574" t="s">
        <v>13</v>
      </c>
      <c r="G574" t="s">
        <v>412</v>
      </c>
      <c r="H574" t="s">
        <v>14</v>
      </c>
    </row>
    <row r="575" spans="1:8" hidden="1" x14ac:dyDescent="0.25">
      <c r="A575" t="s">
        <v>853</v>
      </c>
      <c r="B575" s="1" t="str">
        <f>HYPERLINK("https://asmlis.vasa.lt/Dashboard/Served?ServiceDateFrom=2025-11-24&amp;ServiceDateTo=2025-11-24&amp;DumpsterInvNr=13-L-311581", "13-L-311581")</f>
        <v>13-L-311581</v>
      </c>
      <c r="C575">
        <v>0.24</v>
      </c>
      <c r="D575" t="s">
        <v>854</v>
      </c>
      <c r="E575" t="s">
        <v>11</v>
      </c>
      <c r="F575" t="s">
        <v>13</v>
      </c>
      <c r="G575" t="s">
        <v>9</v>
      </c>
      <c r="H575" t="s">
        <v>14</v>
      </c>
    </row>
    <row r="576" spans="1:8" hidden="1" x14ac:dyDescent="0.25">
      <c r="A576" t="s">
        <v>855</v>
      </c>
      <c r="B576" s="1" t="str">
        <f>HYPERLINK("https://asmlis.vasa.lt/Dashboard/Served?ServiceDateFrom=2025-11-24&amp;ServiceDateTo=2025-11-24&amp;DumpsterInvNr=13-P-204815", "13-P-204815")</f>
        <v>13-P-204815</v>
      </c>
      <c r="C576">
        <v>5</v>
      </c>
      <c r="D576" t="s">
        <v>856</v>
      </c>
      <c r="E576" t="s">
        <v>11</v>
      </c>
      <c r="G576" t="s">
        <v>234</v>
      </c>
      <c r="H576" t="s">
        <v>14</v>
      </c>
    </row>
    <row r="577" spans="1:10" hidden="1" x14ac:dyDescent="0.25">
      <c r="A577" t="s">
        <v>857</v>
      </c>
      <c r="B577" s="1" t="str">
        <f>HYPERLINK("https://asmlis.vasa.lt/Dashboard/Served?ServiceDateFrom=2025-11-24&amp;ServiceDateTo=2025-11-24&amp;DumpsterInvNr=13-L-312729", "13-L-312729")</f>
        <v>13-L-312729</v>
      </c>
      <c r="C577">
        <v>1.1000000000000001</v>
      </c>
      <c r="D577" t="s">
        <v>858</v>
      </c>
      <c r="E577" t="s">
        <v>11</v>
      </c>
      <c r="F577" t="s">
        <v>13</v>
      </c>
      <c r="G577" t="s">
        <v>9</v>
      </c>
      <c r="H577" t="s">
        <v>14</v>
      </c>
    </row>
    <row r="578" spans="1:10" hidden="1" x14ac:dyDescent="0.25">
      <c r="A578" t="s">
        <v>859</v>
      </c>
      <c r="B578" s="1" t="str">
        <f>HYPERLINK("https://asmlis.vasa.lt/Dashboard/Served?ServiceDateFrom=2025-11-24&amp;ServiceDateTo=2025-11-24&amp;DumpsterInvNr=13-L-308952", "13-L-308952")</f>
        <v>13-L-308952</v>
      </c>
      <c r="C578">
        <v>1.1000000000000001</v>
      </c>
      <c r="D578" t="s">
        <v>860</v>
      </c>
      <c r="E578" t="s">
        <v>11</v>
      </c>
      <c r="F578" t="s">
        <v>13</v>
      </c>
      <c r="G578" t="s">
        <v>9</v>
      </c>
      <c r="H578" t="s">
        <v>14</v>
      </c>
    </row>
    <row r="579" spans="1:10" hidden="1" x14ac:dyDescent="0.25">
      <c r="A579" t="s">
        <v>861</v>
      </c>
      <c r="B579" s="1" t="str">
        <f>HYPERLINK("https://asmlis.vasa.lt/Dashboard/Served?ServiceDateFrom=2025-11-24&amp;ServiceDateTo=2025-11-24&amp;DumpsterInvNr=13-L-311570", "13-L-311570")</f>
        <v>13-L-311570</v>
      </c>
      <c r="C579">
        <v>1.1000000000000001</v>
      </c>
      <c r="D579" t="s">
        <v>862</v>
      </c>
      <c r="E579" t="s">
        <v>11</v>
      </c>
      <c r="F579" t="s">
        <v>13</v>
      </c>
      <c r="G579" t="s">
        <v>9</v>
      </c>
      <c r="H579" t="s">
        <v>14</v>
      </c>
    </row>
    <row r="580" spans="1:10" hidden="1" x14ac:dyDescent="0.25">
      <c r="A580" t="s">
        <v>863</v>
      </c>
      <c r="B580" s="1" t="str">
        <f>HYPERLINK("https://asmlis.vasa.lt/Dashboard/Served?ServiceDateFrom=2025-11-24&amp;ServiceDateTo=2025-11-24&amp;DumpsterInvNr=13-P-302645", "13-P-302645")</f>
        <v>13-P-302645</v>
      </c>
      <c r="C580">
        <v>5</v>
      </c>
      <c r="D580" t="s">
        <v>864</v>
      </c>
      <c r="E580" t="s">
        <v>11</v>
      </c>
      <c r="G580" t="s">
        <v>412</v>
      </c>
      <c r="H580" t="s">
        <v>14</v>
      </c>
    </row>
    <row r="581" spans="1:10" hidden="1" x14ac:dyDescent="0.25">
      <c r="A581" t="s">
        <v>865</v>
      </c>
      <c r="B581" s="1" t="str">
        <f>HYPERLINK("https://asmlis.vasa.lt/Dashboard/Served?ServiceDateFrom=2025-11-24&amp;ServiceDateTo=2025-11-24&amp;DumpsterInvNr=13-L-422049", "13-L-422049")</f>
        <v>13-L-422049</v>
      </c>
      <c r="C581">
        <v>1.3</v>
      </c>
      <c r="D581" t="s">
        <v>866</v>
      </c>
      <c r="E581" t="s">
        <v>11</v>
      </c>
      <c r="F581" t="s">
        <v>13</v>
      </c>
      <c r="G581" t="s">
        <v>74</v>
      </c>
      <c r="H581" t="s">
        <v>14</v>
      </c>
    </row>
    <row r="582" spans="1:10" hidden="1" x14ac:dyDescent="0.25">
      <c r="A582" t="s">
        <v>867</v>
      </c>
      <c r="B582" s="1" t="str">
        <f>HYPERLINK("https://asmlis.vasa.lt/Dashboard/Served?ServiceDateFrom=2025-11-24&amp;ServiceDateTo=2025-11-24&amp;DumpsterInvNr=13-L-317008", "13-L-317008")</f>
        <v>13-L-317008</v>
      </c>
      <c r="C582">
        <v>5</v>
      </c>
      <c r="D582" t="s">
        <v>868</v>
      </c>
      <c r="E582" t="s">
        <v>11</v>
      </c>
      <c r="F582" t="s">
        <v>13</v>
      </c>
      <c r="G582" t="s">
        <v>9</v>
      </c>
      <c r="H582" t="s">
        <v>14</v>
      </c>
    </row>
    <row r="583" spans="1:10" hidden="1" x14ac:dyDescent="0.25">
      <c r="A583" t="s">
        <v>869</v>
      </c>
      <c r="B583" s="1" t="str">
        <f>HYPERLINK("https://asmlis.vasa.lt/Dashboard/Served?ServiceDateFrom=2025-11-24&amp;ServiceDateTo=2025-11-24&amp;DumpsterInvNr=13-L-316457", "13-L-316457")</f>
        <v>13-L-316457</v>
      </c>
      <c r="C583">
        <v>1.1000000000000001</v>
      </c>
      <c r="D583" t="s">
        <v>870</v>
      </c>
      <c r="E583" t="s">
        <v>11</v>
      </c>
      <c r="F583" t="s">
        <v>871</v>
      </c>
      <c r="G583" t="s">
        <v>9</v>
      </c>
      <c r="H583" t="s">
        <v>14</v>
      </c>
      <c r="J583" t="s">
        <v>17512</v>
      </c>
    </row>
    <row r="584" spans="1:10" hidden="1" x14ac:dyDescent="0.25">
      <c r="A584" t="s">
        <v>872</v>
      </c>
      <c r="B584" s="1" t="str">
        <f>HYPERLINK("https://asmlis.vasa.lt/Dashboard/Served?ServiceDateFrom=2025-11-24&amp;ServiceDateTo=2025-11-24&amp;DumpsterInvNr=13-P-401068", "13-P-401068")</f>
        <v>13-P-401068</v>
      </c>
      <c r="C584">
        <v>1.1000000000000001</v>
      </c>
      <c r="D584" t="s">
        <v>873</v>
      </c>
      <c r="E584" t="s">
        <v>11</v>
      </c>
      <c r="G584" t="s">
        <v>264</v>
      </c>
      <c r="H584" t="s">
        <v>14</v>
      </c>
    </row>
    <row r="585" spans="1:10" hidden="1" x14ac:dyDescent="0.25">
      <c r="A585" t="s">
        <v>874</v>
      </c>
      <c r="B585" s="1" t="str">
        <f>HYPERLINK("https://asmlis.vasa.lt/Dashboard/Served?ServiceDateFrom=2025-11-24&amp;ServiceDateTo=2025-11-24&amp;DumpsterInvNr=13-P-401274", "13-P-401274")</f>
        <v>13-P-401274</v>
      </c>
      <c r="C585">
        <v>1.1000000000000001</v>
      </c>
      <c r="D585" t="s">
        <v>873</v>
      </c>
      <c r="E585" t="s">
        <v>11</v>
      </c>
      <c r="G585" t="s">
        <v>264</v>
      </c>
      <c r="H585" t="s">
        <v>14</v>
      </c>
    </row>
    <row r="586" spans="1:10" hidden="1" x14ac:dyDescent="0.25">
      <c r="A586" t="s">
        <v>875</v>
      </c>
      <c r="B586" s="1" t="str">
        <f>HYPERLINK("https://asmlis.vasa.lt/Dashboard/Served?ServiceDateFrom=2025-11-24&amp;ServiceDateTo=2025-11-24&amp;DumpsterInvNr=13-L-312949", "13-L-312949")</f>
        <v>13-L-312949</v>
      </c>
      <c r="C586">
        <v>1.1000000000000001</v>
      </c>
      <c r="D586" t="s">
        <v>876</v>
      </c>
      <c r="E586" t="s">
        <v>11</v>
      </c>
      <c r="F586" t="s">
        <v>13</v>
      </c>
      <c r="G586" t="s">
        <v>9</v>
      </c>
      <c r="H586" t="s">
        <v>14</v>
      </c>
    </row>
    <row r="587" spans="1:10" hidden="1" x14ac:dyDescent="0.25">
      <c r="A587" t="s">
        <v>877</v>
      </c>
      <c r="B587" s="1" t="str">
        <f>HYPERLINK("https://asmlis.vasa.lt/Dashboard/Served?ServiceDateFrom=2025-11-24&amp;ServiceDateTo=2025-11-24&amp;DumpsterInvNr=13-L-317247", "13-L-317247")</f>
        <v>13-L-317247</v>
      </c>
      <c r="C587">
        <v>1.1000000000000001</v>
      </c>
      <c r="D587" t="s">
        <v>878</v>
      </c>
      <c r="E587" t="s">
        <v>11</v>
      </c>
      <c r="G587" t="s">
        <v>9</v>
      </c>
      <c r="H587" t="s">
        <v>14</v>
      </c>
    </row>
    <row r="588" spans="1:10" hidden="1" x14ac:dyDescent="0.25">
      <c r="A588" t="s">
        <v>879</v>
      </c>
      <c r="B588" s="1" t="str">
        <f>HYPERLINK("https://asmlis.vasa.lt/Dashboard/Served?ServiceDateFrom=2025-11-24&amp;ServiceDateTo=2025-11-24&amp;DumpsterInvNr=13-L-316349", "13-L-316349")</f>
        <v>13-L-316349</v>
      </c>
      <c r="C588">
        <v>0.66</v>
      </c>
      <c r="D588" t="s">
        <v>876</v>
      </c>
      <c r="E588" t="s">
        <v>11</v>
      </c>
      <c r="F588" t="s">
        <v>13</v>
      </c>
      <c r="G588" t="s">
        <v>9</v>
      </c>
      <c r="H588" t="s">
        <v>14</v>
      </c>
    </row>
    <row r="589" spans="1:10" hidden="1" x14ac:dyDescent="0.25">
      <c r="A589" t="s">
        <v>880</v>
      </c>
      <c r="B589" s="1" t="str">
        <f>HYPERLINK("https://asmlis.vasa.lt/Dashboard/Served?ServiceDateFrom=2025-11-24&amp;ServiceDateTo=2025-11-24&amp;DumpsterInvNr=13-L-316030", "13-L-316030")</f>
        <v>13-L-316030</v>
      </c>
      <c r="C589">
        <v>0.66</v>
      </c>
      <c r="D589" t="s">
        <v>876</v>
      </c>
      <c r="E589" t="s">
        <v>11</v>
      </c>
      <c r="F589" t="s">
        <v>13</v>
      </c>
      <c r="G589" t="s">
        <v>9</v>
      </c>
      <c r="H589" t="s">
        <v>14</v>
      </c>
    </row>
    <row r="590" spans="1:10" hidden="1" x14ac:dyDescent="0.25">
      <c r="A590" t="s">
        <v>881</v>
      </c>
      <c r="B590" s="1" t="str">
        <f>HYPERLINK("https://asmlis.vasa.lt/Dashboard/Served?ServiceDateFrom=2025-11-24&amp;ServiceDateTo=2025-11-24&amp;DumpsterInvNr=13-L-316348", "13-L-316348")</f>
        <v>13-L-316348</v>
      </c>
      <c r="C590">
        <v>0.77</v>
      </c>
      <c r="D590" t="s">
        <v>876</v>
      </c>
      <c r="E590" t="s">
        <v>11</v>
      </c>
      <c r="F590" t="s">
        <v>13</v>
      </c>
      <c r="G590" t="s">
        <v>9</v>
      </c>
      <c r="H590" t="s">
        <v>14</v>
      </c>
    </row>
    <row r="591" spans="1:10" hidden="1" x14ac:dyDescent="0.25">
      <c r="A591" t="s">
        <v>881</v>
      </c>
      <c r="B591" s="1" t="str">
        <f>HYPERLINK("https://asmlis.vasa.lt/Dashboard/Served?ServiceDateFrom=2025-11-24&amp;ServiceDateTo=2025-11-24&amp;DumpsterInvNr=13-L-311981", "13-L-311981")</f>
        <v>13-L-311981</v>
      </c>
      <c r="C591">
        <v>1.1000000000000001</v>
      </c>
      <c r="D591" t="s">
        <v>878</v>
      </c>
      <c r="E591" t="s">
        <v>11</v>
      </c>
      <c r="G591" t="s">
        <v>9</v>
      </c>
      <c r="H591" t="s">
        <v>14</v>
      </c>
    </row>
    <row r="592" spans="1:10" hidden="1" x14ac:dyDescent="0.25">
      <c r="A592" t="s">
        <v>883</v>
      </c>
      <c r="B592" s="1" t="str">
        <f>HYPERLINK("https://asmlis.vasa.lt/Dashboard/Served?ServiceDateFrom=2025-11-24&amp;ServiceDateTo=2025-11-24&amp;DumpsterInvNr=13-L-139604", "13-L-139604")</f>
        <v>13-L-139604</v>
      </c>
      <c r="C592">
        <v>5</v>
      </c>
      <c r="D592" t="s">
        <v>884</v>
      </c>
      <c r="E592" t="s">
        <v>11</v>
      </c>
      <c r="F592" t="s">
        <v>13</v>
      </c>
      <c r="G592" t="s">
        <v>430</v>
      </c>
      <c r="H592" t="s">
        <v>432</v>
      </c>
    </row>
    <row r="593" spans="1:8" hidden="1" x14ac:dyDescent="0.25">
      <c r="A593" t="s">
        <v>885</v>
      </c>
      <c r="B593" s="1" t="str">
        <f>HYPERLINK("https://asmlis.vasa.lt/Dashboard/Served?ServiceDateFrom=2025-11-24&amp;ServiceDateTo=2025-11-24&amp;DumpsterInvNr=13-P-409006", "13-P-409006")</f>
        <v>13-P-409006</v>
      </c>
      <c r="C593">
        <v>1.1000000000000001</v>
      </c>
      <c r="D593" t="s">
        <v>873</v>
      </c>
      <c r="E593" t="s">
        <v>11</v>
      </c>
      <c r="G593" t="s">
        <v>264</v>
      </c>
      <c r="H593" t="s">
        <v>14</v>
      </c>
    </row>
    <row r="594" spans="1:8" hidden="1" x14ac:dyDescent="0.25">
      <c r="A594" t="s">
        <v>886</v>
      </c>
      <c r="B594" s="1" t="str">
        <f>HYPERLINK("https://asmlis.vasa.lt/Dashboard/Served?ServiceDateFrom=2025-11-24&amp;ServiceDateTo=2025-11-24&amp;DumpsterInvNr=13-L-424406", "13-L-424406")</f>
        <v>13-L-424406</v>
      </c>
      <c r="C594">
        <v>1.1000000000000001</v>
      </c>
      <c r="D594" t="s">
        <v>887</v>
      </c>
      <c r="E594" t="s">
        <v>11</v>
      </c>
      <c r="G594" t="s">
        <v>74</v>
      </c>
      <c r="H594" t="s">
        <v>14</v>
      </c>
    </row>
    <row r="595" spans="1:8" hidden="1" x14ac:dyDescent="0.25">
      <c r="A595" t="s">
        <v>888</v>
      </c>
      <c r="B595" s="1" t="str">
        <f>HYPERLINK("https://asmlis.vasa.lt/Dashboard/Served?ServiceDateFrom=2025-11-24&amp;ServiceDateTo=2025-11-24&amp;DumpsterInvNr=13-P-304042", "13-P-304042")</f>
        <v>13-P-304042</v>
      </c>
      <c r="C595">
        <v>5</v>
      </c>
      <c r="D595" t="s">
        <v>889</v>
      </c>
      <c r="E595" t="s">
        <v>11</v>
      </c>
      <c r="G595" t="s">
        <v>412</v>
      </c>
      <c r="H595" t="s">
        <v>14</v>
      </c>
    </row>
    <row r="596" spans="1:8" hidden="1" x14ac:dyDescent="0.25">
      <c r="A596" t="s">
        <v>890</v>
      </c>
      <c r="B596" s="1" t="str">
        <f>HYPERLINK("https://asmlis.vasa.lt/Dashboard/Served?ServiceDateFrom=2025-11-24&amp;ServiceDateTo=2025-11-24&amp;DumpsterInvNr=13-P-409005", "13-P-409005")</f>
        <v>13-P-409005</v>
      </c>
      <c r="C596">
        <v>1.1000000000000001</v>
      </c>
      <c r="D596" t="s">
        <v>873</v>
      </c>
      <c r="E596" t="s">
        <v>11</v>
      </c>
      <c r="G596" t="s">
        <v>264</v>
      </c>
      <c r="H596" t="s">
        <v>14</v>
      </c>
    </row>
    <row r="597" spans="1:8" hidden="1" x14ac:dyDescent="0.25">
      <c r="A597" t="s">
        <v>891</v>
      </c>
      <c r="B597" s="1" t="str">
        <f>HYPERLINK("https://asmlis.vasa.lt/Dashboard/Served?ServiceDateFrom=2025-11-24&amp;ServiceDateTo=2025-11-24&amp;DumpsterInvNr=13-L-421755", "13-L-421755")</f>
        <v>13-L-421755</v>
      </c>
      <c r="C597">
        <v>1.1000000000000001</v>
      </c>
      <c r="D597" t="s">
        <v>887</v>
      </c>
      <c r="E597" t="s">
        <v>11</v>
      </c>
      <c r="G597" t="s">
        <v>74</v>
      </c>
      <c r="H597" t="s">
        <v>14</v>
      </c>
    </row>
    <row r="598" spans="1:8" hidden="1" x14ac:dyDescent="0.25">
      <c r="A598" t="s">
        <v>892</v>
      </c>
      <c r="B598" s="1" t="str">
        <f>HYPERLINK("https://asmlis.vasa.lt/Dashboard/Served?ServiceDateFrom=2025-11-24&amp;ServiceDateTo=2025-11-24&amp;DumpsterInvNr=13-L-301637", "13-L-301637")</f>
        <v>13-L-301637</v>
      </c>
      <c r="C598">
        <v>1.1000000000000001</v>
      </c>
      <c r="D598" t="s">
        <v>878</v>
      </c>
      <c r="E598" t="s">
        <v>11</v>
      </c>
      <c r="G598" t="s">
        <v>9</v>
      </c>
      <c r="H598" t="s">
        <v>14</v>
      </c>
    </row>
    <row r="599" spans="1:8" hidden="1" x14ac:dyDescent="0.25">
      <c r="A599" t="s">
        <v>893</v>
      </c>
      <c r="B599" s="1" t="str">
        <f>HYPERLINK("https://asmlis.vasa.lt/Dashboard/Served?ServiceDateFrom=2025-11-24&amp;ServiceDateTo=2025-11-24&amp;DumpsterInvNr=13-L-421632", "13-L-421632")</f>
        <v>13-L-421632</v>
      </c>
      <c r="C599">
        <v>1.1000000000000001</v>
      </c>
      <c r="D599" t="s">
        <v>887</v>
      </c>
      <c r="E599" t="s">
        <v>11</v>
      </c>
      <c r="G599" t="s">
        <v>74</v>
      </c>
      <c r="H599" t="s">
        <v>14</v>
      </c>
    </row>
    <row r="600" spans="1:8" hidden="1" x14ac:dyDescent="0.25">
      <c r="A600" t="s">
        <v>894</v>
      </c>
      <c r="B600" s="1" t="str">
        <f>HYPERLINK("https://asmlis.vasa.lt/Dashboard/Served?ServiceDateFrom=2025-11-24&amp;ServiceDateTo=2025-11-24&amp;DumpsterInvNr=13-L-318735", "13-L-318735")</f>
        <v>13-L-318735</v>
      </c>
      <c r="C600">
        <v>1.1000000000000001</v>
      </c>
      <c r="D600" t="s">
        <v>895</v>
      </c>
      <c r="E600" t="s">
        <v>11</v>
      </c>
      <c r="F600" t="s">
        <v>13</v>
      </c>
      <c r="G600" t="s">
        <v>9</v>
      </c>
      <c r="H600" t="s">
        <v>14</v>
      </c>
    </row>
    <row r="601" spans="1:8" hidden="1" x14ac:dyDescent="0.25">
      <c r="A601" t="s">
        <v>896</v>
      </c>
      <c r="B601" s="1" t="str">
        <f>HYPERLINK("https://asmlis.vasa.lt/Dashboard/Served?ServiceDateFrom=2025-11-24&amp;ServiceDateTo=2025-11-24&amp;DumpsterInvNr=13-L-424797", "13-L-424797")</f>
        <v>13-L-424797</v>
      </c>
      <c r="C601">
        <v>1.1000000000000001</v>
      </c>
      <c r="D601" t="s">
        <v>887</v>
      </c>
      <c r="E601" t="s">
        <v>11</v>
      </c>
      <c r="G601" t="s">
        <v>74</v>
      </c>
      <c r="H601" t="s">
        <v>14</v>
      </c>
    </row>
    <row r="602" spans="1:8" hidden="1" x14ac:dyDescent="0.25">
      <c r="A602" t="s">
        <v>897</v>
      </c>
      <c r="B602" s="1" t="str">
        <f>HYPERLINK("https://asmlis.vasa.lt/Dashboard/Served?ServiceDateFrom=2025-11-24&amp;ServiceDateTo=2025-11-24&amp;DumpsterInvNr=13-L-313681", "13-L-313681")</f>
        <v>13-L-313681</v>
      </c>
      <c r="C602">
        <v>1.1000000000000001</v>
      </c>
      <c r="D602" t="s">
        <v>895</v>
      </c>
      <c r="E602" t="s">
        <v>11</v>
      </c>
      <c r="F602" t="s">
        <v>13</v>
      </c>
      <c r="G602" t="s">
        <v>9</v>
      </c>
      <c r="H602" t="s">
        <v>14</v>
      </c>
    </row>
    <row r="603" spans="1:8" hidden="1" x14ac:dyDescent="0.25">
      <c r="A603" t="s">
        <v>898</v>
      </c>
      <c r="B603" s="1" t="str">
        <f>HYPERLINK("https://asmlis.vasa.lt/Dashboard/Served?ServiceDateFrom=2025-11-24&amp;ServiceDateTo=2025-11-24&amp;DumpsterInvNr=13-L-318736", "13-L-318736")</f>
        <v>13-L-318736</v>
      </c>
      <c r="C603">
        <v>1.1000000000000001</v>
      </c>
      <c r="D603" t="s">
        <v>895</v>
      </c>
      <c r="E603" t="s">
        <v>11</v>
      </c>
      <c r="F603" t="s">
        <v>13</v>
      </c>
      <c r="G603" t="s">
        <v>9</v>
      </c>
      <c r="H603" t="s">
        <v>14</v>
      </c>
    </row>
    <row r="604" spans="1:8" hidden="1" x14ac:dyDescent="0.25">
      <c r="A604" t="s">
        <v>899</v>
      </c>
      <c r="B604" s="1" t="str">
        <f>HYPERLINK("https://asmlis.vasa.lt/Dashboard/Served?ServiceDateFrom=2025-11-24&amp;ServiceDateTo=2025-11-24&amp;DumpsterInvNr=13-L-317118", "13-L-317118")</f>
        <v>13-L-317118</v>
      </c>
      <c r="C604">
        <v>0.77</v>
      </c>
      <c r="D604" t="s">
        <v>900</v>
      </c>
      <c r="E604" t="s">
        <v>11</v>
      </c>
      <c r="G604" t="s">
        <v>9</v>
      </c>
      <c r="H604" t="s">
        <v>14</v>
      </c>
    </row>
    <row r="605" spans="1:8" hidden="1" x14ac:dyDescent="0.25">
      <c r="A605" t="s">
        <v>901</v>
      </c>
      <c r="B605" s="1" t="str">
        <f>HYPERLINK("https://asmlis.vasa.lt/Dashboard/Served?ServiceDateFrom=2025-11-24&amp;ServiceDateTo=2025-11-24&amp;DumpsterInvNr=13-P-409055", "13-P-409055")</f>
        <v>13-P-409055</v>
      </c>
      <c r="C605">
        <v>1.1000000000000001</v>
      </c>
      <c r="D605" t="s">
        <v>873</v>
      </c>
      <c r="E605" t="s">
        <v>11</v>
      </c>
      <c r="F605" t="s">
        <v>13</v>
      </c>
      <c r="G605" t="s">
        <v>264</v>
      </c>
      <c r="H605" t="s">
        <v>14</v>
      </c>
    </row>
    <row r="606" spans="1:8" hidden="1" x14ac:dyDescent="0.25">
      <c r="A606" t="s">
        <v>902</v>
      </c>
      <c r="B606" s="1" t="str">
        <f>HYPERLINK("https://asmlis.vasa.lt/Dashboard/Served?ServiceDateFrom=2025-11-24&amp;ServiceDateTo=2025-11-24&amp;DumpsterInvNr=13-P-204909", "13-P-204909")</f>
        <v>13-P-204909</v>
      </c>
      <c r="C606">
        <v>5</v>
      </c>
      <c r="D606" t="s">
        <v>903</v>
      </c>
      <c r="E606" t="s">
        <v>11</v>
      </c>
      <c r="G606" t="s">
        <v>234</v>
      </c>
      <c r="H606" t="s">
        <v>14</v>
      </c>
    </row>
    <row r="607" spans="1:8" hidden="1" x14ac:dyDescent="0.25">
      <c r="A607" t="s">
        <v>904</v>
      </c>
      <c r="B607" s="1" t="str">
        <f>HYPERLINK("https://asmlis.vasa.lt/Dashboard/Served?ServiceDateFrom=2025-11-24&amp;ServiceDateTo=2025-11-24&amp;DumpsterInvNr=13-L-427315", "13-L-427315")</f>
        <v>13-L-427315</v>
      </c>
      <c r="C607">
        <v>1.1000000000000001</v>
      </c>
      <c r="D607" t="s">
        <v>887</v>
      </c>
      <c r="E607" t="s">
        <v>11</v>
      </c>
      <c r="G607" t="s">
        <v>74</v>
      </c>
      <c r="H607" t="s">
        <v>14</v>
      </c>
    </row>
    <row r="608" spans="1:8" hidden="1" x14ac:dyDescent="0.25">
      <c r="A608" t="s">
        <v>905</v>
      </c>
      <c r="B608" s="1" t="str">
        <f>HYPERLINK("https://asmlis.vasa.lt/Dashboard/Served?ServiceDateFrom=2025-11-24&amp;ServiceDateTo=2025-11-24&amp;DumpsterInvNr=13-L-314838", "13-L-314838")</f>
        <v>13-L-314838</v>
      </c>
      <c r="C608">
        <v>5</v>
      </c>
      <c r="D608" t="s">
        <v>906</v>
      </c>
      <c r="E608" t="s">
        <v>11</v>
      </c>
      <c r="F608" t="s">
        <v>13</v>
      </c>
      <c r="G608" t="s">
        <v>9</v>
      </c>
      <c r="H608" t="s">
        <v>14</v>
      </c>
    </row>
    <row r="609" spans="1:8" hidden="1" x14ac:dyDescent="0.25">
      <c r="A609" t="s">
        <v>907</v>
      </c>
      <c r="B609" s="1" t="str">
        <f>HYPERLINK("https://asmlis.vasa.lt/Dashboard/Served?ServiceDateFrom=2025-11-24&amp;ServiceDateTo=2025-11-24&amp;DumpsterInvNr=13-L-426035", "13-L-426035")</f>
        <v>13-L-426035</v>
      </c>
      <c r="C609">
        <v>1.1000000000000001</v>
      </c>
      <c r="D609" t="s">
        <v>887</v>
      </c>
      <c r="E609" t="s">
        <v>11</v>
      </c>
      <c r="G609" t="s">
        <v>74</v>
      </c>
      <c r="H609" t="s">
        <v>14</v>
      </c>
    </row>
    <row r="610" spans="1:8" hidden="1" x14ac:dyDescent="0.25">
      <c r="A610" t="s">
        <v>908</v>
      </c>
      <c r="B610" s="1" t="str">
        <f>HYPERLINK("https://asmlis.vasa.lt/Dashboard/Served?ServiceDateFrom=2025-11-24&amp;ServiceDateTo=2025-11-24&amp;DumpsterInvNr=13-P-306989", "13-P-306989")</f>
        <v>13-P-306989</v>
      </c>
      <c r="C610">
        <v>1.1000000000000001</v>
      </c>
      <c r="D610" t="s">
        <v>909</v>
      </c>
      <c r="E610" t="s">
        <v>11</v>
      </c>
      <c r="F610" t="s">
        <v>13</v>
      </c>
      <c r="G610" t="s">
        <v>412</v>
      </c>
      <c r="H610" t="s">
        <v>14</v>
      </c>
    </row>
    <row r="611" spans="1:8" hidden="1" x14ac:dyDescent="0.25">
      <c r="A611" t="s">
        <v>910</v>
      </c>
      <c r="B611" s="1" t="str">
        <f>HYPERLINK("https://asmlis.vasa.lt/Dashboard/Served?ServiceDateFrom=2025-11-24&amp;ServiceDateTo=2025-11-24&amp;DumpsterInvNr=13-L-317511", "13-L-317511")</f>
        <v>13-L-317511</v>
      </c>
      <c r="C611">
        <v>1.1000000000000001</v>
      </c>
      <c r="D611" t="s">
        <v>911</v>
      </c>
      <c r="E611" t="s">
        <v>11</v>
      </c>
      <c r="G611" t="s">
        <v>9</v>
      </c>
      <c r="H611" t="s">
        <v>14</v>
      </c>
    </row>
    <row r="612" spans="1:8" hidden="1" x14ac:dyDescent="0.25">
      <c r="A612" t="s">
        <v>912</v>
      </c>
      <c r="B612" s="1" t="str">
        <f>HYPERLINK("https://asmlis.vasa.lt/Dashboard/Served?ServiceDateFrom=2025-11-24&amp;ServiceDateTo=2025-11-24&amp;DumpsterInvNr=13-L-317119", "13-L-317119")</f>
        <v>13-L-317119</v>
      </c>
      <c r="C612">
        <v>0.66</v>
      </c>
      <c r="D612" t="s">
        <v>900</v>
      </c>
      <c r="E612" t="s">
        <v>11</v>
      </c>
      <c r="F612" t="s">
        <v>13</v>
      </c>
      <c r="G612" t="s">
        <v>9</v>
      </c>
      <c r="H612" t="s">
        <v>14</v>
      </c>
    </row>
    <row r="613" spans="1:8" hidden="1" x14ac:dyDescent="0.25">
      <c r="A613" t="s">
        <v>913</v>
      </c>
      <c r="B613" s="1" t="str">
        <f>HYPERLINK("https://asmlis.vasa.lt/Dashboard/Served?ServiceDateFrom=2025-11-24&amp;ServiceDateTo=2025-11-24&amp;DumpsterInvNr=13-L-315462", "13-L-315462")</f>
        <v>13-L-315462</v>
      </c>
      <c r="C613">
        <v>1.1000000000000001</v>
      </c>
      <c r="D613" t="s">
        <v>911</v>
      </c>
      <c r="E613" t="s">
        <v>11</v>
      </c>
      <c r="G613" t="s">
        <v>9</v>
      </c>
      <c r="H613" t="s">
        <v>14</v>
      </c>
    </row>
    <row r="614" spans="1:8" hidden="1" x14ac:dyDescent="0.25">
      <c r="A614" t="s">
        <v>914</v>
      </c>
      <c r="B614" s="1" t="str">
        <f>HYPERLINK("https://asmlis.vasa.lt/Dashboard/Served?ServiceDateFrom=2025-11-24&amp;ServiceDateTo=2025-11-24&amp;DumpsterInvNr=13-L-316392", "13-L-316392")</f>
        <v>13-L-316392</v>
      </c>
      <c r="C614">
        <v>0.77</v>
      </c>
      <c r="D614" t="s">
        <v>915</v>
      </c>
      <c r="E614" t="s">
        <v>11</v>
      </c>
      <c r="G614" t="s">
        <v>9</v>
      </c>
      <c r="H614" t="s">
        <v>14</v>
      </c>
    </row>
    <row r="615" spans="1:8" hidden="1" x14ac:dyDescent="0.25">
      <c r="A615" t="s">
        <v>916</v>
      </c>
      <c r="B615" s="1" t="str">
        <f>HYPERLINK("https://asmlis.vasa.lt/Dashboard/Served?ServiceDateFrom=2025-11-24&amp;ServiceDateTo=2025-11-24&amp;DumpsterInvNr=13-P-302625", "13-P-302625")</f>
        <v>13-P-302625</v>
      </c>
      <c r="C615">
        <v>5</v>
      </c>
      <c r="D615" t="s">
        <v>917</v>
      </c>
      <c r="E615" t="s">
        <v>11</v>
      </c>
      <c r="F615" t="s">
        <v>13</v>
      </c>
      <c r="G615" t="s">
        <v>412</v>
      </c>
      <c r="H615" t="s">
        <v>14</v>
      </c>
    </row>
    <row r="616" spans="1:8" hidden="1" x14ac:dyDescent="0.25">
      <c r="A616" t="s">
        <v>918</v>
      </c>
      <c r="B616" s="1" t="str">
        <f>HYPERLINK("https://asmlis.vasa.lt/Dashboard/Served?ServiceDateFrom=2025-11-24&amp;ServiceDateTo=2025-11-24&amp;DumpsterInvNr=13-P-302626", "13-P-302626")</f>
        <v>13-P-302626</v>
      </c>
      <c r="C616">
        <v>3</v>
      </c>
      <c r="D616" t="s">
        <v>917</v>
      </c>
      <c r="E616" t="s">
        <v>11</v>
      </c>
      <c r="F616" t="s">
        <v>13</v>
      </c>
      <c r="G616" t="s">
        <v>412</v>
      </c>
      <c r="H616" t="s">
        <v>14</v>
      </c>
    </row>
    <row r="617" spans="1:8" hidden="1" x14ac:dyDescent="0.25">
      <c r="A617" t="s">
        <v>919</v>
      </c>
      <c r="B617" s="1" t="str">
        <f>HYPERLINK("https://asmlis.vasa.lt/Dashboard/Served?ServiceDateFrom=2025-11-24&amp;ServiceDateTo=2025-11-24&amp;DumpsterInvNr=13-L-422030", "13-L-422030")</f>
        <v>13-L-422030</v>
      </c>
      <c r="C617">
        <v>5</v>
      </c>
      <c r="D617" t="s">
        <v>920</v>
      </c>
      <c r="E617" t="s">
        <v>11</v>
      </c>
      <c r="F617" t="s">
        <v>13</v>
      </c>
      <c r="G617" t="s">
        <v>74</v>
      </c>
      <c r="H617" t="s">
        <v>14</v>
      </c>
    </row>
    <row r="618" spans="1:8" hidden="1" x14ac:dyDescent="0.25">
      <c r="A618" t="s">
        <v>921</v>
      </c>
      <c r="B618" s="1" t="str">
        <f>HYPERLINK("https://asmlis.vasa.lt/Dashboard/Served?ServiceDateFrom=2025-11-24&amp;ServiceDateTo=2025-11-24&amp;DumpsterInvNr=13-L-426533", "13-L-426533")</f>
        <v>13-L-426533</v>
      </c>
      <c r="C618">
        <v>5</v>
      </c>
      <c r="D618" t="s">
        <v>922</v>
      </c>
      <c r="E618" t="s">
        <v>11</v>
      </c>
      <c r="F618" t="s">
        <v>13</v>
      </c>
      <c r="G618" t="s">
        <v>74</v>
      </c>
      <c r="H618" t="s">
        <v>14</v>
      </c>
    </row>
    <row r="619" spans="1:8" hidden="1" x14ac:dyDescent="0.25">
      <c r="A619" t="s">
        <v>923</v>
      </c>
      <c r="B619" s="1" t="str">
        <f>HYPERLINK("https://asmlis.vasa.lt/Dashboard/Served?ServiceDateFrom=2025-11-24&amp;ServiceDateTo=2025-11-24&amp;DumpsterInvNr=13-L-316684", "13-L-316684")</f>
        <v>13-L-316684</v>
      </c>
      <c r="C619">
        <v>1.1000000000000001</v>
      </c>
      <c r="D619" t="s">
        <v>924</v>
      </c>
      <c r="E619" t="s">
        <v>11</v>
      </c>
      <c r="F619" t="s">
        <v>13</v>
      </c>
      <c r="G619" t="s">
        <v>9</v>
      </c>
      <c r="H619" t="s">
        <v>14</v>
      </c>
    </row>
    <row r="620" spans="1:8" hidden="1" x14ac:dyDescent="0.25">
      <c r="A620" t="s">
        <v>925</v>
      </c>
      <c r="B620" s="1" t="str">
        <f>HYPERLINK("https://asmlis.vasa.lt/Dashboard/Served?ServiceDateFrom=2025-11-24&amp;ServiceDateTo=2025-11-24&amp;DumpsterInvNr=13-P-301866", "13-P-301866")</f>
        <v>13-P-301866</v>
      </c>
      <c r="C620">
        <v>1.1000000000000001</v>
      </c>
      <c r="D620" t="s">
        <v>926</v>
      </c>
      <c r="E620" t="s">
        <v>11</v>
      </c>
      <c r="G620" t="s">
        <v>412</v>
      </c>
      <c r="H620" t="s">
        <v>14</v>
      </c>
    </row>
    <row r="621" spans="1:8" hidden="1" x14ac:dyDescent="0.25">
      <c r="A621" t="s">
        <v>927</v>
      </c>
      <c r="B621" s="1" t="str">
        <f>HYPERLINK("https://asmlis.vasa.lt/Dashboard/Served?ServiceDateFrom=2025-11-24&amp;ServiceDateTo=2025-11-24&amp;DumpsterInvNr=13-L-136020", "13-L-136020")</f>
        <v>13-L-136020</v>
      </c>
      <c r="C621">
        <v>5</v>
      </c>
      <c r="D621" t="s">
        <v>928</v>
      </c>
      <c r="E621" t="s">
        <v>11</v>
      </c>
      <c r="F621" t="s">
        <v>13</v>
      </c>
      <c r="G621" t="s">
        <v>430</v>
      </c>
      <c r="H621" t="s">
        <v>432</v>
      </c>
    </row>
    <row r="622" spans="1:8" hidden="1" x14ac:dyDescent="0.25">
      <c r="A622" t="s">
        <v>929</v>
      </c>
      <c r="B622" s="1" t="str">
        <f>HYPERLINK("https://asmlis.vasa.lt/Dashboard/Served?ServiceDateFrom=2025-11-24&amp;ServiceDateTo=2025-11-24&amp;DumpsterInvNr=13-L-317457", "13-L-317457")</f>
        <v>13-L-317457</v>
      </c>
      <c r="C622">
        <v>5</v>
      </c>
      <c r="D622" t="s">
        <v>930</v>
      </c>
      <c r="E622" t="s">
        <v>11</v>
      </c>
      <c r="F622" t="s">
        <v>13</v>
      </c>
      <c r="G622" t="s">
        <v>9</v>
      </c>
      <c r="H622" t="s">
        <v>14</v>
      </c>
    </row>
    <row r="623" spans="1:8" hidden="1" x14ac:dyDescent="0.25">
      <c r="A623" t="s">
        <v>931</v>
      </c>
      <c r="B623" s="1" t="str">
        <f>HYPERLINK("https://asmlis.vasa.lt/Dashboard/Served?ServiceDateFrom=2025-11-24&amp;ServiceDateTo=2025-11-24&amp;DumpsterInvNr=13-L-311540", "13-L-311540")</f>
        <v>13-L-311540</v>
      </c>
      <c r="C623">
        <v>0.24</v>
      </c>
      <c r="D623" t="s">
        <v>932</v>
      </c>
      <c r="E623" t="s">
        <v>11</v>
      </c>
      <c r="G623" t="s">
        <v>9</v>
      </c>
      <c r="H623" t="s">
        <v>14</v>
      </c>
    </row>
    <row r="624" spans="1:8" hidden="1" x14ac:dyDescent="0.25">
      <c r="A624" t="s">
        <v>933</v>
      </c>
      <c r="B624" s="1" t="str">
        <f>HYPERLINK("https://asmlis.vasa.lt/Dashboard/Served?ServiceDateFrom=2025-11-24&amp;ServiceDateTo=2025-11-24&amp;DumpsterInvNr=13-P-408952", "13-P-408952")</f>
        <v>13-P-408952</v>
      </c>
      <c r="C624">
        <v>1.1000000000000001</v>
      </c>
      <c r="D624" t="s">
        <v>934</v>
      </c>
      <c r="E624" t="s">
        <v>11</v>
      </c>
      <c r="F624" t="s">
        <v>13</v>
      </c>
      <c r="G624" t="s">
        <v>264</v>
      </c>
      <c r="H624" t="s">
        <v>14</v>
      </c>
    </row>
    <row r="625" spans="1:8" hidden="1" x14ac:dyDescent="0.25">
      <c r="A625" t="s">
        <v>935</v>
      </c>
      <c r="B625" s="1" t="str">
        <f>HYPERLINK("https://asmlis.vasa.lt/Dashboard/Served?ServiceDateFrom=2025-11-24&amp;ServiceDateTo=2025-11-24&amp;DumpsterInvNr=13-L-215147", "13-L-215147")</f>
        <v>13-L-215147</v>
      </c>
      <c r="C625">
        <v>1.1000000000000001</v>
      </c>
      <c r="D625" t="s">
        <v>937</v>
      </c>
      <c r="E625" t="s">
        <v>11</v>
      </c>
      <c r="G625" t="s">
        <v>936</v>
      </c>
      <c r="H625" t="s">
        <v>938</v>
      </c>
    </row>
    <row r="626" spans="1:8" hidden="1" x14ac:dyDescent="0.25">
      <c r="A626" t="s">
        <v>939</v>
      </c>
      <c r="B626" s="1" t="str">
        <f>HYPERLINK("https://asmlis.vasa.lt/Dashboard/Served?ServiceDateFrom=2025-11-24&amp;ServiceDateTo=2025-11-24&amp;DumpsterInvNr=13-L-422416", "13-L-422416")</f>
        <v>13-L-422416</v>
      </c>
      <c r="C626">
        <v>1.1000000000000001</v>
      </c>
      <c r="D626" t="s">
        <v>940</v>
      </c>
      <c r="E626" t="s">
        <v>11</v>
      </c>
      <c r="G626" t="s">
        <v>74</v>
      </c>
      <c r="H626" t="s">
        <v>14</v>
      </c>
    </row>
    <row r="627" spans="1:8" hidden="1" x14ac:dyDescent="0.25">
      <c r="A627" t="s">
        <v>577</v>
      </c>
      <c r="B627" s="1" t="str">
        <f>HYPERLINK("https://asmlis.vasa.lt/Dashboard/Served?ServiceDateFrom=2025-11-24&amp;ServiceDateTo=2025-11-24&amp;DumpsterInvNr=13-L-318992", "13-L-318992")</f>
        <v>13-L-318992</v>
      </c>
      <c r="C627">
        <v>0.66</v>
      </c>
      <c r="D627" t="s">
        <v>932</v>
      </c>
      <c r="E627" t="s">
        <v>11</v>
      </c>
      <c r="F627" t="s">
        <v>13</v>
      </c>
      <c r="G627" t="s">
        <v>9</v>
      </c>
      <c r="H627" t="s">
        <v>14</v>
      </c>
    </row>
    <row r="628" spans="1:8" hidden="1" x14ac:dyDescent="0.25">
      <c r="A628" t="s">
        <v>941</v>
      </c>
      <c r="B628" s="1" t="str">
        <f>HYPERLINK("https://asmlis.vasa.lt/Dashboard/Served?ServiceDateFrom=2025-11-24&amp;ServiceDateTo=2025-11-24&amp;DumpsterInvNr=13-P-302624", "13-P-302624")</f>
        <v>13-P-302624</v>
      </c>
      <c r="C628">
        <v>5</v>
      </c>
      <c r="D628" t="s">
        <v>262</v>
      </c>
      <c r="E628" t="s">
        <v>11</v>
      </c>
      <c r="G628" t="s">
        <v>412</v>
      </c>
      <c r="H628" t="s">
        <v>14</v>
      </c>
    </row>
    <row r="629" spans="1:8" hidden="1" x14ac:dyDescent="0.25">
      <c r="A629" t="s">
        <v>942</v>
      </c>
      <c r="B629" s="1" t="str">
        <f>HYPERLINK("https://asmlis.vasa.lt/Dashboard/Served?ServiceDateFrom=2025-11-24&amp;ServiceDateTo=2025-11-24&amp;DumpsterInvNr=13-L-139504", "13-L-139504")</f>
        <v>13-L-139504</v>
      </c>
      <c r="C629">
        <v>5</v>
      </c>
      <c r="D629" t="s">
        <v>943</v>
      </c>
      <c r="E629" t="s">
        <v>11</v>
      </c>
      <c r="F629" t="s">
        <v>13</v>
      </c>
      <c r="G629" t="s">
        <v>430</v>
      </c>
      <c r="H629" t="s">
        <v>432</v>
      </c>
    </row>
    <row r="630" spans="1:8" hidden="1" x14ac:dyDescent="0.25">
      <c r="A630" t="s">
        <v>942</v>
      </c>
      <c r="B630" s="1" t="str">
        <f>HYPERLINK("https://asmlis.vasa.lt/Dashboard/Served?ServiceDateFrom=2025-11-24&amp;ServiceDateTo=2025-11-24&amp;DumpsterInvNr=13-L-317884", "13-L-317884")</f>
        <v>13-L-317884</v>
      </c>
      <c r="C630">
        <v>1.1000000000000001</v>
      </c>
      <c r="D630" t="s">
        <v>944</v>
      </c>
      <c r="E630" t="s">
        <v>11</v>
      </c>
      <c r="G630" t="s">
        <v>9</v>
      </c>
      <c r="H630" t="s">
        <v>14</v>
      </c>
    </row>
    <row r="631" spans="1:8" hidden="1" x14ac:dyDescent="0.25">
      <c r="A631" t="s">
        <v>945</v>
      </c>
      <c r="B631" s="1" t="str">
        <f>HYPERLINK("https://asmlis.vasa.lt/Dashboard/Served?ServiceDateFrom=2025-11-24&amp;ServiceDateTo=2025-11-24&amp;DumpsterInvNr=13-L-415297", "13-L-415297")</f>
        <v>13-L-415297</v>
      </c>
      <c r="C631">
        <v>1.1000000000000001</v>
      </c>
      <c r="D631" t="s">
        <v>940</v>
      </c>
      <c r="E631" t="s">
        <v>11</v>
      </c>
      <c r="G631" t="s">
        <v>74</v>
      </c>
      <c r="H631" t="s">
        <v>14</v>
      </c>
    </row>
    <row r="632" spans="1:8" hidden="1" x14ac:dyDescent="0.25">
      <c r="A632" t="s">
        <v>946</v>
      </c>
      <c r="B632" s="1" t="str">
        <f>HYPERLINK("https://asmlis.vasa.lt/Dashboard/Served?ServiceDateFrom=2025-11-24&amp;ServiceDateTo=2025-11-24&amp;DumpsterInvNr=13-L-224768", "13-L-224768")</f>
        <v>13-L-224768</v>
      </c>
      <c r="C632">
        <v>1.1000000000000001</v>
      </c>
      <c r="D632" t="s">
        <v>937</v>
      </c>
      <c r="E632" t="s">
        <v>11</v>
      </c>
      <c r="G632" t="s">
        <v>936</v>
      </c>
      <c r="H632" t="s">
        <v>938</v>
      </c>
    </row>
    <row r="633" spans="1:8" hidden="1" x14ac:dyDescent="0.25">
      <c r="A633" t="s">
        <v>947</v>
      </c>
      <c r="B633" s="1" t="str">
        <f>HYPERLINK("https://asmlis.vasa.lt/Dashboard/Served?ServiceDateFrom=2025-11-24&amp;ServiceDateTo=2025-11-24&amp;DumpsterInvNr=13-L-414709", "13-L-414709")</f>
        <v>13-L-414709</v>
      </c>
      <c r="C633">
        <v>1.1000000000000001</v>
      </c>
      <c r="D633" t="s">
        <v>940</v>
      </c>
      <c r="E633" t="s">
        <v>11</v>
      </c>
      <c r="G633" t="s">
        <v>74</v>
      </c>
      <c r="H633" t="s">
        <v>14</v>
      </c>
    </row>
    <row r="634" spans="1:8" hidden="1" x14ac:dyDescent="0.25">
      <c r="A634" t="s">
        <v>948</v>
      </c>
      <c r="B634" s="1" t="str">
        <f>HYPERLINK("https://asmlis.vasa.lt/Dashboard/Served?ServiceDateFrom=2025-11-24&amp;ServiceDateTo=2025-11-24&amp;DumpsterInvNr=13-L-216112", "13-L-216112")</f>
        <v>13-L-216112</v>
      </c>
      <c r="C634">
        <v>1.1000000000000001</v>
      </c>
      <c r="D634" t="s">
        <v>937</v>
      </c>
      <c r="E634" t="s">
        <v>11</v>
      </c>
      <c r="G634" t="s">
        <v>936</v>
      </c>
      <c r="H634" t="s">
        <v>938</v>
      </c>
    </row>
    <row r="635" spans="1:8" hidden="1" x14ac:dyDescent="0.25">
      <c r="A635" t="s">
        <v>949</v>
      </c>
      <c r="B635" s="1" t="str">
        <f>HYPERLINK("https://asmlis.vasa.lt/Dashboard/Served?ServiceDateFrom=2025-11-24&amp;ServiceDateTo=2025-11-24&amp;DumpsterInvNr=13-P-204975", "13-P-204975")</f>
        <v>13-P-204975</v>
      </c>
      <c r="C635">
        <v>3</v>
      </c>
      <c r="D635" t="s">
        <v>951</v>
      </c>
      <c r="E635" t="s">
        <v>11</v>
      </c>
      <c r="F635" t="s">
        <v>13</v>
      </c>
      <c r="G635" t="s">
        <v>234</v>
      </c>
      <c r="H635" t="s">
        <v>14</v>
      </c>
    </row>
    <row r="636" spans="1:8" hidden="1" x14ac:dyDescent="0.25">
      <c r="A636" t="s">
        <v>952</v>
      </c>
      <c r="B636" s="1" t="str">
        <f>HYPERLINK("https://asmlis.vasa.lt/Dashboard/Served?ServiceDateFrom=2025-11-24&amp;ServiceDateTo=2025-11-24&amp;DumpsterInvNr=13-L-418401", "13-L-418401")</f>
        <v>13-L-418401</v>
      </c>
      <c r="C636">
        <v>0.77</v>
      </c>
      <c r="D636" t="s">
        <v>940</v>
      </c>
      <c r="E636" t="s">
        <v>11</v>
      </c>
      <c r="G636" t="s">
        <v>74</v>
      </c>
      <c r="H636" t="s">
        <v>14</v>
      </c>
    </row>
    <row r="637" spans="1:8" hidden="1" x14ac:dyDescent="0.25">
      <c r="A637" t="s">
        <v>953</v>
      </c>
      <c r="B637" s="1" t="str">
        <f>HYPERLINK("https://asmlis.vasa.lt/Dashboard/Served?ServiceDateFrom=2025-11-24&amp;ServiceDateTo=2025-11-24&amp;DumpsterInvNr=13-L-423239", "13-L-423239")</f>
        <v>13-L-423239</v>
      </c>
      <c r="C637">
        <v>5</v>
      </c>
      <c r="D637" t="s">
        <v>955</v>
      </c>
      <c r="E637" t="s">
        <v>11</v>
      </c>
      <c r="F637" t="s">
        <v>13</v>
      </c>
      <c r="G637" t="s">
        <v>74</v>
      </c>
      <c r="H637" t="s">
        <v>14</v>
      </c>
    </row>
    <row r="638" spans="1:8" hidden="1" x14ac:dyDescent="0.25">
      <c r="A638" t="s">
        <v>956</v>
      </c>
      <c r="B638" s="1" t="str">
        <f>HYPERLINK("https://asmlis.vasa.lt/Dashboard/Served?ServiceDateFrom=2025-11-24&amp;ServiceDateTo=2025-11-24&amp;DumpsterInvNr=13-L-216111", "13-L-216111")</f>
        <v>13-L-216111</v>
      </c>
      <c r="C638">
        <v>1.1000000000000001</v>
      </c>
      <c r="D638" t="s">
        <v>937</v>
      </c>
      <c r="E638" t="s">
        <v>11</v>
      </c>
      <c r="G638" t="s">
        <v>936</v>
      </c>
      <c r="H638" t="s">
        <v>938</v>
      </c>
    </row>
    <row r="639" spans="1:8" hidden="1" x14ac:dyDescent="0.25">
      <c r="A639" t="s">
        <v>957</v>
      </c>
      <c r="B639" s="1" t="str">
        <f>HYPERLINK("https://asmlis.vasa.lt/Dashboard/Served?ServiceDateFrom=2025-11-24&amp;ServiceDateTo=2025-11-24&amp;DumpsterInvNr=13-L-319659", "13-L-319659")</f>
        <v>13-L-319659</v>
      </c>
      <c r="C639">
        <v>1.1000000000000001</v>
      </c>
      <c r="D639" t="s">
        <v>958</v>
      </c>
      <c r="E639" t="s">
        <v>11</v>
      </c>
      <c r="G639" t="s">
        <v>9</v>
      </c>
      <c r="H639" t="s">
        <v>14</v>
      </c>
    </row>
    <row r="640" spans="1:8" hidden="1" x14ac:dyDescent="0.25">
      <c r="A640" t="s">
        <v>959</v>
      </c>
      <c r="B640" s="1" t="str">
        <f>HYPERLINK("https://asmlis.vasa.lt/Dashboard/Served?ServiceDateFrom=2025-11-24&amp;ServiceDateTo=2025-11-24&amp;DumpsterInvNr=13-L-317982", "13-L-317982")</f>
        <v>13-L-317982</v>
      </c>
      <c r="C640">
        <v>1.1000000000000001</v>
      </c>
      <c r="D640" t="s">
        <v>944</v>
      </c>
      <c r="E640" t="s">
        <v>11</v>
      </c>
      <c r="G640" t="s">
        <v>9</v>
      </c>
      <c r="H640" t="s">
        <v>14</v>
      </c>
    </row>
    <row r="641" spans="1:10" hidden="1" x14ac:dyDescent="0.25">
      <c r="A641" t="s">
        <v>960</v>
      </c>
      <c r="B641" s="1" t="str">
        <f>HYPERLINK("https://asmlis.vasa.lt/Dashboard/Served?ServiceDateFrom=2025-11-24&amp;ServiceDateTo=2025-11-24&amp;DumpsterInvNr=13-L-315427", "13-L-315427")</f>
        <v>13-L-315427</v>
      </c>
      <c r="C641">
        <v>1.1000000000000001</v>
      </c>
      <c r="D641" t="s">
        <v>961</v>
      </c>
      <c r="E641" t="s">
        <v>11</v>
      </c>
      <c r="G641" t="s">
        <v>9</v>
      </c>
      <c r="H641" t="s">
        <v>14</v>
      </c>
    </row>
    <row r="642" spans="1:10" hidden="1" x14ac:dyDescent="0.25">
      <c r="A642" t="s">
        <v>962</v>
      </c>
      <c r="B642" s="1" t="str">
        <f>HYPERLINK("https://asmlis.vasa.lt/Dashboard/Served?ServiceDateFrom=2025-11-24&amp;ServiceDateTo=2025-11-24&amp;DumpsterInvNr=13-L-313750", "13-L-313750")</f>
        <v>13-L-313750</v>
      </c>
      <c r="C642">
        <v>1.1000000000000001</v>
      </c>
      <c r="D642" t="s">
        <v>963</v>
      </c>
      <c r="E642" t="s">
        <v>11</v>
      </c>
      <c r="F642" t="s">
        <v>13</v>
      </c>
      <c r="G642" t="s">
        <v>9</v>
      </c>
      <c r="H642" t="s">
        <v>14</v>
      </c>
    </row>
    <row r="643" spans="1:10" hidden="1" x14ac:dyDescent="0.25">
      <c r="A643" t="s">
        <v>964</v>
      </c>
      <c r="B643" s="1" t="str">
        <f>HYPERLINK("https://asmlis.vasa.lt/Dashboard/Served?ServiceDateFrom=2025-11-24&amp;ServiceDateTo=2025-11-24&amp;DumpsterInvNr=13-L-145338", "13-L-145338")</f>
        <v>13-L-145338</v>
      </c>
      <c r="C643">
        <v>5</v>
      </c>
      <c r="D643" t="s">
        <v>965</v>
      </c>
      <c r="E643" t="s">
        <v>11</v>
      </c>
      <c r="F643" t="s">
        <v>13</v>
      </c>
      <c r="G643" t="s">
        <v>430</v>
      </c>
      <c r="H643" t="s">
        <v>432</v>
      </c>
    </row>
    <row r="644" spans="1:10" hidden="1" x14ac:dyDescent="0.25">
      <c r="A644" t="s">
        <v>966</v>
      </c>
      <c r="B644" s="1" t="str">
        <f>HYPERLINK("https://asmlis.vasa.lt/Dashboard/Served?ServiceDateFrom=2025-11-24&amp;ServiceDateTo=2025-11-24&amp;DumpsterInvNr=13-L-313871", "13-L-313871")</f>
        <v>13-L-313871</v>
      </c>
      <c r="C644">
        <v>1.1000000000000001</v>
      </c>
      <c r="D644" t="s">
        <v>944</v>
      </c>
      <c r="E644" t="s">
        <v>11</v>
      </c>
      <c r="G644" t="s">
        <v>9</v>
      </c>
      <c r="H644" t="s">
        <v>14</v>
      </c>
    </row>
    <row r="645" spans="1:10" hidden="1" x14ac:dyDescent="0.25">
      <c r="A645" t="s">
        <v>967</v>
      </c>
      <c r="B645" s="1" t="str">
        <f>HYPERLINK("https://asmlis.vasa.lt/Dashboard/Served?ServiceDateFrom=2025-11-24&amp;ServiceDateTo=2025-11-24&amp;DumpsterInvNr=13-P-409190", "13-P-409190")</f>
        <v>13-P-409190</v>
      </c>
      <c r="C645">
        <v>1.1000000000000001</v>
      </c>
      <c r="D645" t="s">
        <v>968</v>
      </c>
      <c r="E645" t="s">
        <v>11</v>
      </c>
      <c r="F645" t="s">
        <v>13</v>
      </c>
      <c r="G645" t="s">
        <v>264</v>
      </c>
      <c r="H645" t="s">
        <v>14</v>
      </c>
    </row>
    <row r="646" spans="1:10" hidden="1" x14ac:dyDescent="0.25">
      <c r="A646" t="s">
        <v>969</v>
      </c>
      <c r="B646" s="1" t="str">
        <f>HYPERLINK("https://asmlis.vasa.lt/Dashboard/Served?ServiceDateFrom=2025-11-24&amp;ServiceDateTo=2025-11-24&amp;DumpsterInvNr=13-L-314538", "13-L-314538")</f>
        <v>13-L-314538</v>
      </c>
      <c r="C646">
        <v>1.1000000000000001</v>
      </c>
      <c r="D646" t="s">
        <v>944</v>
      </c>
      <c r="E646" t="s">
        <v>11</v>
      </c>
      <c r="G646" t="s">
        <v>9</v>
      </c>
      <c r="H646" t="s">
        <v>14</v>
      </c>
    </row>
    <row r="647" spans="1:10" hidden="1" x14ac:dyDescent="0.25">
      <c r="A647" t="s">
        <v>970</v>
      </c>
      <c r="B647" s="1" t="str">
        <f>HYPERLINK("https://asmlis.vasa.lt/Dashboard/Served?ServiceDateFrom=2025-11-24&amp;ServiceDateTo=2025-11-24&amp;DumpsterInvNr=13-P-306931", "13-P-306931")</f>
        <v>13-P-306931</v>
      </c>
      <c r="C647">
        <v>1.1000000000000001</v>
      </c>
      <c r="D647" t="s">
        <v>971</v>
      </c>
      <c r="E647" t="s">
        <v>11</v>
      </c>
      <c r="G647" t="s">
        <v>412</v>
      </c>
      <c r="H647" t="s">
        <v>14</v>
      </c>
    </row>
    <row r="648" spans="1:10" hidden="1" x14ac:dyDescent="0.25">
      <c r="A648" t="s">
        <v>972</v>
      </c>
      <c r="B648" s="1" t="str">
        <f>HYPERLINK("https://asmlis.vasa.lt/Dashboard/Served?ServiceDateFrom=2025-11-24&amp;ServiceDateTo=2025-11-24&amp;DumpsterInvNr=13-L-420479", "13-L-420479")</f>
        <v>13-L-420479</v>
      </c>
      <c r="C648">
        <v>5</v>
      </c>
      <c r="D648" t="s">
        <v>973</v>
      </c>
      <c r="E648" t="s">
        <v>11</v>
      </c>
      <c r="F648" t="s">
        <v>13</v>
      </c>
      <c r="G648" t="s">
        <v>74</v>
      </c>
      <c r="H648" t="s">
        <v>14</v>
      </c>
    </row>
    <row r="649" spans="1:10" hidden="1" x14ac:dyDescent="0.25">
      <c r="A649" t="s">
        <v>972</v>
      </c>
      <c r="B649" s="1" t="str">
        <f>HYPERLINK("https://asmlis.vasa.lt/Dashboard/Served?ServiceDateFrom=2025-11-24&amp;ServiceDateTo=2025-11-24&amp;DumpsterInvNr=13-L-318442", "13-L-318442")</f>
        <v>13-L-318442</v>
      </c>
      <c r="C649">
        <v>1.1000000000000001</v>
      </c>
      <c r="D649" t="s">
        <v>974</v>
      </c>
      <c r="E649" t="s">
        <v>11</v>
      </c>
      <c r="F649" t="s">
        <v>871</v>
      </c>
      <c r="G649" t="s">
        <v>9</v>
      </c>
      <c r="H649" t="s">
        <v>14</v>
      </c>
      <c r="J649" t="s">
        <v>17524</v>
      </c>
    </row>
    <row r="650" spans="1:10" hidden="1" x14ac:dyDescent="0.25">
      <c r="A650" t="s">
        <v>975</v>
      </c>
      <c r="B650" s="1" t="str">
        <f>HYPERLINK("https://asmlis.vasa.lt/Dashboard/Served?ServiceDateFrom=2025-11-24&amp;ServiceDateTo=2025-11-24&amp;DumpsterInvNr=13-L-420367", "13-L-420367")</f>
        <v>13-L-420367</v>
      </c>
      <c r="C650">
        <v>5</v>
      </c>
      <c r="D650" t="s">
        <v>976</v>
      </c>
      <c r="E650" t="s">
        <v>11</v>
      </c>
      <c r="F650" t="s">
        <v>13</v>
      </c>
      <c r="G650" t="s">
        <v>74</v>
      </c>
      <c r="H650" t="s">
        <v>14</v>
      </c>
    </row>
    <row r="651" spans="1:10" hidden="1" x14ac:dyDescent="0.25">
      <c r="A651" t="s">
        <v>977</v>
      </c>
      <c r="B651" s="1" t="str">
        <f>HYPERLINK("https://asmlis.vasa.lt/Dashboard/Served?ServiceDateFrom=2025-11-24&amp;ServiceDateTo=2025-11-24&amp;DumpsterInvNr=13-L-317736", "13-L-317736")</f>
        <v>13-L-317736</v>
      </c>
      <c r="C651">
        <v>0.77</v>
      </c>
      <c r="D651" t="s">
        <v>557</v>
      </c>
      <c r="E651" t="s">
        <v>11</v>
      </c>
      <c r="G651" t="s">
        <v>9</v>
      </c>
      <c r="H651" t="s">
        <v>14</v>
      </c>
    </row>
    <row r="652" spans="1:10" hidden="1" x14ac:dyDescent="0.25">
      <c r="A652" t="s">
        <v>977</v>
      </c>
      <c r="B652" s="1" t="str">
        <f>HYPERLINK("https://asmlis.vasa.lt/Dashboard/Served?ServiceDateFrom=2025-11-24&amp;ServiceDateTo=2025-11-24&amp;DumpsterInvNr=13-P-204316", "13-P-204316")</f>
        <v>13-P-204316</v>
      </c>
      <c r="C652">
        <v>5</v>
      </c>
      <c r="D652" t="s">
        <v>978</v>
      </c>
      <c r="E652" t="s">
        <v>11</v>
      </c>
      <c r="G652" t="s">
        <v>234</v>
      </c>
      <c r="H652" t="s">
        <v>14</v>
      </c>
    </row>
    <row r="653" spans="1:10" hidden="1" x14ac:dyDescent="0.25">
      <c r="A653" t="s">
        <v>979</v>
      </c>
      <c r="B653" s="1" t="str">
        <f>HYPERLINK("https://asmlis.vasa.lt/Dashboard/Served?ServiceDateFrom=2025-11-24&amp;ServiceDateTo=2025-11-24&amp;DumpsterInvNr=13-P-408854", "13-P-408854")</f>
        <v>13-P-408854</v>
      </c>
      <c r="C653">
        <v>1.1000000000000001</v>
      </c>
      <c r="D653" t="s">
        <v>980</v>
      </c>
      <c r="E653" t="s">
        <v>11</v>
      </c>
      <c r="F653" t="s">
        <v>13</v>
      </c>
      <c r="G653" t="s">
        <v>264</v>
      </c>
      <c r="H653" t="s">
        <v>14</v>
      </c>
    </row>
    <row r="654" spans="1:10" hidden="1" x14ac:dyDescent="0.25">
      <c r="A654" t="s">
        <v>981</v>
      </c>
      <c r="B654" s="1" t="str">
        <f>HYPERLINK("https://asmlis.vasa.lt/Dashboard/Served?ServiceDateFrom=2025-11-24&amp;ServiceDateTo=2025-11-24&amp;DumpsterInvNr=13-L-423668", "13-L-423668")</f>
        <v>13-L-423668</v>
      </c>
      <c r="C654">
        <v>1.1000000000000001</v>
      </c>
      <c r="D654" t="s">
        <v>982</v>
      </c>
      <c r="E654" t="s">
        <v>11</v>
      </c>
      <c r="G654" t="s">
        <v>74</v>
      </c>
      <c r="H654" t="s">
        <v>14</v>
      </c>
    </row>
    <row r="655" spans="1:10" hidden="1" x14ac:dyDescent="0.25">
      <c r="A655" t="s">
        <v>983</v>
      </c>
      <c r="B655" s="1" t="str">
        <f>HYPERLINK("https://asmlis.vasa.lt/Dashboard/Served?ServiceDateFrom=2025-11-24&amp;ServiceDateTo=2025-11-24&amp;DumpsterInvNr=13-L-318450", "13-L-318450")</f>
        <v>13-L-318450</v>
      </c>
      <c r="C655">
        <v>1.1000000000000001</v>
      </c>
      <c r="D655" t="s">
        <v>974</v>
      </c>
      <c r="E655" t="s">
        <v>11</v>
      </c>
      <c r="F655" t="s">
        <v>871</v>
      </c>
      <c r="G655" t="s">
        <v>9</v>
      </c>
      <c r="H655" t="s">
        <v>14</v>
      </c>
      <c r="J655" t="s">
        <v>17524</v>
      </c>
    </row>
    <row r="656" spans="1:10" hidden="1" x14ac:dyDescent="0.25">
      <c r="A656" t="s">
        <v>984</v>
      </c>
      <c r="B656" s="1" t="str">
        <f>HYPERLINK("https://asmlis.vasa.lt/Dashboard/Served?ServiceDateFrom=2025-11-24&amp;ServiceDateTo=2025-11-24&amp;DumpsterInvNr=13-L-318446", "13-L-318446")</f>
        <v>13-L-318446</v>
      </c>
      <c r="C656">
        <v>1.1000000000000001</v>
      </c>
      <c r="D656" t="s">
        <v>974</v>
      </c>
      <c r="E656" t="s">
        <v>11</v>
      </c>
      <c r="F656" t="s">
        <v>871</v>
      </c>
      <c r="G656" t="s">
        <v>9</v>
      </c>
      <c r="H656" t="s">
        <v>14</v>
      </c>
      <c r="J656" t="s">
        <v>17524</v>
      </c>
    </row>
    <row r="657" spans="1:10" hidden="1" x14ac:dyDescent="0.25">
      <c r="A657" t="s">
        <v>985</v>
      </c>
      <c r="B657" s="1" t="str">
        <f>HYPERLINK("https://asmlis.vasa.lt/Dashboard/Served?ServiceDateFrom=2025-11-24&amp;ServiceDateTo=2025-11-24&amp;DumpsterInvNr=13-L-313643", "13-L-313643")</f>
        <v>13-L-313643</v>
      </c>
      <c r="C657">
        <v>1.1000000000000001</v>
      </c>
      <c r="D657" t="s">
        <v>944</v>
      </c>
      <c r="E657" t="s">
        <v>11</v>
      </c>
      <c r="G657" t="s">
        <v>9</v>
      </c>
      <c r="H657" t="s">
        <v>14</v>
      </c>
    </row>
    <row r="658" spans="1:10" hidden="1" x14ac:dyDescent="0.25">
      <c r="A658" t="s">
        <v>986</v>
      </c>
      <c r="B658" s="1" t="str">
        <f>HYPERLINK("https://asmlis.vasa.lt/Dashboard/Served?ServiceDateFrom=2025-11-24&amp;ServiceDateTo=2025-11-24&amp;DumpsterInvNr=13-L-426846", "13-L-426846")</f>
        <v>13-L-426846</v>
      </c>
      <c r="C658">
        <v>1.1000000000000001</v>
      </c>
      <c r="D658" t="s">
        <v>982</v>
      </c>
      <c r="E658" t="s">
        <v>11</v>
      </c>
      <c r="G658" t="s">
        <v>74</v>
      </c>
      <c r="H658" t="s">
        <v>14</v>
      </c>
    </row>
    <row r="659" spans="1:10" hidden="1" x14ac:dyDescent="0.25">
      <c r="A659" t="s">
        <v>987</v>
      </c>
      <c r="B659" s="1" t="str">
        <f>HYPERLINK("https://asmlis.vasa.lt/Dashboard/Served?ServiceDateFrom=2025-11-24&amp;ServiceDateTo=2025-11-24&amp;DumpsterInvNr=13-L-318443", "13-L-318443")</f>
        <v>13-L-318443</v>
      </c>
      <c r="C659">
        <v>1.1000000000000001</v>
      </c>
      <c r="D659" t="s">
        <v>974</v>
      </c>
      <c r="E659" t="s">
        <v>11</v>
      </c>
      <c r="F659" t="s">
        <v>871</v>
      </c>
      <c r="G659" t="s">
        <v>9</v>
      </c>
      <c r="H659" t="s">
        <v>14</v>
      </c>
      <c r="J659" t="s">
        <v>17524</v>
      </c>
    </row>
    <row r="660" spans="1:10" hidden="1" x14ac:dyDescent="0.25">
      <c r="A660" t="s">
        <v>988</v>
      </c>
      <c r="B660" s="1" t="str">
        <f>HYPERLINK("https://asmlis.vasa.lt/Dashboard/Served?ServiceDateFrom=2025-11-24&amp;ServiceDateTo=2025-11-24&amp;DumpsterInvNr=13-L-423607", "13-L-423607")</f>
        <v>13-L-423607</v>
      </c>
      <c r="C660">
        <v>1.1000000000000001</v>
      </c>
      <c r="D660" t="s">
        <v>982</v>
      </c>
      <c r="E660" t="s">
        <v>11</v>
      </c>
      <c r="G660" t="s">
        <v>74</v>
      </c>
      <c r="H660" t="s">
        <v>14</v>
      </c>
    </row>
    <row r="661" spans="1:10" hidden="1" x14ac:dyDescent="0.25">
      <c r="A661" t="s">
        <v>989</v>
      </c>
      <c r="B661" s="1" t="str">
        <f>HYPERLINK("https://asmlis.vasa.lt/Dashboard/Served?ServiceDateFrom=2025-11-24&amp;ServiceDateTo=2025-11-24&amp;DumpsterInvNr=13-L-318448", "13-L-318448")</f>
        <v>13-L-318448</v>
      </c>
      <c r="C661">
        <v>1.1000000000000001</v>
      </c>
      <c r="D661" t="s">
        <v>974</v>
      </c>
      <c r="E661" t="s">
        <v>11</v>
      </c>
      <c r="F661" t="s">
        <v>871</v>
      </c>
      <c r="G661" t="s">
        <v>9</v>
      </c>
      <c r="H661" t="s">
        <v>14</v>
      </c>
      <c r="J661" t="s">
        <v>17524</v>
      </c>
    </row>
    <row r="662" spans="1:10" hidden="1" x14ac:dyDescent="0.25">
      <c r="A662" t="s">
        <v>990</v>
      </c>
      <c r="B662" s="1" t="str">
        <f>HYPERLINK("https://asmlis.vasa.lt/Dashboard/Served?ServiceDateFrom=2025-11-24&amp;ServiceDateTo=2025-11-24&amp;DumpsterInvNr=13-L-318447", "13-L-318447")</f>
        <v>13-L-318447</v>
      </c>
      <c r="C662">
        <v>1.1000000000000001</v>
      </c>
      <c r="D662" t="s">
        <v>974</v>
      </c>
      <c r="E662" t="s">
        <v>11</v>
      </c>
      <c r="F662" t="s">
        <v>871</v>
      </c>
      <c r="G662" t="s">
        <v>9</v>
      </c>
      <c r="H662" t="s">
        <v>14</v>
      </c>
      <c r="J662" t="s">
        <v>17524</v>
      </c>
    </row>
    <row r="663" spans="1:10" hidden="1" x14ac:dyDescent="0.25">
      <c r="A663" t="s">
        <v>991</v>
      </c>
      <c r="B663" s="1" t="str">
        <f>HYPERLINK("https://asmlis.vasa.lt/Dashboard/Served?ServiceDateFrom=2025-11-24&amp;ServiceDateTo=2025-11-24&amp;DumpsterInvNr=13-L-318444", "13-L-318444")</f>
        <v>13-L-318444</v>
      </c>
      <c r="C663">
        <v>1.1000000000000001</v>
      </c>
      <c r="D663" t="s">
        <v>974</v>
      </c>
      <c r="E663" t="s">
        <v>11</v>
      </c>
      <c r="F663" t="s">
        <v>871</v>
      </c>
      <c r="G663" t="s">
        <v>9</v>
      </c>
      <c r="H663" t="s">
        <v>14</v>
      </c>
      <c r="J663" t="s">
        <v>17524</v>
      </c>
    </row>
    <row r="664" spans="1:10" hidden="1" x14ac:dyDescent="0.25">
      <c r="A664" t="s">
        <v>993</v>
      </c>
      <c r="B664" s="1" t="str">
        <f>HYPERLINK("https://asmlis.vasa.lt/Dashboard/Served?ServiceDateFrom=2025-11-24&amp;ServiceDateTo=2025-11-24&amp;DumpsterInvNr=13-L-424868", "13-L-424868")</f>
        <v>13-L-424868</v>
      </c>
      <c r="C664">
        <v>1.1000000000000001</v>
      </c>
      <c r="D664" t="s">
        <v>982</v>
      </c>
      <c r="E664" t="s">
        <v>11</v>
      </c>
      <c r="G664" t="s">
        <v>74</v>
      </c>
      <c r="H664" t="s">
        <v>14</v>
      </c>
    </row>
    <row r="665" spans="1:10" hidden="1" x14ac:dyDescent="0.25">
      <c r="A665" t="s">
        <v>994</v>
      </c>
      <c r="B665" s="1" t="str">
        <f>HYPERLINK("https://asmlis.vasa.lt/Dashboard/Served?ServiceDateFrom=2025-11-24&amp;ServiceDateTo=2025-11-24&amp;DumpsterInvNr=13-L-420472", "13-L-420472")</f>
        <v>13-L-420472</v>
      </c>
      <c r="C665">
        <v>5</v>
      </c>
      <c r="D665" t="s">
        <v>995</v>
      </c>
      <c r="E665" t="s">
        <v>11</v>
      </c>
      <c r="F665" t="s">
        <v>13</v>
      </c>
      <c r="G665" t="s">
        <v>74</v>
      </c>
      <c r="H665" t="s">
        <v>14</v>
      </c>
    </row>
    <row r="666" spans="1:10" hidden="1" x14ac:dyDescent="0.25">
      <c r="A666" t="s">
        <v>992</v>
      </c>
      <c r="B666" s="1" t="str">
        <f>HYPERLINK("https://asmlis.vasa.lt/Dashboard/Served?ServiceDateFrom=2025-11-24&amp;ServiceDateTo=2025-11-24&amp;DumpsterInvNr=13-L-317964", "13-L-317964")</f>
        <v>13-L-317964</v>
      </c>
      <c r="C666">
        <v>5</v>
      </c>
      <c r="D666" t="s">
        <v>996</v>
      </c>
      <c r="E666" t="s">
        <v>11</v>
      </c>
      <c r="F666" t="s">
        <v>13</v>
      </c>
      <c r="G666" t="s">
        <v>9</v>
      </c>
      <c r="H666" t="s">
        <v>14</v>
      </c>
    </row>
    <row r="667" spans="1:10" hidden="1" x14ac:dyDescent="0.25">
      <c r="A667" t="s">
        <v>997</v>
      </c>
      <c r="B667" s="1" t="str">
        <f>HYPERLINK("https://asmlis.vasa.lt/Dashboard/Served?ServiceDateFrom=2025-11-24&amp;ServiceDateTo=2025-11-24&amp;DumpsterInvNr=13-L-318445", "13-L-318445")</f>
        <v>13-L-318445</v>
      </c>
      <c r="C667">
        <v>1.1000000000000001</v>
      </c>
      <c r="D667" t="s">
        <v>974</v>
      </c>
      <c r="E667" t="s">
        <v>11</v>
      </c>
      <c r="F667" t="s">
        <v>871</v>
      </c>
      <c r="G667" t="s">
        <v>9</v>
      </c>
      <c r="H667" t="s">
        <v>14</v>
      </c>
      <c r="J667" t="s">
        <v>17524</v>
      </c>
    </row>
    <row r="668" spans="1:10" hidden="1" x14ac:dyDescent="0.25">
      <c r="A668" t="s">
        <v>998</v>
      </c>
      <c r="B668" s="1" t="str">
        <f>HYPERLINK("https://asmlis.vasa.lt/Dashboard/Served?ServiceDateFrom=2025-11-24&amp;ServiceDateTo=2025-11-24&amp;DumpsterInvNr=13-L-221500", "13-L-221500")</f>
        <v>13-L-221500</v>
      </c>
      <c r="C668">
        <v>1.1000000000000001</v>
      </c>
      <c r="D668" t="s">
        <v>999</v>
      </c>
      <c r="E668" t="s">
        <v>11</v>
      </c>
      <c r="G668" t="s">
        <v>936</v>
      </c>
      <c r="H668" t="s">
        <v>938</v>
      </c>
    </row>
    <row r="669" spans="1:10" hidden="1" x14ac:dyDescent="0.25">
      <c r="A669" t="s">
        <v>1000</v>
      </c>
      <c r="B669" s="1" t="str">
        <f>HYPERLINK("https://asmlis.vasa.lt/Dashboard/Served?ServiceDateFrom=2025-11-24&amp;ServiceDateTo=2025-11-24&amp;DumpsterInvNr=13-L-425956", "13-L-425956")</f>
        <v>13-L-425956</v>
      </c>
      <c r="C669">
        <v>1.1000000000000001</v>
      </c>
      <c r="D669" t="s">
        <v>982</v>
      </c>
      <c r="E669" t="s">
        <v>11</v>
      </c>
      <c r="G669" t="s">
        <v>74</v>
      </c>
      <c r="H669" t="s">
        <v>14</v>
      </c>
    </row>
    <row r="670" spans="1:10" hidden="1" x14ac:dyDescent="0.25">
      <c r="A670" t="s">
        <v>1001</v>
      </c>
      <c r="B670" s="1" t="str">
        <f>HYPERLINK("https://asmlis.vasa.lt/Dashboard/Served?ServiceDateFrom=2025-11-24&amp;ServiceDateTo=2025-11-24&amp;DumpsterInvNr=13-L-318449", "13-L-318449")</f>
        <v>13-L-318449</v>
      </c>
      <c r="C670">
        <v>1.1000000000000001</v>
      </c>
      <c r="D670" t="s">
        <v>974</v>
      </c>
      <c r="E670" t="s">
        <v>11</v>
      </c>
      <c r="F670" t="s">
        <v>871</v>
      </c>
      <c r="G670" t="s">
        <v>9</v>
      </c>
      <c r="H670" t="s">
        <v>14</v>
      </c>
      <c r="J670" t="s">
        <v>17524</v>
      </c>
    </row>
    <row r="671" spans="1:10" hidden="1" x14ac:dyDescent="0.25">
      <c r="A671" t="s">
        <v>1003</v>
      </c>
      <c r="B671" s="1" t="str">
        <f>HYPERLINK("https://asmlis.vasa.lt/Dashboard/Served?ServiceDateFrom=2025-11-24&amp;ServiceDateTo=2025-11-24&amp;DumpsterInvNr=13-P-302633", "13-P-302633")</f>
        <v>13-P-302633</v>
      </c>
      <c r="C671">
        <v>5</v>
      </c>
      <c r="D671" t="s">
        <v>1004</v>
      </c>
      <c r="E671" t="s">
        <v>11</v>
      </c>
      <c r="G671" t="s">
        <v>412</v>
      </c>
      <c r="H671" t="s">
        <v>14</v>
      </c>
    </row>
    <row r="672" spans="1:10" hidden="1" x14ac:dyDescent="0.25">
      <c r="A672" t="s">
        <v>1002</v>
      </c>
      <c r="B672" s="1" t="str">
        <f>HYPERLINK("https://asmlis.vasa.lt/Dashboard/Served?ServiceDateFrom=2025-11-24&amp;ServiceDateTo=2025-11-24&amp;DumpsterInvNr=13-L-426582", "13-L-426582")</f>
        <v>13-L-426582</v>
      </c>
      <c r="C672">
        <v>1.1000000000000001</v>
      </c>
      <c r="D672" t="s">
        <v>982</v>
      </c>
      <c r="E672" t="s">
        <v>11</v>
      </c>
      <c r="G672" t="s">
        <v>74</v>
      </c>
      <c r="H672" t="s">
        <v>14</v>
      </c>
    </row>
    <row r="673" spans="1:8" hidden="1" x14ac:dyDescent="0.25">
      <c r="A673" t="s">
        <v>1005</v>
      </c>
      <c r="B673" s="1" t="str">
        <f>HYPERLINK("https://asmlis.vasa.lt/Dashboard/Served?ServiceDateFrom=2025-11-24&amp;ServiceDateTo=2025-11-24&amp;DumpsterInvNr=13-L-139503", "13-L-139503")</f>
        <v>13-L-139503</v>
      </c>
      <c r="C673">
        <v>5</v>
      </c>
      <c r="D673" t="s">
        <v>1006</v>
      </c>
      <c r="E673" t="s">
        <v>11</v>
      </c>
      <c r="F673" t="s">
        <v>13</v>
      </c>
      <c r="G673" t="s">
        <v>430</v>
      </c>
      <c r="H673" t="s">
        <v>432</v>
      </c>
    </row>
    <row r="674" spans="1:8" hidden="1" x14ac:dyDescent="0.25">
      <c r="A674" t="s">
        <v>1007</v>
      </c>
      <c r="B674" s="1" t="str">
        <f>HYPERLINK("https://asmlis.vasa.lt/Dashboard/Served?ServiceDateFrom=2025-11-24&amp;ServiceDateTo=2025-11-24&amp;DumpsterInvNr=13-L-318721", "13-L-318721")</f>
        <v>13-L-318721</v>
      </c>
      <c r="C674">
        <v>1.1000000000000001</v>
      </c>
      <c r="D674" t="s">
        <v>557</v>
      </c>
      <c r="E674" t="s">
        <v>11</v>
      </c>
      <c r="G674" t="s">
        <v>9</v>
      </c>
      <c r="H674" t="s">
        <v>14</v>
      </c>
    </row>
    <row r="675" spans="1:8" hidden="1" x14ac:dyDescent="0.25">
      <c r="A675" t="s">
        <v>1008</v>
      </c>
      <c r="B675" s="1" t="str">
        <f>HYPERLINK("https://asmlis.vasa.lt/Dashboard/Served?ServiceDateFrom=2025-11-24&amp;ServiceDateTo=2025-11-24&amp;DumpsterInvNr=13-L-220987", "13-L-220987")</f>
        <v>13-L-220987</v>
      </c>
      <c r="C675">
        <v>1.1000000000000001</v>
      </c>
      <c r="D675" t="s">
        <v>999</v>
      </c>
      <c r="E675" t="s">
        <v>11</v>
      </c>
      <c r="G675" t="s">
        <v>936</v>
      </c>
      <c r="H675" t="s">
        <v>938</v>
      </c>
    </row>
    <row r="676" spans="1:8" hidden="1" x14ac:dyDescent="0.25">
      <c r="A676" t="s">
        <v>1009</v>
      </c>
      <c r="B676" s="1" t="str">
        <f>HYPERLINK("https://asmlis.vasa.lt/Dashboard/Served?ServiceDateFrom=2025-11-24&amp;ServiceDateTo=2025-11-24&amp;DumpsterInvNr=13-L-427016", "13-L-427016")</f>
        <v>13-L-427016</v>
      </c>
      <c r="C676">
        <v>5</v>
      </c>
      <c r="D676" t="s">
        <v>1010</v>
      </c>
      <c r="E676" t="s">
        <v>11</v>
      </c>
      <c r="F676" t="s">
        <v>13</v>
      </c>
      <c r="G676" t="s">
        <v>74</v>
      </c>
      <c r="H676" t="s">
        <v>14</v>
      </c>
    </row>
    <row r="677" spans="1:8" hidden="1" x14ac:dyDescent="0.25">
      <c r="A677" t="s">
        <v>1011</v>
      </c>
      <c r="B677" s="1" t="str">
        <f>HYPERLINK("https://asmlis.vasa.lt/Dashboard/Served?ServiceDateFrom=2025-11-24&amp;ServiceDateTo=2025-11-24&amp;DumpsterInvNr=13-L-422969", "13-L-422969")</f>
        <v>13-L-422969</v>
      </c>
      <c r="C677">
        <v>1.1000000000000001</v>
      </c>
      <c r="D677" t="s">
        <v>982</v>
      </c>
      <c r="E677" t="s">
        <v>11</v>
      </c>
      <c r="G677" t="s">
        <v>74</v>
      </c>
      <c r="H677" t="s">
        <v>14</v>
      </c>
    </row>
    <row r="678" spans="1:8" hidden="1" x14ac:dyDescent="0.25">
      <c r="A678" t="s">
        <v>1013</v>
      </c>
      <c r="B678" s="1" t="str">
        <f>HYPERLINK("https://asmlis.vasa.lt/Dashboard/Served?ServiceDateFrom=2025-11-24&amp;ServiceDateTo=2025-11-24&amp;DumpsterInvNr=13-L-225947", "13-L-225947")</f>
        <v>13-L-225947</v>
      </c>
      <c r="C678">
        <v>1.1000000000000001</v>
      </c>
      <c r="D678" t="s">
        <v>999</v>
      </c>
      <c r="E678" t="s">
        <v>11</v>
      </c>
      <c r="G678" t="s">
        <v>936</v>
      </c>
      <c r="H678" t="s">
        <v>938</v>
      </c>
    </row>
    <row r="679" spans="1:8" hidden="1" x14ac:dyDescent="0.25">
      <c r="A679" t="s">
        <v>1014</v>
      </c>
      <c r="B679" s="1" t="str">
        <f>HYPERLINK("https://asmlis.vasa.lt/Dashboard/Served?ServiceDateFrom=2025-11-24&amp;ServiceDateTo=2025-11-24&amp;DumpsterInvNr=13-L-316806", "13-L-316806")</f>
        <v>13-L-316806</v>
      </c>
      <c r="C679">
        <v>0.66</v>
      </c>
      <c r="D679" t="s">
        <v>1015</v>
      </c>
      <c r="E679" t="s">
        <v>11</v>
      </c>
      <c r="G679" t="s">
        <v>9</v>
      </c>
      <c r="H679" t="s">
        <v>14</v>
      </c>
    </row>
    <row r="680" spans="1:8" hidden="1" x14ac:dyDescent="0.25">
      <c r="A680" t="s">
        <v>1016</v>
      </c>
      <c r="B680" s="1" t="str">
        <f>HYPERLINK("https://asmlis.vasa.lt/Dashboard/Served?ServiceDateFrom=2025-11-24&amp;ServiceDateTo=2025-11-24&amp;DumpsterInvNr=13-P-302050", "13-P-302050")</f>
        <v>13-P-302050</v>
      </c>
      <c r="C680">
        <v>1.1000000000000001</v>
      </c>
      <c r="D680" t="s">
        <v>1017</v>
      </c>
      <c r="E680" t="s">
        <v>11</v>
      </c>
      <c r="F680" t="s">
        <v>13</v>
      </c>
      <c r="G680" t="s">
        <v>412</v>
      </c>
      <c r="H680" t="s">
        <v>14</v>
      </c>
    </row>
    <row r="681" spans="1:8" hidden="1" x14ac:dyDescent="0.25">
      <c r="A681" t="s">
        <v>1018</v>
      </c>
      <c r="B681" s="1" t="str">
        <f>HYPERLINK("https://asmlis.vasa.lt/Dashboard/Served?ServiceDateFrom=2025-11-24&amp;ServiceDateTo=2025-11-24&amp;DumpsterInvNr=13-L-425370", "13-L-425370")</f>
        <v>13-L-425370</v>
      </c>
      <c r="C681">
        <v>1.1000000000000001</v>
      </c>
      <c r="D681" t="s">
        <v>982</v>
      </c>
      <c r="E681" t="s">
        <v>11</v>
      </c>
      <c r="F681" t="s">
        <v>13</v>
      </c>
      <c r="G681" t="s">
        <v>74</v>
      </c>
      <c r="H681" t="s">
        <v>14</v>
      </c>
    </row>
    <row r="682" spans="1:8" hidden="1" x14ac:dyDescent="0.25">
      <c r="A682" t="s">
        <v>1019</v>
      </c>
      <c r="B682" s="1" t="str">
        <f>HYPERLINK("https://asmlis.vasa.lt/Dashboard/Served?ServiceDateFrom=2025-11-24&amp;ServiceDateTo=2025-11-24&amp;DumpsterInvNr=13-P-204833", "13-P-204833")</f>
        <v>13-P-204833</v>
      </c>
      <c r="C682">
        <v>5</v>
      </c>
      <c r="D682" t="s">
        <v>1020</v>
      </c>
      <c r="E682" t="s">
        <v>11</v>
      </c>
      <c r="G682" t="s">
        <v>234</v>
      </c>
      <c r="H682" t="s">
        <v>14</v>
      </c>
    </row>
    <row r="683" spans="1:8" hidden="1" x14ac:dyDescent="0.25">
      <c r="A683" t="s">
        <v>1021</v>
      </c>
      <c r="B683" s="1" t="str">
        <f>HYPERLINK("https://asmlis.vasa.lt/Dashboard/Served?ServiceDateFrom=2025-11-24&amp;ServiceDateTo=2025-11-24&amp;DumpsterInvNr=13-L-317575", "13-L-317575")</f>
        <v>13-L-317575</v>
      </c>
      <c r="C683">
        <v>1.1000000000000001</v>
      </c>
      <c r="D683" t="s">
        <v>557</v>
      </c>
      <c r="E683" t="s">
        <v>11</v>
      </c>
      <c r="F683" t="s">
        <v>13</v>
      </c>
      <c r="G683" t="s">
        <v>9</v>
      </c>
      <c r="H683" t="s">
        <v>14</v>
      </c>
    </row>
    <row r="684" spans="1:8" hidden="1" x14ac:dyDescent="0.25">
      <c r="A684" t="s">
        <v>1022</v>
      </c>
      <c r="B684" s="1" t="str">
        <f>HYPERLINK("https://asmlis.vasa.lt/Dashboard/Served?ServiceDateFrom=2025-11-24&amp;ServiceDateTo=2025-11-24&amp;DumpsterInvNr=13-L-216039", "13-L-216039")</f>
        <v>13-L-216039</v>
      </c>
      <c r="C684">
        <v>1.1000000000000001</v>
      </c>
      <c r="D684" t="s">
        <v>999</v>
      </c>
      <c r="E684" t="s">
        <v>11</v>
      </c>
      <c r="G684" t="s">
        <v>936</v>
      </c>
      <c r="H684" t="s">
        <v>938</v>
      </c>
    </row>
    <row r="685" spans="1:8" hidden="1" x14ac:dyDescent="0.25">
      <c r="A685" t="s">
        <v>1023</v>
      </c>
      <c r="B685" s="1" t="str">
        <f>HYPERLINK("https://asmlis.vasa.lt/Dashboard/Served?ServiceDateFrom=2025-11-24&amp;ServiceDateTo=2025-11-24&amp;DumpsterInvNr=13-L-315894", "13-L-315894")</f>
        <v>13-L-315894</v>
      </c>
      <c r="C685">
        <v>1.1000000000000001</v>
      </c>
      <c r="D685" t="s">
        <v>958</v>
      </c>
      <c r="E685" t="s">
        <v>11</v>
      </c>
      <c r="F685" t="s">
        <v>13</v>
      </c>
      <c r="G685" t="s">
        <v>9</v>
      </c>
      <c r="H685" t="s">
        <v>14</v>
      </c>
    </row>
    <row r="686" spans="1:8" hidden="1" x14ac:dyDescent="0.25">
      <c r="A686" t="s">
        <v>1024</v>
      </c>
      <c r="B686" s="1" t="str">
        <f>HYPERLINK("https://asmlis.vasa.lt/Dashboard/Served?ServiceDateFrom=2025-11-24&amp;ServiceDateTo=2025-11-24&amp;DumpsterInvNr=13-L-311537", "13-L-311537")</f>
        <v>13-L-311537</v>
      </c>
      <c r="C686">
        <v>1.1000000000000001</v>
      </c>
      <c r="D686" t="s">
        <v>557</v>
      </c>
      <c r="E686" t="s">
        <v>11</v>
      </c>
      <c r="F686" t="s">
        <v>13</v>
      </c>
      <c r="G686" t="s">
        <v>9</v>
      </c>
      <c r="H686" t="s">
        <v>14</v>
      </c>
    </row>
    <row r="687" spans="1:8" hidden="1" x14ac:dyDescent="0.25">
      <c r="A687" t="s">
        <v>1025</v>
      </c>
      <c r="B687" s="1" t="str">
        <f>HYPERLINK("https://asmlis.vasa.lt/Dashboard/Served?ServiceDateFrom=2025-11-24&amp;ServiceDateTo=2025-11-24&amp;DumpsterInvNr=13-L-318740", "13-L-318740")</f>
        <v>13-L-318740</v>
      </c>
      <c r="C687">
        <v>1.1000000000000001</v>
      </c>
      <c r="D687" t="s">
        <v>1026</v>
      </c>
      <c r="E687" t="s">
        <v>11</v>
      </c>
      <c r="G687" t="s">
        <v>9</v>
      </c>
      <c r="H687" t="s">
        <v>14</v>
      </c>
    </row>
    <row r="688" spans="1:8" hidden="1" x14ac:dyDescent="0.25">
      <c r="A688" t="s">
        <v>1027</v>
      </c>
      <c r="B688" s="1" t="str">
        <f>HYPERLINK("https://asmlis.vasa.lt/Dashboard/Served?ServiceDateFrom=2025-11-24&amp;ServiceDateTo=2025-11-24&amp;DumpsterInvNr=13-L-317577", "13-L-317577")</f>
        <v>13-L-317577</v>
      </c>
      <c r="C688">
        <v>1.1000000000000001</v>
      </c>
      <c r="D688" t="s">
        <v>1026</v>
      </c>
      <c r="E688" t="s">
        <v>11</v>
      </c>
      <c r="G688" t="s">
        <v>9</v>
      </c>
      <c r="H688" t="s">
        <v>14</v>
      </c>
    </row>
    <row r="689" spans="1:8" hidden="1" x14ac:dyDescent="0.25">
      <c r="A689" t="s">
        <v>1028</v>
      </c>
      <c r="B689" s="1" t="str">
        <f>HYPERLINK("https://asmlis.vasa.lt/Dashboard/Served?ServiceDateFrom=2025-11-24&amp;ServiceDateTo=2025-11-24&amp;DumpsterInvNr=13-L-314941", "13-L-314941")</f>
        <v>13-L-314941</v>
      </c>
      <c r="C689">
        <v>1.1000000000000001</v>
      </c>
      <c r="D689" t="s">
        <v>1029</v>
      </c>
      <c r="E689" t="s">
        <v>11</v>
      </c>
      <c r="F689" t="s">
        <v>13</v>
      </c>
      <c r="G689" t="s">
        <v>9</v>
      </c>
      <c r="H689" t="s">
        <v>14</v>
      </c>
    </row>
    <row r="690" spans="1:8" hidden="1" x14ac:dyDescent="0.25">
      <c r="A690" t="s">
        <v>1030</v>
      </c>
      <c r="B690" s="1" t="str">
        <f>HYPERLINK("https://asmlis.vasa.lt/Dashboard/Served?ServiceDateFrom=2025-11-24&amp;ServiceDateTo=2025-11-24&amp;DumpsterInvNr=13-L-225920", "13-L-225920")</f>
        <v>13-L-225920</v>
      </c>
      <c r="C690">
        <v>1.1000000000000001</v>
      </c>
      <c r="D690" t="s">
        <v>999</v>
      </c>
      <c r="E690" t="s">
        <v>11</v>
      </c>
      <c r="G690" t="s">
        <v>936</v>
      </c>
      <c r="H690" t="s">
        <v>938</v>
      </c>
    </row>
    <row r="691" spans="1:8" hidden="1" x14ac:dyDescent="0.25">
      <c r="A691" t="s">
        <v>1031</v>
      </c>
      <c r="B691" s="1" t="str">
        <f>HYPERLINK("https://asmlis.vasa.lt/Dashboard/Served?ServiceDateFrom=2025-11-24&amp;ServiceDateTo=2025-11-24&amp;DumpsterInvNr=13-L-316081", "13-L-316081")</f>
        <v>13-L-316081</v>
      </c>
      <c r="C691">
        <v>1.1000000000000001</v>
      </c>
      <c r="D691" t="s">
        <v>1026</v>
      </c>
      <c r="E691" t="s">
        <v>11</v>
      </c>
      <c r="F691" t="s">
        <v>13</v>
      </c>
      <c r="G691" t="s">
        <v>9</v>
      </c>
      <c r="H691" t="s">
        <v>14</v>
      </c>
    </row>
    <row r="692" spans="1:8" hidden="1" x14ac:dyDescent="0.25">
      <c r="A692" t="s">
        <v>1032</v>
      </c>
      <c r="B692" s="1" t="str">
        <f>HYPERLINK("https://asmlis.vasa.lt/Dashboard/Served?ServiceDateFrom=2025-11-24&amp;ServiceDateTo=2025-11-24&amp;DumpsterInvNr=13-L-422028", "13-L-422028")</f>
        <v>13-L-422028</v>
      </c>
      <c r="C692">
        <v>5</v>
      </c>
      <c r="D692" t="s">
        <v>1033</v>
      </c>
      <c r="E692" t="s">
        <v>11</v>
      </c>
      <c r="G692" t="s">
        <v>74</v>
      </c>
      <c r="H692" t="s">
        <v>14</v>
      </c>
    </row>
    <row r="693" spans="1:8" hidden="1" x14ac:dyDescent="0.25">
      <c r="A693" t="s">
        <v>1034</v>
      </c>
      <c r="B693" s="1" t="str">
        <f>HYPERLINK("https://asmlis.vasa.lt/Dashboard/Served?ServiceDateFrom=2025-11-24&amp;ServiceDateTo=2025-11-24&amp;DumpsterInvNr=13-L-318508", "13-L-318508")</f>
        <v>13-L-318508</v>
      </c>
      <c r="C693">
        <v>1.1000000000000001</v>
      </c>
      <c r="D693" t="s">
        <v>1026</v>
      </c>
      <c r="E693" t="s">
        <v>11</v>
      </c>
      <c r="F693" t="s">
        <v>13</v>
      </c>
      <c r="G693" t="s">
        <v>9</v>
      </c>
      <c r="H693" t="s">
        <v>14</v>
      </c>
    </row>
    <row r="694" spans="1:8" hidden="1" x14ac:dyDescent="0.25">
      <c r="A694" t="s">
        <v>1034</v>
      </c>
      <c r="B694" s="1" t="str">
        <f>HYPERLINK("https://asmlis.vasa.lt/Dashboard/Served?ServiceDateFrom=2025-11-24&amp;ServiceDateTo=2025-11-24&amp;DumpsterInvNr=13-P-300631", "13-P-300631")</f>
        <v>13-P-300631</v>
      </c>
      <c r="C694">
        <v>1.1000000000000001</v>
      </c>
      <c r="D694" t="s">
        <v>1035</v>
      </c>
      <c r="E694" t="s">
        <v>11</v>
      </c>
      <c r="G694" t="s">
        <v>412</v>
      </c>
      <c r="H694" t="s">
        <v>14</v>
      </c>
    </row>
    <row r="695" spans="1:8" hidden="1" x14ac:dyDescent="0.25">
      <c r="A695" t="s">
        <v>1036</v>
      </c>
      <c r="B695" s="1" t="str">
        <f>HYPERLINK("https://asmlis.vasa.lt/Dashboard/Served?ServiceDateFrom=2025-11-24&amp;ServiceDateTo=2025-11-24&amp;DumpsterInvNr=13-P-416897", "13-P-416897")</f>
        <v>13-P-416897</v>
      </c>
      <c r="C695">
        <v>1.1000000000000001</v>
      </c>
      <c r="D695" t="s">
        <v>1037</v>
      </c>
      <c r="E695" t="s">
        <v>11</v>
      </c>
      <c r="F695" t="s">
        <v>13</v>
      </c>
      <c r="G695" t="s">
        <v>264</v>
      </c>
      <c r="H695" t="s">
        <v>14</v>
      </c>
    </row>
    <row r="696" spans="1:8" hidden="1" x14ac:dyDescent="0.25">
      <c r="A696" t="s">
        <v>1038</v>
      </c>
      <c r="B696" s="1" t="str">
        <f>HYPERLINK("https://asmlis.vasa.lt/Dashboard/Served?ServiceDateFrom=2025-11-24&amp;ServiceDateTo=2025-11-24&amp;DumpsterInvNr=13-L-133428", "13-L-133428")</f>
        <v>13-L-133428</v>
      </c>
      <c r="C696">
        <v>5</v>
      </c>
      <c r="D696" t="s">
        <v>1039</v>
      </c>
      <c r="E696" t="s">
        <v>11</v>
      </c>
      <c r="F696" t="s">
        <v>13</v>
      </c>
      <c r="G696" t="s">
        <v>430</v>
      </c>
      <c r="H696" t="s">
        <v>432</v>
      </c>
    </row>
    <row r="697" spans="1:8" hidden="1" x14ac:dyDescent="0.25">
      <c r="A697" t="s">
        <v>1040</v>
      </c>
      <c r="B697" s="1" t="str">
        <f>HYPERLINK("https://asmlis.vasa.lt/Dashboard/Served?ServiceDateFrom=2025-11-24&amp;ServiceDateTo=2025-11-24&amp;DumpsterInvNr=13-P-300465", "13-P-300465")</f>
        <v>13-P-300465</v>
      </c>
      <c r="C697">
        <v>1.1000000000000001</v>
      </c>
      <c r="D697" t="s">
        <v>1035</v>
      </c>
      <c r="E697" t="s">
        <v>11</v>
      </c>
      <c r="F697" t="s">
        <v>13</v>
      </c>
      <c r="G697" t="s">
        <v>412</v>
      </c>
      <c r="H697" t="s">
        <v>14</v>
      </c>
    </row>
    <row r="698" spans="1:8" hidden="1" x14ac:dyDescent="0.25">
      <c r="A698" t="s">
        <v>1041</v>
      </c>
      <c r="B698" s="1" t="str">
        <f>HYPERLINK("https://asmlis.vasa.lt/Dashboard/Served?ServiceDateFrom=2025-11-24&amp;ServiceDateTo=2025-11-24&amp;DumpsterInvNr=13-L-317136", "13-L-317136")</f>
        <v>13-L-317136</v>
      </c>
      <c r="C698">
        <v>1.1000000000000001</v>
      </c>
      <c r="D698" t="s">
        <v>1042</v>
      </c>
      <c r="E698" t="s">
        <v>11</v>
      </c>
      <c r="G698" t="s">
        <v>9</v>
      </c>
      <c r="H698" t="s">
        <v>14</v>
      </c>
    </row>
    <row r="699" spans="1:8" hidden="1" x14ac:dyDescent="0.25">
      <c r="A699" t="s">
        <v>1043</v>
      </c>
      <c r="B699" s="1" t="str">
        <f>HYPERLINK("https://asmlis.vasa.lt/Dashboard/Served?ServiceDateFrom=2025-11-24&amp;ServiceDateTo=2025-11-24&amp;DumpsterInvNr=13-P-204872", "13-P-204872")</f>
        <v>13-P-204872</v>
      </c>
      <c r="C699">
        <v>5</v>
      </c>
      <c r="D699" t="s">
        <v>1044</v>
      </c>
      <c r="E699" t="s">
        <v>11</v>
      </c>
      <c r="F699" t="s">
        <v>13</v>
      </c>
      <c r="G699" t="s">
        <v>234</v>
      </c>
      <c r="H699" t="s">
        <v>14</v>
      </c>
    </row>
    <row r="700" spans="1:8" hidden="1" x14ac:dyDescent="0.25">
      <c r="A700" t="s">
        <v>1045</v>
      </c>
      <c r="B700" s="1" t="str">
        <f>HYPERLINK("https://asmlis.vasa.lt/Dashboard/Served?ServiceDateFrom=2025-11-24&amp;ServiceDateTo=2025-11-24&amp;DumpsterInvNr=13-L-308031", "13-L-308031")</f>
        <v>13-L-308031</v>
      </c>
      <c r="C700">
        <v>1.1000000000000001</v>
      </c>
      <c r="D700" t="s">
        <v>1046</v>
      </c>
      <c r="E700" t="s">
        <v>11</v>
      </c>
      <c r="G700" t="s">
        <v>9</v>
      </c>
      <c r="H700" t="s">
        <v>14</v>
      </c>
    </row>
    <row r="701" spans="1:8" hidden="1" x14ac:dyDescent="0.25">
      <c r="A701" t="s">
        <v>1047</v>
      </c>
      <c r="B701" s="1" t="str">
        <f>HYPERLINK("https://asmlis.vasa.lt/Dashboard/Served?ServiceDateFrom=2025-11-24&amp;ServiceDateTo=2025-11-24&amp;DumpsterInvNr=13-L-317749", "13-L-317749")</f>
        <v>13-L-317749</v>
      </c>
      <c r="C701">
        <v>1.1000000000000001</v>
      </c>
      <c r="D701" t="s">
        <v>1048</v>
      </c>
      <c r="E701" t="s">
        <v>11</v>
      </c>
      <c r="G701" t="s">
        <v>9</v>
      </c>
      <c r="H701" t="s">
        <v>14</v>
      </c>
    </row>
    <row r="702" spans="1:8" hidden="1" x14ac:dyDescent="0.25">
      <c r="A702" t="s">
        <v>1047</v>
      </c>
      <c r="B702" s="1" t="str">
        <f>HYPERLINK("https://asmlis.vasa.lt/Dashboard/Served?ServiceDateFrom=2025-11-24&amp;ServiceDateTo=2025-11-24&amp;DumpsterInvNr=13-L-424229", "13-L-424229")</f>
        <v>13-L-424229</v>
      </c>
      <c r="C702">
        <v>5</v>
      </c>
      <c r="D702" t="s">
        <v>1049</v>
      </c>
      <c r="E702" t="s">
        <v>11</v>
      </c>
      <c r="G702" t="s">
        <v>74</v>
      </c>
      <c r="H702" t="s">
        <v>14</v>
      </c>
    </row>
    <row r="703" spans="1:8" hidden="1" x14ac:dyDescent="0.25">
      <c r="A703" t="s">
        <v>1050</v>
      </c>
      <c r="B703" s="1" t="str">
        <f>HYPERLINK("https://asmlis.vasa.lt/Dashboard/Served?ServiceDateFrom=2025-11-24&amp;ServiceDateTo=2025-11-24&amp;DumpsterInvNr=13-P-302632", "13-P-302632")</f>
        <v>13-P-302632</v>
      </c>
      <c r="C703">
        <v>5</v>
      </c>
      <c r="D703" t="s">
        <v>1051</v>
      </c>
      <c r="E703" t="s">
        <v>11</v>
      </c>
      <c r="G703" t="s">
        <v>412</v>
      </c>
      <c r="H703" t="s">
        <v>14</v>
      </c>
    </row>
    <row r="704" spans="1:8" hidden="1" x14ac:dyDescent="0.25">
      <c r="A704" t="s">
        <v>1052</v>
      </c>
      <c r="B704" s="1" t="str">
        <f>HYPERLINK("https://asmlis.vasa.lt/Dashboard/Served?ServiceDateFrom=2025-11-24&amp;ServiceDateTo=2025-11-24&amp;DumpsterInvNr=13-L-425033", "13-L-425033")</f>
        <v>13-L-425033</v>
      </c>
      <c r="C704">
        <v>1.1000000000000001</v>
      </c>
      <c r="D704" t="s">
        <v>1053</v>
      </c>
      <c r="E704" t="s">
        <v>11</v>
      </c>
      <c r="G704" t="s">
        <v>74</v>
      </c>
      <c r="H704" t="s">
        <v>14</v>
      </c>
    </row>
    <row r="705" spans="1:8" hidden="1" x14ac:dyDescent="0.25">
      <c r="A705" t="s">
        <v>1054</v>
      </c>
      <c r="B705" s="1" t="str">
        <f>HYPERLINK("https://asmlis.vasa.lt/Dashboard/Served?ServiceDateFrom=2025-11-24&amp;ServiceDateTo=2025-11-24&amp;DumpsterInvNr=13-P-301770", "13-P-301770")</f>
        <v>13-P-301770</v>
      </c>
      <c r="C705">
        <v>1.1000000000000001</v>
      </c>
      <c r="D705" t="s">
        <v>1055</v>
      </c>
      <c r="E705" t="s">
        <v>11</v>
      </c>
      <c r="G705" t="s">
        <v>412</v>
      </c>
      <c r="H705" t="s">
        <v>14</v>
      </c>
    </row>
    <row r="706" spans="1:8" hidden="1" x14ac:dyDescent="0.25">
      <c r="A706" t="s">
        <v>1056</v>
      </c>
      <c r="B706" s="1" t="str">
        <f>HYPERLINK("https://asmlis.vasa.lt/Dashboard/Served?ServiceDateFrom=2025-11-24&amp;ServiceDateTo=2025-11-24&amp;DumpsterInvNr=13-L-319647", "13-L-319647")</f>
        <v>13-L-319647</v>
      </c>
      <c r="C706">
        <v>1.1000000000000001</v>
      </c>
      <c r="D706" t="s">
        <v>1057</v>
      </c>
      <c r="E706" t="s">
        <v>11</v>
      </c>
      <c r="G706" t="s">
        <v>9</v>
      </c>
      <c r="H706" t="s">
        <v>432</v>
      </c>
    </row>
    <row r="707" spans="1:8" hidden="1" x14ac:dyDescent="0.25">
      <c r="A707" t="s">
        <v>1058</v>
      </c>
      <c r="B707" s="1" t="str">
        <f>HYPERLINK("https://asmlis.vasa.lt/Dashboard/Served?ServiceDateFrom=2025-11-24&amp;ServiceDateTo=2025-11-24&amp;DumpsterInvNr=13-L-425032", "13-L-425032")</f>
        <v>13-L-425032</v>
      </c>
      <c r="C707">
        <v>1.1000000000000001</v>
      </c>
      <c r="D707" t="s">
        <v>1053</v>
      </c>
      <c r="E707" t="s">
        <v>11</v>
      </c>
      <c r="G707" t="s">
        <v>74</v>
      </c>
      <c r="H707" t="s">
        <v>14</v>
      </c>
    </row>
    <row r="708" spans="1:8" hidden="1" x14ac:dyDescent="0.25">
      <c r="A708" t="s">
        <v>1059</v>
      </c>
      <c r="B708" s="1" t="str">
        <f>HYPERLINK("https://asmlis.vasa.lt/Dashboard/Served?ServiceDateFrom=2025-11-24&amp;ServiceDateTo=2025-11-24&amp;DumpsterInvNr=13-P-301694", "13-P-301694")</f>
        <v>13-P-301694</v>
      </c>
      <c r="C708">
        <v>1.1000000000000001</v>
      </c>
      <c r="D708" t="s">
        <v>1055</v>
      </c>
      <c r="E708" t="s">
        <v>11</v>
      </c>
      <c r="F708" t="s">
        <v>13</v>
      </c>
      <c r="G708" t="s">
        <v>412</v>
      </c>
      <c r="H708" t="s">
        <v>14</v>
      </c>
    </row>
    <row r="709" spans="1:8" hidden="1" x14ac:dyDescent="0.25">
      <c r="A709" t="s">
        <v>1060</v>
      </c>
      <c r="B709" s="1" t="str">
        <f>HYPERLINK("https://asmlis.vasa.lt/Dashboard/Served?ServiceDateFrom=2025-11-24&amp;ServiceDateTo=2025-11-24&amp;DumpsterInvNr=13-L-218409", "13-L-218409")</f>
        <v>13-L-218409</v>
      </c>
      <c r="C709">
        <v>1.1000000000000001</v>
      </c>
      <c r="D709" t="s">
        <v>1061</v>
      </c>
      <c r="E709" t="s">
        <v>11</v>
      </c>
      <c r="G709" t="s">
        <v>936</v>
      </c>
      <c r="H709" t="s">
        <v>938</v>
      </c>
    </row>
    <row r="710" spans="1:8" hidden="1" x14ac:dyDescent="0.25">
      <c r="A710" t="s">
        <v>1062</v>
      </c>
      <c r="B710" s="1" t="str">
        <f>HYPERLINK("https://asmlis.vasa.lt/Dashboard/Served?ServiceDateFrom=2025-11-24&amp;ServiceDateTo=2025-11-24&amp;DumpsterInvNr=13-L-319648", "13-L-319648")</f>
        <v>13-L-319648</v>
      </c>
      <c r="C710">
        <v>1.1000000000000001</v>
      </c>
      <c r="D710" t="s">
        <v>1057</v>
      </c>
      <c r="E710" t="s">
        <v>11</v>
      </c>
      <c r="G710" t="s">
        <v>9</v>
      </c>
      <c r="H710" t="s">
        <v>432</v>
      </c>
    </row>
    <row r="711" spans="1:8" hidden="1" x14ac:dyDescent="0.25">
      <c r="A711" t="s">
        <v>1063</v>
      </c>
      <c r="B711" s="1" t="str">
        <f>HYPERLINK("https://asmlis.vasa.lt/Dashboard/Served?ServiceDateFrom=2025-11-24&amp;ServiceDateTo=2025-11-24&amp;DumpsterInvNr=13-L-317748", "13-L-317748")</f>
        <v>13-L-317748</v>
      </c>
      <c r="C711">
        <v>1.1000000000000001</v>
      </c>
      <c r="D711" t="s">
        <v>1046</v>
      </c>
      <c r="E711" t="s">
        <v>11</v>
      </c>
      <c r="G711" t="s">
        <v>9</v>
      </c>
      <c r="H711" t="s">
        <v>14</v>
      </c>
    </row>
    <row r="712" spans="1:8" hidden="1" x14ac:dyDescent="0.25">
      <c r="A712" t="s">
        <v>1064</v>
      </c>
      <c r="B712" s="1" t="str">
        <f>HYPERLINK("https://asmlis.vasa.lt/Dashboard/Served?ServiceDateFrom=2025-11-24&amp;ServiceDateTo=2025-11-24&amp;DumpsterInvNr=13-L-223790", "13-L-223790")</f>
        <v>13-L-223790</v>
      </c>
      <c r="C712">
        <v>1.1000000000000001</v>
      </c>
      <c r="D712" t="s">
        <v>1061</v>
      </c>
      <c r="E712" t="s">
        <v>11</v>
      </c>
      <c r="G712" t="s">
        <v>936</v>
      </c>
      <c r="H712" t="s">
        <v>938</v>
      </c>
    </row>
    <row r="713" spans="1:8" hidden="1" x14ac:dyDescent="0.25">
      <c r="A713" t="s">
        <v>1012</v>
      </c>
      <c r="B713" s="1" t="str">
        <f>HYPERLINK("https://asmlis.vasa.lt/Dashboard/Served?ServiceDateFrom=2025-11-24&amp;ServiceDateTo=2025-11-24&amp;DumpsterInvNr=13-L-313596", "13-L-313596")</f>
        <v>13-L-313596</v>
      </c>
      <c r="C713">
        <v>1.1000000000000001</v>
      </c>
      <c r="D713" t="s">
        <v>1065</v>
      </c>
      <c r="E713" t="s">
        <v>11</v>
      </c>
      <c r="G713" t="s">
        <v>9</v>
      </c>
      <c r="H713" t="s">
        <v>14</v>
      </c>
    </row>
    <row r="714" spans="1:8" hidden="1" x14ac:dyDescent="0.25">
      <c r="A714" t="s">
        <v>1066</v>
      </c>
      <c r="B714" s="1" t="str">
        <f>HYPERLINK("https://asmlis.vasa.lt/Dashboard/Served?ServiceDateFrom=2025-11-24&amp;ServiceDateTo=2025-11-24&amp;DumpsterInvNr=13-P-204915", "13-P-204915")</f>
        <v>13-P-204915</v>
      </c>
      <c r="C714">
        <v>5</v>
      </c>
      <c r="D714" t="s">
        <v>1067</v>
      </c>
      <c r="E714" t="s">
        <v>11</v>
      </c>
      <c r="G714" t="s">
        <v>234</v>
      </c>
      <c r="H714" t="s">
        <v>14</v>
      </c>
    </row>
    <row r="715" spans="1:8" hidden="1" x14ac:dyDescent="0.25">
      <c r="A715" t="s">
        <v>1068</v>
      </c>
      <c r="B715" s="1" t="str">
        <f>HYPERLINK("https://asmlis.vasa.lt/Dashboard/Served?ServiceDateFrom=2025-11-24&amp;ServiceDateTo=2025-11-24&amp;DumpsterInvNr=13-L-315995", "13-L-315995")</f>
        <v>13-L-315995</v>
      </c>
      <c r="C715">
        <v>1.1000000000000001</v>
      </c>
      <c r="D715" t="s">
        <v>1069</v>
      </c>
      <c r="E715" t="s">
        <v>11</v>
      </c>
      <c r="G715" t="s">
        <v>9</v>
      </c>
      <c r="H715" t="s">
        <v>14</v>
      </c>
    </row>
    <row r="716" spans="1:8" hidden="1" x14ac:dyDescent="0.25">
      <c r="A716" t="s">
        <v>1070</v>
      </c>
      <c r="B716" s="1" t="str">
        <f>HYPERLINK("https://asmlis.vasa.lt/Dashboard/Served?ServiceDateFrom=2025-11-24&amp;ServiceDateTo=2025-11-24&amp;DumpsterInvNr=13-L-318262", "13-L-318262")</f>
        <v>13-L-318262</v>
      </c>
      <c r="C716">
        <v>1.1000000000000001</v>
      </c>
      <c r="D716" t="s">
        <v>1071</v>
      </c>
      <c r="E716" t="s">
        <v>11</v>
      </c>
      <c r="G716" t="s">
        <v>9</v>
      </c>
      <c r="H716" t="s">
        <v>14</v>
      </c>
    </row>
    <row r="717" spans="1:8" hidden="1" x14ac:dyDescent="0.25">
      <c r="A717" t="s">
        <v>1072</v>
      </c>
      <c r="B717" s="1" t="str">
        <f>HYPERLINK("https://asmlis.vasa.lt/Dashboard/Served?ServiceDateFrom=2025-11-24&amp;ServiceDateTo=2025-11-24&amp;DumpsterInvNr=13-L-318226", "13-L-318226")</f>
        <v>13-L-318226</v>
      </c>
      <c r="C717">
        <v>1.1000000000000001</v>
      </c>
      <c r="D717" t="s">
        <v>1073</v>
      </c>
      <c r="E717" t="s">
        <v>11</v>
      </c>
      <c r="G717" t="s">
        <v>9</v>
      </c>
      <c r="H717" t="s">
        <v>14</v>
      </c>
    </row>
    <row r="718" spans="1:8" hidden="1" x14ac:dyDescent="0.25">
      <c r="A718" t="s">
        <v>1074</v>
      </c>
      <c r="B718" s="1" t="str">
        <f>HYPERLINK("https://asmlis.vasa.lt/Dashboard/Served?ServiceDateFrom=2025-11-24&amp;ServiceDateTo=2025-11-24&amp;DumpsterInvNr=13-L-145564", "13-L-145564")</f>
        <v>13-L-145564</v>
      </c>
      <c r="C718">
        <v>5</v>
      </c>
      <c r="D718" t="s">
        <v>1075</v>
      </c>
      <c r="E718" t="s">
        <v>11</v>
      </c>
      <c r="F718" t="s">
        <v>13</v>
      </c>
      <c r="G718" t="s">
        <v>430</v>
      </c>
      <c r="H718" t="s">
        <v>432</v>
      </c>
    </row>
    <row r="719" spans="1:8" hidden="1" x14ac:dyDescent="0.25">
      <c r="A719" t="s">
        <v>1076</v>
      </c>
      <c r="B719" s="1" t="str">
        <f>HYPERLINK("https://asmlis.vasa.lt/Dashboard/Served?ServiceDateFrom=2025-11-24&amp;ServiceDateTo=2025-11-24&amp;DumpsterInvNr=13-L-300684", "13-L-300684")</f>
        <v>13-L-300684</v>
      </c>
      <c r="C719">
        <v>1.1000000000000001</v>
      </c>
      <c r="D719" t="s">
        <v>1069</v>
      </c>
      <c r="E719" t="s">
        <v>11</v>
      </c>
      <c r="F719" t="s">
        <v>13</v>
      </c>
      <c r="G719" t="s">
        <v>9</v>
      </c>
      <c r="H719" t="s">
        <v>14</v>
      </c>
    </row>
    <row r="720" spans="1:8" hidden="1" x14ac:dyDescent="0.25">
      <c r="A720" t="s">
        <v>1077</v>
      </c>
      <c r="B720" s="1" t="str">
        <f>HYPERLINK("https://asmlis.vasa.lt/Dashboard/Served?ServiceDateFrom=2025-11-24&amp;ServiceDateTo=2025-11-24&amp;DumpsterInvNr=13-L-315383", "13-L-315383")</f>
        <v>13-L-315383</v>
      </c>
      <c r="C720">
        <v>1.1000000000000001</v>
      </c>
      <c r="D720" t="s">
        <v>1071</v>
      </c>
      <c r="E720" t="s">
        <v>11</v>
      </c>
      <c r="G720" t="s">
        <v>9</v>
      </c>
      <c r="H720" t="s">
        <v>14</v>
      </c>
    </row>
    <row r="721" spans="1:8" hidden="1" x14ac:dyDescent="0.25">
      <c r="A721" t="s">
        <v>1078</v>
      </c>
      <c r="B721" s="1" t="str">
        <f>HYPERLINK("https://asmlis.vasa.lt/Dashboard/Served?ServiceDateFrom=2025-11-24&amp;ServiceDateTo=2025-11-24&amp;DumpsterInvNr=13-L-310771", "13-L-310771")</f>
        <v>13-L-310771</v>
      </c>
      <c r="C721">
        <v>1.1000000000000001</v>
      </c>
      <c r="D721" t="s">
        <v>1069</v>
      </c>
      <c r="E721" t="s">
        <v>11</v>
      </c>
      <c r="F721" t="s">
        <v>13</v>
      </c>
      <c r="G721" t="s">
        <v>9</v>
      </c>
      <c r="H721" t="s">
        <v>14</v>
      </c>
    </row>
    <row r="722" spans="1:8" hidden="1" x14ac:dyDescent="0.25">
      <c r="A722" t="s">
        <v>1079</v>
      </c>
      <c r="B722" s="1" t="str">
        <f>HYPERLINK("https://asmlis.vasa.lt/Dashboard/Served?ServiceDateFrom=2025-11-24&amp;ServiceDateTo=2025-11-24&amp;DumpsterInvNr=13-L-422770", "13-L-422770")</f>
        <v>13-L-422770</v>
      </c>
      <c r="C722">
        <v>1.1000000000000001</v>
      </c>
      <c r="D722" t="s">
        <v>1080</v>
      </c>
      <c r="E722" t="s">
        <v>11</v>
      </c>
      <c r="G722" t="s">
        <v>74</v>
      </c>
      <c r="H722" t="s">
        <v>14</v>
      </c>
    </row>
    <row r="723" spans="1:8" hidden="1" x14ac:dyDescent="0.25">
      <c r="A723" t="s">
        <v>1081</v>
      </c>
      <c r="B723" s="1" t="str">
        <f>HYPERLINK("https://asmlis.vasa.lt/Dashboard/Served?ServiceDateFrom=2025-11-24&amp;ServiceDateTo=2025-11-24&amp;DumpsterInvNr=13-L-225758", "13-L-225758")</f>
        <v>13-L-225758</v>
      </c>
      <c r="C723">
        <v>1.1000000000000001</v>
      </c>
      <c r="D723" t="s">
        <v>1082</v>
      </c>
      <c r="E723" t="s">
        <v>11</v>
      </c>
      <c r="G723" t="s">
        <v>936</v>
      </c>
      <c r="H723" t="s">
        <v>938</v>
      </c>
    </row>
    <row r="724" spans="1:8" hidden="1" x14ac:dyDescent="0.25">
      <c r="A724" t="s">
        <v>1083</v>
      </c>
      <c r="B724" s="1" t="str">
        <f>HYPERLINK("https://asmlis.vasa.lt/Dashboard/Served?ServiceDateFrom=2025-11-24&amp;ServiceDateTo=2025-11-24&amp;DumpsterInvNr=13-P-409098", "13-P-409098")</f>
        <v>13-P-409098</v>
      </c>
      <c r="C724">
        <v>1.1000000000000001</v>
      </c>
      <c r="D724" t="s">
        <v>1084</v>
      </c>
      <c r="E724" t="s">
        <v>11</v>
      </c>
      <c r="F724" t="s">
        <v>13</v>
      </c>
      <c r="G724" t="s">
        <v>264</v>
      </c>
      <c r="H724" t="s">
        <v>14</v>
      </c>
    </row>
    <row r="725" spans="1:8" hidden="1" x14ac:dyDescent="0.25">
      <c r="A725" t="s">
        <v>1085</v>
      </c>
      <c r="B725" s="1" t="str">
        <f>HYPERLINK("https://asmlis.vasa.lt/Dashboard/Served?ServiceDateFrom=2025-11-24&amp;ServiceDateTo=2025-11-24&amp;DumpsterInvNr=13-L-319646", "13-L-319646")</f>
        <v>13-L-319646</v>
      </c>
      <c r="C725">
        <v>1.1000000000000001</v>
      </c>
      <c r="D725" t="s">
        <v>1057</v>
      </c>
      <c r="E725" t="s">
        <v>11</v>
      </c>
      <c r="F725" t="s">
        <v>13</v>
      </c>
      <c r="G725" t="s">
        <v>9</v>
      </c>
      <c r="H725" t="s">
        <v>432</v>
      </c>
    </row>
    <row r="726" spans="1:8" hidden="1" x14ac:dyDescent="0.25">
      <c r="A726" t="s">
        <v>1086</v>
      </c>
      <c r="B726" s="1" t="str">
        <f>HYPERLINK("https://asmlis.vasa.lt/Dashboard/Served?ServiceDateFrom=2025-11-24&amp;ServiceDateTo=2025-11-24&amp;DumpsterInvNr=13-L-319649", "13-L-319649")</f>
        <v>13-L-319649</v>
      </c>
      <c r="C726">
        <v>1.1000000000000001</v>
      </c>
      <c r="D726" t="s">
        <v>1057</v>
      </c>
      <c r="E726" t="s">
        <v>11</v>
      </c>
      <c r="F726" t="s">
        <v>13</v>
      </c>
      <c r="G726" t="s">
        <v>9</v>
      </c>
      <c r="H726" t="s">
        <v>432</v>
      </c>
    </row>
    <row r="727" spans="1:8" hidden="1" x14ac:dyDescent="0.25">
      <c r="A727" t="s">
        <v>1087</v>
      </c>
      <c r="B727" s="1" t="str">
        <f>HYPERLINK("https://asmlis.vasa.lt/Dashboard/Served?ServiceDateFrom=2025-11-24&amp;ServiceDateTo=2025-11-24&amp;DumpsterInvNr=13-L-318137", "13-L-318137")</f>
        <v>13-L-318137</v>
      </c>
      <c r="C727">
        <v>1.1000000000000001</v>
      </c>
      <c r="D727" t="s">
        <v>1088</v>
      </c>
      <c r="E727" t="s">
        <v>11</v>
      </c>
      <c r="G727" t="s">
        <v>9</v>
      </c>
      <c r="H727" t="s">
        <v>14</v>
      </c>
    </row>
    <row r="728" spans="1:8" hidden="1" x14ac:dyDescent="0.25">
      <c r="A728" t="s">
        <v>1089</v>
      </c>
      <c r="B728" s="1" t="str">
        <f>HYPERLINK("https://asmlis.vasa.lt/Dashboard/Served?ServiceDateFrom=2025-11-24&amp;ServiceDateTo=2025-11-24&amp;DumpsterInvNr=13-L-422768", "13-L-422768")</f>
        <v>13-L-422768</v>
      </c>
      <c r="C728">
        <v>1.1000000000000001</v>
      </c>
      <c r="D728" t="s">
        <v>1080</v>
      </c>
      <c r="E728" t="s">
        <v>11</v>
      </c>
      <c r="G728" t="s">
        <v>74</v>
      </c>
      <c r="H728" t="s">
        <v>14</v>
      </c>
    </row>
    <row r="729" spans="1:8" hidden="1" x14ac:dyDescent="0.25">
      <c r="A729" t="s">
        <v>1090</v>
      </c>
      <c r="B729" s="1" t="str">
        <f>HYPERLINK("https://asmlis.vasa.lt/Dashboard/Served?ServiceDateFrom=2025-11-24&amp;ServiceDateTo=2025-11-24&amp;DumpsterInvNr=13-L-318263", "13-L-318263")</f>
        <v>13-L-318263</v>
      </c>
      <c r="C729">
        <v>1.1000000000000001</v>
      </c>
      <c r="D729" t="s">
        <v>1091</v>
      </c>
      <c r="E729" t="s">
        <v>11</v>
      </c>
      <c r="G729" t="s">
        <v>9</v>
      </c>
      <c r="H729" t="s">
        <v>14</v>
      </c>
    </row>
    <row r="730" spans="1:8" hidden="1" x14ac:dyDescent="0.25">
      <c r="A730" t="s">
        <v>1092</v>
      </c>
      <c r="B730" s="1" t="str">
        <f>HYPERLINK("https://asmlis.vasa.lt/Dashboard/Served?ServiceDateFrom=2025-11-24&amp;ServiceDateTo=2025-11-24&amp;DumpsterInvNr=13-L-147470", "13-L-147470")</f>
        <v>13-L-147470</v>
      </c>
      <c r="C730">
        <v>5</v>
      </c>
      <c r="D730" t="s">
        <v>1093</v>
      </c>
      <c r="E730" t="s">
        <v>11</v>
      </c>
      <c r="F730" t="s">
        <v>13</v>
      </c>
      <c r="G730" t="s">
        <v>430</v>
      </c>
      <c r="H730" t="s">
        <v>432</v>
      </c>
    </row>
    <row r="731" spans="1:8" hidden="1" x14ac:dyDescent="0.25">
      <c r="A731" t="s">
        <v>1094</v>
      </c>
      <c r="B731" s="1" t="str">
        <f>HYPERLINK("https://asmlis.vasa.lt/Dashboard/Served?ServiceDateFrom=2025-11-24&amp;ServiceDateTo=2025-11-24&amp;DumpsterInvNr=13-L-317609", "13-L-317609")</f>
        <v>13-L-317609</v>
      </c>
      <c r="C731">
        <v>0.77</v>
      </c>
      <c r="D731" t="s">
        <v>1095</v>
      </c>
      <c r="E731" t="s">
        <v>11</v>
      </c>
      <c r="G731" t="s">
        <v>9</v>
      </c>
      <c r="H731" t="s">
        <v>14</v>
      </c>
    </row>
    <row r="732" spans="1:8" hidden="1" x14ac:dyDescent="0.25">
      <c r="A732" t="s">
        <v>1096</v>
      </c>
      <c r="B732" s="1" t="str">
        <f>HYPERLINK("https://asmlis.vasa.lt/Dashboard/Served?ServiceDateFrom=2025-11-24&amp;ServiceDateTo=2025-11-24&amp;DumpsterInvNr=13-L-421052", "13-L-421052")</f>
        <v>13-L-421052</v>
      </c>
      <c r="C732">
        <v>1.1000000000000001</v>
      </c>
      <c r="D732" t="s">
        <v>1080</v>
      </c>
      <c r="E732" t="s">
        <v>11</v>
      </c>
      <c r="G732" t="s">
        <v>74</v>
      </c>
      <c r="H732" t="s">
        <v>14</v>
      </c>
    </row>
    <row r="733" spans="1:8" hidden="1" x14ac:dyDescent="0.25">
      <c r="A733" t="s">
        <v>1096</v>
      </c>
      <c r="B733" s="1" t="str">
        <f>HYPERLINK("https://asmlis.vasa.lt/Dashboard/Served?ServiceDateFrom=2025-11-24&amp;ServiceDateTo=2025-11-24&amp;DumpsterInvNr=13-P-302613", "13-P-302613")</f>
        <v>13-P-302613</v>
      </c>
      <c r="C733">
        <v>5</v>
      </c>
      <c r="D733" t="s">
        <v>1097</v>
      </c>
      <c r="E733" t="s">
        <v>11</v>
      </c>
      <c r="G733" t="s">
        <v>412</v>
      </c>
      <c r="H733" t="s">
        <v>14</v>
      </c>
    </row>
    <row r="734" spans="1:8" hidden="1" x14ac:dyDescent="0.25">
      <c r="A734" t="s">
        <v>1098</v>
      </c>
      <c r="B734" s="1" t="str">
        <f>HYPERLINK("https://asmlis.vasa.lt/Dashboard/Served?ServiceDateFrom=2025-11-24&amp;ServiceDateTo=2025-11-24&amp;DumpsterInvNr=13-L-423229", "13-L-423229")</f>
        <v>13-L-423229</v>
      </c>
      <c r="C734">
        <v>5</v>
      </c>
      <c r="D734" t="s">
        <v>1099</v>
      </c>
      <c r="E734" t="s">
        <v>11</v>
      </c>
      <c r="F734" t="s">
        <v>13</v>
      </c>
      <c r="G734" t="s">
        <v>74</v>
      </c>
      <c r="H734" t="s">
        <v>14</v>
      </c>
    </row>
    <row r="735" spans="1:8" hidden="1" x14ac:dyDescent="0.25">
      <c r="A735" t="s">
        <v>1100</v>
      </c>
      <c r="B735" s="1" t="str">
        <f>HYPERLINK("https://asmlis.vasa.lt/Dashboard/Served?ServiceDateFrom=2025-11-24&amp;ServiceDateTo=2025-11-24&amp;DumpsterInvNr=13-L-306334", "13-L-306334")</f>
        <v>13-L-306334</v>
      </c>
      <c r="C735">
        <v>5</v>
      </c>
      <c r="D735" t="s">
        <v>1101</v>
      </c>
      <c r="E735" t="s">
        <v>11</v>
      </c>
      <c r="F735" t="s">
        <v>13</v>
      </c>
      <c r="G735" t="s">
        <v>9</v>
      </c>
      <c r="H735" t="s">
        <v>14</v>
      </c>
    </row>
    <row r="736" spans="1:8" hidden="1" x14ac:dyDescent="0.25">
      <c r="A736" t="s">
        <v>1102</v>
      </c>
      <c r="B736" s="1" t="str">
        <f>HYPERLINK("https://asmlis.vasa.lt/Dashboard/Served?ServiceDateFrom=2025-11-24&amp;ServiceDateTo=2025-11-24&amp;DumpsterInvNr=13-P-301886", "13-P-301886")</f>
        <v>13-P-301886</v>
      </c>
      <c r="C736">
        <v>1.1000000000000001</v>
      </c>
      <c r="D736" t="s">
        <v>911</v>
      </c>
      <c r="E736" t="s">
        <v>11</v>
      </c>
      <c r="G736" t="s">
        <v>412</v>
      </c>
      <c r="H736" t="s">
        <v>14</v>
      </c>
    </row>
    <row r="737" spans="1:8" hidden="1" x14ac:dyDescent="0.25">
      <c r="A737" t="s">
        <v>1103</v>
      </c>
      <c r="B737" s="1" t="str">
        <f>HYPERLINK("https://asmlis.vasa.lt/Dashboard/Served?ServiceDateFrom=2025-11-24&amp;ServiceDateTo=2025-11-24&amp;DumpsterInvNr=13-L-425944", "13-L-425944")</f>
        <v>13-L-425944</v>
      </c>
      <c r="C737">
        <v>1.1000000000000001</v>
      </c>
      <c r="D737" t="s">
        <v>1080</v>
      </c>
      <c r="E737" t="s">
        <v>11</v>
      </c>
      <c r="F737" t="s">
        <v>13</v>
      </c>
      <c r="G737" t="s">
        <v>74</v>
      </c>
      <c r="H737" t="s">
        <v>14</v>
      </c>
    </row>
    <row r="738" spans="1:8" hidden="1" x14ac:dyDescent="0.25">
      <c r="A738" t="s">
        <v>1104</v>
      </c>
      <c r="B738" s="1" t="str">
        <f>HYPERLINK("https://asmlis.vasa.lt/Dashboard/Served?ServiceDateFrom=2025-11-24&amp;ServiceDateTo=2025-11-24&amp;DumpsterInvNr=13-P-306943", "13-P-306943")</f>
        <v>13-P-306943</v>
      </c>
      <c r="C738">
        <v>1.1000000000000001</v>
      </c>
      <c r="D738" t="s">
        <v>911</v>
      </c>
      <c r="E738" t="s">
        <v>11</v>
      </c>
      <c r="F738" t="s">
        <v>13</v>
      </c>
      <c r="G738" t="s">
        <v>412</v>
      </c>
      <c r="H738" t="s">
        <v>14</v>
      </c>
    </row>
    <row r="739" spans="1:8" hidden="1" x14ac:dyDescent="0.25">
      <c r="A739" t="s">
        <v>1105</v>
      </c>
      <c r="B739" s="1" t="str">
        <f>HYPERLINK("https://asmlis.vasa.lt/Dashboard/Served?ServiceDateFrom=2025-11-24&amp;ServiceDateTo=2025-11-24&amp;DumpsterInvNr=13-P-300224", "13-P-300224")</f>
        <v>13-P-300224</v>
      </c>
      <c r="C739">
        <v>1.1000000000000001</v>
      </c>
      <c r="D739" t="s">
        <v>911</v>
      </c>
      <c r="E739" t="s">
        <v>11</v>
      </c>
      <c r="F739" t="s">
        <v>13</v>
      </c>
      <c r="G739" t="s">
        <v>412</v>
      </c>
      <c r="H739" t="s">
        <v>14</v>
      </c>
    </row>
    <row r="740" spans="1:8" hidden="1" x14ac:dyDescent="0.25">
      <c r="A740" t="s">
        <v>1106</v>
      </c>
      <c r="B740" s="1" t="str">
        <f>HYPERLINK("https://asmlis.vasa.lt/Dashboard/Served?ServiceDateFrom=2025-11-24&amp;ServiceDateTo=2025-11-24&amp;DumpsterInvNr=13-L-314611", "13-L-314611")</f>
        <v>13-L-314611</v>
      </c>
      <c r="C740">
        <v>1.1000000000000001</v>
      </c>
      <c r="D740" t="s">
        <v>1107</v>
      </c>
      <c r="E740" t="s">
        <v>11</v>
      </c>
      <c r="G740" t="s">
        <v>9</v>
      </c>
      <c r="H740" t="s">
        <v>14</v>
      </c>
    </row>
    <row r="741" spans="1:8" hidden="1" x14ac:dyDescent="0.25">
      <c r="A741" t="s">
        <v>1108</v>
      </c>
      <c r="B741" s="1" t="str">
        <f>HYPERLINK("https://asmlis.vasa.lt/Dashboard/Served?ServiceDateFrom=2025-11-24&amp;ServiceDateTo=2025-11-24&amp;DumpsterInvNr=13-P-300839", "13-P-300839")</f>
        <v>13-P-300839</v>
      </c>
      <c r="C741">
        <v>5</v>
      </c>
      <c r="D741" t="s">
        <v>1097</v>
      </c>
      <c r="E741" t="s">
        <v>11</v>
      </c>
      <c r="F741" t="s">
        <v>13</v>
      </c>
      <c r="G741" t="s">
        <v>412</v>
      </c>
      <c r="H741" t="s">
        <v>14</v>
      </c>
    </row>
    <row r="742" spans="1:8" hidden="1" x14ac:dyDescent="0.25">
      <c r="A742" t="s">
        <v>1109</v>
      </c>
      <c r="B742" s="1" t="str">
        <f>HYPERLINK("https://asmlis.vasa.lt/Dashboard/Served?ServiceDateFrom=2025-11-24&amp;ServiceDateTo=2025-11-24&amp;DumpsterInvNr=13-P-300808", "13-P-300808")</f>
        <v>13-P-300808</v>
      </c>
      <c r="C742">
        <v>1.1000000000000001</v>
      </c>
      <c r="D742" t="s">
        <v>911</v>
      </c>
      <c r="E742" t="s">
        <v>11</v>
      </c>
      <c r="F742" t="s">
        <v>13</v>
      </c>
      <c r="G742" t="s">
        <v>412</v>
      </c>
      <c r="H742" t="s">
        <v>14</v>
      </c>
    </row>
    <row r="743" spans="1:8" hidden="1" x14ac:dyDescent="0.25">
      <c r="A743" t="s">
        <v>1110</v>
      </c>
      <c r="B743" s="1" t="str">
        <f>HYPERLINK("https://asmlis.vasa.lt/Dashboard/Served?ServiceDateFrom=2025-11-24&amp;ServiceDateTo=2025-11-24&amp;DumpsterInvNr=13-L-318261", "13-L-318261")</f>
        <v>13-L-318261</v>
      </c>
      <c r="C743">
        <v>1.1000000000000001</v>
      </c>
      <c r="D743" t="s">
        <v>1091</v>
      </c>
      <c r="E743" t="s">
        <v>11</v>
      </c>
      <c r="F743" t="s">
        <v>13</v>
      </c>
      <c r="G743" t="s">
        <v>9</v>
      </c>
      <c r="H743" t="s">
        <v>14</v>
      </c>
    </row>
    <row r="744" spans="1:8" hidden="1" x14ac:dyDescent="0.25">
      <c r="A744" t="s">
        <v>1111</v>
      </c>
      <c r="B744" s="1" t="str">
        <f>HYPERLINK("https://asmlis.vasa.lt/Dashboard/Served?ServiceDateFrom=2025-11-24&amp;ServiceDateTo=2025-11-24&amp;DumpsterInvNr=13-P-306756", "13-P-306756")</f>
        <v>13-P-306756</v>
      </c>
      <c r="C744">
        <v>0.66</v>
      </c>
      <c r="D744" t="s">
        <v>1112</v>
      </c>
      <c r="E744" t="s">
        <v>11</v>
      </c>
      <c r="F744" t="s">
        <v>13</v>
      </c>
      <c r="G744" t="s">
        <v>412</v>
      </c>
      <c r="H744" t="s">
        <v>14</v>
      </c>
    </row>
    <row r="745" spans="1:8" hidden="1" x14ac:dyDescent="0.25">
      <c r="A745" t="s">
        <v>1113</v>
      </c>
      <c r="B745" s="1" t="str">
        <f>HYPERLINK("https://asmlis.vasa.lt/Dashboard/Served?ServiceDateFrom=2025-11-24&amp;ServiceDateTo=2025-11-24&amp;DumpsterInvNr=13-L-314612", "13-L-314612")</f>
        <v>13-L-314612</v>
      </c>
      <c r="C745">
        <v>1.1000000000000001</v>
      </c>
      <c r="D745" t="s">
        <v>1107</v>
      </c>
      <c r="E745" t="s">
        <v>11</v>
      </c>
      <c r="G745" t="s">
        <v>9</v>
      </c>
      <c r="H745" t="s">
        <v>14</v>
      </c>
    </row>
    <row r="746" spans="1:8" hidden="1" x14ac:dyDescent="0.25">
      <c r="A746" t="s">
        <v>1114</v>
      </c>
      <c r="B746" s="1" t="str">
        <f>HYPERLINK("https://asmlis.vasa.lt/Dashboard/Served?ServiceDateFrom=2025-11-24&amp;ServiceDateTo=2025-11-24&amp;DumpsterInvNr=13-L-318264", "13-L-318264")</f>
        <v>13-L-318264</v>
      </c>
      <c r="C746">
        <v>1.1000000000000001</v>
      </c>
      <c r="D746" t="s">
        <v>1071</v>
      </c>
      <c r="E746" t="s">
        <v>11</v>
      </c>
      <c r="F746" t="s">
        <v>13</v>
      </c>
      <c r="G746" t="s">
        <v>9</v>
      </c>
      <c r="H746" t="s">
        <v>14</v>
      </c>
    </row>
    <row r="747" spans="1:8" hidden="1" x14ac:dyDescent="0.25">
      <c r="A747" t="s">
        <v>1115</v>
      </c>
      <c r="B747" s="1" t="str">
        <f>HYPERLINK("https://asmlis.vasa.lt/Dashboard/Served?ServiceDateFrom=2025-11-24&amp;ServiceDateTo=2025-11-24&amp;DumpsterInvNr=13-L-318037", "13-L-318037")</f>
        <v>13-L-318037</v>
      </c>
      <c r="C747">
        <v>1.1000000000000001</v>
      </c>
      <c r="D747" t="s">
        <v>1055</v>
      </c>
      <c r="E747" t="s">
        <v>11</v>
      </c>
      <c r="G747" t="s">
        <v>9</v>
      </c>
      <c r="H747" t="s">
        <v>14</v>
      </c>
    </row>
    <row r="748" spans="1:8" hidden="1" x14ac:dyDescent="0.25">
      <c r="A748" t="s">
        <v>1116</v>
      </c>
      <c r="B748" s="1" t="str">
        <f>HYPERLINK("https://asmlis.vasa.lt/Dashboard/Served?ServiceDateFrom=2025-11-24&amp;ServiceDateTo=2025-11-24&amp;DumpsterInvNr=13-L-318265", "13-L-318265")</f>
        <v>13-L-318265</v>
      </c>
      <c r="C748">
        <v>1.1000000000000001</v>
      </c>
      <c r="D748" t="s">
        <v>1071</v>
      </c>
      <c r="E748" t="s">
        <v>11</v>
      </c>
      <c r="F748" t="s">
        <v>13</v>
      </c>
      <c r="G748" t="s">
        <v>9</v>
      </c>
      <c r="H748" t="s">
        <v>14</v>
      </c>
    </row>
    <row r="749" spans="1:8" hidden="1" x14ac:dyDescent="0.25">
      <c r="A749" t="s">
        <v>1117</v>
      </c>
      <c r="B749" s="1" t="str">
        <f>HYPERLINK("https://asmlis.vasa.lt/Dashboard/Served?ServiceDateFrom=2025-11-24&amp;ServiceDateTo=2025-11-24&amp;DumpsterInvNr=13-L-318259", "13-L-318259")</f>
        <v>13-L-318259</v>
      </c>
      <c r="C749">
        <v>1.1000000000000001</v>
      </c>
      <c r="D749" t="s">
        <v>1071</v>
      </c>
      <c r="E749" t="s">
        <v>11</v>
      </c>
      <c r="F749" t="s">
        <v>13</v>
      </c>
      <c r="G749" t="s">
        <v>9</v>
      </c>
      <c r="H749" t="s">
        <v>14</v>
      </c>
    </row>
    <row r="750" spans="1:8" hidden="1" x14ac:dyDescent="0.25">
      <c r="A750" t="s">
        <v>1119</v>
      </c>
      <c r="B750" s="1" t="str">
        <f>HYPERLINK("https://asmlis.vasa.lt/Dashboard/Served?ServiceDateFrom=2025-11-24&amp;ServiceDateTo=2025-11-24&amp;DumpsterInvNr=13-L-318260", "13-L-318260")</f>
        <v>13-L-318260</v>
      </c>
      <c r="C750">
        <v>1.1000000000000001</v>
      </c>
      <c r="D750" t="s">
        <v>1091</v>
      </c>
      <c r="E750" t="s">
        <v>11</v>
      </c>
      <c r="F750" t="s">
        <v>13</v>
      </c>
      <c r="G750" t="s">
        <v>9</v>
      </c>
      <c r="H750" t="s">
        <v>14</v>
      </c>
    </row>
    <row r="751" spans="1:8" hidden="1" x14ac:dyDescent="0.25">
      <c r="A751" t="s">
        <v>1120</v>
      </c>
      <c r="B751" s="1" t="str">
        <f>HYPERLINK("https://asmlis.vasa.lt/Dashboard/Served?ServiceDateFrom=2025-11-24&amp;ServiceDateTo=2025-11-24&amp;DumpsterInvNr=13-L-314618", "13-L-314618")</f>
        <v>13-L-314618</v>
      </c>
      <c r="C751">
        <v>1.1000000000000001</v>
      </c>
      <c r="D751" t="s">
        <v>1071</v>
      </c>
      <c r="E751" t="s">
        <v>11</v>
      </c>
      <c r="F751" t="s">
        <v>13</v>
      </c>
      <c r="G751" t="s">
        <v>9</v>
      </c>
      <c r="H751" t="s">
        <v>14</v>
      </c>
    </row>
    <row r="752" spans="1:8" hidden="1" x14ac:dyDescent="0.25">
      <c r="A752" t="s">
        <v>1121</v>
      </c>
      <c r="B752" s="1" t="str">
        <f>HYPERLINK("https://asmlis.vasa.lt/Dashboard/Served?ServiceDateFrom=2025-11-24&amp;ServiceDateTo=2025-11-24&amp;DumpsterInvNr=13-L-139501", "13-L-139501")</f>
        <v>13-L-139501</v>
      </c>
      <c r="C752">
        <v>5</v>
      </c>
      <c r="D752" t="s">
        <v>1122</v>
      </c>
      <c r="E752" t="s">
        <v>11</v>
      </c>
      <c r="F752" t="s">
        <v>13</v>
      </c>
      <c r="G752" t="s">
        <v>430</v>
      </c>
      <c r="H752" t="s">
        <v>432</v>
      </c>
    </row>
    <row r="753" spans="1:8" hidden="1" x14ac:dyDescent="0.25">
      <c r="A753" t="s">
        <v>1121</v>
      </c>
      <c r="B753" s="1" t="str">
        <f>HYPERLINK("https://asmlis.vasa.lt/Dashboard/Served?ServiceDateFrom=2025-11-24&amp;ServiceDateTo=2025-11-24&amp;DumpsterInvNr=13-L-422029", "13-L-422029")</f>
        <v>13-L-422029</v>
      </c>
      <c r="C753">
        <v>5</v>
      </c>
      <c r="D753" t="s">
        <v>1124</v>
      </c>
      <c r="E753" t="s">
        <v>11</v>
      </c>
      <c r="F753" t="s">
        <v>13</v>
      </c>
      <c r="G753" t="s">
        <v>74</v>
      </c>
      <c r="H753" t="s">
        <v>14</v>
      </c>
    </row>
    <row r="754" spans="1:8" hidden="1" x14ac:dyDescent="0.25">
      <c r="A754" t="s">
        <v>1125</v>
      </c>
      <c r="B754" s="1" t="str">
        <f>HYPERLINK("https://asmlis.vasa.lt/Dashboard/Served?ServiceDateFrom=2025-11-24&amp;ServiceDateTo=2025-11-24&amp;DumpsterInvNr=13-L-313468", "13-L-313468")</f>
        <v>13-L-313468</v>
      </c>
      <c r="C754">
        <v>1.1000000000000001</v>
      </c>
      <c r="D754" t="s">
        <v>1055</v>
      </c>
      <c r="E754" t="s">
        <v>11</v>
      </c>
      <c r="G754" t="s">
        <v>9</v>
      </c>
      <c r="H754" t="s">
        <v>14</v>
      </c>
    </row>
    <row r="755" spans="1:8" hidden="1" x14ac:dyDescent="0.25">
      <c r="A755" t="s">
        <v>1126</v>
      </c>
      <c r="B755" s="1" t="str">
        <f>HYPERLINK("https://asmlis.vasa.lt/Dashboard/Served?ServiceDateFrom=2025-11-24&amp;ServiceDateTo=2025-11-24&amp;DumpsterInvNr=13-L-317171", "13-L-317171")</f>
        <v>13-L-317171</v>
      </c>
      <c r="C755">
        <v>1.1000000000000001</v>
      </c>
      <c r="D755" t="s">
        <v>1055</v>
      </c>
      <c r="E755" t="s">
        <v>11</v>
      </c>
      <c r="G755" t="s">
        <v>9</v>
      </c>
      <c r="H755" t="s">
        <v>14</v>
      </c>
    </row>
    <row r="756" spans="1:8" hidden="1" x14ac:dyDescent="0.25">
      <c r="A756" t="s">
        <v>1126</v>
      </c>
      <c r="B756" s="1" t="str">
        <f>HYPERLINK("https://asmlis.vasa.lt/Dashboard/Served?ServiceDateFrom=2025-11-24&amp;ServiceDateTo=2025-11-24&amp;DumpsterInvNr=13-P-415409", "13-P-415409")</f>
        <v>13-P-415409</v>
      </c>
      <c r="C756">
        <v>1.1000000000000001</v>
      </c>
      <c r="D756" t="s">
        <v>1127</v>
      </c>
      <c r="E756" t="s">
        <v>11</v>
      </c>
      <c r="G756" t="s">
        <v>264</v>
      </c>
      <c r="H756" t="s">
        <v>14</v>
      </c>
    </row>
    <row r="757" spans="1:8" hidden="1" x14ac:dyDescent="0.25">
      <c r="A757" t="s">
        <v>1128</v>
      </c>
      <c r="B757" s="1" t="str">
        <f>HYPERLINK("https://asmlis.vasa.lt/Dashboard/Served?ServiceDateFrom=2025-11-24&amp;ServiceDateTo=2025-11-24&amp;DumpsterInvNr=13-L-314613", "13-L-314613")</f>
        <v>13-L-314613</v>
      </c>
      <c r="C757">
        <v>1.1000000000000001</v>
      </c>
      <c r="D757" t="s">
        <v>1107</v>
      </c>
      <c r="E757" t="s">
        <v>11</v>
      </c>
      <c r="F757" t="s">
        <v>13</v>
      </c>
      <c r="G757" t="s">
        <v>9</v>
      </c>
      <c r="H757" t="s">
        <v>14</v>
      </c>
    </row>
    <row r="758" spans="1:8" hidden="1" x14ac:dyDescent="0.25">
      <c r="A758" t="s">
        <v>1129</v>
      </c>
      <c r="B758" s="1" t="str">
        <f>HYPERLINK("https://asmlis.vasa.lt/Dashboard/Served?ServiceDateFrom=2025-11-24&amp;ServiceDateTo=2025-11-24&amp;DumpsterInvNr=13-L-318315", "13-L-318315")</f>
        <v>13-L-318315</v>
      </c>
      <c r="C758">
        <v>1.1000000000000001</v>
      </c>
      <c r="D758" t="s">
        <v>1130</v>
      </c>
      <c r="E758" t="s">
        <v>11</v>
      </c>
      <c r="G758" t="s">
        <v>9</v>
      </c>
      <c r="H758" t="s">
        <v>14</v>
      </c>
    </row>
    <row r="759" spans="1:8" hidden="1" x14ac:dyDescent="0.25">
      <c r="A759" t="s">
        <v>1131</v>
      </c>
      <c r="B759" s="1" t="str">
        <f>HYPERLINK("https://asmlis.vasa.lt/Dashboard/Served?ServiceDateFrom=2025-11-24&amp;ServiceDateTo=2025-11-24&amp;DumpsterInvNr=13-P-306984", "13-P-306984")</f>
        <v>13-P-306984</v>
      </c>
      <c r="C759">
        <v>1.1000000000000001</v>
      </c>
      <c r="D759" t="s">
        <v>944</v>
      </c>
      <c r="E759" t="s">
        <v>11</v>
      </c>
      <c r="G759" t="s">
        <v>412</v>
      </c>
      <c r="H759" t="s">
        <v>14</v>
      </c>
    </row>
    <row r="760" spans="1:8" hidden="1" x14ac:dyDescent="0.25">
      <c r="A760" t="s">
        <v>1132</v>
      </c>
      <c r="B760" s="1" t="str">
        <f>HYPERLINK("https://asmlis.vasa.lt/Dashboard/Served?ServiceDateFrom=2025-11-24&amp;ServiceDateTo=2025-11-24&amp;DumpsterInvNr=13-L-315972", "13-L-315972")</f>
        <v>13-L-315972</v>
      </c>
      <c r="C760">
        <v>1.1000000000000001</v>
      </c>
      <c r="D760" t="s">
        <v>1133</v>
      </c>
      <c r="E760" t="s">
        <v>11</v>
      </c>
      <c r="G760" t="s">
        <v>9</v>
      </c>
      <c r="H760" t="s">
        <v>14</v>
      </c>
    </row>
    <row r="761" spans="1:8" hidden="1" x14ac:dyDescent="0.25">
      <c r="A761" t="s">
        <v>1134</v>
      </c>
      <c r="B761" s="1" t="str">
        <f>HYPERLINK("https://asmlis.vasa.lt/Dashboard/Served?ServiceDateFrom=2025-11-24&amp;ServiceDateTo=2025-11-24&amp;DumpsterInvNr=13-P-306963", "13-P-306963")</f>
        <v>13-P-306963</v>
      </c>
      <c r="C761">
        <v>1.1000000000000001</v>
      </c>
      <c r="D761" t="s">
        <v>944</v>
      </c>
      <c r="E761" t="s">
        <v>11</v>
      </c>
      <c r="F761" t="s">
        <v>13</v>
      </c>
      <c r="G761" t="s">
        <v>412</v>
      </c>
      <c r="H761" t="s">
        <v>14</v>
      </c>
    </row>
    <row r="762" spans="1:8" hidden="1" x14ac:dyDescent="0.25">
      <c r="A762" t="s">
        <v>1135</v>
      </c>
      <c r="B762" s="1" t="str">
        <f>HYPERLINK("https://asmlis.vasa.lt/Dashboard/Served?ServiceDateFrom=2025-11-24&amp;ServiceDateTo=2025-11-24&amp;DumpsterInvNr=13-P-300794", "13-P-300794")</f>
        <v>13-P-300794</v>
      </c>
      <c r="C762">
        <v>1.1000000000000001</v>
      </c>
      <c r="D762" t="s">
        <v>944</v>
      </c>
      <c r="E762" t="s">
        <v>11</v>
      </c>
      <c r="F762" t="s">
        <v>13</v>
      </c>
      <c r="G762" t="s">
        <v>412</v>
      </c>
      <c r="H762" t="s">
        <v>14</v>
      </c>
    </row>
    <row r="763" spans="1:8" hidden="1" x14ac:dyDescent="0.25">
      <c r="A763" t="s">
        <v>1137</v>
      </c>
      <c r="B763" s="1" t="str">
        <f>HYPERLINK("https://asmlis.vasa.lt/Dashboard/Served?ServiceDateFrom=2025-11-24&amp;ServiceDateTo=2025-11-24&amp;DumpsterInvNr=13-L-223506", "13-L-223506")</f>
        <v>13-L-223506</v>
      </c>
      <c r="C763">
        <v>1.1000000000000001</v>
      </c>
      <c r="D763" t="s">
        <v>1138</v>
      </c>
      <c r="E763" t="s">
        <v>11</v>
      </c>
      <c r="F763" t="s">
        <v>13</v>
      </c>
      <c r="G763" t="s">
        <v>936</v>
      </c>
      <c r="H763" t="s">
        <v>938</v>
      </c>
    </row>
    <row r="764" spans="1:8" hidden="1" x14ac:dyDescent="0.25">
      <c r="A764" t="s">
        <v>1137</v>
      </c>
      <c r="B764" s="1" t="str">
        <f>HYPERLINK("https://asmlis.vasa.lt/Dashboard/Served?ServiceDateFrom=2025-11-24&amp;ServiceDateTo=2025-11-24&amp;DumpsterInvNr=13-P-416437", "13-P-416437")</f>
        <v>13-P-416437</v>
      </c>
      <c r="C764">
        <v>1.1000000000000001</v>
      </c>
      <c r="D764" t="s">
        <v>1127</v>
      </c>
      <c r="E764" t="s">
        <v>11</v>
      </c>
      <c r="F764" t="s">
        <v>13</v>
      </c>
      <c r="G764" t="s">
        <v>264</v>
      </c>
      <c r="H764" t="s">
        <v>14</v>
      </c>
    </row>
    <row r="765" spans="1:8" hidden="1" x14ac:dyDescent="0.25">
      <c r="A765" t="s">
        <v>1139</v>
      </c>
      <c r="B765" s="1" t="str">
        <f>HYPERLINK("https://asmlis.vasa.lt/Dashboard/Served?ServiceDateFrom=2025-11-24&amp;ServiceDateTo=2025-11-24&amp;DumpsterInvNr=13-L-220826", "13-L-220826")</f>
        <v>13-L-220826</v>
      </c>
      <c r="C765">
        <v>1.1000000000000001</v>
      </c>
      <c r="D765" t="s">
        <v>1140</v>
      </c>
      <c r="E765" t="s">
        <v>11</v>
      </c>
      <c r="F765" t="s">
        <v>13</v>
      </c>
      <c r="G765" t="s">
        <v>936</v>
      </c>
      <c r="H765" t="s">
        <v>938</v>
      </c>
    </row>
    <row r="766" spans="1:8" hidden="1" x14ac:dyDescent="0.25">
      <c r="A766" t="s">
        <v>1141</v>
      </c>
      <c r="B766" s="1" t="str">
        <f>HYPERLINK("https://asmlis.vasa.lt/Dashboard/Served?ServiceDateFrom=2025-11-24&amp;ServiceDateTo=2025-11-24&amp;DumpsterInvNr=13-L-317007", "13-L-317007")</f>
        <v>13-L-317007</v>
      </c>
      <c r="C766">
        <v>5</v>
      </c>
      <c r="D766" t="s">
        <v>1142</v>
      </c>
      <c r="E766" t="s">
        <v>11</v>
      </c>
      <c r="F766" t="s">
        <v>13</v>
      </c>
      <c r="G766" t="s">
        <v>9</v>
      </c>
      <c r="H766" t="s">
        <v>14</v>
      </c>
    </row>
    <row r="767" spans="1:8" hidden="1" x14ac:dyDescent="0.25">
      <c r="A767" t="s">
        <v>1143</v>
      </c>
      <c r="B767" s="1" t="str">
        <f>HYPERLINK("https://asmlis.vasa.lt/Dashboard/Served?ServiceDateFrom=2025-11-24&amp;ServiceDateTo=2025-11-24&amp;DumpsterInvNr=13-L-318266", "13-L-318266")</f>
        <v>13-L-318266</v>
      </c>
      <c r="C767">
        <v>1.1000000000000001</v>
      </c>
      <c r="D767" t="s">
        <v>1133</v>
      </c>
      <c r="E767" t="s">
        <v>11</v>
      </c>
      <c r="G767" t="s">
        <v>9</v>
      </c>
      <c r="H767" t="s">
        <v>14</v>
      </c>
    </row>
    <row r="768" spans="1:8" hidden="1" x14ac:dyDescent="0.25">
      <c r="A768" t="s">
        <v>1144</v>
      </c>
      <c r="B768" s="1" t="str">
        <f>HYPERLINK("https://asmlis.vasa.lt/Dashboard/Served?ServiceDateFrom=2025-11-24&amp;ServiceDateTo=2025-11-24&amp;DumpsterInvNr=13-L-318314", "13-L-318314")</f>
        <v>13-L-318314</v>
      </c>
      <c r="C768">
        <v>1.1000000000000001</v>
      </c>
      <c r="D768" t="s">
        <v>1130</v>
      </c>
      <c r="E768" t="s">
        <v>11</v>
      </c>
      <c r="G768" t="s">
        <v>9</v>
      </c>
      <c r="H768" t="s">
        <v>14</v>
      </c>
    </row>
    <row r="769" spans="1:8" hidden="1" x14ac:dyDescent="0.25">
      <c r="A769" t="s">
        <v>1145</v>
      </c>
      <c r="B769" s="1" t="str">
        <f>HYPERLINK("https://asmlis.vasa.lt/Dashboard/Served?ServiceDateFrom=2025-11-24&amp;ServiceDateTo=2025-11-24&amp;DumpsterInvNr=13-L-139502", "13-L-139502")</f>
        <v>13-L-139502</v>
      </c>
      <c r="C769">
        <v>5</v>
      </c>
      <c r="D769" t="s">
        <v>1146</v>
      </c>
      <c r="E769" t="s">
        <v>11</v>
      </c>
      <c r="F769" t="s">
        <v>13</v>
      </c>
      <c r="G769" t="s">
        <v>430</v>
      </c>
      <c r="H769" t="s">
        <v>432</v>
      </c>
    </row>
    <row r="770" spans="1:8" hidden="1" x14ac:dyDescent="0.25">
      <c r="A770" t="s">
        <v>1147</v>
      </c>
      <c r="B770" s="1" t="str">
        <f>HYPERLINK("https://asmlis.vasa.lt/Dashboard/Served?ServiceDateFrom=2025-11-24&amp;ServiceDateTo=2025-11-24&amp;DumpsterInvNr=13-L-318817", "13-L-318817")</f>
        <v>13-L-318817</v>
      </c>
      <c r="C770">
        <v>1.1000000000000001</v>
      </c>
      <c r="D770" t="s">
        <v>1148</v>
      </c>
      <c r="E770" t="s">
        <v>11</v>
      </c>
      <c r="G770" t="s">
        <v>9</v>
      </c>
      <c r="H770" t="s">
        <v>14</v>
      </c>
    </row>
    <row r="771" spans="1:8" hidden="1" x14ac:dyDescent="0.25">
      <c r="A771" t="s">
        <v>1147</v>
      </c>
      <c r="B771" s="1" t="str">
        <f>HYPERLINK("https://asmlis.vasa.lt/Dashboard/Served?ServiceDateFrom=2025-11-24&amp;ServiceDateTo=2025-11-24&amp;DumpsterInvNr=13-L-318889", "13-L-318889")</f>
        <v>13-L-318889</v>
      </c>
      <c r="C771">
        <v>1.1000000000000001</v>
      </c>
      <c r="D771" t="s">
        <v>1148</v>
      </c>
      <c r="E771" t="s">
        <v>11</v>
      </c>
      <c r="G771" t="s">
        <v>9</v>
      </c>
      <c r="H771" t="s">
        <v>14</v>
      </c>
    </row>
    <row r="772" spans="1:8" hidden="1" x14ac:dyDescent="0.25">
      <c r="A772" t="s">
        <v>1149</v>
      </c>
      <c r="B772" s="1" t="str">
        <f>HYPERLINK("https://asmlis.vasa.lt/Dashboard/Served?ServiceDateFrom=2025-11-24&amp;ServiceDateTo=2025-11-24&amp;DumpsterInvNr=13-L-316340", "13-L-316340")</f>
        <v>13-L-316340</v>
      </c>
      <c r="C772">
        <v>1.1000000000000001</v>
      </c>
      <c r="D772" t="s">
        <v>1133</v>
      </c>
      <c r="E772" t="s">
        <v>11</v>
      </c>
      <c r="F772" t="s">
        <v>13</v>
      </c>
      <c r="G772" t="s">
        <v>9</v>
      </c>
      <c r="H772" t="s">
        <v>14</v>
      </c>
    </row>
    <row r="773" spans="1:8" hidden="1" x14ac:dyDescent="0.25">
      <c r="A773" t="s">
        <v>1149</v>
      </c>
      <c r="B773" s="1" t="str">
        <f>HYPERLINK("https://asmlis.vasa.lt/Dashboard/Served?ServiceDateFrom=2025-11-24&amp;ServiceDateTo=2025-11-24&amp;DumpsterInvNr=13-P-306952", "13-P-306952")</f>
        <v>13-P-306952</v>
      </c>
      <c r="C773">
        <v>1.1000000000000001</v>
      </c>
      <c r="D773" t="s">
        <v>1150</v>
      </c>
      <c r="E773" t="s">
        <v>11</v>
      </c>
      <c r="F773" t="s">
        <v>13</v>
      </c>
      <c r="G773" t="s">
        <v>412</v>
      </c>
      <c r="H773" t="s">
        <v>14</v>
      </c>
    </row>
    <row r="774" spans="1:8" hidden="1" x14ac:dyDescent="0.25">
      <c r="A774" t="s">
        <v>1151</v>
      </c>
      <c r="B774" s="1" t="str">
        <f>HYPERLINK("https://asmlis.vasa.lt/Dashboard/Served?ServiceDateFrom=2025-11-24&amp;ServiceDateTo=2025-11-24&amp;DumpsterInvNr=13-P-300581", "13-P-300581")</f>
        <v>13-P-300581</v>
      </c>
      <c r="C774">
        <v>1.1000000000000001</v>
      </c>
      <c r="D774" t="s">
        <v>1150</v>
      </c>
      <c r="E774" t="s">
        <v>11</v>
      </c>
      <c r="F774" t="s">
        <v>13</v>
      </c>
      <c r="G774" t="s">
        <v>412</v>
      </c>
      <c r="H774" t="s">
        <v>14</v>
      </c>
    </row>
    <row r="775" spans="1:8" hidden="1" x14ac:dyDescent="0.25">
      <c r="A775" t="s">
        <v>1152</v>
      </c>
      <c r="B775" s="1" t="str">
        <f>HYPERLINK("https://asmlis.vasa.lt/Dashboard/Served?ServiceDateFrom=2025-11-24&amp;ServiceDateTo=2025-11-24&amp;DumpsterInvNr=13-P-204364", "13-P-204364")</f>
        <v>13-P-204364</v>
      </c>
      <c r="C775">
        <v>5</v>
      </c>
      <c r="D775" t="s">
        <v>1153</v>
      </c>
      <c r="E775" t="s">
        <v>11</v>
      </c>
      <c r="G775" t="s">
        <v>234</v>
      </c>
      <c r="H775" t="s">
        <v>14</v>
      </c>
    </row>
    <row r="776" spans="1:8" hidden="1" x14ac:dyDescent="0.25">
      <c r="A776" t="s">
        <v>1154</v>
      </c>
      <c r="B776" s="1" t="str">
        <f>HYPERLINK("https://asmlis.vasa.lt/Dashboard/Served?ServiceDateFrom=2025-11-24&amp;ServiceDateTo=2025-11-24&amp;DumpsterInvNr=13-L-318267", "13-L-318267")</f>
        <v>13-L-318267</v>
      </c>
      <c r="C776">
        <v>1.1000000000000001</v>
      </c>
      <c r="D776" t="s">
        <v>1133</v>
      </c>
      <c r="E776" t="s">
        <v>11</v>
      </c>
      <c r="F776" t="s">
        <v>13</v>
      </c>
      <c r="G776" t="s">
        <v>9</v>
      </c>
      <c r="H776" t="s">
        <v>14</v>
      </c>
    </row>
    <row r="777" spans="1:8" hidden="1" x14ac:dyDescent="0.25">
      <c r="A777" t="s">
        <v>1155</v>
      </c>
      <c r="B777" s="1" t="str">
        <f>HYPERLINK("https://asmlis.vasa.lt/Dashboard/Served?ServiceDateFrom=2025-11-24&amp;ServiceDateTo=2025-11-24&amp;DumpsterInvNr=13-P-302615", "13-P-302615")</f>
        <v>13-P-302615</v>
      </c>
      <c r="C777">
        <v>5</v>
      </c>
      <c r="D777" t="s">
        <v>1156</v>
      </c>
      <c r="E777" t="s">
        <v>11</v>
      </c>
      <c r="G777" t="s">
        <v>412</v>
      </c>
      <c r="H777" t="s">
        <v>14</v>
      </c>
    </row>
    <row r="778" spans="1:8" hidden="1" x14ac:dyDescent="0.25">
      <c r="A778" t="s">
        <v>1157</v>
      </c>
      <c r="B778" s="1" t="str">
        <f>HYPERLINK("https://asmlis.vasa.lt/Dashboard/Served?ServiceDateFrom=2025-11-24&amp;ServiceDateTo=2025-11-24&amp;DumpsterInvNr=13-L-420471", "13-L-420471")</f>
        <v>13-L-420471</v>
      </c>
      <c r="C778">
        <v>5</v>
      </c>
      <c r="D778" t="s">
        <v>1158</v>
      </c>
      <c r="E778" t="s">
        <v>11</v>
      </c>
      <c r="G778" t="s">
        <v>74</v>
      </c>
      <c r="H778" t="s">
        <v>14</v>
      </c>
    </row>
    <row r="779" spans="1:8" hidden="1" x14ac:dyDescent="0.25">
      <c r="A779" t="s">
        <v>1159</v>
      </c>
      <c r="B779" s="1" t="str">
        <f>HYPERLINK("https://asmlis.vasa.lt/Dashboard/Served?ServiceDateFrom=2025-11-24&amp;ServiceDateTo=2025-11-24&amp;DumpsterInvNr=13-L-422900", "13-L-422900")</f>
        <v>13-L-422900</v>
      </c>
      <c r="C779">
        <v>1.1000000000000001</v>
      </c>
      <c r="D779" t="s">
        <v>1160</v>
      </c>
      <c r="E779" t="s">
        <v>11</v>
      </c>
      <c r="G779" t="s">
        <v>74</v>
      </c>
      <c r="H779" t="s">
        <v>14</v>
      </c>
    </row>
    <row r="780" spans="1:8" hidden="1" x14ac:dyDescent="0.25">
      <c r="A780" t="s">
        <v>1161</v>
      </c>
      <c r="B780" s="1" t="str">
        <f>HYPERLINK("https://asmlis.vasa.lt/Dashboard/Served?ServiceDateFrom=2025-11-24&amp;ServiceDateTo=2025-11-24&amp;DumpsterInvNr=13-L-311734", "13-L-311734")</f>
        <v>13-L-311734</v>
      </c>
      <c r="C780">
        <v>5</v>
      </c>
      <c r="D780" t="s">
        <v>1162</v>
      </c>
      <c r="E780" t="s">
        <v>11</v>
      </c>
      <c r="F780" t="s">
        <v>13</v>
      </c>
      <c r="G780" t="s">
        <v>9</v>
      </c>
      <c r="H780" t="s">
        <v>14</v>
      </c>
    </row>
    <row r="781" spans="1:8" hidden="1" x14ac:dyDescent="0.25">
      <c r="A781" t="s">
        <v>1163</v>
      </c>
      <c r="B781" s="1" t="str">
        <f>HYPERLINK("https://asmlis.vasa.lt/Dashboard/Served?ServiceDateFrom=2025-11-24&amp;ServiceDateTo=2025-11-24&amp;DumpsterInvNr=13-L-423764", "13-L-423764")</f>
        <v>13-L-423764</v>
      </c>
      <c r="C781">
        <v>1.1000000000000001</v>
      </c>
      <c r="D781" t="s">
        <v>1160</v>
      </c>
      <c r="E781" t="s">
        <v>11</v>
      </c>
      <c r="G781" t="s">
        <v>74</v>
      </c>
      <c r="H781" t="s">
        <v>14</v>
      </c>
    </row>
    <row r="782" spans="1:8" hidden="1" x14ac:dyDescent="0.25">
      <c r="A782" t="s">
        <v>1164</v>
      </c>
      <c r="B782" s="1" t="str">
        <f>HYPERLINK("https://asmlis.vasa.lt/Dashboard/Served?ServiceDateFrom=2025-11-24&amp;ServiceDateTo=2025-11-24&amp;DumpsterInvNr=13-L-225499", "13-L-225499")</f>
        <v>13-L-225499</v>
      </c>
      <c r="C782">
        <v>1.1000000000000001</v>
      </c>
      <c r="D782" t="s">
        <v>1166</v>
      </c>
      <c r="E782" t="s">
        <v>11</v>
      </c>
      <c r="G782" t="s">
        <v>936</v>
      </c>
      <c r="H782" t="s">
        <v>938</v>
      </c>
    </row>
    <row r="783" spans="1:8" hidden="1" x14ac:dyDescent="0.25">
      <c r="A783" t="s">
        <v>1167</v>
      </c>
      <c r="B783" s="1" t="str">
        <f>HYPERLINK("https://asmlis.vasa.lt/Dashboard/Served?ServiceDateFrom=2025-11-24&amp;ServiceDateTo=2025-11-24&amp;DumpsterInvNr=13-L-423868", "13-L-423868")</f>
        <v>13-L-423868</v>
      </c>
      <c r="C783">
        <v>1.1000000000000001</v>
      </c>
      <c r="D783" t="s">
        <v>1168</v>
      </c>
      <c r="E783" t="s">
        <v>11</v>
      </c>
      <c r="G783" t="s">
        <v>74</v>
      </c>
      <c r="H783" t="s">
        <v>14</v>
      </c>
    </row>
    <row r="784" spans="1:8" hidden="1" x14ac:dyDescent="0.25">
      <c r="A784" t="s">
        <v>1169</v>
      </c>
      <c r="B784" s="1" t="str">
        <f>HYPERLINK("https://asmlis.vasa.lt/Dashboard/Served?ServiceDateFrom=2025-11-24&amp;ServiceDateTo=2025-11-24&amp;DumpsterInvNr=13-L-316064", "13-L-316064")</f>
        <v>13-L-316064</v>
      </c>
      <c r="C784">
        <v>1.1000000000000001</v>
      </c>
      <c r="D784" t="s">
        <v>1148</v>
      </c>
      <c r="E784" t="s">
        <v>11</v>
      </c>
      <c r="G784" t="s">
        <v>9</v>
      </c>
      <c r="H784" t="s">
        <v>14</v>
      </c>
    </row>
    <row r="785" spans="1:8" hidden="1" x14ac:dyDescent="0.25">
      <c r="A785" t="s">
        <v>1170</v>
      </c>
      <c r="B785" s="1" t="str">
        <f>HYPERLINK("https://asmlis.vasa.lt/Dashboard/Served?ServiceDateFrom=2025-11-24&amp;ServiceDateTo=2025-11-24&amp;DumpsterInvNr=13-L-314440", "13-L-314440")</f>
        <v>13-L-314440</v>
      </c>
      <c r="C785">
        <v>1.1000000000000001</v>
      </c>
      <c r="D785" t="s">
        <v>1171</v>
      </c>
      <c r="E785" t="s">
        <v>11</v>
      </c>
      <c r="G785" t="s">
        <v>9</v>
      </c>
      <c r="H785" t="s">
        <v>14</v>
      </c>
    </row>
    <row r="786" spans="1:8" hidden="1" x14ac:dyDescent="0.25">
      <c r="A786" t="s">
        <v>1172</v>
      </c>
      <c r="B786" s="1" t="str">
        <f>HYPERLINK("https://asmlis.vasa.lt/Dashboard/Served?ServiceDateFrom=2025-11-24&amp;ServiceDateTo=2025-11-24&amp;DumpsterInvNr=13-L-317718", "13-L-317718")</f>
        <v>13-L-317718</v>
      </c>
      <c r="C786">
        <v>1.1000000000000001</v>
      </c>
      <c r="D786" t="s">
        <v>1171</v>
      </c>
      <c r="E786" t="s">
        <v>11</v>
      </c>
      <c r="G786" t="s">
        <v>9</v>
      </c>
      <c r="H786" t="s">
        <v>14</v>
      </c>
    </row>
    <row r="787" spans="1:8" hidden="1" x14ac:dyDescent="0.25">
      <c r="A787" t="s">
        <v>1172</v>
      </c>
      <c r="B787" s="1" t="str">
        <f>HYPERLINK("https://asmlis.vasa.lt/Dashboard/Served?ServiceDateFrom=2025-11-24&amp;ServiceDateTo=2025-11-24&amp;DumpsterInvNr=13-L-221879", "13-L-221879")</f>
        <v>13-L-221879</v>
      </c>
      <c r="C787">
        <v>1.1000000000000001</v>
      </c>
      <c r="D787" t="s">
        <v>1173</v>
      </c>
      <c r="E787" t="s">
        <v>11</v>
      </c>
      <c r="G787" t="s">
        <v>936</v>
      </c>
      <c r="H787" t="s">
        <v>938</v>
      </c>
    </row>
    <row r="788" spans="1:8" hidden="1" x14ac:dyDescent="0.25">
      <c r="A788" t="s">
        <v>1174</v>
      </c>
      <c r="B788" s="1" t="str">
        <f>HYPERLINK("https://asmlis.vasa.lt/Dashboard/Served?ServiceDateFrom=2025-11-24&amp;ServiceDateTo=2025-11-24&amp;DumpsterInvNr=13-L-423865", "13-L-423865")</f>
        <v>13-L-423865</v>
      </c>
      <c r="C788">
        <v>1.1000000000000001</v>
      </c>
      <c r="D788" t="s">
        <v>1168</v>
      </c>
      <c r="E788" t="s">
        <v>11</v>
      </c>
      <c r="G788" t="s">
        <v>74</v>
      </c>
      <c r="H788" t="s">
        <v>14</v>
      </c>
    </row>
    <row r="789" spans="1:8" hidden="1" x14ac:dyDescent="0.25">
      <c r="A789" t="s">
        <v>1175</v>
      </c>
      <c r="B789" s="1" t="str">
        <f>HYPERLINK("https://asmlis.vasa.lt/Dashboard/Served?ServiceDateFrom=2025-11-24&amp;ServiceDateTo=2025-11-24&amp;DumpsterInvNr=13-L-313717", "13-L-313717")</f>
        <v>13-L-313717</v>
      </c>
      <c r="C789">
        <v>1.1000000000000001</v>
      </c>
      <c r="D789" t="s">
        <v>1035</v>
      </c>
      <c r="E789" t="s">
        <v>11</v>
      </c>
      <c r="G789" t="s">
        <v>9</v>
      </c>
      <c r="H789" t="s">
        <v>14</v>
      </c>
    </row>
    <row r="790" spans="1:8" hidden="1" x14ac:dyDescent="0.25">
      <c r="A790" t="s">
        <v>1176</v>
      </c>
      <c r="B790" s="1" t="str">
        <f>HYPERLINK("https://asmlis.vasa.lt/Dashboard/Served?ServiceDateFrom=2025-11-24&amp;ServiceDateTo=2025-11-24&amp;DumpsterInvNr=13-L-219531", "13-L-219531")</f>
        <v>13-L-219531</v>
      </c>
      <c r="C790">
        <v>1.1000000000000001</v>
      </c>
      <c r="D790" t="s">
        <v>1166</v>
      </c>
      <c r="E790" t="s">
        <v>11</v>
      </c>
      <c r="G790" t="s">
        <v>936</v>
      </c>
      <c r="H790" t="s">
        <v>938</v>
      </c>
    </row>
    <row r="791" spans="1:8" hidden="1" x14ac:dyDescent="0.25">
      <c r="A791" t="s">
        <v>1176</v>
      </c>
      <c r="B791" s="1" t="str">
        <f>HYPERLINK("https://asmlis.vasa.lt/Dashboard/Served?ServiceDateFrom=2025-11-24&amp;ServiceDateTo=2025-11-24&amp;DumpsterInvNr=13-L-424899", "13-L-424899")</f>
        <v>13-L-424899</v>
      </c>
      <c r="C791">
        <v>1.1000000000000001</v>
      </c>
      <c r="D791" t="s">
        <v>1168</v>
      </c>
      <c r="E791" t="s">
        <v>11</v>
      </c>
      <c r="G791" t="s">
        <v>74</v>
      </c>
      <c r="H791" t="s">
        <v>14</v>
      </c>
    </row>
    <row r="792" spans="1:8" hidden="1" x14ac:dyDescent="0.25">
      <c r="A792" t="s">
        <v>1177</v>
      </c>
      <c r="B792" s="1" t="str">
        <f>HYPERLINK("https://asmlis.vasa.lt/Dashboard/Served?ServiceDateFrom=2025-11-24&amp;ServiceDateTo=2025-11-24&amp;DumpsterInvNr=13-L-421967", "13-L-421967")</f>
        <v>13-L-421967</v>
      </c>
      <c r="C792">
        <v>1.1000000000000001</v>
      </c>
      <c r="D792" t="s">
        <v>1160</v>
      </c>
      <c r="E792" t="s">
        <v>11</v>
      </c>
      <c r="G792" t="s">
        <v>74</v>
      </c>
      <c r="H792" t="s">
        <v>14</v>
      </c>
    </row>
    <row r="793" spans="1:8" hidden="1" x14ac:dyDescent="0.25">
      <c r="A793" t="s">
        <v>1178</v>
      </c>
      <c r="B793" s="1" t="str">
        <f>HYPERLINK("https://asmlis.vasa.lt/Dashboard/Served?ServiceDateFrom=2025-11-24&amp;ServiceDateTo=2025-11-24&amp;DumpsterInvNr=13-L-423867", "13-L-423867")</f>
        <v>13-L-423867</v>
      </c>
      <c r="C793">
        <v>1.1000000000000001</v>
      </c>
      <c r="D793" t="s">
        <v>1168</v>
      </c>
      <c r="E793" t="s">
        <v>11</v>
      </c>
      <c r="G793" t="s">
        <v>74</v>
      </c>
      <c r="H793" t="s">
        <v>14</v>
      </c>
    </row>
    <row r="794" spans="1:8" hidden="1" x14ac:dyDescent="0.25">
      <c r="A794" t="s">
        <v>1179</v>
      </c>
      <c r="B794" s="1" t="str">
        <f>HYPERLINK("https://asmlis.vasa.lt/Dashboard/Served?ServiceDateFrom=2025-11-24&amp;ServiceDateTo=2025-11-24&amp;DumpsterInvNr=13-L-318322", "13-L-318322")</f>
        <v>13-L-318322</v>
      </c>
      <c r="C794">
        <v>1.1000000000000001</v>
      </c>
      <c r="D794" t="s">
        <v>1180</v>
      </c>
      <c r="E794" t="s">
        <v>11</v>
      </c>
      <c r="G794" t="s">
        <v>9</v>
      </c>
      <c r="H794" t="s">
        <v>14</v>
      </c>
    </row>
    <row r="795" spans="1:8" hidden="1" x14ac:dyDescent="0.25">
      <c r="A795" t="s">
        <v>1179</v>
      </c>
      <c r="B795" s="1" t="str">
        <f>HYPERLINK("https://asmlis.vasa.lt/Dashboard/Served?ServiceDateFrom=2025-11-24&amp;ServiceDateTo=2025-11-24&amp;DumpsterInvNr=13-L-314991", "13-L-314991")</f>
        <v>13-L-314991</v>
      </c>
      <c r="C795">
        <v>1.1000000000000001</v>
      </c>
      <c r="D795" t="s">
        <v>1180</v>
      </c>
      <c r="E795" t="s">
        <v>11</v>
      </c>
      <c r="G795" t="s">
        <v>9</v>
      </c>
      <c r="H795" t="s">
        <v>14</v>
      </c>
    </row>
    <row r="796" spans="1:8" hidden="1" x14ac:dyDescent="0.25">
      <c r="A796" t="s">
        <v>1179</v>
      </c>
      <c r="B796" s="1" t="str">
        <f>HYPERLINK("https://asmlis.vasa.lt/Dashboard/Served?ServiceDateFrom=2025-11-24&amp;ServiceDateTo=2025-11-24&amp;DumpsterInvNr=13-L-317279", "13-L-317279")</f>
        <v>13-L-317279</v>
      </c>
      <c r="C796">
        <v>1.1000000000000001</v>
      </c>
      <c r="D796" t="s">
        <v>1180</v>
      </c>
      <c r="E796" t="s">
        <v>11</v>
      </c>
      <c r="G796" t="s">
        <v>9</v>
      </c>
      <c r="H796" t="s">
        <v>14</v>
      </c>
    </row>
    <row r="797" spans="1:8" hidden="1" x14ac:dyDescent="0.25">
      <c r="A797" t="s">
        <v>1181</v>
      </c>
      <c r="B797" s="1" t="str">
        <f>HYPERLINK("https://asmlis.vasa.lt/Dashboard/Served?ServiceDateFrom=2025-11-24&amp;ServiceDateTo=2025-11-24&amp;DumpsterInvNr=13-L-317215", "13-L-317215")</f>
        <v>13-L-317215</v>
      </c>
      <c r="C797">
        <v>1.1000000000000001</v>
      </c>
      <c r="D797" t="s">
        <v>1180</v>
      </c>
      <c r="E797" t="s">
        <v>11</v>
      </c>
      <c r="G797" t="s">
        <v>9</v>
      </c>
      <c r="H797" t="s">
        <v>14</v>
      </c>
    </row>
    <row r="798" spans="1:8" hidden="1" x14ac:dyDescent="0.25">
      <c r="A798" t="s">
        <v>1183</v>
      </c>
      <c r="B798" s="1" t="str">
        <f>HYPERLINK("https://asmlis.vasa.lt/Dashboard/Served?ServiceDateFrom=2025-11-24&amp;ServiceDateTo=2025-11-24&amp;DumpsterInvNr=13-L-222162", "13-L-222162")</f>
        <v>13-L-222162</v>
      </c>
      <c r="C798">
        <v>1.1000000000000001</v>
      </c>
      <c r="D798" t="s">
        <v>1166</v>
      </c>
      <c r="E798" t="s">
        <v>11</v>
      </c>
      <c r="G798" t="s">
        <v>936</v>
      </c>
      <c r="H798" t="s">
        <v>938</v>
      </c>
    </row>
    <row r="799" spans="1:8" hidden="1" x14ac:dyDescent="0.25">
      <c r="A799" t="s">
        <v>1184</v>
      </c>
      <c r="B799" s="1" t="str">
        <f>HYPERLINK("https://asmlis.vasa.lt/Dashboard/Served?ServiceDateFrom=2025-11-24&amp;ServiceDateTo=2025-11-24&amp;DumpsterInvNr=13-L-319677", "13-L-319677")</f>
        <v>13-L-319677</v>
      </c>
      <c r="C799">
        <v>1.1000000000000001</v>
      </c>
      <c r="D799" t="s">
        <v>1055</v>
      </c>
      <c r="E799" t="s">
        <v>11</v>
      </c>
      <c r="G799" t="s">
        <v>9</v>
      </c>
      <c r="H799" t="s">
        <v>14</v>
      </c>
    </row>
    <row r="800" spans="1:8" hidden="1" x14ac:dyDescent="0.25">
      <c r="A800" t="s">
        <v>1185</v>
      </c>
      <c r="B800" s="1" t="str">
        <f>HYPERLINK("https://asmlis.vasa.lt/Dashboard/Served?ServiceDateFrom=2025-11-24&amp;ServiceDateTo=2025-11-24&amp;DumpsterInvNr=13-L-318321", "13-L-318321")</f>
        <v>13-L-318321</v>
      </c>
      <c r="C800">
        <v>1.1000000000000001</v>
      </c>
      <c r="D800" t="s">
        <v>1180</v>
      </c>
      <c r="E800" t="s">
        <v>11</v>
      </c>
      <c r="G800" t="s">
        <v>9</v>
      </c>
      <c r="H800" t="s">
        <v>14</v>
      </c>
    </row>
    <row r="801" spans="1:8" hidden="1" x14ac:dyDescent="0.25">
      <c r="A801" t="s">
        <v>1123</v>
      </c>
      <c r="B801" s="1" t="str">
        <f>HYPERLINK("https://asmlis.vasa.lt/Dashboard/Served?ServiceDateFrom=2025-11-24&amp;ServiceDateTo=2025-11-24&amp;DumpsterInvNr=13-L-227681", "13-L-227681")</f>
        <v>13-L-227681</v>
      </c>
      <c r="C801">
        <v>1.1000000000000001</v>
      </c>
      <c r="D801" t="s">
        <v>1166</v>
      </c>
      <c r="E801" t="s">
        <v>11</v>
      </c>
      <c r="G801" t="s">
        <v>936</v>
      </c>
      <c r="H801" t="s">
        <v>938</v>
      </c>
    </row>
    <row r="802" spans="1:8" hidden="1" x14ac:dyDescent="0.25">
      <c r="A802" t="s">
        <v>1186</v>
      </c>
      <c r="B802" s="1" t="str">
        <f>HYPERLINK("https://asmlis.vasa.lt/Dashboard/Served?ServiceDateFrom=2025-11-24&amp;ServiceDateTo=2025-11-24&amp;DumpsterInvNr=13-L-315511", "13-L-315511")</f>
        <v>13-L-315511</v>
      </c>
      <c r="C802">
        <v>1.1000000000000001</v>
      </c>
      <c r="D802" t="s">
        <v>1035</v>
      </c>
      <c r="E802" t="s">
        <v>11</v>
      </c>
      <c r="F802" t="s">
        <v>13</v>
      </c>
      <c r="G802" t="s">
        <v>9</v>
      </c>
      <c r="H802" t="s">
        <v>14</v>
      </c>
    </row>
    <row r="803" spans="1:8" hidden="1" x14ac:dyDescent="0.25">
      <c r="A803" t="s">
        <v>1187</v>
      </c>
      <c r="B803" s="1" t="str">
        <f>HYPERLINK("https://asmlis.vasa.lt/Dashboard/Served?ServiceDateFrom=2025-11-24&amp;ServiceDateTo=2025-11-24&amp;DumpsterInvNr=13-L-304792", "13-L-304792")</f>
        <v>13-L-304792</v>
      </c>
      <c r="C803">
        <v>1.1000000000000001</v>
      </c>
      <c r="D803" t="s">
        <v>1171</v>
      </c>
      <c r="E803" t="s">
        <v>11</v>
      </c>
      <c r="G803" t="s">
        <v>9</v>
      </c>
      <c r="H803" t="s">
        <v>14</v>
      </c>
    </row>
    <row r="804" spans="1:8" hidden="1" x14ac:dyDescent="0.25">
      <c r="A804" t="s">
        <v>1187</v>
      </c>
      <c r="B804" s="1" t="str">
        <f>HYPERLINK("https://asmlis.vasa.lt/Dashboard/Served?ServiceDateFrom=2025-11-24&amp;ServiceDateTo=2025-11-24&amp;DumpsterInvNr=13-L-221315", "13-L-221315")</f>
        <v>13-L-221315</v>
      </c>
      <c r="C804">
        <v>1.1000000000000001</v>
      </c>
      <c r="D804" t="s">
        <v>1166</v>
      </c>
      <c r="E804" t="s">
        <v>11</v>
      </c>
      <c r="F804" t="s">
        <v>13</v>
      </c>
      <c r="G804" t="s">
        <v>936</v>
      </c>
      <c r="H804" t="s">
        <v>938</v>
      </c>
    </row>
    <row r="805" spans="1:8" hidden="1" x14ac:dyDescent="0.25">
      <c r="A805" t="s">
        <v>1189</v>
      </c>
      <c r="B805" s="1" t="str">
        <f>HYPERLINK("https://asmlis.vasa.lt/Dashboard/Served?ServiceDateFrom=2025-11-24&amp;ServiceDateTo=2025-11-24&amp;DumpsterInvNr=13-L-137813", "13-L-137813")</f>
        <v>13-L-137813</v>
      </c>
      <c r="C805">
        <v>5</v>
      </c>
      <c r="D805" t="s">
        <v>1190</v>
      </c>
      <c r="E805" t="s">
        <v>11</v>
      </c>
      <c r="F805" t="s">
        <v>13</v>
      </c>
      <c r="G805" t="s">
        <v>430</v>
      </c>
      <c r="H805" t="s">
        <v>432</v>
      </c>
    </row>
    <row r="806" spans="1:8" hidden="1" x14ac:dyDescent="0.25">
      <c r="A806" t="s">
        <v>1191</v>
      </c>
      <c r="B806" s="1" t="str">
        <f>HYPERLINK("https://asmlis.vasa.lt/Dashboard/Served?ServiceDateFrom=2025-11-24&amp;ServiceDateTo=2025-11-24&amp;DumpsterInvNr=13-L-318080", "13-L-318080")</f>
        <v>13-L-318080</v>
      </c>
      <c r="C806">
        <v>1.1000000000000001</v>
      </c>
      <c r="D806" t="s">
        <v>1192</v>
      </c>
      <c r="E806" t="s">
        <v>11</v>
      </c>
      <c r="F806" t="s">
        <v>13</v>
      </c>
      <c r="G806" t="s">
        <v>9</v>
      </c>
      <c r="H806" t="s">
        <v>14</v>
      </c>
    </row>
    <row r="807" spans="1:8" hidden="1" x14ac:dyDescent="0.25">
      <c r="A807" t="s">
        <v>1193</v>
      </c>
      <c r="B807" s="1" t="str">
        <f>HYPERLINK("https://asmlis.vasa.lt/Dashboard/Served?ServiceDateFrom=2025-11-24&amp;ServiceDateTo=2025-11-24&amp;DumpsterInvNr=13-L-317121", "13-L-317121")</f>
        <v>13-L-317121</v>
      </c>
      <c r="C807">
        <v>1.1000000000000001</v>
      </c>
      <c r="D807" t="s">
        <v>1055</v>
      </c>
      <c r="E807" t="s">
        <v>11</v>
      </c>
      <c r="G807" t="s">
        <v>9</v>
      </c>
      <c r="H807" t="s">
        <v>14</v>
      </c>
    </row>
    <row r="808" spans="1:8" hidden="1" x14ac:dyDescent="0.25">
      <c r="A808" t="s">
        <v>1194</v>
      </c>
      <c r="B808" s="1" t="str">
        <f>HYPERLINK("https://asmlis.vasa.lt/Dashboard/Served?ServiceDateFrom=2025-11-24&amp;ServiceDateTo=2025-11-24&amp;DumpsterInvNr=13-L-316840", "13-L-316840")</f>
        <v>13-L-316840</v>
      </c>
      <c r="C808">
        <v>1.1000000000000001</v>
      </c>
      <c r="D808" t="s">
        <v>1171</v>
      </c>
      <c r="E808" t="s">
        <v>11</v>
      </c>
      <c r="G808" t="s">
        <v>9</v>
      </c>
      <c r="H808" t="s">
        <v>14</v>
      </c>
    </row>
    <row r="809" spans="1:8" hidden="1" x14ac:dyDescent="0.25">
      <c r="A809" t="s">
        <v>1195</v>
      </c>
      <c r="B809" s="1" t="str">
        <f>HYPERLINK("https://asmlis.vasa.lt/Dashboard/Served?ServiceDateFrom=2025-11-24&amp;ServiceDateTo=2025-11-24&amp;DumpsterInvNr=13-L-318008", "13-L-318008")</f>
        <v>13-L-318008</v>
      </c>
      <c r="C809">
        <v>0.24</v>
      </c>
      <c r="D809" t="s">
        <v>1196</v>
      </c>
      <c r="E809" t="s">
        <v>11</v>
      </c>
      <c r="G809" t="s">
        <v>9</v>
      </c>
      <c r="H809" t="s">
        <v>14</v>
      </c>
    </row>
    <row r="810" spans="1:8" hidden="1" x14ac:dyDescent="0.25">
      <c r="A810" t="s">
        <v>1195</v>
      </c>
      <c r="B810" s="1" t="str">
        <f>HYPERLINK("https://asmlis.vasa.lt/Dashboard/Served?ServiceDateFrom=2025-11-24&amp;ServiceDateTo=2025-11-24&amp;DumpsterInvNr=13-L-312946", "13-L-312946")</f>
        <v>13-L-312946</v>
      </c>
      <c r="C810">
        <v>0.24</v>
      </c>
      <c r="D810" t="s">
        <v>1196</v>
      </c>
      <c r="E810" t="s">
        <v>11</v>
      </c>
      <c r="G810" t="s">
        <v>9</v>
      </c>
      <c r="H810" t="s">
        <v>14</v>
      </c>
    </row>
    <row r="811" spans="1:8" hidden="1" x14ac:dyDescent="0.25">
      <c r="A811" t="s">
        <v>1197</v>
      </c>
      <c r="B811" s="1" t="str">
        <f>HYPERLINK("https://asmlis.vasa.lt/Dashboard/Served?ServiceDateFrom=2025-11-24&amp;ServiceDateTo=2025-11-24&amp;DumpsterInvNr=13-L-319680", "13-L-319680")</f>
        <v>13-L-319680</v>
      </c>
      <c r="C811">
        <v>1.1000000000000001</v>
      </c>
      <c r="D811" t="s">
        <v>1055</v>
      </c>
      <c r="E811" t="s">
        <v>11</v>
      </c>
      <c r="G811" t="s">
        <v>9</v>
      </c>
      <c r="H811" t="s">
        <v>14</v>
      </c>
    </row>
    <row r="812" spans="1:8" hidden="1" x14ac:dyDescent="0.25">
      <c r="A812" t="s">
        <v>1198</v>
      </c>
      <c r="B812" s="1" t="str">
        <f>HYPERLINK("https://asmlis.vasa.lt/Dashboard/Served?ServiceDateFrom=2025-11-24&amp;ServiceDateTo=2025-11-24&amp;DumpsterInvNr=13-L-424104", "13-L-424104")</f>
        <v>13-L-424104</v>
      </c>
      <c r="C812">
        <v>5</v>
      </c>
      <c r="D812" t="s">
        <v>1199</v>
      </c>
      <c r="E812" t="s">
        <v>11</v>
      </c>
      <c r="F812" t="s">
        <v>13</v>
      </c>
      <c r="G812" t="s">
        <v>74</v>
      </c>
      <c r="H812" t="s">
        <v>14</v>
      </c>
    </row>
    <row r="813" spans="1:8" hidden="1" x14ac:dyDescent="0.25">
      <c r="A813" t="s">
        <v>1200</v>
      </c>
      <c r="B813" s="1" t="str">
        <f>HYPERLINK("https://asmlis.vasa.lt/Dashboard/Served?ServiceDateFrom=2025-11-24&amp;ServiceDateTo=2025-11-24&amp;DumpsterInvNr=13-L-318415", "13-L-318415")</f>
        <v>13-L-318415</v>
      </c>
      <c r="C813">
        <v>1.1000000000000001</v>
      </c>
      <c r="D813" t="s">
        <v>1171</v>
      </c>
      <c r="E813" t="s">
        <v>11</v>
      </c>
      <c r="G813" t="s">
        <v>9</v>
      </c>
      <c r="H813" t="s">
        <v>14</v>
      </c>
    </row>
    <row r="814" spans="1:8" hidden="1" x14ac:dyDescent="0.25">
      <c r="A814" t="s">
        <v>1201</v>
      </c>
      <c r="B814" s="1" t="str">
        <f>HYPERLINK("https://asmlis.vasa.lt/Dashboard/Served?ServiceDateFrom=2025-11-24&amp;ServiceDateTo=2025-11-24&amp;DumpsterInvNr=13-P-416460", "13-P-416460")</f>
        <v>13-P-416460</v>
      </c>
      <c r="C814">
        <v>1.1000000000000001</v>
      </c>
      <c r="D814" t="s">
        <v>1203</v>
      </c>
      <c r="E814" t="s">
        <v>11</v>
      </c>
      <c r="G814" t="s">
        <v>264</v>
      </c>
      <c r="H814" t="s">
        <v>14</v>
      </c>
    </row>
    <row r="815" spans="1:8" hidden="1" x14ac:dyDescent="0.25">
      <c r="A815" t="s">
        <v>1204</v>
      </c>
      <c r="B815" s="1" t="str">
        <f>HYPERLINK("https://asmlis.vasa.lt/Dashboard/Served?ServiceDateFrom=2025-11-24&amp;ServiceDateTo=2025-11-24&amp;DumpsterInvNr=13-L-219480", "13-L-219480")</f>
        <v>13-L-219480</v>
      </c>
      <c r="C815">
        <v>1.1000000000000001</v>
      </c>
      <c r="D815" t="s">
        <v>1205</v>
      </c>
      <c r="E815" t="s">
        <v>11</v>
      </c>
      <c r="G815" t="s">
        <v>936</v>
      </c>
      <c r="H815" t="s">
        <v>938</v>
      </c>
    </row>
    <row r="816" spans="1:8" hidden="1" x14ac:dyDescent="0.25">
      <c r="A816" t="s">
        <v>736</v>
      </c>
      <c r="B816" s="1" t="str">
        <f>HYPERLINK("https://asmlis.vasa.lt/Dashboard/Served?ServiceDateFrom=2025-11-24&amp;ServiceDateTo=2025-11-24&amp;DumpsterInvNr=13-P-416426", "13-P-416426")</f>
        <v>13-P-416426</v>
      </c>
      <c r="C816">
        <v>1.1000000000000001</v>
      </c>
      <c r="D816" t="s">
        <v>1203</v>
      </c>
      <c r="E816" t="s">
        <v>11</v>
      </c>
      <c r="G816" t="s">
        <v>264</v>
      </c>
      <c r="H816" t="s">
        <v>14</v>
      </c>
    </row>
    <row r="817" spans="1:10" hidden="1" x14ac:dyDescent="0.25">
      <c r="A817" t="s">
        <v>1206</v>
      </c>
      <c r="B817" s="1" t="str">
        <f>HYPERLINK("https://asmlis.vasa.lt/Dashboard/Served?ServiceDateFrom=2025-11-24&amp;ServiceDateTo=2025-11-24&amp;DumpsterInvNr=13-L-312947", "13-L-312947")</f>
        <v>13-L-312947</v>
      </c>
      <c r="C817">
        <v>0.24</v>
      </c>
      <c r="D817" t="s">
        <v>1196</v>
      </c>
      <c r="E817" t="s">
        <v>11</v>
      </c>
      <c r="G817" t="s">
        <v>9</v>
      </c>
      <c r="H817" t="s">
        <v>14</v>
      </c>
    </row>
    <row r="818" spans="1:10" hidden="1" x14ac:dyDescent="0.25">
      <c r="A818" t="s">
        <v>1207</v>
      </c>
      <c r="B818" s="1" t="str">
        <f>HYPERLINK("https://asmlis.vasa.lt/Dashboard/Served?ServiceDateFrom=2025-11-24&amp;ServiceDateTo=2025-11-24&amp;DumpsterInvNr=13-P-303273", "13-P-303273")</f>
        <v>13-P-303273</v>
      </c>
      <c r="C818">
        <v>0.24</v>
      </c>
      <c r="D818" t="s">
        <v>1208</v>
      </c>
      <c r="E818" t="s">
        <v>12</v>
      </c>
      <c r="F818" t="s">
        <v>1209</v>
      </c>
      <c r="G818" t="s">
        <v>412</v>
      </c>
      <c r="H818" t="s">
        <v>14</v>
      </c>
    </row>
    <row r="819" spans="1:10" hidden="1" x14ac:dyDescent="0.25">
      <c r="A819" t="s">
        <v>1211</v>
      </c>
      <c r="B819" s="1" t="str">
        <f>HYPERLINK("https://asmlis.vasa.lt/Dashboard/Served?ServiceDateFrom=2025-11-24&amp;ServiceDateTo=2025-11-24&amp;DumpsterInvNr=13-L-318134", "13-L-318134")</f>
        <v>13-L-318134</v>
      </c>
      <c r="C819">
        <v>1.1000000000000001</v>
      </c>
      <c r="D819" t="s">
        <v>1171</v>
      </c>
      <c r="E819" t="s">
        <v>11</v>
      </c>
      <c r="G819" t="s">
        <v>9</v>
      </c>
      <c r="H819" t="s">
        <v>14</v>
      </c>
    </row>
    <row r="820" spans="1:10" hidden="1" x14ac:dyDescent="0.25">
      <c r="A820" t="s">
        <v>1212</v>
      </c>
      <c r="B820" s="1" t="str">
        <f>HYPERLINK("https://asmlis.vasa.lt/Dashboard/Served?ServiceDateFrom=2025-11-24&amp;ServiceDateTo=2025-11-24&amp;DumpsterInvNr=13-L-312944", "13-L-312944")</f>
        <v>13-L-312944</v>
      </c>
      <c r="C820">
        <v>0.24</v>
      </c>
      <c r="D820" t="s">
        <v>1196</v>
      </c>
      <c r="E820" t="s">
        <v>11</v>
      </c>
      <c r="G820" t="s">
        <v>9</v>
      </c>
      <c r="H820" t="s">
        <v>14</v>
      </c>
    </row>
    <row r="821" spans="1:10" x14ac:dyDescent="0.25">
      <c r="A821" t="s">
        <v>1213</v>
      </c>
      <c r="B821" s="1" t="str">
        <f>HYPERLINK("https://asmlis.vasa.lt/Dashboard/Served?ServiceDateFrom=2025-11-24&amp;ServiceDateTo=2025-11-24&amp;DumpsterInvNr=13-L-318513", "13-L-318513")</f>
        <v>13-L-318513</v>
      </c>
      <c r="C821">
        <v>1.1000000000000001</v>
      </c>
      <c r="D821" t="s">
        <v>1214</v>
      </c>
      <c r="E821" t="s">
        <v>11</v>
      </c>
      <c r="F821" t="s">
        <v>1215</v>
      </c>
      <c r="G821" t="s">
        <v>9</v>
      </c>
      <c r="H821" t="s">
        <v>14</v>
      </c>
      <c r="J821" t="s">
        <v>17511</v>
      </c>
    </row>
    <row r="822" spans="1:10" hidden="1" x14ac:dyDescent="0.25">
      <c r="A822" t="s">
        <v>1216</v>
      </c>
      <c r="B822" s="1" t="str">
        <f>HYPERLINK("https://asmlis.vasa.lt/Dashboard/Served?ServiceDateFrom=2025-11-24&amp;ServiceDateTo=2025-11-24&amp;DumpsterInvNr=13-L-418275", "13-L-418275")</f>
        <v>13-L-418275</v>
      </c>
      <c r="C822">
        <v>5</v>
      </c>
      <c r="D822" t="s">
        <v>1217</v>
      </c>
      <c r="E822" t="s">
        <v>11</v>
      </c>
      <c r="G822" t="s">
        <v>74</v>
      </c>
      <c r="H822" t="s">
        <v>14</v>
      </c>
    </row>
    <row r="823" spans="1:10" hidden="1" x14ac:dyDescent="0.25">
      <c r="A823" t="s">
        <v>1218</v>
      </c>
      <c r="B823" s="1" t="str">
        <f>HYPERLINK("https://asmlis.vasa.lt/Dashboard/Served?ServiceDateFrom=2025-11-24&amp;ServiceDateTo=2025-11-24&amp;DumpsterInvNr=13-L-304393", "13-L-304393")</f>
        <v>13-L-304393</v>
      </c>
      <c r="C823">
        <v>3</v>
      </c>
      <c r="D823" t="s">
        <v>1219</v>
      </c>
      <c r="E823" t="s">
        <v>11</v>
      </c>
      <c r="F823" t="s">
        <v>13</v>
      </c>
      <c r="G823" t="s">
        <v>9</v>
      </c>
      <c r="H823" t="s">
        <v>14</v>
      </c>
    </row>
    <row r="824" spans="1:10" hidden="1" x14ac:dyDescent="0.25">
      <c r="A824" t="s">
        <v>1220</v>
      </c>
      <c r="B824" s="1" t="str">
        <f>HYPERLINK("https://asmlis.vasa.lt/Dashboard/Served?ServiceDateFrom=2025-11-24&amp;ServiceDateTo=2025-11-24&amp;DumpsterInvNr=13-P-302614", "13-P-302614")</f>
        <v>13-P-302614</v>
      </c>
      <c r="C824">
        <v>5</v>
      </c>
      <c r="D824" t="s">
        <v>1221</v>
      </c>
      <c r="E824" t="s">
        <v>11</v>
      </c>
      <c r="G824" t="s">
        <v>412</v>
      </c>
      <c r="H824" t="s">
        <v>14</v>
      </c>
    </row>
    <row r="825" spans="1:10" hidden="1" x14ac:dyDescent="0.25">
      <c r="A825" t="s">
        <v>1222</v>
      </c>
      <c r="B825" s="1" t="str">
        <f>HYPERLINK("https://asmlis.vasa.lt/Dashboard/Served?ServiceDateFrom=2025-11-24&amp;ServiceDateTo=2025-11-24&amp;DumpsterInvNr=13-L-226333", "13-L-226333")</f>
        <v>13-L-226333</v>
      </c>
      <c r="C825">
        <v>1.1000000000000001</v>
      </c>
      <c r="D825" t="s">
        <v>1223</v>
      </c>
      <c r="E825" t="s">
        <v>11</v>
      </c>
      <c r="G825" t="s">
        <v>936</v>
      </c>
      <c r="H825" t="s">
        <v>938</v>
      </c>
    </row>
    <row r="826" spans="1:10" hidden="1" x14ac:dyDescent="0.25">
      <c r="A826" t="s">
        <v>1224</v>
      </c>
      <c r="B826" s="1" t="str">
        <f>HYPERLINK("https://asmlis.vasa.lt/Dashboard/Served?ServiceDateFrom=2025-11-24&amp;ServiceDateTo=2025-11-24&amp;DumpsterInvNr=13-P-401066", "13-P-401066")</f>
        <v>13-P-401066</v>
      </c>
      <c r="C826">
        <v>1.1000000000000001</v>
      </c>
      <c r="D826" t="s">
        <v>1203</v>
      </c>
      <c r="E826" t="s">
        <v>11</v>
      </c>
      <c r="F826" t="s">
        <v>13</v>
      </c>
      <c r="G826" t="s">
        <v>264</v>
      </c>
      <c r="H826" t="s">
        <v>14</v>
      </c>
    </row>
    <row r="827" spans="1:10" hidden="1" x14ac:dyDescent="0.25">
      <c r="A827" t="s">
        <v>1225</v>
      </c>
      <c r="B827" s="1" t="str">
        <f>HYPERLINK("https://asmlis.vasa.lt/Dashboard/Served?ServiceDateFrom=2025-11-24&amp;ServiceDateTo=2025-11-24&amp;DumpsterInvNr=13-L-318504", "13-L-318504")</f>
        <v>13-L-318504</v>
      </c>
      <c r="C827">
        <v>1.1000000000000001</v>
      </c>
      <c r="D827" t="s">
        <v>1214</v>
      </c>
      <c r="E827" t="s">
        <v>11</v>
      </c>
      <c r="G827" t="s">
        <v>9</v>
      </c>
      <c r="H827" t="s">
        <v>14</v>
      </c>
    </row>
    <row r="828" spans="1:10" hidden="1" x14ac:dyDescent="0.25">
      <c r="A828" t="s">
        <v>1226</v>
      </c>
      <c r="B828" s="1" t="str">
        <f>HYPERLINK("https://asmlis.vasa.lt/Dashboard/Served?ServiceDateFrom=2025-11-24&amp;ServiceDateTo=2025-11-24&amp;DumpsterInvNr=13-L-206959", "13-L-206959")</f>
        <v>13-L-206959</v>
      </c>
      <c r="C828">
        <v>0.77</v>
      </c>
      <c r="D828" t="s">
        <v>1227</v>
      </c>
      <c r="E828" t="s">
        <v>11</v>
      </c>
      <c r="F828" t="s">
        <v>13</v>
      </c>
      <c r="G828" t="s">
        <v>936</v>
      </c>
      <c r="H828" t="s">
        <v>938</v>
      </c>
    </row>
    <row r="829" spans="1:10" hidden="1" x14ac:dyDescent="0.25">
      <c r="A829" t="s">
        <v>1228</v>
      </c>
      <c r="B829" s="1" t="str">
        <f>HYPERLINK("https://asmlis.vasa.lt/Dashboard/Served?ServiceDateFrom=2025-11-24&amp;ServiceDateTo=2025-11-24&amp;DumpsterInvNr=13-L-226332", "13-L-226332")</f>
        <v>13-L-226332</v>
      </c>
      <c r="C829">
        <v>1.1000000000000001</v>
      </c>
      <c r="D829" t="s">
        <v>1223</v>
      </c>
      <c r="E829" t="s">
        <v>11</v>
      </c>
      <c r="G829" t="s">
        <v>936</v>
      </c>
      <c r="H829" t="s">
        <v>938</v>
      </c>
    </row>
    <row r="830" spans="1:10" hidden="1" x14ac:dyDescent="0.25">
      <c r="A830" t="s">
        <v>1229</v>
      </c>
      <c r="B830" s="1" t="str">
        <f>HYPERLINK("https://asmlis.vasa.lt/Dashboard/Served?ServiceDateFrom=2025-11-24&amp;ServiceDateTo=2025-11-24&amp;DumpsterInvNr=13-L-314379", "13-L-314379")</f>
        <v>13-L-314379</v>
      </c>
      <c r="C830">
        <v>1.1000000000000001</v>
      </c>
      <c r="D830" t="s">
        <v>1214</v>
      </c>
      <c r="E830" t="s">
        <v>11</v>
      </c>
      <c r="G830" t="s">
        <v>9</v>
      </c>
      <c r="H830" t="s">
        <v>14</v>
      </c>
    </row>
    <row r="831" spans="1:10" hidden="1" x14ac:dyDescent="0.25">
      <c r="A831" t="s">
        <v>1230</v>
      </c>
      <c r="B831" s="1" t="str">
        <f>HYPERLINK("https://asmlis.vasa.lt/Dashboard/Served?ServiceDateFrom=2025-11-24&amp;ServiceDateTo=2025-11-24&amp;DumpsterInvNr=13-L-316752", "13-L-316752")</f>
        <v>13-L-316752</v>
      </c>
      <c r="C831">
        <v>0.77</v>
      </c>
      <c r="D831" t="s">
        <v>1231</v>
      </c>
      <c r="E831" t="s">
        <v>11</v>
      </c>
      <c r="F831" t="s">
        <v>13</v>
      </c>
      <c r="G831" t="s">
        <v>9</v>
      </c>
      <c r="H831" t="s">
        <v>14</v>
      </c>
    </row>
    <row r="832" spans="1:10" hidden="1" x14ac:dyDescent="0.25">
      <c r="A832" t="s">
        <v>1232</v>
      </c>
      <c r="B832" s="1" t="str">
        <f>HYPERLINK("https://asmlis.vasa.lt/Dashboard/Served?ServiceDateFrom=2025-11-24&amp;ServiceDateTo=2025-11-24&amp;DumpsterInvNr=13-L-318353", "13-L-318353")</f>
        <v>13-L-318353</v>
      </c>
      <c r="C832">
        <v>1.1000000000000001</v>
      </c>
      <c r="D832" t="s">
        <v>1171</v>
      </c>
      <c r="E832" t="s">
        <v>11</v>
      </c>
      <c r="F832" t="s">
        <v>13</v>
      </c>
      <c r="G832" t="s">
        <v>9</v>
      </c>
      <c r="H832" t="s">
        <v>14</v>
      </c>
    </row>
    <row r="833" spans="1:8" hidden="1" x14ac:dyDescent="0.25">
      <c r="A833" t="s">
        <v>1233</v>
      </c>
      <c r="B833" s="1" t="str">
        <f>HYPERLINK("https://asmlis.vasa.lt/Dashboard/Served?ServiceDateFrom=2025-11-24&amp;ServiceDateTo=2025-11-24&amp;DumpsterInvNr=13-L-317755", "13-L-317755")</f>
        <v>13-L-317755</v>
      </c>
      <c r="C833">
        <v>1.1000000000000001</v>
      </c>
      <c r="D833" t="s">
        <v>1171</v>
      </c>
      <c r="E833" t="s">
        <v>11</v>
      </c>
      <c r="F833" t="s">
        <v>13</v>
      </c>
      <c r="G833" t="s">
        <v>9</v>
      </c>
      <c r="H833" t="s">
        <v>14</v>
      </c>
    </row>
    <row r="834" spans="1:8" hidden="1" x14ac:dyDescent="0.25">
      <c r="A834" t="s">
        <v>1234</v>
      </c>
      <c r="B834" s="1" t="str">
        <f>HYPERLINK("https://asmlis.vasa.lt/Dashboard/Served?ServiceDateFrom=2025-11-24&amp;ServiceDateTo=2025-11-24&amp;DumpsterInvNr=13-L-314380", "13-L-314380")</f>
        <v>13-L-314380</v>
      </c>
      <c r="C834">
        <v>1.1000000000000001</v>
      </c>
      <c r="D834" t="s">
        <v>1214</v>
      </c>
      <c r="E834" t="s">
        <v>11</v>
      </c>
      <c r="G834" t="s">
        <v>9</v>
      </c>
      <c r="H834" t="s">
        <v>14</v>
      </c>
    </row>
    <row r="835" spans="1:8" hidden="1" x14ac:dyDescent="0.25">
      <c r="A835" t="s">
        <v>1235</v>
      </c>
      <c r="B835" s="1" t="str">
        <f>HYPERLINK("https://asmlis.vasa.lt/Dashboard/Served?ServiceDateFrom=2025-11-24&amp;ServiceDateTo=2025-11-24&amp;DumpsterInvNr=13-L-222191", "13-L-222191")</f>
        <v>13-L-222191</v>
      </c>
      <c r="C835">
        <v>1.1000000000000001</v>
      </c>
      <c r="D835" t="s">
        <v>1227</v>
      </c>
      <c r="E835" t="s">
        <v>11</v>
      </c>
      <c r="F835" t="s">
        <v>13</v>
      </c>
      <c r="G835" t="s">
        <v>936</v>
      </c>
      <c r="H835" t="s">
        <v>938</v>
      </c>
    </row>
    <row r="836" spans="1:8" hidden="1" x14ac:dyDescent="0.25">
      <c r="A836" t="s">
        <v>1236</v>
      </c>
      <c r="B836" s="1" t="str">
        <f>HYPERLINK("https://asmlis.vasa.lt/Dashboard/Served?ServiceDateFrom=2025-11-24&amp;ServiceDateTo=2025-11-24&amp;DumpsterInvNr=13-L-318250", "13-L-318250")</f>
        <v>13-L-318250</v>
      </c>
      <c r="C836">
        <v>1.1000000000000001</v>
      </c>
      <c r="D836" t="s">
        <v>1214</v>
      </c>
      <c r="E836" t="s">
        <v>11</v>
      </c>
      <c r="G836" t="s">
        <v>9</v>
      </c>
      <c r="H836" t="s">
        <v>14</v>
      </c>
    </row>
    <row r="837" spans="1:8" hidden="1" x14ac:dyDescent="0.25">
      <c r="A837" t="s">
        <v>1237</v>
      </c>
      <c r="B837" s="1" t="str">
        <f>HYPERLINK("https://asmlis.vasa.lt/Dashboard/Served?ServiceDateFrom=2025-11-24&amp;ServiceDateTo=2025-11-24&amp;DumpsterInvNr=13-L-318512", "13-L-318512")</f>
        <v>13-L-318512</v>
      </c>
      <c r="C837">
        <v>1.1000000000000001</v>
      </c>
      <c r="D837" t="s">
        <v>1214</v>
      </c>
      <c r="E837" t="s">
        <v>11</v>
      </c>
      <c r="F837" t="s">
        <v>13</v>
      </c>
      <c r="G837" t="s">
        <v>9</v>
      </c>
      <c r="H837" t="s">
        <v>14</v>
      </c>
    </row>
    <row r="838" spans="1:8" hidden="1" x14ac:dyDescent="0.25">
      <c r="A838" t="s">
        <v>1238</v>
      </c>
      <c r="B838" s="1" t="str">
        <f>HYPERLINK("https://asmlis.vasa.lt/Dashboard/Served?ServiceDateFrom=2025-11-24&amp;ServiceDateTo=2025-11-24&amp;DumpsterInvNr=13-L-420395", "13-L-420395")</f>
        <v>13-L-420395</v>
      </c>
      <c r="C838">
        <v>5</v>
      </c>
      <c r="D838" t="s">
        <v>1239</v>
      </c>
      <c r="E838" t="s">
        <v>11</v>
      </c>
      <c r="G838" t="s">
        <v>74</v>
      </c>
      <c r="H838" t="s">
        <v>14</v>
      </c>
    </row>
    <row r="839" spans="1:8" hidden="1" x14ac:dyDescent="0.25">
      <c r="A839" t="s">
        <v>1238</v>
      </c>
      <c r="B839" s="1" t="str">
        <f>HYPERLINK("https://asmlis.vasa.lt/Dashboard/Served?ServiceDateFrom=2025-11-24&amp;ServiceDateTo=2025-11-24&amp;DumpsterInvNr=13-L-302600", "13-L-302600")</f>
        <v>13-L-302600</v>
      </c>
      <c r="C839">
        <v>1.1000000000000001</v>
      </c>
      <c r="D839" t="s">
        <v>1214</v>
      </c>
      <c r="E839" t="s">
        <v>11</v>
      </c>
      <c r="F839" t="s">
        <v>13</v>
      </c>
      <c r="G839" t="s">
        <v>9</v>
      </c>
      <c r="H839" t="s">
        <v>14</v>
      </c>
    </row>
    <row r="840" spans="1:8" hidden="1" x14ac:dyDescent="0.25">
      <c r="A840" t="s">
        <v>1240</v>
      </c>
      <c r="B840" s="1" t="str">
        <f>HYPERLINK("https://asmlis.vasa.lt/Dashboard/Served?ServiceDateFrom=2025-11-24&amp;ServiceDateTo=2025-11-24&amp;DumpsterInvNr=13-L-425334", "13-L-425334")</f>
        <v>13-L-425334</v>
      </c>
      <c r="C840">
        <v>1.1000000000000001</v>
      </c>
      <c r="D840" t="s">
        <v>1241</v>
      </c>
      <c r="E840" t="s">
        <v>11</v>
      </c>
      <c r="G840" t="s">
        <v>74</v>
      </c>
      <c r="H840" t="s">
        <v>14</v>
      </c>
    </row>
    <row r="841" spans="1:8" hidden="1" x14ac:dyDescent="0.25">
      <c r="A841" t="s">
        <v>1242</v>
      </c>
      <c r="B841" s="1" t="str">
        <f>HYPERLINK("https://asmlis.vasa.lt/Dashboard/Served?ServiceDateFrom=2025-11-24&amp;ServiceDateTo=2025-11-24&amp;DumpsterInvNr=13-L-317790", "13-L-317790")</f>
        <v>13-L-317790</v>
      </c>
      <c r="C841">
        <v>1.1000000000000001</v>
      </c>
      <c r="D841" t="s">
        <v>1243</v>
      </c>
      <c r="E841" t="s">
        <v>11</v>
      </c>
      <c r="G841" t="s">
        <v>9</v>
      </c>
      <c r="H841" t="s">
        <v>14</v>
      </c>
    </row>
    <row r="842" spans="1:8" hidden="1" x14ac:dyDescent="0.25">
      <c r="A842" t="s">
        <v>1242</v>
      </c>
      <c r="B842" s="1" t="str">
        <f>HYPERLINK("https://asmlis.vasa.lt/Dashboard/Served?ServiceDateFrom=2025-11-24&amp;ServiceDateTo=2025-11-24&amp;DumpsterInvNr=13-L-318729", "13-L-318729")</f>
        <v>13-L-318729</v>
      </c>
      <c r="C842">
        <v>1.1000000000000001</v>
      </c>
      <c r="D842" t="s">
        <v>1243</v>
      </c>
      <c r="E842" t="s">
        <v>11</v>
      </c>
      <c r="G842" t="s">
        <v>9</v>
      </c>
      <c r="H842" t="s">
        <v>14</v>
      </c>
    </row>
    <row r="843" spans="1:8" hidden="1" x14ac:dyDescent="0.25">
      <c r="A843" t="s">
        <v>1244</v>
      </c>
      <c r="B843" s="1" t="str">
        <f>HYPERLINK("https://asmlis.vasa.lt/Dashboard/Served?ServiceDateFrom=2025-11-24&amp;ServiceDateTo=2025-11-24&amp;DumpsterInvNr=13-L-307764", "13-L-307764")</f>
        <v>13-L-307764</v>
      </c>
      <c r="C843">
        <v>0.66</v>
      </c>
      <c r="D843" t="s">
        <v>1245</v>
      </c>
      <c r="E843" t="s">
        <v>11</v>
      </c>
      <c r="F843" t="s">
        <v>13</v>
      </c>
      <c r="G843" t="s">
        <v>9</v>
      </c>
      <c r="H843" t="s">
        <v>14</v>
      </c>
    </row>
    <row r="844" spans="1:8" hidden="1" x14ac:dyDescent="0.25">
      <c r="A844" t="s">
        <v>1246</v>
      </c>
      <c r="B844" s="1" t="str">
        <f>HYPERLINK("https://asmlis.vasa.lt/Dashboard/Served?ServiceDateFrom=2025-11-24&amp;ServiceDateTo=2025-11-24&amp;DumpsterInvNr=13-L-425333", "13-L-425333")</f>
        <v>13-L-425333</v>
      </c>
      <c r="C844">
        <v>1.1000000000000001</v>
      </c>
      <c r="D844" t="s">
        <v>1241</v>
      </c>
      <c r="E844" t="s">
        <v>11</v>
      </c>
      <c r="G844" t="s">
        <v>74</v>
      </c>
      <c r="H844" t="s">
        <v>14</v>
      </c>
    </row>
    <row r="845" spans="1:8" hidden="1" x14ac:dyDescent="0.25">
      <c r="A845" t="s">
        <v>1247</v>
      </c>
      <c r="B845" s="1" t="str">
        <f>HYPERLINK("https://asmlis.vasa.lt/Dashboard/Served?ServiceDateFrom=2025-11-24&amp;ServiceDateTo=2025-11-24&amp;DumpsterInvNr=13-L-307759", "13-L-307759")</f>
        <v>13-L-307759</v>
      </c>
      <c r="C845">
        <v>0.66</v>
      </c>
      <c r="D845" t="s">
        <v>1245</v>
      </c>
      <c r="E845" t="s">
        <v>11</v>
      </c>
      <c r="F845" t="s">
        <v>13</v>
      </c>
      <c r="G845" t="s">
        <v>9</v>
      </c>
      <c r="H845" t="s">
        <v>14</v>
      </c>
    </row>
    <row r="846" spans="1:8" hidden="1" x14ac:dyDescent="0.25">
      <c r="A846" t="s">
        <v>1248</v>
      </c>
      <c r="B846" s="1" t="str">
        <f>HYPERLINK("https://asmlis.vasa.lt/Dashboard/Served?ServiceDateFrom=2025-11-24&amp;ServiceDateTo=2025-11-24&amp;DumpsterInvNr=13-L-304392", "13-L-304392")</f>
        <v>13-L-304392</v>
      </c>
      <c r="C846">
        <v>5</v>
      </c>
      <c r="D846" t="s">
        <v>1249</v>
      </c>
      <c r="E846" t="s">
        <v>11</v>
      </c>
      <c r="F846" t="s">
        <v>13</v>
      </c>
      <c r="G846" t="s">
        <v>9</v>
      </c>
      <c r="H846" t="s">
        <v>14</v>
      </c>
    </row>
    <row r="847" spans="1:8" hidden="1" x14ac:dyDescent="0.25">
      <c r="A847" t="s">
        <v>1250</v>
      </c>
      <c r="B847" s="1" t="str">
        <f>HYPERLINK("https://asmlis.vasa.lt/Dashboard/Served?ServiceDateFrom=2025-11-24&amp;ServiceDateTo=2025-11-24&amp;DumpsterInvNr=13-L-223907", "13-L-223907")</f>
        <v>13-L-223907</v>
      </c>
      <c r="C847">
        <v>1.1000000000000001</v>
      </c>
      <c r="D847" t="s">
        <v>1173</v>
      </c>
      <c r="E847" t="s">
        <v>11</v>
      </c>
      <c r="G847" t="s">
        <v>936</v>
      </c>
      <c r="H847" t="s">
        <v>938</v>
      </c>
    </row>
    <row r="848" spans="1:8" hidden="1" x14ac:dyDescent="0.25">
      <c r="A848" t="s">
        <v>1251</v>
      </c>
      <c r="B848" s="1" t="str">
        <f>HYPERLINK("https://asmlis.vasa.lt/Dashboard/Served?ServiceDateFrom=2025-11-24&amp;ServiceDateTo=2025-11-24&amp;DumpsterInvNr=13-P-306800", "13-P-306800")</f>
        <v>13-P-306800</v>
      </c>
      <c r="C848">
        <v>1.1000000000000001</v>
      </c>
      <c r="D848" t="s">
        <v>1252</v>
      </c>
      <c r="E848" t="s">
        <v>11</v>
      </c>
      <c r="F848" t="s">
        <v>13</v>
      </c>
      <c r="G848" t="s">
        <v>412</v>
      </c>
      <c r="H848" t="s">
        <v>14</v>
      </c>
    </row>
    <row r="849" spans="1:8" hidden="1" x14ac:dyDescent="0.25">
      <c r="A849" t="s">
        <v>1253</v>
      </c>
      <c r="B849" s="1" t="str">
        <f>HYPERLINK("https://asmlis.vasa.lt/Dashboard/Served?ServiceDateFrom=2025-11-24&amp;ServiceDateTo=2025-11-24&amp;DumpsterInvNr=13-L-413324", "13-L-413324")</f>
        <v>13-L-413324</v>
      </c>
      <c r="C849">
        <v>5</v>
      </c>
      <c r="D849" t="s">
        <v>1254</v>
      </c>
      <c r="E849" t="s">
        <v>11</v>
      </c>
      <c r="F849" t="s">
        <v>13</v>
      </c>
      <c r="G849" t="s">
        <v>74</v>
      </c>
      <c r="H849" t="s">
        <v>14</v>
      </c>
    </row>
    <row r="850" spans="1:8" hidden="1" x14ac:dyDescent="0.25">
      <c r="A850" t="s">
        <v>1255</v>
      </c>
      <c r="B850" s="1" t="str">
        <f>HYPERLINK("https://asmlis.vasa.lt/Dashboard/Served?ServiceDateFrom=2025-11-24&amp;ServiceDateTo=2025-11-24&amp;DumpsterInvNr=13-L-216688", "13-L-216688")</f>
        <v>13-L-216688</v>
      </c>
      <c r="C850">
        <v>1.1000000000000001</v>
      </c>
      <c r="D850" t="s">
        <v>1173</v>
      </c>
      <c r="E850" t="s">
        <v>11</v>
      </c>
      <c r="G850" t="s">
        <v>936</v>
      </c>
      <c r="H850" t="s">
        <v>938</v>
      </c>
    </row>
    <row r="851" spans="1:8" hidden="1" x14ac:dyDescent="0.25">
      <c r="A851" t="s">
        <v>1256</v>
      </c>
      <c r="B851" s="1" t="str">
        <f>HYPERLINK("https://asmlis.vasa.lt/Dashboard/Served?ServiceDateFrom=2025-11-24&amp;ServiceDateTo=2025-11-24&amp;DumpsterInvNr=13-P-306815", "13-P-306815")</f>
        <v>13-P-306815</v>
      </c>
      <c r="C851">
        <v>1.1000000000000001</v>
      </c>
      <c r="D851" t="s">
        <v>1252</v>
      </c>
      <c r="E851" t="s">
        <v>11</v>
      </c>
      <c r="F851" t="s">
        <v>13</v>
      </c>
      <c r="G851" t="s">
        <v>412</v>
      </c>
      <c r="H851" t="s">
        <v>14</v>
      </c>
    </row>
    <row r="852" spans="1:8" hidden="1" x14ac:dyDescent="0.25">
      <c r="A852" t="s">
        <v>1257</v>
      </c>
      <c r="B852" s="1" t="str">
        <f>HYPERLINK("https://asmlis.vasa.lt/Dashboard/Served?ServiceDateFrom=2025-11-24&amp;ServiceDateTo=2025-11-24&amp;DumpsterInvNr=13-P-212185", "13-P-212185")</f>
        <v>13-P-212185</v>
      </c>
      <c r="C852">
        <v>2.5</v>
      </c>
      <c r="D852" t="s">
        <v>1258</v>
      </c>
      <c r="E852" t="s">
        <v>11</v>
      </c>
      <c r="F852" t="s">
        <v>13</v>
      </c>
      <c r="G852" t="s">
        <v>234</v>
      </c>
      <c r="H852" t="s">
        <v>14</v>
      </c>
    </row>
    <row r="853" spans="1:8" hidden="1" x14ac:dyDescent="0.25">
      <c r="A853" t="s">
        <v>1257</v>
      </c>
      <c r="B853" s="1" t="str">
        <f>HYPERLINK("https://asmlis.vasa.lt/Dashboard/Served?ServiceDateFrom=2025-11-24&amp;ServiceDateTo=2025-11-24&amp;DumpsterInvNr=13-L-138847", "13-L-138847")</f>
        <v>13-L-138847</v>
      </c>
      <c r="C853">
        <v>5</v>
      </c>
      <c r="D853" t="s">
        <v>1259</v>
      </c>
      <c r="E853" t="s">
        <v>11</v>
      </c>
      <c r="F853" t="s">
        <v>13</v>
      </c>
      <c r="G853" t="s">
        <v>430</v>
      </c>
      <c r="H853" t="s">
        <v>432</v>
      </c>
    </row>
    <row r="854" spans="1:8" hidden="1" x14ac:dyDescent="0.25">
      <c r="A854" t="s">
        <v>1260</v>
      </c>
      <c r="B854" s="1" t="str">
        <f>HYPERLINK("https://asmlis.vasa.lt/Dashboard/Served?ServiceDateFrom=2025-11-24&amp;ServiceDateTo=2025-11-24&amp;DumpsterInvNr=13-P-210108", "13-P-210108")</f>
        <v>13-P-210108</v>
      </c>
      <c r="C854">
        <v>2.5</v>
      </c>
      <c r="D854" t="s">
        <v>1258</v>
      </c>
      <c r="E854" t="s">
        <v>11</v>
      </c>
      <c r="F854" t="s">
        <v>13</v>
      </c>
      <c r="G854" t="s">
        <v>234</v>
      </c>
      <c r="H854" t="s">
        <v>14</v>
      </c>
    </row>
    <row r="855" spans="1:8" hidden="1" x14ac:dyDescent="0.25">
      <c r="A855" t="s">
        <v>1261</v>
      </c>
      <c r="B855" s="1" t="str">
        <f>HYPERLINK("https://asmlis.vasa.lt/Dashboard/Served?ServiceDateFrom=2025-11-24&amp;ServiceDateTo=2025-11-24&amp;DumpsterInvNr=13-L-303598", "13-L-303598")</f>
        <v>13-L-303598</v>
      </c>
      <c r="C855">
        <v>0.77</v>
      </c>
      <c r="D855" t="s">
        <v>1262</v>
      </c>
      <c r="E855" t="s">
        <v>11</v>
      </c>
      <c r="F855" t="s">
        <v>13</v>
      </c>
      <c r="G855" t="s">
        <v>9</v>
      </c>
      <c r="H855" t="s">
        <v>14</v>
      </c>
    </row>
    <row r="856" spans="1:8" hidden="1" x14ac:dyDescent="0.25">
      <c r="A856" t="s">
        <v>1263</v>
      </c>
      <c r="B856" s="1" t="str">
        <f>HYPERLINK("https://asmlis.vasa.lt/Dashboard/Served?ServiceDateFrom=2025-11-24&amp;ServiceDateTo=2025-11-24&amp;DumpsterInvNr=13-L-317183", "13-L-317183")</f>
        <v>13-L-317183</v>
      </c>
      <c r="C856">
        <v>1.1000000000000001</v>
      </c>
      <c r="D856" t="s">
        <v>1262</v>
      </c>
      <c r="E856" t="s">
        <v>11</v>
      </c>
      <c r="F856" t="s">
        <v>13</v>
      </c>
      <c r="G856" t="s">
        <v>9</v>
      </c>
      <c r="H856" t="s">
        <v>14</v>
      </c>
    </row>
    <row r="857" spans="1:8" hidden="1" x14ac:dyDescent="0.25">
      <c r="A857" t="s">
        <v>1264</v>
      </c>
      <c r="B857" s="1" t="str">
        <f>HYPERLINK("https://asmlis.vasa.lt/Dashboard/Served?ServiceDateFrom=2025-11-24&amp;ServiceDateTo=2025-11-24&amp;DumpsterInvNr=13-L-225720", "13-L-225720")</f>
        <v>13-L-225720</v>
      </c>
      <c r="C857">
        <v>1.1000000000000001</v>
      </c>
      <c r="D857" t="s">
        <v>1223</v>
      </c>
      <c r="E857" t="s">
        <v>11</v>
      </c>
      <c r="G857" t="s">
        <v>936</v>
      </c>
      <c r="H857" t="s">
        <v>938</v>
      </c>
    </row>
    <row r="858" spans="1:8" hidden="1" x14ac:dyDescent="0.25">
      <c r="A858" t="s">
        <v>1265</v>
      </c>
      <c r="B858" s="1" t="str">
        <f>HYPERLINK("https://asmlis.vasa.lt/Dashboard/Served?ServiceDateFrom=2025-11-24&amp;ServiceDateTo=2025-11-24&amp;DumpsterInvNr=13-L-317099", "13-L-317099")</f>
        <v>13-L-317099</v>
      </c>
      <c r="C858">
        <v>5</v>
      </c>
      <c r="D858" t="s">
        <v>1266</v>
      </c>
      <c r="E858" t="s">
        <v>11</v>
      </c>
      <c r="F858" t="s">
        <v>13</v>
      </c>
      <c r="G858" t="s">
        <v>9</v>
      </c>
      <c r="H858" t="s">
        <v>14</v>
      </c>
    </row>
    <row r="859" spans="1:8" hidden="1" x14ac:dyDescent="0.25">
      <c r="A859" t="s">
        <v>1267</v>
      </c>
      <c r="B859" s="1" t="str">
        <f>HYPERLINK("https://asmlis.vasa.lt/Dashboard/Served?ServiceDateFrom=2025-11-24&amp;ServiceDateTo=2025-11-24&amp;DumpsterInvNr=13-P-300488", "13-P-300488")</f>
        <v>13-P-300488</v>
      </c>
      <c r="C859">
        <v>1.1000000000000001</v>
      </c>
      <c r="D859" t="s">
        <v>1268</v>
      </c>
      <c r="E859" t="s">
        <v>11</v>
      </c>
      <c r="F859" t="s">
        <v>13</v>
      </c>
      <c r="G859" t="s">
        <v>412</v>
      </c>
      <c r="H859" t="s">
        <v>14</v>
      </c>
    </row>
    <row r="860" spans="1:8" hidden="1" x14ac:dyDescent="0.25">
      <c r="A860" t="s">
        <v>1269</v>
      </c>
      <c r="B860" s="1" t="str">
        <f>HYPERLINK("https://asmlis.vasa.lt/Dashboard/Served?ServiceDateFrom=2025-11-24&amp;ServiceDateTo=2025-11-24&amp;DumpsterInvNr=13-P-300689", "13-P-300689")</f>
        <v>13-P-300689</v>
      </c>
      <c r="C860">
        <v>1.1000000000000001</v>
      </c>
      <c r="D860" t="s">
        <v>1268</v>
      </c>
      <c r="E860" t="s">
        <v>11</v>
      </c>
      <c r="F860" t="s">
        <v>13</v>
      </c>
      <c r="G860" t="s">
        <v>412</v>
      </c>
      <c r="H860" t="s">
        <v>14</v>
      </c>
    </row>
    <row r="861" spans="1:8" hidden="1" x14ac:dyDescent="0.25">
      <c r="A861" t="s">
        <v>1270</v>
      </c>
      <c r="B861" s="1" t="str">
        <f>HYPERLINK("https://asmlis.vasa.lt/Dashboard/Served?ServiceDateFrom=2025-11-24&amp;ServiceDateTo=2025-11-24&amp;DumpsterInvNr=13-P-300730", "13-P-300730")</f>
        <v>13-P-300730</v>
      </c>
      <c r="C861">
        <v>1.1000000000000001</v>
      </c>
      <c r="D861" t="s">
        <v>1268</v>
      </c>
      <c r="E861" t="s">
        <v>11</v>
      </c>
      <c r="F861" t="s">
        <v>13</v>
      </c>
      <c r="G861" t="s">
        <v>412</v>
      </c>
      <c r="H861" t="s">
        <v>14</v>
      </c>
    </row>
    <row r="862" spans="1:8" hidden="1" x14ac:dyDescent="0.25">
      <c r="A862" t="s">
        <v>1271</v>
      </c>
      <c r="B862" s="1" t="str">
        <f>HYPERLINK("https://asmlis.vasa.lt/Dashboard/Served?ServiceDateFrom=2025-11-24&amp;ServiceDateTo=2025-11-24&amp;DumpsterInvNr=13-L-226331", "13-L-226331")</f>
        <v>13-L-226331</v>
      </c>
      <c r="C862">
        <v>1.1000000000000001</v>
      </c>
      <c r="D862" t="s">
        <v>1223</v>
      </c>
      <c r="E862" t="s">
        <v>11</v>
      </c>
      <c r="G862" t="s">
        <v>936</v>
      </c>
      <c r="H862" t="s">
        <v>938</v>
      </c>
    </row>
    <row r="863" spans="1:8" hidden="1" x14ac:dyDescent="0.25">
      <c r="A863" t="s">
        <v>1272</v>
      </c>
      <c r="B863" s="1" t="str">
        <f>HYPERLINK("https://asmlis.vasa.lt/Dashboard/Served?ServiceDateFrom=2025-11-24&amp;ServiceDateTo=2025-11-24&amp;DumpsterInvNr=13-L-318722", "13-L-318722")</f>
        <v>13-L-318722</v>
      </c>
      <c r="C863">
        <v>1.1000000000000001</v>
      </c>
      <c r="D863" t="s">
        <v>1273</v>
      </c>
      <c r="E863" t="s">
        <v>11</v>
      </c>
      <c r="G863" t="s">
        <v>9</v>
      </c>
      <c r="H863" t="s">
        <v>14</v>
      </c>
    </row>
    <row r="864" spans="1:8" hidden="1" x14ac:dyDescent="0.25">
      <c r="A864" t="s">
        <v>1274</v>
      </c>
      <c r="B864" s="1" t="str">
        <f>HYPERLINK("https://asmlis.vasa.lt/Dashboard/Served?ServiceDateFrom=2025-11-24&amp;ServiceDateTo=2025-11-24&amp;DumpsterInvNr=13-P-302628", "13-P-302628")</f>
        <v>13-P-302628</v>
      </c>
      <c r="C864">
        <v>2.5</v>
      </c>
      <c r="D864" t="s">
        <v>1275</v>
      </c>
      <c r="E864" t="s">
        <v>11</v>
      </c>
      <c r="G864" t="s">
        <v>412</v>
      </c>
      <c r="H864" t="s">
        <v>14</v>
      </c>
    </row>
    <row r="865" spans="1:8" hidden="1" x14ac:dyDescent="0.25">
      <c r="A865" t="s">
        <v>1276</v>
      </c>
      <c r="B865" s="1" t="str">
        <f>HYPERLINK("https://asmlis.vasa.lt/Dashboard/Served?ServiceDateFrom=2025-11-24&amp;ServiceDateTo=2025-11-24&amp;DumpsterInvNr=13-L-317584", "13-L-317584")</f>
        <v>13-L-317584</v>
      </c>
      <c r="C865">
        <v>1.1000000000000001</v>
      </c>
      <c r="D865" t="s">
        <v>1277</v>
      </c>
      <c r="E865" t="s">
        <v>11</v>
      </c>
      <c r="G865" t="s">
        <v>9</v>
      </c>
      <c r="H865" t="s">
        <v>14</v>
      </c>
    </row>
    <row r="866" spans="1:8" hidden="1" x14ac:dyDescent="0.25">
      <c r="A866" t="s">
        <v>1278</v>
      </c>
      <c r="B866" s="1" t="str">
        <f>HYPERLINK("https://asmlis.vasa.lt/Dashboard/Served?ServiceDateFrom=2025-11-24&amp;ServiceDateTo=2025-11-24&amp;DumpsterInvNr=13-P-306752", "13-P-306752")</f>
        <v>13-P-306752</v>
      </c>
      <c r="C866">
        <v>1.1000000000000001</v>
      </c>
      <c r="D866" t="s">
        <v>1279</v>
      </c>
      <c r="E866" t="s">
        <v>11</v>
      </c>
      <c r="F866" t="s">
        <v>13</v>
      </c>
      <c r="G866" t="s">
        <v>412</v>
      </c>
      <c r="H866" t="s">
        <v>14</v>
      </c>
    </row>
    <row r="867" spans="1:8" hidden="1" x14ac:dyDescent="0.25">
      <c r="A867" t="s">
        <v>1280</v>
      </c>
      <c r="B867" s="1" t="str">
        <f>HYPERLINK("https://asmlis.vasa.lt/Dashboard/Served?ServiceDateFrom=2025-11-24&amp;ServiceDateTo=2025-11-24&amp;DumpsterInvNr=13-L-225747", "13-L-225747")</f>
        <v>13-L-225747</v>
      </c>
      <c r="C867">
        <v>1.1000000000000001</v>
      </c>
      <c r="D867" t="s">
        <v>1223</v>
      </c>
      <c r="E867" t="s">
        <v>11</v>
      </c>
      <c r="G867" t="s">
        <v>936</v>
      </c>
      <c r="H867" t="s">
        <v>938</v>
      </c>
    </row>
    <row r="868" spans="1:8" hidden="1" x14ac:dyDescent="0.25">
      <c r="A868" t="s">
        <v>1281</v>
      </c>
      <c r="B868" s="1" t="str">
        <f>HYPERLINK("https://asmlis.vasa.lt/Dashboard/Served?ServiceDateFrom=2025-11-24&amp;ServiceDateTo=2025-11-24&amp;DumpsterInvNr=13-L-403787", "13-L-403787")</f>
        <v>13-L-403787</v>
      </c>
      <c r="C868">
        <v>5</v>
      </c>
      <c r="D868" t="s">
        <v>1282</v>
      </c>
      <c r="E868" t="s">
        <v>11</v>
      </c>
      <c r="G868" t="s">
        <v>74</v>
      </c>
      <c r="H868" t="s">
        <v>14</v>
      </c>
    </row>
    <row r="869" spans="1:8" hidden="1" x14ac:dyDescent="0.25">
      <c r="A869" t="s">
        <v>1283</v>
      </c>
      <c r="B869" s="1" t="str">
        <f>HYPERLINK("https://asmlis.vasa.lt/Dashboard/Served?ServiceDateFrom=2025-11-24&amp;ServiceDateTo=2025-11-24&amp;DumpsterInvNr=13-L-317363", "13-L-317363")</f>
        <v>13-L-317363</v>
      </c>
      <c r="C869">
        <v>1.1000000000000001</v>
      </c>
      <c r="D869" t="s">
        <v>1277</v>
      </c>
      <c r="E869" t="s">
        <v>11</v>
      </c>
      <c r="G869" t="s">
        <v>9</v>
      </c>
      <c r="H869" t="s">
        <v>14</v>
      </c>
    </row>
    <row r="870" spans="1:8" hidden="1" x14ac:dyDescent="0.25">
      <c r="A870" t="s">
        <v>1284</v>
      </c>
      <c r="B870" s="1" t="str">
        <f>HYPERLINK("https://asmlis.vasa.lt/Dashboard/Served?ServiceDateFrom=2025-11-24&amp;ServiceDateTo=2025-11-24&amp;DumpsterInvNr=13-L-227654", "13-L-227654")</f>
        <v>13-L-227654</v>
      </c>
      <c r="C870">
        <v>1.1000000000000001</v>
      </c>
      <c r="D870" t="s">
        <v>1223</v>
      </c>
      <c r="E870" t="s">
        <v>11</v>
      </c>
      <c r="G870" t="s">
        <v>936</v>
      </c>
      <c r="H870" t="s">
        <v>938</v>
      </c>
    </row>
    <row r="871" spans="1:8" hidden="1" x14ac:dyDescent="0.25">
      <c r="A871" t="s">
        <v>1285</v>
      </c>
      <c r="B871" s="1" t="str">
        <f>HYPERLINK("https://asmlis.vasa.lt/Dashboard/Served?ServiceDateFrom=2025-11-24&amp;ServiceDateTo=2025-11-24&amp;DumpsterInvNr=13-L-219534", "13-L-219534")</f>
        <v>13-L-219534</v>
      </c>
      <c r="C871">
        <v>1.1000000000000001</v>
      </c>
      <c r="D871" t="s">
        <v>1173</v>
      </c>
      <c r="E871" t="s">
        <v>11</v>
      </c>
      <c r="F871" t="s">
        <v>13</v>
      </c>
      <c r="G871" t="s">
        <v>936</v>
      </c>
      <c r="H871" t="s">
        <v>938</v>
      </c>
    </row>
    <row r="872" spans="1:8" hidden="1" x14ac:dyDescent="0.25">
      <c r="A872" t="s">
        <v>1286</v>
      </c>
      <c r="B872" s="1" t="str">
        <f>HYPERLINK("https://asmlis.vasa.lt/Dashboard/Served?ServiceDateFrom=2025-11-24&amp;ServiceDateTo=2025-11-24&amp;DumpsterInvNr=13-L-312005", "13-L-312005")</f>
        <v>13-L-312005</v>
      </c>
      <c r="C872">
        <v>0.77</v>
      </c>
      <c r="D872" t="s">
        <v>1273</v>
      </c>
      <c r="E872" t="s">
        <v>11</v>
      </c>
      <c r="F872" t="s">
        <v>13</v>
      </c>
      <c r="G872" t="s">
        <v>9</v>
      </c>
      <c r="H872" t="s">
        <v>14</v>
      </c>
    </row>
    <row r="873" spans="1:8" hidden="1" x14ac:dyDescent="0.25">
      <c r="A873" t="s">
        <v>1286</v>
      </c>
      <c r="B873" s="1" t="str">
        <f>HYPERLINK("https://asmlis.vasa.lt/Dashboard/Served?ServiceDateFrom=2025-11-24&amp;ServiceDateTo=2025-11-24&amp;DumpsterInvNr=13-L-223535", "13-L-223535")</f>
        <v>13-L-223535</v>
      </c>
      <c r="C873">
        <v>1.1000000000000001</v>
      </c>
      <c r="D873" t="s">
        <v>1287</v>
      </c>
      <c r="E873" t="s">
        <v>11</v>
      </c>
      <c r="F873" t="s">
        <v>13</v>
      </c>
      <c r="G873" t="s">
        <v>936</v>
      </c>
      <c r="H873" t="s">
        <v>938</v>
      </c>
    </row>
    <row r="874" spans="1:8" hidden="1" x14ac:dyDescent="0.25">
      <c r="A874" t="s">
        <v>1288</v>
      </c>
      <c r="B874" s="1" t="str">
        <f>HYPERLINK("https://asmlis.vasa.lt/Dashboard/Served?ServiceDateFrom=2025-11-24&amp;ServiceDateTo=2025-11-24&amp;DumpsterInvNr=13-P-415848", "13-P-415848")</f>
        <v>13-P-415848</v>
      </c>
      <c r="C874">
        <v>1.1000000000000001</v>
      </c>
      <c r="D874" t="s">
        <v>1289</v>
      </c>
      <c r="E874" t="s">
        <v>11</v>
      </c>
      <c r="F874" t="s">
        <v>13</v>
      </c>
      <c r="G874" t="s">
        <v>264</v>
      </c>
      <c r="H874" t="s">
        <v>14</v>
      </c>
    </row>
    <row r="875" spans="1:8" hidden="1" x14ac:dyDescent="0.25">
      <c r="A875" t="s">
        <v>1290</v>
      </c>
      <c r="B875" s="1" t="str">
        <f>HYPERLINK("https://asmlis.vasa.lt/Dashboard/Served?ServiceDateFrom=2025-11-24&amp;ServiceDateTo=2025-11-24&amp;DumpsterInvNr=13-P-302627", "13-P-302627")</f>
        <v>13-P-302627</v>
      </c>
      <c r="C875">
        <v>2.5</v>
      </c>
      <c r="D875" t="s">
        <v>1275</v>
      </c>
      <c r="E875" t="s">
        <v>11</v>
      </c>
      <c r="G875" t="s">
        <v>412</v>
      </c>
      <c r="H875" t="s">
        <v>14</v>
      </c>
    </row>
    <row r="876" spans="1:8" hidden="1" x14ac:dyDescent="0.25">
      <c r="A876" t="s">
        <v>1290</v>
      </c>
      <c r="B876" s="1" t="str">
        <f>HYPERLINK("https://asmlis.vasa.lt/Dashboard/Served?ServiceDateFrom=2025-11-24&amp;ServiceDateTo=2025-11-24&amp;DumpsterInvNr=13-P-416427", "13-P-416427")</f>
        <v>13-P-416427</v>
      </c>
      <c r="C876">
        <v>1.1000000000000001</v>
      </c>
      <c r="D876" t="s">
        <v>1289</v>
      </c>
      <c r="E876" t="s">
        <v>11</v>
      </c>
      <c r="F876" t="s">
        <v>13</v>
      </c>
      <c r="G876" t="s">
        <v>264</v>
      </c>
      <c r="H876" t="s">
        <v>14</v>
      </c>
    </row>
    <row r="877" spans="1:8" hidden="1" x14ac:dyDescent="0.25">
      <c r="A877" t="s">
        <v>1291</v>
      </c>
      <c r="B877" s="1" t="str">
        <f>HYPERLINK("https://asmlis.vasa.lt/Dashboard/Served?ServiceDateFrom=2025-11-24&amp;ServiceDateTo=2025-11-24&amp;DumpsterInvNr=13-P-416396", "13-P-416396")</f>
        <v>13-P-416396</v>
      </c>
      <c r="C877">
        <v>1.1000000000000001</v>
      </c>
      <c r="D877" t="s">
        <v>1289</v>
      </c>
      <c r="E877" t="s">
        <v>11</v>
      </c>
      <c r="F877" t="s">
        <v>13</v>
      </c>
      <c r="G877" t="s">
        <v>264</v>
      </c>
      <c r="H877" t="s">
        <v>14</v>
      </c>
    </row>
    <row r="878" spans="1:8" hidden="1" x14ac:dyDescent="0.25">
      <c r="A878" t="s">
        <v>1292</v>
      </c>
      <c r="B878" s="1" t="str">
        <f>HYPERLINK("https://asmlis.vasa.lt/Dashboard/Served?ServiceDateFrom=2025-11-24&amp;ServiceDateTo=2025-11-24&amp;DumpsterInvNr=13-L-317458", "13-L-317458")</f>
        <v>13-L-317458</v>
      </c>
      <c r="C878">
        <v>5</v>
      </c>
      <c r="D878" t="s">
        <v>1293</v>
      </c>
      <c r="E878" t="s">
        <v>11</v>
      </c>
      <c r="F878" t="s">
        <v>13</v>
      </c>
      <c r="G878" t="s">
        <v>9</v>
      </c>
      <c r="H878" t="s">
        <v>14</v>
      </c>
    </row>
    <row r="879" spans="1:8" hidden="1" x14ac:dyDescent="0.25">
      <c r="A879" t="s">
        <v>1294</v>
      </c>
      <c r="B879" s="1" t="str">
        <f>HYPERLINK("https://asmlis.vasa.lt/Dashboard/Served?ServiceDateFrom=2025-11-24&amp;ServiceDateTo=2025-11-24&amp;DumpsterInvNr=13-L-308490", "13-L-308490")</f>
        <v>13-L-308490</v>
      </c>
      <c r="C879">
        <v>0.77</v>
      </c>
      <c r="D879" t="s">
        <v>1273</v>
      </c>
      <c r="E879" t="s">
        <v>11</v>
      </c>
      <c r="F879" t="s">
        <v>13</v>
      </c>
      <c r="G879" t="s">
        <v>9</v>
      </c>
      <c r="H879" t="s">
        <v>14</v>
      </c>
    </row>
    <row r="880" spans="1:8" hidden="1" x14ac:dyDescent="0.25">
      <c r="A880" t="s">
        <v>1295</v>
      </c>
      <c r="B880" s="1" t="str">
        <f>HYPERLINK("https://asmlis.vasa.lt/Dashboard/Served?ServiceDateFrom=2025-11-24&amp;ServiceDateTo=2025-11-24&amp;DumpsterInvNr=13-L-318723", "13-L-318723")</f>
        <v>13-L-318723</v>
      </c>
      <c r="C880">
        <v>0.77</v>
      </c>
      <c r="D880" t="s">
        <v>1273</v>
      </c>
      <c r="E880" t="s">
        <v>11</v>
      </c>
      <c r="F880" t="s">
        <v>13</v>
      </c>
      <c r="G880" t="s">
        <v>9</v>
      </c>
      <c r="H880" t="s">
        <v>14</v>
      </c>
    </row>
    <row r="881" spans="1:10" hidden="1" x14ac:dyDescent="0.25">
      <c r="A881" t="s">
        <v>1296</v>
      </c>
      <c r="B881" s="1" t="str">
        <f>HYPERLINK("https://asmlis.vasa.lt/Dashboard/Served?ServiceDateFrom=2025-11-24&amp;ServiceDateTo=2025-11-24&amp;DumpsterInvNr=13-L-313443", "13-L-313443")</f>
        <v>13-L-313443</v>
      </c>
      <c r="C881">
        <v>0.77</v>
      </c>
      <c r="D881" t="s">
        <v>1297</v>
      </c>
      <c r="E881" t="s">
        <v>11</v>
      </c>
      <c r="G881" t="s">
        <v>9</v>
      </c>
      <c r="H881" t="s">
        <v>14</v>
      </c>
    </row>
    <row r="882" spans="1:10" hidden="1" x14ac:dyDescent="0.25">
      <c r="A882" t="s">
        <v>1298</v>
      </c>
      <c r="B882" s="1" t="str">
        <f>HYPERLINK("https://asmlis.vasa.lt/Dashboard/Served?ServiceDateFrom=2025-11-24&amp;ServiceDateTo=2025-11-24&amp;DumpsterInvNr=13-L-311199", "13-L-311199")</f>
        <v>13-L-311199</v>
      </c>
      <c r="C882">
        <v>0.66</v>
      </c>
      <c r="D882" t="s">
        <v>1262</v>
      </c>
      <c r="E882" t="s">
        <v>11</v>
      </c>
      <c r="G882" t="s">
        <v>9</v>
      </c>
      <c r="H882" t="s">
        <v>14</v>
      </c>
    </row>
    <row r="883" spans="1:10" hidden="1" x14ac:dyDescent="0.25">
      <c r="A883" t="s">
        <v>1299</v>
      </c>
      <c r="B883" s="1" t="str">
        <f>HYPERLINK("https://asmlis.vasa.lt/Dashboard/Served?ServiceDateFrom=2025-11-24&amp;ServiceDateTo=2025-11-24&amp;DumpsterInvNr=13-L-421562", "13-L-421562")</f>
        <v>13-L-421562</v>
      </c>
      <c r="C883">
        <v>5</v>
      </c>
      <c r="D883" t="s">
        <v>1300</v>
      </c>
      <c r="E883" t="s">
        <v>11</v>
      </c>
      <c r="F883" t="s">
        <v>13</v>
      </c>
      <c r="G883" t="s">
        <v>74</v>
      </c>
      <c r="H883" t="s">
        <v>14</v>
      </c>
    </row>
    <row r="884" spans="1:10" hidden="1" x14ac:dyDescent="0.25">
      <c r="A884" t="s">
        <v>1301</v>
      </c>
      <c r="B884" s="1" t="str">
        <f>HYPERLINK("https://asmlis.vasa.lt/Dashboard/Served?ServiceDateFrom=2025-11-24&amp;ServiceDateTo=2025-11-24&amp;DumpsterInvNr=13-L-306187", "13-L-306187")</f>
        <v>13-L-306187</v>
      </c>
      <c r="C884">
        <v>0.77</v>
      </c>
      <c r="D884" t="s">
        <v>1262</v>
      </c>
      <c r="E884" t="s">
        <v>11</v>
      </c>
      <c r="G884" t="s">
        <v>9</v>
      </c>
      <c r="H884" t="s">
        <v>14</v>
      </c>
    </row>
    <row r="885" spans="1:10" hidden="1" x14ac:dyDescent="0.25">
      <c r="A885" t="s">
        <v>1302</v>
      </c>
      <c r="B885" s="1" t="str">
        <f>HYPERLINK("https://asmlis.vasa.lt/Dashboard/Served?ServiceDateFrom=2025-11-24&amp;ServiceDateTo=2025-11-24&amp;DumpsterInvNr=13-L-139003", "13-L-139003")</f>
        <v>13-L-139003</v>
      </c>
      <c r="C885">
        <v>5</v>
      </c>
      <c r="D885" t="s">
        <v>1303</v>
      </c>
      <c r="E885" t="s">
        <v>11</v>
      </c>
      <c r="F885" t="s">
        <v>13</v>
      </c>
      <c r="G885" t="s">
        <v>430</v>
      </c>
      <c r="H885" t="s">
        <v>432</v>
      </c>
    </row>
    <row r="886" spans="1:10" hidden="1" x14ac:dyDescent="0.25">
      <c r="A886" t="s">
        <v>1304</v>
      </c>
      <c r="B886" s="1" t="str">
        <f>HYPERLINK("https://asmlis.vasa.lt/Dashboard/Served?ServiceDateFrom=2025-11-24&amp;ServiceDateTo=2025-11-24&amp;DumpsterInvNr=13-P-300502", "13-P-300502")</f>
        <v>13-P-300502</v>
      </c>
      <c r="C886">
        <v>1.1000000000000001</v>
      </c>
      <c r="D886" t="s">
        <v>1305</v>
      </c>
      <c r="E886" t="s">
        <v>11</v>
      </c>
      <c r="F886" t="s">
        <v>13</v>
      </c>
      <c r="G886" t="s">
        <v>412</v>
      </c>
      <c r="H886" t="s">
        <v>14</v>
      </c>
    </row>
    <row r="887" spans="1:10" hidden="1" x14ac:dyDescent="0.25">
      <c r="A887" t="s">
        <v>1306</v>
      </c>
      <c r="B887" s="1" t="str">
        <f>HYPERLINK("https://asmlis.vasa.lt/Dashboard/Served?ServiceDateFrom=2025-11-24&amp;ServiceDateTo=2025-11-24&amp;DumpsterInvNr=13-P-300668", "13-P-300668")</f>
        <v>13-P-300668</v>
      </c>
      <c r="C887">
        <v>1.1000000000000001</v>
      </c>
      <c r="D887" t="s">
        <v>1305</v>
      </c>
      <c r="E887" t="s">
        <v>11</v>
      </c>
      <c r="F887" t="s">
        <v>13</v>
      </c>
      <c r="G887" t="s">
        <v>412</v>
      </c>
      <c r="H887" t="s">
        <v>14</v>
      </c>
    </row>
    <row r="888" spans="1:10" hidden="1" x14ac:dyDescent="0.25">
      <c r="A888" t="s">
        <v>1308</v>
      </c>
      <c r="B888" s="1" t="str">
        <f>HYPERLINK("https://asmlis.vasa.lt/Dashboard/Served?ServiceDateFrom=2025-11-24&amp;ServiceDateTo=2025-11-24&amp;DumpsterInvNr=13-P-302239", "13-P-302239")</f>
        <v>13-P-302239</v>
      </c>
      <c r="C888">
        <v>1.1000000000000001</v>
      </c>
      <c r="D888" t="s">
        <v>1305</v>
      </c>
      <c r="E888" t="s">
        <v>11</v>
      </c>
      <c r="F888" t="s">
        <v>13</v>
      </c>
      <c r="G888" t="s">
        <v>412</v>
      </c>
      <c r="H888" t="s">
        <v>14</v>
      </c>
    </row>
    <row r="889" spans="1:10" hidden="1" x14ac:dyDescent="0.25">
      <c r="A889" t="s">
        <v>1309</v>
      </c>
      <c r="B889" s="1" t="str">
        <f>HYPERLINK("https://asmlis.vasa.lt/Dashboard/Served?ServiceDateFrom=2025-11-24&amp;ServiceDateTo=2025-11-24&amp;DumpsterInvNr=13-L-308099", "13-L-308099")</f>
        <v>13-L-308099</v>
      </c>
      <c r="C889">
        <v>1.1000000000000001</v>
      </c>
      <c r="D889" t="s">
        <v>1262</v>
      </c>
      <c r="E889" t="s">
        <v>11</v>
      </c>
      <c r="G889" t="s">
        <v>9</v>
      </c>
      <c r="H889" t="s">
        <v>14</v>
      </c>
    </row>
    <row r="890" spans="1:10" x14ac:dyDescent="0.25">
      <c r="A890" t="s">
        <v>1310</v>
      </c>
      <c r="B890" s="1" t="str">
        <f>HYPERLINK("https://asmlis.vasa.lt/Dashboard/Served?ServiceDateFrom=2025-11-24&amp;ServiceDateTo=2025-11-24&amp;DumpsterInvNr=13-L-311968", "13-L-311968")</f>
        <v>13-L-311968</v>
      </c>
      <c r="C890">
        <v>1.1000000000000001</v>
      </c>
      <c r="D890" t="s">
        <v>1311</v>
      </c>
      <c r="E890" t="s">
        <v>11</v>
      </c>
      <c r="F890" t="s">
        <v>1215</v>
      </c>
      <c r="G890" t="s">
        <v>9</v>
      </c>
      <c r="H890" t="s">
        <v>14</v>
      </c>
      <c r="J890" t="s">
        <v>17511</v>
      </c>
    </row>
    <row r="891" spans="1:10" hidden="1" x14ac:dyDescent="0.25">
      <c r="A891" t="s">
        <v>1313</v>
      </c>
      <c r="B891" s="1" t="str">
        <f>HYPERLINK("https://asmlis.vasa.lt/Dashboard/Served?ServiceDateFrom=2025-11-24&amp;ServiceDateTo=2025-11-24&amp;DumpsterInvNr=13-L-217499", "13-L-217499")</f>
        <v>13-L-217499</v>
      </c>
      <c r="C891">
        <v>0.12</v>
      </c>
      <c r="D891" t="s">
        <v>1314</v>
      </c>
      <c r="E891" t="s">
        <v>11</v>
      </c>
      <c r="G891" t="s">
        <v>936</v>
      </c>
      <c r="H891" t="s">
        <v>938</v>
      </c>
    </row>
    <row r="892" spans="1:10" hidden="1" x14ac:dyDescent="0.25">
      <c r="A892" t="s">
        <v>1312</v>
      </c>
      <c r="B892" s="1" t="str">
        <f>HYPERLINK("https://asmlis.vasa.lt/Dashboard/Served?ServiceDateFrom=2025-11-24&amp;ServiceDateTo=2025-11-24&amp;DumpsterInvNr=13-L-405244", "13-L-405244")</f>
        <v>13-L-405244</v>
      </c>
      <c r="C892">
        <v>0.24</v>
      </c>
      <c r="D892" t="s">
        <v>1315</v>
      </c>
      <c r="E892" t="s">
        <v>11</v>
      </c>
      <c r="G892" t="s">
        <v>74</v>
      </c>
      <c r="H892" t="s">
        <v>14</v>
      </c>
    </row>
    <row r="893" spans="1:10" hidden="1" x14ac:dyDescent="0.25">
      <c r="A893" t="s">
        <v>1316</v>
      </c>
      <c r="B893" s="1" t="str">
        <f>HYPERLINK("https://asmlis.vasa.lt/Dashboard/Served?ServiceDateFrom=2025-11-24&amp;ServiceDateTo=2025-11-24&amp;DumpsterInvNr=13-L-423205", "13-L-423205")</f>
        <v>13-L-423205</v>
      </c>
      <c r="C893">
        <v>5</v>
      </c>
      <c r="D893" t="s">
        <v>1317</v>
      </c>
      <c r="E893" t="s">
        <v>11</v>
      </c>
      <c r="F893" t="s">
        <v>13</v>
      </c>
      <c r="G893" t="s">
        <v>74</v>
      </c>
      <c r="H893" t="s">
        <v>14</v>
      </c>
    </row>
    <row r="894" spans="1:10" hidden="1" x14ac:dyDescent="0.25">
      <c r="A894" t="s">
        <v>1318</v>
      </c>
      <c r="B894" s="1" t="str">
        <f>HYPERLINK("https://asmlis.vasa.lt/Dashboard/Served?ServiceDateFrom=2025-11-24&amp;ServiceDateTo=2025-11-24&amp;DumpsterInvNr=13-L-302982", "13-L-302982")</f>
        <v>13-L-302982</v>
      </c>
      <c r="C894">
        <v>0.66</v>
      </c>
      <c r="D894" t="s">
        <v>1319</v>
      </c>
      <c r="E894" t="s">
        <v>11</v>
      </c>
      <c r="G894" t="s">
        <v>9</v>
      </c>
      <c r="H894" t="s">
        <v>14</v>
      </c>
    </row>
    <row r="895" spans="1:10" hidden="1" x14ac:dyDescent="0.25">
      <c r="A895" t="s">
        <v>1320</v>
      </c>
      <c r="B895" s="1" t="str">
        <f>HYPERLINK("https://asmlis.vasa.lt/Dashboard/Served?ServiceDateFrom=2025-11-24&amp;ServiceDateTo=2025-11-24&amp;DumpsterInvNr=13-L-300324", "13-L-300324")</f>
        <v>13-L-300324</v>
      </c>
      <c r="C895">
        <v>0.77</v>
      </c>
      <c r="D895" t="s">
        <v>1262</v>
      </c>
      <c r="E895" t="s">
        <v>11</v>
      </c>
      <c r="G895" t="s">
        <v>9</v>
      </c>
      <c r="H895" t="s">
        <v>14</v>
      </c>
    </row>
    <row r="896" spans="1:10" x14ac:dyDescent="0.25">
      <c r="A896" t="s">
        <v>1321</v>
      </c>
      <c r="B896" s="1" t="str">
        <f>HYPERLINK("https://asmlis.vasa.lt/Dashboard/Served?ServiceDateFrom=2025-11-24&amp;ServiceDateTo=2025-11-24&amp;DumpsterInvNr=13-L-314154", "13-L-314154")</f>
        <v>13-L-314154</v>
      </c>
      <c r="C896">
        <v>1.1000000000000001</v>
      </c>
      <c r="D896" t="s">
        <v>1311</v>
      </c>
      <c r="E896" t="s">
        <v>11</v>
      </c>
      <c r="F896" t="s">
        <v>1215</v>
      </c>
      <c r="G896" t="s">
        <v>9</v>
      </c>
      <c r="H896" t="s">
        <v>14</v>
      </c>
      <c r="J896" t="s">
        <v>17511</v>
      </c>
    </row>
    <row r="897" spans="1:10" x14ac:dyDescent="0.25">
      <c r="A897" t="s">
        <v>1322</v>
      </c>
      <c r="B897" s="1" t="str">
        <f>HYPERLINK("https://asmlis.vasa.lt/Dashboard/Served?ServiceDateFrom=2025-11-24&amp;ServiceDateTo=2025-11-24&amp;DumpsterInvNr=13-L-300394", "13-L-300394")</f>
        <v>13-L-300394</v>
      </c>
      <c r="C897">
        <v>1.1000000000000001</v>
      </c>
      <c r="D897" t="s">
        <v>1311</v>
      </c>
      <c r="E897" t="s">
        <v>11</v>
      </c>
      <c r="F897" t="s">
        <v>1215</v>
      </c>
      <c r="G897" t="s">
        <v>9</v>
      </c>
      <c r="H897" t="s">
        <v>14</v>
      </c>
      <c r="J897" t="s">
        <v>17511</v>
      </c>
    </row>
    <row r="898" spans="1:10" hidden="1" x14ac:dyDescent="0.25">
      <c r="A898" t="s">
        <v>1322</v>
      </c>
      <c r="B898" s="1" t="str">
        <f>HYPERLINK("https://asmlis.vasa.lt/Dashboard/Served?ServiceDateFrom=2025-11-24&amp;ServiceDateTo=2025-11-24&amp;DumpsterInvNr=13-L-408828", "13-L-408828")</f>
        <v>13-L-408828</v>
      </c>
      <c r="C898">
        <v>0.12</v>
      </c>
      <c r="D898" t="s">
        <v>1323</v>
      </c>
      <c r="E898" t="s">
        <v>11</v>
      </c>
      <c r="G898" t="s">
        <v>74</v>
      </c>
      <c r="H898" t="s">
        <v>14</v>
      </c>
    </row>
    <row r="899" spans="1:10" hidden="1" x14ac:dyDescent="0.25">
      <c r="A899" t="s">
        <v>1322</v>
      </c>
      <c r="B899" s="1" t="str">
        <f>HYPERLINK("https://asmlis.vasa.lt/Dashboard/Served?ServiceDateFrom=2025-11-24&amp;ServiceDateTo=2025-11-24&amp;DumpsterInvNr=13-L-403418", "13-L-403418")</f>
        <v>13-L-403418</v>
      </c>
      <c r="C899">
        <v>0.12</v>
      </c>
      <c r="D899" t="s">
        <v>1324</v>
      </c>
      <c r="E899" t="s">
        <v>11</v>
      </c>
      <c r="G899" t="s">
        <v>74</v>
      </c>
      <c r="H899" t="s">
        <v>14</v>
      </c>
    </row>
    <row r="900" spans="1:10" hidden="1" x14ac:dyDescent="0.25">
      <c r="A900" t="s">
        <v>1325</v>
      </c>
      <c r="B900" s="1" t="str">
        <f>HYPERLINK("https://asmlis.vasa.lt/Dashboard/Served?ServiceDateFrom=2025-11-24&amp;ServiceDateTo=2025-11-24&amp;DumpsterInvNr=13-P-416359", "13-P-416359")</f>
        <v>13-P-416359</v>
      </c>
      <c r="C900">
        <v>1.1000000000000001</v>
      </c>
      <c r="D900" t="s">
        <v>1327</v>
      </c>
      <c r="E900" t="s">
        <v>11</v>
      </c>
      <c r="F900" t="s">
        <v>13</v>
      </c>
      <c r="G900" t="s">
        <v>264</v>
      </c>
      <c r="H900" t="s">
        <v>14</v>
      </c>
    </row>
    <row r="901" spans="1:10" x14ac:dyDescent="0.25">
      <c r="A901" t="s">
        <v>1328</v>
      </c>
      <c r="B901" s="1" t="str">
        <f>HYPERLINK("https://asmlis.vasa.lt/Dashboard/Served?ServiceDateFrom=2025-11-24&amp;ServiceDateTo=2025-11-24&amp;DumpsterInvNr=13-L-300397", "13-L-300397")</f>
        <v>13-L-300397</v>
      </c>
      <c r="C901">
        <v>1.1000000000000001</v>
      </c>
      <c r="D901" t="s">
        <v>1311</v>
      </c>
      <c r="E901" t="s">
        <v>11</v>
      </c>
      <c r="F901" t="s">
        <v>1215</v>
      </c>
      <c r="G901" t="s">
        <v>9</v>
      </c>
      <c r="H901" t="s">
        <v>14</v>
      </c>
      <c r="J901" t="s">
        <v>17511</v>
      </c>
    </row>
    <row r="902" spans="1:10" hidden="1" x14ac:dyDescent="0.25">
      <c r="A902" t="s">
        <v>1329</v>
      </c>
      <c r="B902" s="1" t="str">
        <f>HYPERLINK("https://asmlis.vasa.lt/Dashboard/Served?ServiceDateFrom=2025-11-24&amp;ServiceDateTo=2025-11-24&amp;DumpsterInvNr=13-P-416191", "13-P-416191")</f>
        <v>13-P-416191</v>
      </c>
      <c r="C902">
        <v>1.1000000000000001</v>
      </c>
      <c r="D902" t="s">
        <v>1327</v>
      </c>
      <c r="E902" t="s">
        <v>11</v>
      </c>
      <c r="F902" t="s">
        <v>13</v>
      </c>
      <c r="G902" t="s">
        <v>264</v>
      </c>
      <c r="H902" t="s">
        <v>14</v>
      </c>
    </row>
    <row r="903" spans="1:10" hidden="1" x14ac:dyDescent="0.25">
      <c r="A903" t="s">
        <v>1330</v>
      </c>
      <c r="B903" s="1" t="str">
        <f>HYPERLINK("https://asmlis.vasa.lt/Dashboard/Served?ServiceDateFrom=2025-11-24&amp;ServiceDateTo=2025-11-24&amp;DumpsterInvNr=13-L-317098", "13-L-317098")</f>
        <v>13-L-317098</v>
      </c>
      <c r="C903">
        <v>5</v>
      </c>
      <c r="D903" t="s">
        <v>1331</v>
      </c>
      <c r="E903" t="s">
        <v>11</v>
      </c>
      <c r="F903" t="s">
        <v>13</v>
      </c>
      <c r="G903" t="s">
        <v>9</v>
      </c>
      <c r="H903" t="s">
        <v>14</v>
      </c>
    </row>
    <row r="904" spans="1:10" hidden="1" x14ac:dyDescent="0.25">
      <c r="A904" t="s">
        <v>1332</v>
      </c>
      <c r="B904" s="1" t="str">
        <f>HYPERLINK("https://asmlis.vasa.lt/Dashboard/Served?ServiceDateFrom=2025-11-24&amp;ServiceDateTo=2025-11-24&amp;DumpsterInvNr=13-L-319622", "13-L-319622")</f>
        <v>13-L-319622</v>
      </c>
      <c r="C904">
        <v>0.77</v>
      </c>
      <c r="D904" t="s">
        <v>1333</v>
      </c>
      <c r="E904" t="s">
        <v>11</v>
      </c>
      <c r="F904" t="s">
        <v>1334</v>
      </c>
      <c r="G904" t="s">
        <v>9</v>
      </c>
      <c r="H904" t="s">
        <v>14</v>
      </c>
    </row>
    <row r="905" spans="1:10" hidden="1" x14ac:dyDescent="0.25">
      <c r="A905" t="s">
        <v>1335</v>
      </c>
      <c r="B905" s="1" t="str">
        <f>HYPERLINK("https://asmlis.vasa.lt/Dashboard/Served?ServiceDateFrom=2025-11-24&amp;ServiceDateTo=2025-11-24&amp;DumpsterInvNr=13-L-315980", "13-L-315980")</f>
        <v>13-L-315980</v>
      </c>
      <c r="C905">
        <v>1.1000000000000001</v>
      </c>
      <c r="D905" t="s">
        <v>1262</v>
      </c>
      <c r="E905" t="s">
        <v>11</v>
      </c>
      <c r="G905" t="s">
        <v>9</v>
      </c>
      <c r="H905" t="s">
        <v>14</v>
      </c>
    </row>
    <row r="906" spans="1:10" hidden="1" x14ac:dyDescent="0.25">
      <c r="A906" t="s">
        <v>1336</v>
      </c>
      <c r="B906" s="1" t="str">
        <f>HYPERLINK("https://asmlis.vasa.lt/Dashboard/Served?ServiceDateFrom=2025-11-24&amp;ServiceDateTo=2025-11-24&amp;DumpsterInvNr=13-L-317970", "13-L-317970")</f>
        <v>13-L-317970</v>
      </c>
      <c r="C906">
        <v>1.1000000000000001</v>
      </c>
      <c r="D906" t="s">
        <v>1337</v>
      </c>
      <c r="E906" t="s">
        <v>11</v>
      </c>
      <c r="G906" t="s">
        <v>9</v>
      </c>
      <c r="H906" t="s">
        <v>14</v>
      </c>
    </row>
    <row r="907" spans="1:10" x14ac:dyDescent="0.25">
      <c r="A907" t="s">
        <v>1338</v>
      </c>
      <c r="B907" s="1" t="str">
        <f>HYPERLINK("https://asmlis.vasa.lt/Dashboard/Served?ServiceDateFrom=2025-11-24&amp;ServiceDateTo=2025-11-24&amp;DumpsterInvNr=13-L-300398", "13-L-300398")</f>
        <v>13-L-300398</v>
      </c>
      <c r="C907">
        <v>0.77</v>
      </c>
      <c r="D907" t="s">
        <v>1311</v>
      </c>
      <c r="E907" t="s">
        <v>11</v>
      </c>
      <c r="F907" t="s">
        <v>1215</v>
      </c>
      <c r="G907" t="s">
        <v>9</v>
      </c>
      <c r="H907" t="s">
        <v>14</v>
      </c>
      <c r="J907" t="s">
        <v>17511</v>
      </c>
    </row>
    <row r="908" spans="1:10" hidden="1" x14ac:dyDescent="0.25">
      <c r="A908" t="s">
        <v>1339</v>
      </c>
      <c r="B908" s="1" t="str">
        <f>HYPERLINK("https://asmlis.vasa.lt/Dashboard/Served?ServiceDateFrom=2025-11-24&amp;ServiceDateTo=2025-11-24&amp;DumpsterInvNr=13-L-413800", "13-L-413800")</f>
        <v>13-L-413800</v>
      </c>
      <c r="C908">
        <v>1.1000000000000001</v>
      </c>
      <c r="D908" t="s">
        <v>1340</v>
      </c>
      <c r="E908" t="s">
        <v>11</v>
      </c>
      <c r="G908" t="s">
        <v>74</v>
      </c>
      <c r="H908" t="s">
        <v>14</v>
      </c>
    </row>
    <row r="909" spans="1:10" x14ac:dyDescent="0.25">
      <c r="A909" t="s">
        <v>1210</v>
      </c>
      <c r="B909" s="1" t="str">
        <f>HYPERLINK("https://asmlis.vasa.lt/Dashboard/Served?ServiceDateFrom=2025-11-24&amp;ServiceDateTo=2025-11-24&amp;DumpsterInvNr=13-L-315944", "13-L-315944")</f>
        <v>13-L-315944</v>
      </c>
      <c r="C909">
        <v>1.1000000000000001</v>
      </c>
      <c r="D909" t="s">
        <v>1311</v>
      </c>
      <c r="E909" t="s">
        <v>11</v>
      </c>
      <c r="F909" t="s">
        <v>1215</v>
      </c>
      <c r="G909" t="s">
        <v>9</v>
      </c>
      <c r="H909" t="s">
        <v>14</v>
      </c>
      <c r="J909" t="s">
        <v>17511</v>
      </c>
    </row>
    <row r="910" spans="1:10" hidden="1" x14ac:dyDescent="0.25">
      <c r="A910" t="s">
        <v>1210</v>
      </c>
      <c r="B910" s="1" t="str">
        <f>HYPERLINK("https://asmlis.vasa.lt/Dashboard/Served?ServiceDateFrom=2025-11-24&amp;ServiceDateTo=2025-11-24&amp;DumpsterInvNr=13-L-405246", "13-L-405246")</f>
        <v>13-L-405246</v>
      </c>
      <c r="C910">
        <v>0.12</v>
      </c>
      <c r="D910" t="s">
        <v>1323</v>
      </c>
      <c r="E910" t="s">
        <v>11</v>
      </c>
      <c r="G910" t="s">
        <v>74</v>
      </c>
      <c r="H910" t="s">
        <v>14</v>
      </c>
    </row>
    <row r="911" spans="1:10" hidden="1" x14ac:dyDescent="0.25">
      <c r="A911" t="s">
        <v>1210</v>
      </c>
      <c r="B911" s="1" t="str">
        <f>HYPERLINK("https://asmlis.vasa.lt/Dashboard/Served?ServiceDateFrom=2025-11-24&amp;ServiceDateTo=2025-11-24&amp;DumpsterInvNr=13-L-408829", "13-L-408829")</f>
        <v>13-L-408829</v>
      </c>
      <c r="C911">
        <v>0.12</v>
      </c>
      <c r="D911" t="s">
        <v>1341</v>
      </c>
      <c r="E911" t="s">
        <v>11</v>
      </c>
      <c r="G911" t="s">
        <v>74</v>
      </c>
      <c r="H911" t="s">
        <v>14</v>
      </c>
    </row>
    <row r="912" spans="1:10" hidden="1" x14ac:dyDescent="0.25">
      <c r="A912" t="s">
        <v>1342</v>
      </c>
      <c r="B912" s="1" t="str">
        <f>HYPERLINK("https://asmlis.vasa.lt/Dashboard/Served?ServiceDateFrom=2025-11-24&amp;ServiceDateTo=2025-11-24&amp;DumpsterInvNr=13-L-317646", "13-L-317646")</f>
        <v>13-L-317646</v>
      </c>
      <c r="C912">
        <v>0.77</v>
      </c>
      <c r="D912" t="s">
        <v>1333</v>
      </c>
      <c r="E912" t="s">
        <v>11</v>
      </c>
      <c r="F912" t="s">
        <v>13</v>
      </c>
      <c r="G912" t="s">
        <v>9</v>
      </c>
      <c r="H912" t="s">
        <v>14</v>
      </c>
    </row>
    <row r="913" spans="1:8" hidden="1" x14ac:dyDescent="0.25">
      <c r="A913" t="s">
        <v>1343</v>
      </c>
      <c r="B913" s="1" t="str">
        <f>HYPERLINK("https://asmlis.vasa.lt/Dashboard/Served?ServiceDateFrom=2025-11-24&amp;ServiceDateTo=2025-11-24&amp;DumpsterInvNr=13-L-317969", "13-L-317969")</f>
        <v>13-L-317969</v>
      </c>
      <c r="C913">
        <v>1.1000000000000001</v>
      </c>
      <c r="D913" t="s">
        <v>1337</v>
      </c>
      <c r="E913" t="s">
        <v>11</v>
      </c>
      <c r="G913" t="s">
        <v>9</v>
      </c>
      <c r="H913" t="s">
        <v>14</v>
      </c>
    </row>
    <row r="914" spans="1:8" hidden="1" x14ac:dyDescent="0.25">
      <c r="A914" t="s">
        <v>882</v>
      </c>
      <c r="B914" s="1" t="str">
        <f>HYPERLINK("https://asmlis.vasa.lt/Dashboard/Served?ServiceDateFrom=2025-11-24&amp;ServiceDateTo=2025-11-24&amp;DumpsterInvNr=13-L-413449", "13-L-413449")</f>
        <v>13-L-413449</v>
      </c>
      <c r="C914">
        <v>1.1000000000000001</v>
      </c>
      <c r="D914" t="s">
        <v>1340</v>
      </c>
      <c r="E914" t="s">
        <v>11</v>
      </c>
      <c r="G914" t="s">
        <v>74</v>
      </c>
      <c r="H914" t="s">
        <v>14</v>
      </c>
    </row>
    <row r="915" spans="1:8" hidden="1" x14ac:dyDescent="0.25">
      <c r="A915" t="s">
        <v>1344</v>
      </c>
      <c r="B915" s="1" t="str">
        <f>HYPERLINK("https://asmlis.vasa.lt/Dashboard/Served?ServiceDateFrom=2025-11-24&amp;ServiceDateTo=2025-11-24&amp;DumpsterInvNr=13-L-318349", "13-L-318349")</f>
        <v>13-L-318349</v>
      </c>
      <c r="C915">
        <v>1.1000000000000001</v>
      </c>
      <c r="D915" t="s">
        <v>1262</v>
      </c>
      <c r="E915" t="s">
        <v>11</v>
      </c>
      <c r="G915" t="s">
        <v>9</v>
      </c>
      <c r="H915" t="s">
        <v>14</v>
      </c>
    </row>
    <row r="916" spans="1:8" hidden="1" x14ac:dyDescent="0.25">
      <c r="A916" t="s">
        <v>1345</v>
      </c>
      <c r="B916" s="1" t="str">
        <f>HYPERLINK("https://asmlis.vasa.lt/Dashboard/Served?ServiceDateFrom=2025-11-24&amp;ServiceDateTo=2025-11-24&amp;DumpsterInvNr=13-L-420122", "13-L-420122")</f>
        <v>13-L-420122</v>
      </c>
      <c r="C916">
        <v>5</v>
      </c>
      <c r="D916" t="s">
        <v>1346</v>
      </c>
      <c r="E916" t="s">
        <v>11</v>
      </c>
      <c r="G916" t="s">
        <v>74</v>
      </c>
      <c r="H916" t="s">
        <v>14</v>
      </c>
    </row>
    <row r="917" spans="1:8" hidden="1" x14ac:dyDescent="0.25">
      <c r="A917" t="s">
        <v>1347</v>
      </c>
      <c r="B917" s="1" t="str">
        <f>HYPERLINK("https://asmlis.vasa.lt/Dashboard/Served?ServiceDateFrom=2025-11-24&amp;ServiceDateTo=2025-11-24&amp;DumpsterInvNr=13-L-403417", "13-L-403417")</f>
        <v>13-L-403417</v>
      </c>
      <c r="C917">
        <v>0.12</v>
      </c>
      <c r="D917" t="s">
        <v>1348</v>
      </c>
      <c r="E917" t="s">
        <v>11</v>
      </c>
      <c r="G917" t="s">
        <v>74</v>
      </c>
      <c r="H917" t="s">
        <v>14</v>
      </c>
    </row>
    <row r="918" spans="1:8" hidden="1" x14ac:dyDescent="0.25">
      <c r="A918" t="s">
        <v>1347</v>
      </c>
      <c r="B918" s="1" t="str">
        <f>HYPERLINK("https://asmlis.vasa.lt/Dashboard/Served?ServiceDateFrom=2025-11-24&amp;ServiceDateTo=2025-11-24&amp;DumpsterInvNr=13-L-405245", "13-L-405245")</f>
        <v>13-L-405245</v>
      </c>
      <c r="C918">
        <v>0.24</v>
      </c>
      <c r="D918" t="s">
        <v>1349</v>
      </c>
      <c r="E918" t="s">
        <v>11</v>
      </c>
      <c r="G918" t="s">
        <v>74</v>
      </c>
      <c r="H918" t="s">
        <v>14</v>
      </c>
    </row>
    <row r="919" spans="1:8" hidden="1" x14ac:dyDescent="0.25">
      <c r="A919" t="s">
        <v>1350</v>
      </c>
      <c r="B919" s="1" t="str">
        <f>HYPERLINK("https://asmlis.vasa.lt/Dashboard/Served?ServiceDateFrom=2025-11-24&amp;ServiceDateTo=2025-11-24&amp;DumpsterInvNr=13-L-313549", "13-L-313549")</f>
        <v>13-L-313549</v>
      </c>
      <c r="C919">
        <v>1.1000000000000001</v>
      </c>
      <c r="D919" t="s">
        <v>1337</v>
      </c>
      <c r="E919" t="s">
        <v>11</v>
      </c>
      <c r="G919" t="s">
        <v>9</v>
      </c>
      <c r="H919" t="s">
        <v>14</v>
      </c>
    </row>
    <row r="920" spans="1:8" hidden="1" x14ac:dyDescent="0.25">
      <c r="A920" t="s">
        <v>1351</v>
      </c>
      <c r="B920" s="1" t="str">
        <f>HYPERLINK("https://asmlis.vasa.lt/Dashboard/Served?ServiceDateFrom=2025-11-24&amp;ServiceDateTo=2025-11-24&amp;DumpsterInvNr=13-L-405243", "13-L-405243")</f>
        <v>13-L-405243</v>
      </c>
      <c r="C920">
        <v>0.12</v>
      </c>
      <c r="D920" t="s">
        <v>1352</v>
      </c>
      <c r="E920" t="s">
        <v>11</v>
      </c>
      <c r="F920" t="s">
        <v>1209</v>
      </c>
      <c r="G920" t="s">
        <v>74</v>
      </c>
      <c r="H920" t="s">
        <v>14</v>
      </c>
    </row>
    <row r="921" spans="1:8" hidden="1" x14ac:dyDescent="0.25">
      <c r="A921" t="s">
        <v>1353</v>
      </c>
      <c r="B921" s="1" t="str">
        <f>HYPERLINK("https://asmlis.vasa.lt/Dashboard/Served?ServiceDateFrom=2025-11-24&amp;ServiceDateTo=2025-11-24&amp;DumpsterInvNr=13-P-400623", "13-P-400623")</f>
        <v>13-P-400623</v>
      </c>
      <c r="C921">
        <v>5</v>
      </c>
      <c r="D921" t="s">
        <v>1354</v>
      </c>
      <c r="E921" t="s">
        <v>11</v>
      </c>
      <c r="F921" t="s">
        <v>13</v>
      </c>
      <c r="G921" t="s">
        <v>264</v>
      </c>
      <c r="H921" t="s">
        <v>14</v>
      </c>
    </row>
    <row r="922" spans="1:8" hidden="1" x14ac:dyDescent="0.25">
      <c r="A922" t="s">
        <v>1355</v>
      </c>
      <c r="B922" s="1" t="str">
        <f>HYPERLINK("https://asmlis.vasa.lt/Dashboard/Served?ServiceDateFrom=2025-11-24&amp;ServiceDateTo=2025-11-24&amp;DumpsterInvNr=13-L-424707", "13-L-424707")</f>
        <v>13-L-424707</v>
      </c>
      <c r="C922">
        <v>5</v>
      </c>
      <c r="D922" t="s">
        <v>1356</v>
      </c>
      <c r="E922" t="s">
        <v>11</v>
      </c>
      <c r="F922" t="s">
        <v>13</v>
      </c>
      <c r="G922" t="s">
        <v>74</v>
      </c>
      <c r="H922" t="s">
        <v>14</v>
      </c>
    </row>
    <row r="923" spans="1:8" hidden="1" x14ac:dyDescent="0.25">
      <c r="A923" t="s">
        <v>1357</v>
      </c>
      <c r="B923" s="1" t="str">
        <f>HYPERLINK("https://asmlis.vasa.lt/Dashboard/Served?ServiceDateFrom=2025-11-24&amp;ServiceDateTo=2025-11-24&amp;DumpsterInvNr=13-P-300618", "13-P-300618")</f>
        <v>13-P-300618</v>
      </c>
      <c r="C923">
        <v>1.1000000000000001</v>
      </c>
      <c r="D923" t="s">
        <v>1358</v>
      </c>
      <c r="E923" t="s">
        <v>11</v>
      </c>
      <c r="F923" t="s">
        <v>13</v>
      </c>
      <c r="G923" t="s">
        <v>412</v>
      </c>
      <c r="H923" t="s">
        <v>14</v>
      </c>
    </row>
    <row r="924" spans="1:8" hidden="1" x14ac:dyDescent="0.25">
      <c r="A924" t="s">
        <v>1359</v>
      </c>
      <c r="B924" s="1" t="str">
        <f>HYPERLINK("https://asmlis.vasa.lt/Dashboard/Served?ServiceDateFrom=2025-11-24&amp;ServiceDateTo=2025-11-24&amp;DumpsterInvNr=13-P-204334", "13-P-204334")</f>
        <v>13-P-204334</v>
      </c>
      <c r="C924">
        <v>3</v>
      </c>
      <c r="D924" t="s">
        <v>1360</v>
      </c>
      <c r="E924" t="s">
        <v>11</v>
      </c>
      <c r="G924" t="s">
        <v>234</v>
      </c>
      <c r="H924" t="s">
        <v>14</v>
      </c>
    </row>
    <row r="925" spans="1:8" hidden="1" x14ac:dyDescent="0.25">
      <c r="A925" t="s">
        <v>1361</v>
      </c>
      <c r="B925" s="1" t="str">
        <f>HYPERLINK("https://asmlis.vasa.lt/Dashboard/Served?ServiceDateFrom=2025-11-24&amp;ServiceDateTo=2025-11-24&amp;DumpsterInvNr=13-L-408517", "13-L-408517")</f>
        <v>13-L-408517</v>
      </c>
      <c r="C925">
        <v>0.12</v>
      </c>
      <c r="D925" t="s">
        <v>1362</v>
      </c>
      <c r="E925" t="s">
        <v>11</v>
      </c>
      <c r="G925" t="s">
        <v>74</v>
      </c>
      <c r="H925" t="s">
        <v>14</v>
      </c>
    </row>
    <row r="926" spans="1:8" hidden="1" x14ac:dyDescent="0.25">
      <c r="A926" t="s">
        <v>1363</v>
      </c>
      <c r="B926" s="1" t="str">
        <f>HYPERLINK("https://asmlis.vasa.lt/Dashboard/Served?ServiceDateFrom=2025-11-24&amp;ServiceDateTo=2025-11-24&amp;DumpsterInvNr=13-L-318807", "13-L-318807")</f>
        <v>13-L-318807</v>
      </c>
      <c r="C926">
        <v>0.77</v>
      </c>
      <c r="D926" t="s">
        <v>1364</v>
      </c>
      <c r="E926" t="s">
        <v>11</v>
      </c>
      <c r="G926" t="s">
        <v>9</v>
      </c>
      <c r="H926" t="s">
        <v>14</v>
      </c>
    </row>
    <row r="927" spans="1:8" hidden="1" x14ac:dyDescent="0.25">
      <c r="A927" t="s">
        <v>1365</v>
      </c>
      <c r="B927" s="1" t="str">
        <f>HYPERLINK("https://asmlis.vasa.lt/Dashboard/Served?ServiceDateFrom=2025-11-24&amp;ServiceDateTo=2025-11-24&amp;DumpsterInvNr=13-L-144832", "13-L-144832")</f>
        <v>13-L-144832</v>
      </c>
      <c r="C927">
        <v>5</v>
      </c>
      <c r="D927" t="s">
        <v>1366</v>
      </c>
      <c r="E927" t="s">
        <v>11</v>
      </c>
      <c r="F927" t="s">
        <v>13</v>
      </c>
      <c r="G927" t="s">
        <v>430</v>
      </c>
      <c r="H927" t="s">
        <v>432</v>
      </c>
    </row>
    <row r="928" spans="1:8" hidden="1" x14ac:dyDescent="0.25">
      <c r="A928" t="s">
        <v>1367</v>
      </c>
      <c r="B928" s="1" t="str">
        <f>HYPERLINK("https://asmlis.vasa.lt/Dashboard/Served?ServiceDateFrom=2025-11-24&amp;ServiceDateTo=2025-11-24&amp;DumpsterInvNr=13-L-309217", "13-L-309217")</f>
        <v>13-L-309217</v>
      </c>
      <c r="C928">
        <v>0.77</v>
      </c>
      <c r="D928" t="s">
        <v>1364</v>
      </c>
      <c r="E928" t="s">
        <v>11</v>
      </c>
      <c r="G928" t="s">
        <v>9</v>
      </c>
      <c r="H928" t="s">
        <v>14</v>
      </c>
    </row>
    <row r="929" spans="1:8" hidden="1" x14ac:dyDescent="0.25">
      <c r="A929" t="s">
        <v>1368</v>
      </c>
      <c r="B929" s="1" t="str">
        <f>HYPERLINK("https://asmlis.vasa.lt/Dashboard/Served?ServiceDateFrom=2025-11-24&amp;ServiceDateTo=2025-11-24&amp;DumpsterInvNr=13-P-204318", "13-P-204318")</f>
        <v>13-P-204318</v>
      </c>
      <c r="C929">
        <v>5</v>
      </c>
      <c r="D929" t="s">
        <v>1360</v>
      </c>
      <c r="E929" t="s">
        <v>11</v>
      </c>
      <c r="F929" t="s">
        <v>13</v>
      </c>
      <c r="G929" t="s">
        <v>234</v>
      </c>
      <c r="H929" t="s">
        <v>14</v>
      </c>
    </row>
    <row r="930" spans="1:8" hidden="1" x14ac:dyDescent="0.25">
      <c r="A930" t="s">
        <v>1369</v>
      </c>
      <c r="B930" s="1" t="str">
        <f>HYPERLINK("https://asmlis.vasa.lt/Dashboard/Served?ServiceDateFrom=2025-11-24&amp;ServiceDateTo=2025-11-24&amp;DumpsterInvNr=13-L-408528", "13-L-408528")</f>
        <v>13-L-408528</v>
      </c>
      <c r="C930">
        <v>0.12</v>
      </c>
      <c r="D930" t="s">
        <v>1370</v>
      </c>
      <c r="E930" t="s">
        <v>11</v>
      </c>
      <c r="G930" t="s">
        <v>74</v>
      </c>
      <c r="H930" t="s">
        <v>14</v>
      </c>
    </row>
    <row r="931" spans="1:8" hidden="1" x14ac:dyDescent="0.25">
      <c r="A931" t="s">
        <v>1165</v>
      </c>
      <c r="B931" s="1" t="str">
        <f>HYPERLINK("https://asmlis.vasa.lt/Dashboard/Served?ServiceDateFrom=2025-11-24&amp;ServiceDateTo=2025-11-24&amp;DumpsterInvNr=13-L-314965", "13-L-314965")</f>
        <v>13-L-314965</v>
      </c>
      <c r="C931">
        <v>5</v>
      </c>
      <c r="D931" t="s">
        <v>1371</v>
      </c>
      <c r="E931" t="s">
        <v>11</v>
      </c>
      <c r="F931" t="s">
        <v>13</v>
      </c>
      <c r="G931" t="s">
        <v>9</v>
      </c>
      <c r="H931" t="s">
        <v>14</v>
      </c>
    </row>
    <row r="932" spans="1:8" hidden="1" x14ac:dyDescent="0.25">
      <c r="A932" t="s">
        <v>1372</v>
      </c>
      <c r="B932" s="1" t="str">
        <f>HYPERLINK("https://asmlis.vasa.lt/Dashboard/Served?ServiceDateFrom=2025-11-24&amp;ServiceDateTo=2025-11-24&amp;DumpsterInvNr=13-P-301716", "13-P-301716")</f>
        <v>13-P-301716</v>
      </c>
      <c r="C932">
        <v>0.12</v>
      </c>
      <c r="D932" t="s">
        <v>1373</v>
      </c>
      <c r="E932" t="s">
        <v>11</v>
      </c>
      <c r="G932" t="s">
        <v>412</v>
      </c>
      <c r="H932" t="s">
        <v>14</v>
      </c>
    </row>
    <row r="933" spans="1:8" hidden="1" x14ac:dyDescent="0.25">
      <c r="A933" t="s">
        <v>1374</v>
      </c>
      <c r="B933" s="1" t="str">
        <f>HYPERLINK("https://asmlis.vasa.lt/Dashboard/Served?ServiceDateFrom=2025-11-24&amp;ServiceDateTo=2025-11-24&amp;DumpsterInvNr=13-L-408526", "13-L-408526")</f>
        <v>13-L-408526</v>
      </c>
      <c r="C933">
        <v>0.12</v>
      </c>
      <c r="D933" t="s">
        <v>1370</v>
      </c>
      <c r="E933" t="s">
        <v>11</v>
      </c>
      <c r="G933" t="s">
        <v>74</v>
      </c>
      <c r="H933" t="s">
        <v>14</v>
      </c>
    </row>
    <row r="934" spans="1:8" hidden="1" x14ac:dyDescent="0.25">
      <c r="A934" t="s">
        <v>1375</v>
      </c>
      <c r="B934" s="1" t="str">
        <f>HYPERLINK("https://asmlis.vasa.lt/Dashboard/Served?ServiceDateFrom=2025-11-24&amp;ServiceDateTo=2025-11-24&amp;DumpsterInvNr=13-L-316566", "13-L-316566")</f>
        <v>13-L-316566</v>
      </c>
      <c r="C934">
        <v>1.1000000000000001</v>
      </c>
      <c r="D934" t="s">
        <v>1376</v>
      </c>
      <c r="E934" t="s">
        <v>11</v>
      </c>
      <c r="F934" t="s">
        <v>13</v>
      </c>
      <c r="G934" t="s">
        <v>9</v>
      </c>
      <c r="H934" t="s">
        <v>14</v>
      </c>
    </row>
    <row r="935" spans="1:8" hidden="1" x14ac:dyDescent="0.25">
      <c r="A935" t="s">
        <v>1377</v>
      </c>
      <c r="B935" s="1" t="str">
        <f>HYPERLINK("https://asmlis.vasa.lt/Dashboard/Served?ServiceDateFrom=2025-11-24&amp;ServiceDateTo=2025-11-24&amp;DumpsterInvNr=13-L-316585", "13-L-316585")</f>
        <v>13-L-316585</v>
      </c>
      <c r="C935">
        <v>1.1000000000000001</v>
      </c>
      <c r="D935" t="s">
        <v>1376</v>
      </c>
      <c r="E935" t="s">
        <v>11</v>
      </c>
      <c r="F935" t="s">
        <v>13</v>
      </c>
      <c r="G935" t="s">
        <v>9</v>
      </c>
      <c r="H935" t="s">
        <v>14</v>
      </c>
    </row>
    <row r="936" spans="1:8" hidden="1" x14ac:dyDescent="0.25">
      <c r="A936" t="s">
        <v>1378</v>
      </c>
      <c r="B936" s="1" t="str">
        <f>HYPERLINK("https://asmlis.vasa.lt/Dashboard/Served?ServiceDateFrom=2025-11-24&amp;ServiceDateTo=2025-11-24&amp;DumpsterInvNr=13-P-401078", "13-P-401078")</f>
        <v>13-P-401078</v>
      </c>
      <c r="C936">
        <v>1.1000000000000001</v>
      </c>
      <c r="D936" t="s">
        <v>1317</v>
      </c>
      <c r="E936" t="s">
        <v>11</v>
      </c>
      <c r="F936" t="s">
        <v>13</v>
      </c>
      <c r="G936" t="s">
        <v>264</v>
      </c>
      <c r="H936" t="s">
        <v>14</v>
      </c>
    </row>
    <row r="937" spans="1:8" hidden="1" x14ac:dyDescent="0.25">
      <c r="A937" t="s">
        <v>1379</v>
      </c>
      <c r="B937" s="1" t="str">
        <f>HYPERLINK("https://asmlis.vasa.lt/Dashboard/Served?ServiceDateFrom=2025-11-24&amp;ServiceDateTo=2025-11-24&amp;DumpsterInvNr=13-L-317608", "13-L-317608")</f>
        <v>13-L-317608</v>
      </c>
      <c r="C937">
        <v>1.1000000000000001</v>
      </c>
      <c r="D937" t="s">
        <v>1380</v>
      </c>
      <c r="E937" t="s">
        <v>11</v>
      </c>
      <c r="F937" t="s">
        <v>13</v>
      </c>
      <c r="G937" t="s">
        <v>9</v>
      </c>
      <c r="H937" t="s">
        <v>14</v>
      </c>
    </row>
    <row r="938" spans="1:8" hidden="1" x14ac:dyDescent="0.25">
      <c r="A938" t="s">
        <v>1381</v>
      </c>
      <c r="B938" s="1" t="str">
        <f>HYPERLINK("https://asmlis.vasa.lt/Dashboard/Served?ServiceDateFrom=2025-11-24&amp;ServiceDateTo=2025-11-24&amp;DumpsterInvNr=13-L-316723", "13-L-316723")</f>
        <v>13-L-316723</v>
      </c>
      <c r="C938">
        <v>1.1000000000000001</v>
      </c>
      <c r="D938" t="s">
        <v>1380</v>
      </c>
      <c r="E938" t="s">
        <v>11</v>
      </c>
      <c r="F938" t="s">
        <v>13</v>
      </c>
      <c r="G938" t="s">
        <v>9</v>
      </c>
      <c r="H938" t="s">
        <v>14</v>
      </c>
    </row>
    <row r="939" spans="1:8" hidden="1" x14ac:dyDescent="0.25">
      <c r="A939" t="s">
        <v>1382</v>
      </c>
      <c r="B939" s="1" t="str">
        <f>HYPERLINK("https://asmlis.vasa.lt/Dashboard/Served?ServiceDateFrom=2025-11-24&amp;ServiceDateTo=2025-11-24&amp;DumpsterInvNr=13-L-311745", "13-L-311745")</f>
        <v>13-L-311745</v>
      </c>
      <c r="C939">
        <v>1.1000000000000001</v>
      </c>
      <c r="D939" t="s">
        <v>1383</v>
      </c>
      <c r="E939" t="s">
        <v>11</v>
      </c>
      <c r="G939" t="s">
        <v>9</v>
      </c>
      <c r="H939" t="s">
        <v>14</v>
      </c>
    </row>
    <row r="940" spans="1:8" hidden="1" x14ac:dyDescent="0.25">
      <c r="A940" t="s">
        <v>1384</v>
      </c>
      <c r="B940" s="1" t="str">
        <f>HYPERLINK("https://asmlis.vasa.lt/Dashboard/Served?ServiceDateFrom=2025-11-24&amp;ServiceDateTo=2025-11-24&amp;DumpsterInvNr=13-L-408527", "13-L-408527")</f>
        <v>13-L-408527</v>
      </c>
      <c r="C940">
        <v>0.12</v>
      </c>
      <c r="D940" t="s">
        <v>1324</v>
      </c>
      <c r="E940" t="s">
        <v>11</v>
      </c>
      <c r="G940" t="s">
        <v>74</v>
      </c>
      <c r="H940" t="s">
        <v>14</v>
      </c>
    </row>
    <row r="941" spans="1:8" hidden="1" x14ac:dyDescent="0.25">
      <c r="A941" t="s">
        <v>1385</v>
      </c>
      <c r="B941" s="1" t="str">
        <f>HYPERLINK("https://asmlis.vasa.lt/Dashboard/Served?ServiceDateFrom=2025-11-24&amp;ServiceDateTo=2025-11-24&amp;DumpsterInvNr=13-P-400537", "13-P-400537")</f>
        <v>13-P-400537</v>
      </c>
      <c r="C941">
        <v>5</v>
      </c>
      <c r="D941" t="s">
        <v>1386</v>
      </c>
      <c r="E941" t="s">
        <v>11</v>
      </c>
      <c r="G941" t="s">
        <v>264</v>
      </c>
      <c r="H941" t="s">
        <v>14</v>
      </c>
    </row>
    <row r="942" spans="1:8" hidden="1" x14ac:dyDescent="0.25">
      <c r="A942" t="s">
        <v>1387</v>
      </c>
      <c r="B942" s="1" t="str">
        <f>HYPERLINK("https://asmlis.vasa.lt/Dashboard/Served?ServiceDateFrom=2025-11-24&amp;ServiceDateTo=2025-11-24&amp;DumpsterInvNr=13-L-408827", "13-L-408827")</f>
        <v>13-L-408827</v>
      </c>
      <c r="C942">
        <v>0.12</v>
      </c>
      <c r="D942" t="s">
        <v>1324</v>
      </c>
      <c r="E942" t="s">
        <v>11</v>
      </c>
      <c r="G942" t="s">
        <v>74</v>
      </c>
      <c r="H942" t="s">
        <v>14</v>
      </c>
    </row>
    <row r="943" spans="1:8" hidden="1" x14ac:dyDescent="0.25">
      <c r="A943" t="s">
        <v>1388</v>
      </c>
      <c r="B943" s="1" t="str">
        <f>HYPERLINK("https://asmlis.vasa.lt/Dashboard/Served?ServiceDateFrom=2025-11-24&amp;ServiceDateTo=2025-11-24&amp;DumpsterInvNr=13-P-302245", "13-P-302245")</f>
        <v>13-P-302245</v>
      </c>
      <c r="C943">
        <v>1.1000000000000001</v>
      </c>
      <c r="D943" t="s">
        <v>158</v>
      </c>
      <c r="E943" t="s">
        <v>11</v>
      </c>
      <c r="G943" t="s">
        <v>412</v>
      </c>
      <c r="H943" t="s">
        <v>14</v>
      </c>
    </row>
    <row r="944" spans="1:8" hidden="1" x14ac:dyDescent="0.25">
      <c r="A944" t="s">
        <v>1389</v>
      </c>
      <c r="B944" s="1" t="str">
        <f>HYPERLINK("https://asmlis.vasa.lt/Dashboard/Served?ServiceDateFrom=2025-11-24&amp;ServiceDateTo=2025-11-24&amp;DumpsterInvNr=13-L-408398", "13-L-408398")</f>
        <v>13-L-408398</v>
      </c>
      <c r="C944">
        <v>0.12</v>
      </c>
      <c r="D944" t="s">
        <v>1390</v>
      </c>
      <c r="E944" t="s">
        <v>11</v>
      </c>
      <c r="G944" t="s">
        <v>74</v>
      </c>
      <c r="H944" t="s">
        <v>14</v>
      </c>
    </row>
    <row r="945" spans="1:8" hidden="1" x14ac:dyDescent="0.25">
      <c r="A945" t="s">
        <v>1389</v>
      </c>
      <c r="B945" s="1" t="str">
        <f>HYPERLINK("https://asmlis.vasa.lt/Dashboard/Served?ServiceDateFrom=2025-11-24&amp;ServiceDateTo=2025-11-24&amp;DumpsterInvNr=13-P-306735", "13-P-306735")</f>
        <v>13-P-306735</v>
      </c>
      <c r="C945">
        <v>5</v>
      </c>
      <c r="D945" t="s">
        <v>567</v>
      </c>
      <c r="E945" t="s">
        <v>11</v>
      </c>
      <c r="F945" t="s">
        <v>13</v>
      </c>
      <c r="G945" t="s">
        <v>412</v>
      </c>
      <c r="H945" t="s">
        <v>14</v>
      </c>
    </row>
    <row r="946" spans="1:8" hidden="1" x14ac:dyDescent="0.25">
      <c r="A946" t="s">
        <v>1391</v>
      </c>
      <c r="B946" s="1" t="str">
        <f>HYPERLINK("https://asmlis.vasa.lt/Dashboard/Served?ServiceDateFrom=2025-11-24&amp;ServiceDateTo=2025-11-24&amp;DumpsterInvNr=13-L-316913", "13-L-316913")</f>
        <v>13-L-316913</v>
      </c>
      <c r="C946">
        <v>5</v>
      </c>
      <c r="D946" t="s">
        <v>1392</v>
      </c>
      <c r="E946" t="s">
        <v>11</v>
      </c>
      <c r="F946" t="s">
        <v>13</v>
      </c>
      <c r="G946" t="s">
        <v>9</v>
      </c>
      <c r="H946" t="s">
        <v>14</v>
      </c>
    </row>
    <row r="947" spans="1:8" hidden="1" x14ac:dyDescent="0.25">
      <c r="A947" t="s">
        <v>1393</v>
      </c>
      <c r="B947" s="1" t="str">
        <f>HYPERLINK("https://asmlis.vasa.lt/Dashboard/Served?ServiceDateFrom=2025-11-24&amp;ServiceDateTo=2025-11-24&amp;DumpsterInvNr=13-L-318977", "13-L-318977")</f>
        <v>13-L-318977</v>
      </c>
      <c r="C947">
        <v>1.1000000000000001</v>
      </c>
      <c r="D947" t="s">
        <v>1394</v>
      </c>
      <c r="E947" t="s">
        <v>11</v>
      </c>
      <c r="F947" t="s">
        <v>13</v>
      </c>
      <c r="G947" t="s">
        <v>9</v>
      </c>
      <c r="H947" t="s">
        <v>14</v>
      </c>
    </row>
    <row r="948" spans="1:8" hidden="1" x14ac:dyDescent="0.25">
      <c r="A948" t="s">
        <v>1395</v>
      </c>
      <c r="B948" s="1" t="str">
        <f>HYPERLINK("https://asmlis.vasa.lt/Dashboard/Served?ServiceDateFrom=2025-11-24&amp;ServiceDateTo=2025-11-24&amp;DumpsterInvNr=13-L-420162", "13-L-420162")</f>
        <v>13-L-420162</v>
      </c>
      <c r="C948">
        <v>5</v>
      </c>
      <c r="D948" t="s">
        <v>1396</v>
      </c>
      <c r="E948" t="s">
        <v>11</v>
      </c>
      <c r="G948" t="s">
        <v>74</v>
      </c>
      <c r="H948" t="s">
        <v>14</v>
      </c>
    </row>
    <row r="949" spans="1:8" hidden="1" x14ac:dyDescent="0.25">
      <c r="A949" t="s">
        <v>1397</v>
      </c>
      <c r="B949" s="1" t="str">
        <f>HYPERLINK("https://asmlis.vasa.lt/Dashboard/Served?ServiceDateFrom=2025-11-24&amp;ServiceDateTo=2025-11-24&amp;DumpsterInvNr=13-L-311747", "13-L-311747")</f>
        <v>13-L-311747</v>
      </c>
      <c r="C949">
        <v>1.1000000000000001</v>
      </c>
      <c r="D949" t="s">
        <v>1394</v>
      </c>
      <c r="E949" t="s">
        <v>11</v>
      </c>
      <c r="F949" t="s">
        <v>13</v>
      </c>
      <c r="G949" t="s">
        <v>9</v>
      </c>
      <c r="H949" t="s">
        <v>14</v>
      </c>
    </row>
    <row r="950" spans="1:8" hidden="1" x14ac:dyDescent="0.25">
      <c r="A950" t="s">
        <v>1398</v>
      </c>
      <c r="B950" s="1" t="str">
        <f>HYPERLINK("https://asmlis.vasa.lt/Dashboard/Served?ServiceDateFrom=2025-11-24&amp;ServiceDateTo=2025-11-24&amp;DumpsterInvNr=13-P-306732", "13-P-306732")</f>
        <v>13-P-306732</v>
      </c>
      <c r="C950">
        <v>0.77</v>
      </c>
      <c r="D950" t="s">
        <v>162</v>
      </c>
      <c r="E950" t="s">
        <v>11</v>
      </c>
      <c r="F950" t="s">
        <v>13</v>
      </c>
      <c r="G950" t="s">
        <v>412</v>
      </c>
      <c r="H950" t="s">
        <v>14</v>
      </c>
    </row>
    <row r="951" spans="1:8" hidden="1" x14ac:dyDescent="0.25">
      <c r="A951" t="s">
        <v>1399</v>
      </c>
      <c r="B951" s="1" t="str">
        <f>HYPERLINK("https://asmlis.vasa.lt/Dashboard/Served?ServiceDateFrom=2025-11-24&amp;ServiceDateTo=2025-11-24&amp;DumpsterInvNr=13-P-306753", "13-P-306753")</f>
        <v>13-P-306753</v>
      </c>
      <c r="C951">
        <v>0.77</v>
      </c>
      <c r="D951" t="s">
        <v>162</v>
      </c>
      <c r="E951" t="s">
        <v>11</v>
      </c>
      <c r="F951" t="s">
        <v>13</v>
      </c>
      <c r="G951" t="s">
        <v>412</v>
      </c>
      <c r="H951" t="s">
        <v>14</v>
      </c>
    </row>
    <row r="952" spans="1:8" hidden="1" x14ac:dyDescent="0.25">
      <c r="A952" t="s">
        <v>1400</v>
      </c>
      <c r="B952" s="1" t="str">
        <f>HYPERLINK("https://asmlis.vasa.lt/Dashboard/Served?ServiceDateFrom=2025-11-24&amp;ServiceDateTo=2025-11-24&amp;DumpsterInvNr=13-L-415912", "13-L-415912")</f>
        <v>13-L-415912</v>
      </c>
      <c r="C952">
        <v>5</v>
      </c>
      <c r="D952" t="s">
        <v>1401</v>
      </c>
      <c r="E952" t="s">
        <v>11</v>
      </c>
      <c r="G952" t="s">
        <v>74</v>
      </c>
      <c r="H952" t="s">
        <v>14</v>
      </c>
    </row>
    <row r="953" spans="1:8" hidden="1" x14ac:dyDescent="0.25">
      <c r="A953" t="s">
        <v>1402</v>
      </c>
      <c r="B953" s="1" t="str">
        <f>HYPERLINK("https://asmlis.vasa.lt/Dashboard/Served?ServiceDateFrom=2025-11-24&amp;ServiceDateTo=2025-11-24&amp;DumpsterInvNr=13-P-302248", "13-P-302248")</f>
        <v>13-P-302248</v>
      </c>
      <c r="C953">
        <v>1.1000000000000001</v>
      </c>
      <c r="D953" t="s">
        <v>158</v>
      </c>
      <c r="E953" t="s">
        <v>11</v>
      </c>
      <c r="F953" t="s">
        <v>13</v>
      </c>
      <c r="G953" t="s">
        <v>412</v>
      </c>
      <c r="H953" t="s">
        <v>14</v>
      </c>
    </row>
    <row r="954" spans="1:8" hidden="1" x14ac:dyDescent="0.25">
      <c r="A954" t="s">
        <v>1403</v>
      </c>
      <c r="B954" s="1" t="str">
        <f>HYPERLINK("https://asmlis.vasa.lt/Dashboard/Served?ServiceDateFrom=2025-11-24&amp;ServiceDateTo=2025-11-24&amp;DumpsterInvNr=13-L-305450", "13-L-305450")</f>
        <v>13-L-305450</v>
      </c>
      <c r="C954">
        <v>1.1000000000000001</v>
      </c>
      <c r="D954" t="s">
        <v>1404</v>
      </c>
      <c r="E954" t="s">
        <v>11</v>
      </c>
      <c r="G954" t="s">
        <v>9</v>
      </c>
      <c r="H954" t="s">
        <v>14</v>
      </c>
    </row>
    <row r="955" spans="1:8" hidden="1" x14ac:dyDescent="0.25">
      <c r="A955" t="s">
        <v>1405</v>
      </c>
      <c r="B955" s="1" t="str">
        <f>HYPERLINK("https://asmlis.vasa.lt/Dashboard/Served?ServiceDateFrom=2025-11-24&amp;ServiceDateTo=2025-11-24&amp;DumpsterInvNr=13-L-410621", "13-L-410621")</f>
        <v>13-L-410621</v>
      </c>
      <c r="C955">
        <v>0.12</v>
      </c>
      <c r="D955" t="s">
        <v>1406</v>
      </c>
      <c r="E955" t="s">
        <v>11</v>
      </c>
      <c r="G955" t="s">
        <v>74</v>
      </c>
      <c r="H955" t="s">
        <v>14</v>
      </c>
    </row>
    <row r="956" spans="1:8" hidden="1" x14ac:dyDescent="0.25">
      <c r="A956" t="s">
        <v>1407</v>
      </c>
      <c r="B956" s="1" t="str">
        <f>HYPERLINK("https://asmlis.vasa.lt/Dashboard/Served?ServiceDateFrom=2025-11-24&amp;ServiceDateTo=2025-11-24&amp;DumpsterInvNr=13-L-317345", "13-L-317345")</f>
        <v>13-L-317345</v>
      </c>
      <c r="C956">
        <v>0.77</v>
      </c>
      <c r="D956" t="s">
        <v>1408</v>
      </c>
      <c r="E956" t="s">
        <v>11</v>
      </c>
      <c r="F956" t="s">
        <v>13</v>
      </c>
      <c r="G956" t="s">
        <v>9</v>
      </c>
      <c r="H956" t="s">
        <v>14</v>
      </c>
    </row>
    <row r="957" spans="1:8" hidden="1" x14ac:dyDescent="0.25">
      <c r="A957" t="s">
        <v>1409</v>
      </c>
      <c r="B957" s="1" t="str">
        <f>HYPERLINK("https://asmlis.vasa.lt/Dashboard/Served?ServiceDateFrom=2025-11-24&amp;ServiceDateTo=2025-11-24&amp;DumpsterInvNr=13-L-136769", "13-L-136769")</f>
        <v>13-L-136769</v>
      </c>
      <c r="C957">
        <v>5</v>
      </c>
      <c r="D957" t="s">
        <v>1410</v>
      </c>
      <c r="E957" t="s">
        <v>11</v>
      </c>
      <c r="F957" t="s">
        <v>13</v>
      </c>
      <c r="G957" t="s">
        <v>430</v>
      </c>
      <c r="H957" t="s">
        <v>432</v>
      </c>
    </row>
    <row r="958" spans="1:8" hidden="1" x14ac:dyDescent="0.25">
      <c r="A958" t="s">
        <v>1411</v>
      </c>
      <c r="B958" s="1" t="str">
        <f>HYPERLINK("https://asmlis.vasa.lt/Dashboard/Served?ServiceDateFrom=2025-11-24&amp;ServiceDateTo=2025-11-24&amp;DumpsterInvNr=13-L-316784", "13-L-316784")</f>
        <v>13-L-316784</v>
      </c>
      <c r="C958">
        <v>0.77</v>
      </c>
      <c r="D958" t="s">
        <v>1404</v>
      </c>
      <c r="E958" t="s">
        <v>11</v>
      </c>
      <c r="G958" t="s">
        <v>9</v>
      </c>
      <c r="H958" t="s">
        <v>14</v>
      </c>
    </row>
    <row r="959" spans="1:8" hidden="1" x14ac:dyDescent="0.25">
      <c r="A959" t="s">
        <v>1412</v>
      </c>
      <c r="B959" s="1" t="str">
        <f>HYPERLINK("https://asmlis.vasa.lt/Dashboard/Served?ServiceDateFrom=2025-11-24&amp;ServiceDateTo=2025-11-24&amp;DumpsterInvNr=13-P-416424", "13-P-416424")</f>
        <v>13-P-416424</v>
      </c>
      <c r="C959">
        <v>1.1000000000000001</v>
      </c>
      <c r="D959" t="s">
        <v>1413</v>
      </c>
      <c r="E959" t="s">
        <v>11</v>
      </c>
      <c r="F959" t="s">
        <v>13</v>
      </c>
      <c r="G959" t="s">
        <v>264</v>
      </c>
      <c r="H959" t="s">
        <v>14</v>
      </c>
    </row>
    <row r="960" spans="1:8" hidden="1" x14ac:dyDescent="0.25">
      <c r="A960" t="s">
        <v>1414</v>
      </c>
      <c r="B960" s="1" t="str">
        <f>HYPERLINK("https://asmlis.vasa.lt/Dashboard/Served?ServiceDateFrom=2025-11-24&amp;ServiceDateTo=2025-11-24&amp;DumpsterInvNr=13-L-317843", "13-L-317843")</f>
        <v>13-L-317843</v>
      </c>
      <c r="C960">
        <v>1.1000000000000001</v>
      </c>
      <c r="D960" t="s">
        <v>1415</v>
      </c>
      <c r="E960" t="s">
        <v>11</v>
      </c>
      <c r="G960" t="s">
        <v>9</v>
      </c>
      <c r="H960" t="s">
        <v>14</v>
      </c>
    </row>
    <row r="961" spans="1:8" hidden="1" x14ac:dyDescent="0.25">
      <c r="A961" t="s">
        <v>1416</v>
      </c>
      <c r="B961" s="1" t="str">
        <f>HYPERLINK("https://asmlis.vasa.lt/Dashboard/Served?ServiceDateFrom=2025-11-24&amp;ServiceDateTo=2025-11-24&amp;DumpsterInvNr=13-P-416609", "13-P-416609")</f>
        <v>13-P-416609</v>
      </c>
      <c r="C961">
        <v>1.1000000000000001</v>
      </c>
      <c r="D961" t="s">
        <v>1317</v>
      </c>
      <c r="E961" t="s">
        <v>11</v>
      </c>
      <c r="F961" t="s">
        <v>13</v>
      </c>
      <c r="G961" t="s">
        <v>264</v>
      </c>
      <c r="H961" t="s">
        <v>14</v>
      </c>
    </row>
    <row r="962" spans="1:8" hidden="1" x14ac:dyDescent="0.25">
      <c r="A962" t="s">
        <v>1417</v>
      </c>
      <c r="B962" s="1" t="str">
        <f>HYPERLINK("https://asmlis.vasa.lt/Dashboard/Served?ServiceDateFrom=2025-11-24&amp;ServiceDateTo=2025-11-24&amp;DumpsterInvNr=13-L-410620", "13-L-410620")</f>
        <v>13-L-410620</v>
      </c>
      <c r="C962">
        <v>0.24</v>
      </c>
      <c r="D962" t="s">
        <v>1418</v>
      </c>
      <c r="E962" t="s">
        <v>11</v>
      </c>
      <c r="G962" t="s">
        <v>74</v>
      </c>
      <c r="H962" t="s">
        <v>14</v>
      </c>
    </row>
    <row r="963" spans="1:8" hidden="1" x14ac:dyDescent="0.25">
      <c r="A963" t="s">
        <v>1419</v>
      </c>
      <c r="B963" s="1" t="str">
        <f>HYPERLINK("https://asmlis.vasa.lt/Dashboard/Served?ServiceDateFrom=2025-11-24&amp;ServiceDateTo=2025-11-24&amp;DumpsterInvNr=13-L-319734", "13-L-319734")</f>
        <v>13-L-319734</v>
      </c>
      <c r="C963">
        <v>1.1000000000000001</v>
      </c>
      <c r="D963" t="s">
        <v>1420</v>
      </c>
      <c r="E963" t="s">
        <v>11</v>
      </c>
      <c r="G963" t="s">
        <v>9</v>
      </c>
      <c r="H963" t="s">
        <v>14</v>
      </c>
    </row>
    <row r="964" spans="1:8" hidden="1" x14ac:dyDescent="0.25">
      <c r="A964" t="s">
        <v>1421</v>
      </c>
      <c r="B964" s="1" t="str">
        <f>HYPERLINK("https://asmlis.vasa.lt/Dashboard/Served?ServiceDateFrom=2025-11-24&amp;ServiceDateTo=2025-11-24&amp;DumpsterInvNr=13-L-305377", "13-L-305377")</f>
        <v>13-L-305377</v>
      </c>
      <c r="C964">
        <v>0.77</v>
      </c>
      <c r="D964" t="s">
        <v>1422</v>
      </c>
      <c r="E964" t="s">
        <v>11</v>
      </c>
      <c r="G964" t="s">
        <v>9</v>
      </c>
      <c r="H964" t="s">
        <v>14</v>
      </c>
    </row>
    <row r="965" spans="1:8" hidden="1" x14ac:dyDescent="0.25">
      <c r="A965" t="s">
        <v>1423</v>
      </c>
      <c r="B965" s="1" t="str">
        <f>HYPERLINK("https://asmlis.vasa.lt/Dashboard/Served?ServiceDateFrom=2025-11-24&amp;ServiceDateTo=2025-11-24&amp;DumpsterInvNr=13-L-314967", "13-L-314967")</f>
        <v>13-L-314967</v>
      </c>
      <c r="C965">
        <v>5</v>
      </c>
      <c r="D965" t="s">
        <v>1424</v>
      </c>
      <c r="E965" t="s">
        <v>11</v>
      </c>
      <c r="F965" t="s">
        <v>13</v>
      </c>
      <c r="G965" t="s">
        <v>9</v>
      </c>
      <c r="H965" t="s">
        <v>14</v>
      </c>
    </row>
    <row r="966" spans="1:8" hidden="1" x14ac:dyDescent="0.25">
      <c r="A966" t="s">
        <v>1425</v>
      </c>
      <c r="B966" s="1" t="str">
        <f>HYPERLINK("https://asmlis.vasa.lt/Dashboard/Served?ServiceDateFrom=2025-11-24&amp;ServiceDateTo=2025-11-24&amp;DumpsterInvNr=13-L-424685", "13-L-424685")</f>
        <v>13-L-424685</v>
      </c>
      <c r="C966">
        <v>0.77</v>
      </c>
      <c r="D966" t="s">
        <v>1426</v>
      </c>
      <c r="E966" t="s">
        <v>11</v>
      </c>
      <c r="F966" t="s">
        <v>13</v>
      </c>
      <c r="G966" t="s">
        <v>74</v>
      </c>
      <c r="H966" t="s">
        <v>14</v>
      </c>
    </row>
    <row r="967" spans="1:8" hidden="1" x14ac:dyDescent="0.25">
      <c r="A967" t="s">
        <v>1427</v>
      </c>
      <c r="B967" s="1" t="str">
        <f>HYPERLINK("https://asmlis.vasa.lt/Dashboard/Served?ServiceDateFrom=2025-11-24&amp;ServiceDateTo=2025-11-24&amp;DumpsterInvNr=13-L-308951", "13-L-308951")</f>
        <v>13-L-308951</v>
      </c>
      <c r="C967">
        <v>1.1000000000000001</v>
      </c>
      <c r="D967" t="s">
        <v>1428</v>
      </c>
      <c r="E967" t="s">
        <v>11</v>
      </c>
      <c r="G967" t="s">
        <v>9</v>
      </c>
      <c r="H967" t="s">
        <v>14</v>
      </c>
    </row>
    <row r="968" spans="1:8" hidden="1" x14ac:dyDescent="0.25">
      <c r="A968" t="s">
        <v>1429</v>
      </c>
      <c r="B968" s="1" t="str">
        <f>HYPERLINK("https://asmlis.vasa.lt/Dashboard/Served?ServiceDateFrom=2025-11-24&amp;ServiceDateTo=2025-11-24&amp;DumpsterInvNr=13-P-405428", "13-P-405428")</f>
        <v>13-P-405428</v>
      </c>
      <c r="C968">
        <v>5</v>
      </c>
      <c r="D968" t="s">
        <v>1430</v>
      </c>
      <c r="E968" t="s">
        <v>11</v>
      </c>
      <c r="G968" t="s">
        <v>264</v>
      </c>
      <c r="H968" t="s">
        <v>14</v>
      </c>
    </row>
    <row r="969" spans="1:8" hidden="1" x14ac:dyDescent="0.25">
      <c r="A969" t="s">
        <v>1431</v>
      </c>
      <c r="B969" s="1" t="str">
        <f>HYPERLINK("https://asmlis.vasa.lt/Dashboard/Served?ServiceDateFrom=2025-11-24&amp;ServiceDateTo=2025-11-24&amp;DumpsterInvNr=13-L-313546", "13-L-313546")</f>
        <v>13-L-313546</v>
      </c>
      <c r="C969">
        <v>0.77</v>
      </c>
      <c r="D969" t="s">
        <v>1404</v>
      </c>
      <c r="E969" t="s">
        <v>11</v>
      </c>
      <c r="F969" t="s">
        <v>13</v>
      </c>
      <c r="G969" t="s">
        <v>9</v>
      </c>
      <c r="H969" t="s">
        <v>14</v>
      </c>
    </row>
    <row r="970" spans="1:8" hidden="1" x14ac:dyDescent="0.25">
      <c r="A970" t="s">
        <v>1431</v>
      </c>
      <c r="B970" s="1" t="str">
        <f>HYPERLINK("https://asmlis.vasa.lt/Dashboard/Served?ServiceDateFrom=2025-11-24&amp;ServiceDateTo=2025-11-24&amp;DumpsterInvNr=13-L-315832", "13-L-315832")</f>
        <v>13-L-315832</v>
      </c>
      <c r="C970">
        <v>1.1000000000000001</v>
      </c>
      <c r="D970" t="s">
        <v>1415</v>
      </c>
      <c r="E970" t="s">
        <v>11</v>
      </c>
      <c r="G970" t="s">
        <v>9</v>
      </c>
      <c r="H970" t="s">
        <v>14</v>
      </c>
    </row>
    <row r="971" spans="1:8" hidden="1" x14ac:dyDescent="0.25">
      <c r="A971" t="s">
        <v>1432</v>
      </c>
      <c r="B971" s="1" t="str">
        <f>HYPERLINK("https://asmlis.vasa.lt/Dashboard/Served?ServiceDateFrom=2025-11-24&amp;ServiceDateTo=2025-11-24&amp;DumpsterInvNr=13-P-401067", "13-P-401067")</f>
        <v>13-P-401067</v>
      </c>
      <c r="C971">
        <v>5</v>
      </c>
      <c r="D971" t="s">
        <v>1433</v>
      </c>
      <c r="E971" t="s">
        <v>11</v>
      </c>
      <c r="G971" t="s">
        <v>264</v>
      </c>
      <c r="H971" t="s">
        <v>14</v>
      </c>
    </row>
    <row r="972" spans="1:8" hidden="1" x14ac:dyDescent="0.25">
      <c r="A972" t="s">
        <v>1434</v>
      </c>
      <c r="B972" s="1" t="str">
        <f>HYPERLINK("https://asmlis.vasa.lt/Dashboard/Served?ServiceDateFrom=2025-11-24&amp;ServiceDateTo=2025-11-24&amp;DumpsterInvNr=13-P-302404", "13-P-302404")</f>
        <v>13-P-302404</v>
      </c>
      <c r="C972">
        <v>5</v>
      </c>
      <c r="D972" t="s">
        <v>1435</v>
      </c>
      <c r="E972" t="s">
        <v>11</v>
      </c>
      <c r="G972" t="s">
        <v>412</v>
      </c>
      <c r="H972" t="s">
        <v>14</v>
      </c>
    </row>
    <row r="973" spans="1:8" hidden="1" x14ac:dyDescent="0.25">
      <c r="A973" t="s">
        <v>1436</v>
      </c>
      <c r="B973" s="1" t="str">
        <f>HYPERLINK("https://asmlis.vasa.lt/Dashboard/Served?ServiceDateFrom=2025-11-24&amp;ServiceDateTo=2025-11-24&amp;DumpsterInvNr=13-L-405235", "13-L-405235")</f>
        <v>13-L-405235</v>
      </c>
      <c r="C973">
        <v>0.12</v>
      </c>
      <c r="D973" t="s">
        <v>1437</v>
      </c>
      <c r="E973" t="s">
        <v>11</v>
      </c>
      <c r="G973" t="s">
        <v>74</v>
      </c>
      <c r="H973" t="s">
        <v>14</v>
      </c>
    </row>
    <row r="974" spans="1:8" hidden="1" x14ac:dyDescent="0.25">
      <c r="A974" t="s">
        <v>1438</v>
      </c>
      <c r="B974" s="1" t="str">
        <f>HYPERLINK("https://asmlis.vasa.lt/Dashboard/Served?ServiceDateFrom=2025-11-24&amp;ServiceDateTo=2025-11-24&amp;DumpsterInvNr=13-P-306933", "13-P-306933")</f>
        <v>13-P-306933</v>
      </c>
      <c r="C974">
        <v>1.1000000000000001</v>
      </c>
      <c r="D974" t="s">
        <v>197</v>
      </c>
      <c r="E974" t="s">
        <v>11</v>
      </c>
      <c r="F974" t="s">
        <v>13</v>
      </c>
      <c r="G974" t="s">
        <v>412</v>
      </c>
      <c r="H974" t="s">
        <v>14</v>
      </c>
    </row>
    <row r="975" spans="1:8" hidden="1" x14ac:dyDescent="0.25">
      <c r="A975" t="s">
        <v>1439</v>
      </c>
      <c r="B975" s="1" t="str">
        <f>HYPERLINK("https://asmlis.vasa.lt/Dashboard/Served?ServiceDateFrom=2025-11-24&amp;ServiceDateTo=2025-11-24&amp;DumpsterInvNr=13-L-319735", "13-L-319735")</f>
        <v>13-L-319735</v>
      </c>
      <c r="C975">
        <v>1.1000000000000001</v>
      </c>
      <c r="D975" t="s">
        <v>1420</v>
      </c>
      <c r="E975" t="s">
        <v>11</v>
      </c>
      <c r="G975" t="s">
        <v>9</v>
      </c>
      <c r="H975" t="s">
        <v>14</v>
      </c>
    </row>
    <row r="976" spans="1:8" hidden="1" x14ac:dyDescent="0.25">
      <c r="A976" t="s">
        <v>1440</v>
      </c>
      <c r="B976" s="1" t="str">
        <f>HYPERLINK("https://asmlis.vasa.lt/Dashboard/Served?ServiceDateFrom=2025-11-24&amp;ServiceDateTo=2025-11-24&amp;DumpsterInvNr=13-L-317246", "13-L-317246")</f>
        <v>13-L-317246</v>
      </c>
      <c r="C976">
        <v>1.1000000000000001</v>
      </c>
      <c r="D976" t="s">
        <v>1415</v>
      </c>
      <c r="E976" t="s">
        <v>11</v>
      </c>
      <c r="G976" t="s">
        <v>9</v>
      </c>
      <c r="H976" t="s">
        <v>14</v>
      </c>
    </row>
    <row r="977" spans="1:8" hidden="1" x14ac:dyDescent="0.25">
      <c r="A977" t="s">
        <v>1441</v>
      </c>
      <c r="B977" s="1" t="str">
        <f>HYPERLINK("https://asmlis.vasa.lt/Dashboard/Served?ServiceDateFrom=2025-11-24&amp;ServiceDateTo=2025-11-24&amp;DumpsterInvNr=13-P-211269", "13-P-211269")</f>
        <v>13-P-211269</v>
      </c>
      <c r="C977">
        <v>2.5</v>
      </c>
      <c r="D977" t="s">
        <v>1442</v>
      </c>
      <c r="E977" t="s">
        <v>11</v>
      </c>
      <c r="F977" t="s">
        <v>13</v>
      </c>
      <c r="G977" t="s">
        <v>234</v>
      </c>
      <c r="H977" t="s">
        <v>14</v>
      </c>
    </row>
    <row r="978" spans="1:8" hidden="1" x14ac:dyDescent="0.25">
      <c r="A978" t="s">
        <v>1443</v>
      </c>
      <c r="B978" s="1" t="str">
        <f>HYPERLINK("https://asmlis.vasa.lt/Dashboard/Served?ServiceDateFrom=2025-11-24&amp;ServiceDateTo=2025-11-24&amp;DumpsterInvNr=13-L-424105", "13-L-424105")</f>
        <v>13-L-424105</v>
      </c>
      <c r="C978">
        <v>5</v>
      </c>
      <c r="D978" t="s">
        <v>1444</v>
      </c>
      <c r="E978" t="s">
        <v>11</v>
      </c>
      <c r="F978" t="s">
        <v>13</v>
      </c>
      <c r="G978" t="s">
        <v>74</v>
      </c>
      <c r="H978" t="s">
        <v>14</v>
      </c>
    </row>
    <row r="979" spans="1:8" hidden="1" x14ac:dyDescent="0.25">
      <c r="A979" t="s">
        <v>1445</v>
      </c>
      <c r="B979" s="1" t="str">
        <f>HYPERLINK("https://asmlis.vasa.lt/Dashboard/Served?ServiceDateFrom=2025-11-24&amp;ServiceDateTo=2025-11-24&amp;DumpsterInvNr=13-P-212019", "13-P-212019")</f>
        <v>13-P-212019</v>
      </c>
      <c r="C979">
        <v>2.5</v>
      </c>
      <c r="D979" t="s">
        <v>1442</v>
      </c>
      <c r="E979" t="s">
        <v>11</v>
      </c>
      <c r="F979" t="s">
        <v>13</v>
      </c>
      <c r="G979" t="s">
        <v>234</v>
      </c>
      <c r="H979" t="s">
        <v>14</v>
      </c>
    </row>
    <row r="980" spans="1:8" hidden="1" x14ac:dyDescent="0.25">
      <c r="A980" t="s">
        <v>1446</v>
      </c>
      <c r="B980" s="1" t="str">
        <f>HYPERLINK("https://asmlis.vasa.lt/Dashboard/Served?ServiceDateFrom=2025-11-24&amp;ServiceDateTo=2025-11-24&amp;DumpsterInvNr=13-L-422051", "13-L-422051")</f>
        <v>13-L-422051</v>
      </c>
      <c r="C980">
        <v>5</v>
      </c>
      <c r="D980" t="s">
        <v>1447</v>
      </c>
      <c r="E980" t="s">
        <v>11</v>
      </c>
      <c r="G980" t="s">
        <v>74</v>
      </c>
      <c r="H980" t="s">
        <v>14</v>
      </c>
    </row>
    <row r="981" spans="1:8" hidden="1" x14ac:dyDescent="0.25">
      <c r="A981" t="s">
        <v>1448</v>
      </c>
      <c r="B981" s="1" t="str">
        <f>HYPERLINK("https://asmlis.vasa.lt/Dashboard/Served?ServiceDateFrom=2025-11-24&amp;ServiceDateTo=2025-11-24&amp;DumpsterInvNr=13-L-410374", "13-L-410374")</f>
        <v>13-L-410374</v>
      </c>
      <c r="C981">
        <v>1.1000000000000001</v>
      </c>
      <c r="D981" t="s">
        <v>1449</v>
      </c>
      <c r="E981" t="s">
        <v>11</v>
      </c>
      <c r="G981" t="s">
        <v>74</v>
      </c>
      <c r="H981" t="s">
        <v>14</v>
      </c>
    </row>
    <row r="982" spans="1:8" hidden="1" x14ac:dyDescent="0.25">
      <c r="A982" t="s">
        <v>1450</v>
      </c>
      <c r="B982" s="1" t="str">
        <f>HYPERLINK("https://asmlis.vasa.lt/Dashboard/Served?ServiceDateFrom=2025-11-24&amp;ServiceDateTo=2025-11-24&amp;DumpsterInvNr=13-L-319679", "13-L-319679")</f>
        <v>13-L-319679</v>
      </c>
      <c r="C982">
        <v>1.1000000000000001</v>
      </c>
      <c r="D982" t="s">
        <v>1451</v>
      </c>
      <c r="E982" t="s">
        <v>11</v>
      </c>
      <c r="G982" t="s">
        <v>9</v>
      </c>
      <c r="H982" t="s">
        <v>14</v>
      </c>
    </row>
    <row r="983" spans="1:8" hidden="1" x14ac:dyDescent="0.25">
      <c r="A983" t="s">
        <v>1452</v>
      </c>
      <c r="B983" s="1" t="str">
        <f>HYPERLINK("https://asmlis.vasa.lt/Dashboard/Served?ServiceDateFrom=2025-11-24&amp;ServiceDateTo=2025-11-24&amp;DumpsterInvNr=13-L-314639", "13-L-314639")</f>
        <v>13-L-314639</v>
      </c>
      <c r="C983">
        <v>1.1000000000000001</v>
      </c>
      <c r="D983" t="s">
        <v>1451</v>
      </c>
      <c r="E983" t="s">
        <v>11</v>
      </c>
      <c r="F983" t="s">
        <v>13</v>
      </c>
      <c r="G983" t="s">
        <v>9</v>
      </c>
      <c r="H983" t="s">
        <v>14</v>
      </c>
    </row>
    <row r="984" spans="1:8" hidden="1" x14ac:dyDescent="0.25">
      <c r="A984" t="s">
        <v>1453</v>
      </c>
      <c r="B984" s="1" t="str">
        <f>HYPERLINK("https://asmlis.vasa.lt/Dashboard/Served?ServiceDateFrom=2025-11-24&amp;ServiceDateTo=2025-11-24&amp;DumpsterInvNr=13-L-425373", "13-L-425373")</f>
        <v>13-L-425373</v>
      </c>
      <c r="C984">
        <v>1.1000000000000001</v>
      </c>
      <c r="D984" t="s">
        <v>1454</v>
      </c>
      <c r="E984" t="s">
        <v>11</v>
      </c>
      <c r="G984" t="s">
        <v>74</v>
      </c>
      <c r="H984" t="s">
        <v>14</v>
      </c>
    </row>
    <row r="985" spans="1:8" hidden="1" x14ac:dyDescent="0.25">
      <c r="A985" t="s">
        <v>1455</v>
      </c>
      <c r="B985" s="1" t="str">
        <f>HYPERLINK("https://asmlis.vasa.lt/Dashboard/Served?ServiceDateFrom=2025-11-24&amp;ServiceDateTo=2025-11-24&amp;DumpsterInvNr=13-L-134230", "13-L-134230")</f>
        <v>13-L-134230</v>
      </c>
      <c r="C985">
        <v>5</v>
      </c>
      <c r="D985" t="s">
        <v>1456</v>
      </c>
      <c r="E985" t="s">
        <v>11</v>
      </c>
      <c r="F985" t="s">
        <v>13</v>
      </c>
      <c r="G985" t="s">
        <v>430</v>
      </c>
      <c r="H985" t="s">
        <v>432</v>
      </c>
    </row>
    <row r="986" spans="1:8" hidden="1" x14ac:dyDescent="0.25">
      <c r="A986" t="s">
        <v>1457</v>
      </c>
      <c r="B986" s="1" t="str">
        <f>HYPERLINK("https://asmlis.vasa.lt/Dashboard/Served?ServiceDateFrom=2025-11-24&amp;ServiceDateTo=2025-11-24&amp;DumpsterInvNr=13-L-316424", "13-L-316424")</f>
        <v>13-L-316424</v>
      </c>
      <c r="C986">
        <v>1.1000000000000001</v>
      </c>
      <c r="D986" t="s">
        <v>1451</v>
      </c>
      <c r="E986" t="s">
        <v>11</v>
      </c>
      <c r="G986" t="s">
        <v>9</v>
      </c>
      <c r="H986" t="s">
        <v>14</v>
      </c>
    </row>
    <row r="987" spans="1:8" hidden="1" x14ac:dyDescent="0.25">
      <c r="A987" t="s">
        <v>1458</v>
      </c>
      <c r="B987" s="1" t="str">
        <f>HYPERLINK("https://asmlis.vasa.lt/Dashboard/Served?ServiceDateFrom=2025-11-24&amp;ServiceDateTo=2025-11-24&amp;DumpsterInvNr=13-L-316423", "13-L-316423")</f>
        <v>13-L-316423</v>
      </c>
      <c r="C987">
        <v>1.1000000000000001</v>
      </c>
      <c r="D987" t="s">
        <v>1451</v>
      </c>
      <c r="E987" t="s">
        <v>11</v>
      </c>
      <c r="F987" t="s">
        <v>13</v>
      </c>
      <c r="G987" t="s">
        <v>9</v>
      </c>
      <c r="H987" t="s">
        <v>14</v>
      </c>
    </row>
    <row r="988" spans="1:8" hidden="1" x14ac:dyDescent="0.25">
      <c r="A988" t="s">
        <v>1459</v>
      </c>
      <c r="B988" s="1" t="str">
        <f>HYPERLINK("https://asmlis.vasa.lt/Dashboard/Served?ServiceDateFrom=2025-11-24&amp;ServiceDateTo=2025-11-24&amp;DumpsterInvNr=13-L-316399", "13-L-316399")</f>
        <v>13-L-316399</v>
      </c>
      <c r="C988">
        <v>5</v>
      </c>
      <c r="D988" t="s">
        <v>1461</v>
      </c>
      <c r="E988" t="s">
        <v>11</v>
      </c>
      <c r="F988" t="s">
        <v>13</v>
      </c>
      <c r="G988" t="s">
        <v>9</v>
      </c>
      <c r="H988" t="s">
        <v>14</v>
      </c>
    </row>
    <row r="989" spans="1:8" hidden="1" x14ac:dyDescent="0.25">
      <c r="A989" t="s">
        <v>1462</v>
      </c>
      <c r="B989" s="1" t="str">
        <f>HYPERLINK("https://asmlis.vasa.lt/Dashboard/Served?ServiceDateFrom=2025-11-24&amp;ServiceDateTo=2025-11-24&amp;DumpsterInvNr=13-L-405238", "13-L-405238")</f>
        <v>13-L-405238</v>
      </c>
      <c r="C989">
        <v>0.24</v>
      </c>
      <c r="D989" t="s">
        <v>1463</v>
      </c>
      <c r="E989" t="s">
        <v>11</v>
      </c>
      <c r="G989" t="s">
        <v>74</v>
      </c>
      <c r="H989" t="s">
        <v>14</v>
      </c>
    </row>
    <row r="990" spans="1:8" hidden="1" x14ac:dyDescent="0.25">
      <c r="A990" t="s">
        <v>1464</v>
      </c>
      <c r="B990" s="1" t="str">
        <f>HYPERLINK("https://asmlis.vasa.lt/Dashboard/Served?ServiceDateFrom=2025-11-24&amp;ServiceDateTo=2025-11-24&amp;DumpsterInvNr=13-L-316592", "13-L-316592")</f>
        <v>13-L-316592</v>
      </c>
      <c r="C990">
        <v>1.1000000000000001</v>
      </c>
      <c r="D990" t="s">
        <v>1465</v>
      </c>
      <c r="E990" t="s">
        <v>11</v>
      </c>
      <c r="F990" t="s">
        <v>13</v>
      </c>
      <c r="G990" t="s">
        <v>9</v>
      </c>
      <c r="H990" t="s">
        <v>14</v>
      </c>
    </row>
    <row r="991" spans="1:8" hidden="1" x14ac:dyDescent="0.25">
      <c r="A991" t="s">
        <v>1466</v>
      </c>
      <c r="B991" s="1" t="str">
        <f>HYPERLINK("https://asmlis.vasa.lt/Dashboard/Served?ServiceDateFrom=2025-11-24&amp;ServiceDateTo=2025-11-24&amp;DumpsterInvNr=13-P-300280", "13-P-300280")</f>
        <v>13-P-300280</v>
      </c>
      <c r="C991">
        <v>1.1000000000000001</v>
      </c>
      <c r="D991" t="s">
        <v>1467</v>
      </c>
      <c r="E991" t="s">
        <v>11</v>
      </c>
      <c r="G991" t="s">
        <v>412</v>
      </c>
      <c r="H991" t="s">
        <v>14</v>
      </c>
    </row>
    <row r="992" spans="1:8" hidden="1" x14ac:dyDescent="0.25">
      <c r="A992" t="s">
        <v>1468</v>
      </c>
      <c r="B992" s="1" t="str">
        <f>HYPERLINK("https://asmlis.vasa.lt/Dashboard/Served?ServiceDateFrom=2025-11-24&amp;ServiceDateTo=2025-11-24&amp;DumpsterInvNr=13-L-424039", "13-L-424039")</f>
        <v>13-L-424039</v>
      </c>
      <c r="C992">
        <v>1.1000000000000001</v>
      </c>
      <c r="D992" t="s">
        <v>1454</v>
      </c>
      <c r="E992" t="s">
        <v>11</v>
      </c>
      <c r="G992" t="s">
        <v>74</v>
      </c>
      <c r="H992" t="s">
        <v>14</v>
      </c>
    </row>
    <row r="993" spans="1:8" hidden="1" x14ac:dyDescent="0.25">
      <c r="A993" t="s">
        <v>1469</v>
      </c>
      <c r="B993" s="1" t="str">
        <f>HYPERLINK("https://asmlis.vasa.lt/Dashboard/Served?ServiceDateFrom=2025-11-24&amp;ServiceDateTo=2025-11-24&amp;DumpsterInvNr=13-L-311572", "13-L-311572")</f>
        <v>13-L-311572</v>
      </c>
      <c r="C993">
        <v>1.1000000000000001</v>
      </c>
      <c r="D993" t="s">
        <v>1465</v>
      </c>
      <c r="E993" t="s">
        <v>11</v>
      </c>
      <c r="F993" t="s">
        <v>13</v>
      </c>
      <c r="G993" t="s">
        <v>9</v>
      </c>
      <c r="H993" t="s">
        <v>14</v>
      </c>
    </row>
    <row r="994" spans="1:8" hidden="1" x14ac:dyDescent="0.25">
      <c r="A994" t="s">
        <v>1470</v>
      </c>
      <c r="B994" s="1" t="str">
        <f>HYPERLINK("https://asmlis.vasa.lt/Dashboard/Served?ServiceDateFrom=2025-11-24&amp;ServiceDateTo=2025-11-24&amp;DumpsterInvNr=13-P-413696", "13-P-413696")</f>
        <v>13-P-413696</v>
      </c>
      <c r="C994">
        <v>5</v>
      </c>
      <c r="D994" t="s">
        <v>1471</v>
      </c>
      <c r="E994" t="s">
        <v>11</v>
      </c>
      <c r="G994" t="s">
        <v>264</v>
      </c>
      <c r="H994" t="s">
        <v>14</v>
      </c>
    </row>
    <row r="995" spans="1:8" hidden="1" x14ac:dyDescent="0.25">
      <c r="A995" t="s">
        <v>1472</v>
      </c>
      <c r="B995" s="1" t="str">
        <f>HYPERLINK("https://asmlis.vasa.lt/Dashboard/Served?ServiceDateFrom=2025-11-24&amp;ServiceDateTo=2025-11-24&amp;DumpsterInvNr=13-L-318897", "13-L-318897")</f>
        <v>13-L-318897</v>
      </c>
      <c r="C995">
        <v>1.1000000000000001</v>
      </c>
      <c r="D995" t="s">
        <v>1465</v>
      </c>
      <c r="E995" t="s">
        <v>11</v>
      </c>
      <c r="G995" t="s">
        <v>9</v>
      </c>
      <c r="H995" t="s">
        <v>14</v>
      </c>
    </row>
    <row r="996" spans="1:8" hidden="1" x14ac:dyDescent="0.25">
      <c r="A996" t="s">
        <v>1473</v>
      </c>
      <c r="B996" s="1" t="str">
        <f>HYPERLINK("https://asmlis.vasa.lt/Dashboard/Served?ServiceDateFrom=2025-11-24&amp;ServiceDateTo=2025-11-24&amp;DumpsterInvNr=13-P-302217", "13-P-302217")</f>
        <v>13-P-302217</v>
      </c>
      <c r="C996">
        <v>1.1000000000000001</v>
      </c>
      <c r="D996" t="s">
        <v>1467</v>
      </c>
      <c r="E996" t="s">
        <v>11</v>
      </c>
      <c r="G996" t="s">
        <v>412</v>
      </c>
      <c r="H996" t="s">
        <v>14</v>
      </c>
    </row>
    <row r="997" spans="1:8" hidden="1" x14ac:dyDescent="0.25">
      <c r="A997" t="s">
        <v>1474</v>
      </c>
      <c r="B997" s="1" t="str">
        <f>HYPERLINK("https://asmlis.vasa.lt/Dashboard/Served?ServiceDateFrom=2025-11-24&amp;ServiceDateTo=2025-11-24&amp;DumpsterInvNr=13-P-400582", "13-P-400582")</f>
        <v>13-P-400582</v>
      </c>
      <c r="C997">
        <v>5</v>
      </c>
      <c r="D997" t="s">
        <v>1475</v>
      </c>
      <c r="E997" t="s">
        <v>11</v>
      </c>
      <c r="F997" t="s">
        <v>13</v>
      </c>
      <c r="G997" t="s">
        <v>264</v>
      </c>
      <c r="H997" t="s">
        <v>14</v>
      </c>
    </row>
    <row r="998" spans="1:8" hidden="1" x14ac:dyDescent="0.25">
      <c r="A998" t="s">
        <v>1476</v>
      </c>
      <c r="B998" s="1" t="str">
        <f>HYPERLINK("https://asmlis.vasa.lt/Dashboard/Served?ServiceDateFrom=2025-11-24&amp;ServiceDateTo=2025-11-24&amp;DumpsterInvNr=13-L-318550", "13-L-318550")</f>
        <v>13-L-318550</v>
      </c>
      <c r="C998">
        <v>1.1000000000000001</v>
      </c>
      <c r="D998" t="s">
        <v>1477</v>
      </c>
      <c r="E998" t="s">
        <v>11</v>
      </c>
      <c r="F998" t="s">
        <v>13</v>
      </c>
      <c r="G998" t="s">
        <v>9</v>
      </c>
      <c r="H998" t="s">
        <v>14</v>
      </c>
    </row>
    <row r="999" spans="1:8" hidden="1" x14ac:dyDescent="0.25">
      <c r="A999" t="s">
        <v>1478</v>
      </c>
      <c r="B999" s="1" t="str">
        <f>HYPERLINK("https://asmlis.vasa.lt/Dashboard/Served?ServiceDateFrom=2025-11-24&amp;ServiceDateTo=2025-11-24&amp;DumpsterInvNr=13-L-413435", "13-L-413435")</f>
        <v>13-L-413435</v>
      </c>
      <c r="C999">
        <v>0.24</v>
      </c>
      <c r="D999" t="s">
        <v>1479</v>
      </c>
      <c r="E999" t="s">
        <v>11</v>
      </c>
      <c r="G999" t="s">
        <v>74</v>
      </c>
      <c r="H999" t="s">
        <v>14</v>
      </c>
    </row>
    <row r="1000" spans="1:8" hidden="1" x14ac:dyDescent="0.25">
      <c r="A1000" t="s">
        <v>1480</v>
      </c>
      <c r="B1000" s="1" t="str">
        <f>HYPERLINK("https://asmlis.vasa.lt/Dashboard/Served?ServiceDateFrom=2025-11-24&amp;ServiceDateTo=2025-11-24&amp;DumpsterInvNr=13-P-416981", "13-P-416981")</f>
        <v>13-P-416981</v>
      </c>
      <c r="C1000">
        <v>1.1000000000000001</v>
      </c>
      <c r="D1000" t="s">
        <v>1481</v>
      </c>
      <c r="E1000" t="s">
        <v>11</v>
      </c>
      <c r="F1000" t="s">
        <v>13</v>
      </c>
      <c r="G1000" t="s">
        <v>264</v>
      </c>
      <c r="H1000" t="s">
        <v>14</v>
      </c>
    </row>
    <row r="1001" spans="1:8" hidden="1" x14ac:dyDescent="0.25">
      <c r="A1001" t="s">
        <v>1482</v>
      </c>
      <c r="B1001" s="1" t="str">
        <f>HYPERLINK("https://asmlis.vasa.lt/Dashboard/Served?ServiceDateFrom=2025-11-24&amp;ServiceDateTo=2025-11-24&amp;DumpsterInvNr=13-L-315447", "13-L-315447")</f>
        <v>13-L-315447</v>
      </c>
      <c r="C1001">
        <v>1.1000000000000001</v>
      </c>
      <c r="D1001" t="s">
        <v>1477</v>
      </c>
      <c r="E1001" t="s">
        <v>11</v>
      </c>
      <c r="F1001" t="s">
        <v>13</v>
      </c>
      <c r="G1001" t="s">
        <v>9</v>
      </c>
      <c r="H1001" t="s">
        <v>14</v>
      </c>
    </row>
    <row r="1002" spans="1:8" hidden="1" x14ac:dyDescent="0.25">
      <c r="A1002" t="s">
        <v>1483</v>
      </c>
      <c r="B1002" s="1" t="str">
        <f>HYPERLINK("https://asmlis.vasa.lt/Dashboard/Served?ServiceDateFrom=2025-11-24&amp;ServiceDateTo=2025-11-24&amp;DumpsterInvNr=13-P-302222", "13-P-302222")</f>
        <v>13-P-302222</v>
      </c>
      <c r="C1002">
        <v>1.1000000000000001</v>
      </c>
      <c r="D1002" t="s">
        <v>1467</v>
      </c>
      <c r="E1002" t="s">
        <v>11</v>
      </c>
      <c r="G1002" t="s">
        <v>412</v>
      </c>
      <c r="H1002" t="s">
        <v>14</v>
      </c>
    </row>
    <row r="1003" spans="1:8" hidden="1" x14ac:dyDescent="0.25">
      <c r="A1003" t="s">
        <v>1484</v>
      </c>
      <c r="B1003" s="1" t="str">
        <f>HYPERLINK("https://asmlis.vasa.lt/Dashboard/Served?ServiceDateFrom=2025-11-24&amp;ServiceDateTo=2025-11-24&amp;DumpsterInvNr=13-P-416352", "13-P-416352")</f>
        <v>13-P-416352</v>
      </c>
      <c r="C1003">
        <v>1.1000000000000001</v>
      </c>
      <c r="D1003" t="s">
        <v>1481</v>
      </c>
      <c r="E1003" t="s">
        <v>11</v>
      </c>
      <c r="F1003" t="s">
        <v>13</v>
      </c>
      <c r="G1003" t="s">
        <v>264</v>
      </c>
      <c r="H1003" t="s">
        <v>14</v>
      </c>
    </row>
    <row r="1004" spans="1:8" hidden="1" x14ac:dyDescent="0.25">
      <c r="A1004" t="s">
        <v>1485</v>
      </c>
      <c r="B1004" s="1" t="str">
        <f>HYPERLINK("https://asmlis.vasa.lt/Dashboard/Served?ServiceDateFrom=2025-11-24&amp;ServiceDateTo=2025-11-24&amp;DumpsterInvNr=13-L-318597", "13-L-318597")</f>
        <v>13-L-318597</v>
      </c>
      <c r="C1004">
        <v>1.1000000000000001</v>
      </c>
      <c r="D1004" t="s">
        <v>1477</v>
      </c>
      <c r="E1004" t="s">
        <v>11</v>
      </c>
      <c r="F1004" t="s">
        <v>13</v>
      </c>
      <c r="G1004" t="s">
        <v>9</v>
      </c>
      <c r="H1004" t="s">
        <v>14</v>
      </c>
    </row>
    <row r="1005" spans="1:8" hidden="1" x14ac:dyDescent="0.25">
      <c r="A1005" t="s">
        <v>1486</v>
      </c>
      <c r="B1005" s="1" t="str">
        <f>HYPERLINK("https://asmlis.vasa.lt/Dashboard/Served?ServiceDateFrom=2025-11-24&amp;ServiceDateTo=2025-11-24&amp;DumpsterInvNr=13-L-302308", "13-L-302308")</f>
        <v>13-L-302308</v>
      </c>
      <c r="C1005">
        <v>1.1000000000000001</v>
      </c>
      <c r="D1005" t="s">
        <v>1487</v>
      </c>
      <c r="E1005" t="s">
        <v>11</v>
      </c>
      <c r="G1005" t="s">
        <v>9</v>
      </c>
      <c r="H1005" t="s">
        <v>14</v>
      </c>
    </row>
    <row r="1006" spans="1:8" hidden="1" x14ac:dyDescent="0.25">
      <c r="A1006" t="s">
        <v>1488</v>
      </c>
      <c r="B1006" s="1" t="str">
        <f>HYPERLINK("https://asmlis.vasa.lt/Dashboard/Served?ServiceDateFrom=2025-11-24&amp;ServiceDateTo=2025-11-24&amp;DumpsterInvNr=13-L-318551", "13-L-318551")</f>
        <v>13-L-318551</v>
      </c>
      <c r="C1006">
        <v>1.1000000000000001</v>
      </c>
      <c r="D1006" t="s">
        <v>1489</v>
      </c>
      <c r="E1006" t="s">
        <v>11</v>
      </c>
      <c r="G1006" t="s">
        <v>9</v>
      </c>
      <c r="H1006" t="s">
        <v>14</v>
      </c>
    </row>
    <row r="1007" spans="1:8" hidden="1" x14ac:dyDescent="0.25">
      <c r="A1007" t="s">
        <v>1490</v>
      </c>
      <c r="B1007" s="1" t="str">
        <f>HYPERLINK("https://asmlis.vasa.lt/Dashboard/Served?ServiceDateFrom=2025-11-24&amp;ServiceDateTo=2025-11-24&amp;DumpsterInvNr=13-P-302219", "13-P-302219")</f>
        <v>13-P-302219</v>
      </c>
      <c r="C1007">
        <v>1.1000000000000001</v>
      </c>
      <c r="D1007" t="s">
        <v>1467</v>
      </c>
      <c r="E1007" t="s">
        <v>11</v>
      </c>
      <c r="G1007" t="s">
        <v>412</v>
      </c>
      <c r="H1007" t="s">
        <v>14</v>
      </c>
    </row>
    <row r="1008" spans="1:8" hidden="1" x14ac:dyDescent="0.25">
      <c r="A1008" t="s">
        <v>1491</v>
      </c>
      <c r="B1008" s="1" t="str">
        <f>HYPERLINK("https://asmlis.vasa.lt/Dashboard/Served?ServiceDateFrom=2025-11-24&amp;ServiceDateTo=2025-11-24&amp;DumpsterInvNr=13-L-318404", "13-L-318404")</f>
        <v>13-L-318404</v>
      </c>
      <c r="C1008">
        <v>1.1000000000000001</v>
      </c>
      <c r="D1008" t="s">
        <v>1465</v>
      </c>
      <c r="E1008" t="s">
        <v>11</v>
      </c>
      <c r="F1008" t="s">
        <v>1209</v>
      </c>
      <c r="G1008" t="s">
        <v>9</v>
      </c>
      <c r="H1008" t="s">
        <v>14</v>
      </c>
    </row>
    <row r="1009" spans="1:8" hidden="1" x14ac:dyDescent="0.25">
      <c r="A1009" t="s">
        <v>954</v>
      </c>
      <c r="B1009" s="1" t="str">
        <f>HYPERLINK("https://asmlis.vasa.lt/Dashboard/Served?ServiceDateFrom=2025-11-24&amp;ServiceDateTo=2025-11-24&amp;DumpsterInvNr=13-L-309932", "13-L-309932")</f>
        <v>13-L-309932</v>
      </c>
      <c r="C1009">
        <v>1.1000000000000001</v>
      </c>
      <c r="D1009" t="s">
        <v>1487</v>
      </c>
      <c r="E1009" t="s">
        <v>11</v>
      </c>
      <c r="G1009" t="s">
        <v>9</v>
      </c>
      <c r="H1009" t="s">
        <v>14</v>
      </c>
    </row>
    <row r="1010" spans="1:8" hidden="1" x14ac:dyDescent="0.25">
      <c r="A1010" t="s">
        <v>954</v>
      </c>
      <c r="B1010" s="1" t="str">
        <f>HYPERLINK("https://asmlis.vasa.lt/Dashboard/Served?ServiceDateFrom=2025-11-24&amp;ServiceDateTo=2025-11-24&amp;DumpsterInvNr=13-P-302609", "13-P-302609")</f>
        <v>13-P-302609</v>
      </c>
      <c r="C1010">
        <v>5</v>
      </c>
      <c r="D1010" t="s">
        <v>1492</v>
      </c>
      <c r="E1010" t="s">
        <v>11</v>
      </c>
      <c r="G1010" t="s">
        <v>412</v>
      </c>
      <c r="H1010" t="s">
        <v>14</v>
      </c>
    </row>
    <row r="1011" spans="1:8" hidden="1" x14ac:dyDescent="0.25">
      <c r="A1011" t="s">
        <v>1493</v>
      </c>
      <c r="B1011" s="1" t="str">
        <f>HYPERLINK("https://asmlis.vasa.lt/Dashboard/Served?ServiceDateFrom=2025-11-24&amp;ServiceDateTo=2025-11-24&amp;DumpsterInvNr=13-L-423232", "13-L-423232")</f>
        <v>13-L-423232</v>
      </c>
      <c r="C1011">
        <v>5</v>
      </c>
      <c r="D1011" t="s">
        <v>1354</v>
      </c>
      <c r="E1011" t="s">
        <v>11</v>
      </c>
      <c r="F1011" t="s">
        <v>13</v>
      </c>
      <c r="G1011" t="s">
        <v>74</v>
      </c>
      <c r="H1011" t="s">
        <v>14</v>
      </c>
    </row>
    <row r="1012" spans="1:8" hidden="1" x14ac:dyDescent="0.25">
      <c r="A1012" t="s">
        <v>1494</v>
      </c>
      <c r="B1012" s="1" t="str">
        <f>HYPERLINK("https://asmlis.vasa.lt/Dashboard/Served?ServiceDateFrom=2025-11-24&amp;ServiceDateTo=2025-11-24&amp;DumpsterInvNr=13-P-400554", "13-P-400554")</f>
        <v>13-P-400554</v>
      </c>
      <c r="C1012">
        <v>5</v>
      </c>
      <c r="D1012" t="s">
        <v>1495</v>
      </c>
      <c r="E1012" t="s">
        <v>11</v>
      </c>
      <c r="G1012" t="s">
        <v>264</v>
      </c>
      <c r="H1012" t="s">
        <v>14</v>
      </c>
    </row>
    <row r="1013" spans="1:8" hidden="1" x14ac:dyDescent="0.25">
      <c r="A1013" t="s">
        <v>950</v>
      </c>
      <c r="B1013" s="1" t="str">
        <f>HYPERLINK("https://asmlis.vasa.lt/Dashboard/Served?ServiceDateFrom=2025-11-24&amp;ServiceDateTo=2025-11-24&amp;DumpsterInvNr=13-L-419797", "13-L-419797")</f>
        <v>13-L-419797</v>
      </c>
      <c r="C1013">
        <v>0.24</v>
      </c>
      <c r="D1013" t="s">
        <v>1496</v>
      </c>
      <c r="E1013" t="s">
        <v>11</v>
      </c>
      <c r="F1013" t="s">
        <v>1209</v>
      </c>
      <c r="G1013" t="s">
        <v>74</v>
      </c>
      <c r="H1013" t="s">
        <v>14</v>
      </c>
    </row>
    <row r="1014" spans="1:8" hidden="1" x14ac:dyDescent="0.25">
      <c r="A1014" t="s">
        <v>1497</v>
      </c>
      <c r="B1014" s="1" t="str">
        <f>HYPERLINK("https://asmlis.vasa.lt/Dashboard/Served?ServiceDateFrom=2025-11-24&amp;ServiceDateTo=2025-11-24&amp;DumpsterInvNr=13-L-419746", "13-L-419746")</f>
        <v>13-L-419746</v>
      </c>
      <c r="C1014">
        <v>1.1000000000000001</v>
      </c>
      <c r="D1014" t="s">
        <v>1498</v>
      </c>
      <c r="E1014" t="s">
        <v>11</v>
      </c>
      <c r="F1014" t="s">
        <v>13</v>
      </c>
      <c r="G1014" t="s">
        <v>74</v>
      </c>
      <c r="H1014" t="s">
        <v>14</v>
      </c>
    </row>
    <row r="1015" spans="1:8" hidden="1" x14ac:dyDescent="0.25">
      <c r="A1015" t="s">
        <v>1499</v>
      </c>
      <c r="B1015" s="1" t="str">
        <f>HYPERLINK("https://asmlis.vasa.lt/Dashboard/Served?ServiceDateFrom=2025-11-24&amp;ServiceDateTo=2025-11-24&amp;DumpsterInvNr=13-L-143487", "13-L-143487")</f>
        <v>13-L-143487</v>
      </c>
      <c r="C1015">
        <v>5</v>
      </c>
      <c r="D1015" t="s">
        <v>1500</v>
      </c>
      <c r="E1015" t="s">
        <v>11</v>
      </c>
      <c r="F1015" t="s">
        <v>13</v>
      </c>
      <c r="G1015" t="s">
        <v>430</v>
      </c>
      <c r="H1015" t="s">
        <v>432</v>
      </c>
    </row>
    <row r="1016" spans="1:8" hidden="1" x14ac:dyDescent="0.25">
      <c r="A1016" t="s">
        <v>1499</v>
      </c>
      <c r="B1016" s="1" t="str">
        <f>HYPERLINK("https://asmlis.vasa.lt/Dashboard/Served?ServiceDateFrom=2025-11-24&amp;ServiceDateTo=2025-11-24&amp;DumpsterInvNr=13-L-317081", "13-L-317081")</f>
        <v>13-L-317081</v>
      </c>
      <c r="C1016">
        <v>1.1000000000000001</v>
      </c>
      <c r="D1016" t="s">
        <v>1502</v>
      </c>
      <c r="E1016" t="s">
        <v>11</v>
      </c>
      <c r="G1016" t="s">
        <v>9</v>
      </c>
      <c r="H1016" t="s">
        <v>14</v>
      </c>
    </row>
    <row r="1017" spans="1:8" hidden="1" x14ac:dyDescent="0.25">
      <c r="A1017" t="s">
        <v>1503</v>
      </c>
      <c r="B1017" s="1" t="str">
        <f>HYPERLINK("https://asmlis.vasa.lt/Dashboard/Served?ServiceDateFrom=2025-11-24&amp;ServiceDateTo=2025-11-24&amp;DumpsterInvNr=13-L-317872", "13-L-317872")</f>
        <v>13-L-317872</v>
      </c>
      <c r="C1017">
        <v>1.1000000000000001</v>
      </c>
      <c r="D1017" t="s">
        <v>1504</v>
      </c>
      <c r="E1017" t="s">
        <v>11</v>
      </c>
      <c r="G1017" t="s">
        <v>9</v>
      </c>
      <c r="H1017" t="s">
        <v>14</v>
      </c>
    </row>
    <row r="1018" spans="1:8" hidden="1" x14ac:dyDescent="0.25">
      <c r="A1018" t="s">
        <v>1505</v>
      </c>
      <c r="B1018" s="1" t="str">
        <f>HYPERLINK("https://asmlis.vasa.lt/Dashboard/Served?ServiceDateFrom=2025-11-24&amp;ServiceDateTo=2025-11-24&amp;DumpsterInvNr=13-P-405429", "13-P-405429")</f>
        <v>13-P-405429</v>
      </c>
      <c r="C1018">
        <v>5</v>
      </c>
      <c r="D1018" t="s">
        <v>1506</v>
      </c>
      <c r="E1018" t="s">
        <v>11</v>
      </c>
      <c r="F1018" t="s">
        <v>13</v>
      </c>
      <c r="G1018" t="s">
        <v>264</v>
      </c>
      <c r="H1018" t="s">
        <v>14</v>
      </c>
    </row>
    <row r="1019" spans="1:8" hidden="1" x14ac:dyDescent="0.25">
      <c r="A1019" t="s">
        <v>1507</v>
      </c>
      <c r="B1019" s="1" t="str">
        <f>HYPERLINK("https://asmlis.vasa.lt/Dashboard/Served?ServiceDateFrom=2025-11-24&amp;ServiceDateTo=2025-11-24&amp;DumpsterInvNr=13-L-418004", "13-L-418004")</f>
        <v>13-L-418004</v>
      </c>
      <c r="C1019">
        <v>5</v>
      </c>
      <c r="D1019" t="s">
        <v>1508</v>
      </c>
      <c r="E1019" t="s">
        <v>11</v>
      </c>
      <c r="F1019" t="s">
        <v>13</v>
      </c>
      <c r="G1019" t="s">
        <v>74</v>
      </c>
      <c r="H1019" t="s">
        <v>14</v>
      </c>
    </row>
    <row r="1020" spans="1:8" hidden="1" x14ac:dyDescent="0.25">
      <c r="A1020" t="s">
        <v>1509</v>
      </c>
      <c r="B1020" s="1" t="str">
        <f>HYPERLINK("https://asmlis.vasa.lt/Dashboard/Served?ServiceDateFrom=2025-11-24&amp;ServiceDateTo=2025-11-24&amp;DumpsterInvNr=13-L-318401", "13-L-318401")</f>
        <v>13-L-318401</v>
      </c>
      <c r="C1020">
        <v>1.1000000000000001</v>
      </c>
      <c r="D1020" t="s">
        <v>1504</v>
      </c>
      <c r="E1020" t="s">
        <v>11</v>
      </c>
      <c r="G1020" t="s">
        <v>9</v>
      </c>
      <c r="H1020" t="s">
        <v>14</v>
      </c>
    </row>
    <row r="1021" spans="1:8" hidden="1" x14ac:dyDescent="0.25">
      <c r="A1021" t="s">
        <v>1510</v>
      </c>
      <c r="B1021" s="1" t="str">
        <f>HYPERLINK("https://asmlis.vasa.lt/Dashboard/Served?ServiceDateFrom=2025-11-24&amp;ServiceDateTo=2025-11-24&amp;DumpsterInvNr=13-L-425305", "13-L-425305")</f>
        <v>13-L-425305</v>
      </c>
      <c r="C1021">
        <v>5</v>
      </c>
      <c r="D1021" t="s">
        <v>1386</v>
      </c>
      <c r="E1021" t="s">
        <v>11</v>
      </c>
      <c r="F1021" t="s">
        <v>13</v>
      </c>
      <c r="G1021" t="s">
        <v>74</v>
      </c>
      <c r="H1021" t="s">
        <v>14</v>
      </c>
    </row>
    <row r="1022" spans="1:8" hidden="1" x14ac:dyDescent="0.25">
      <c r="A1022" t="s">
        <v>1511</v>
      </c>
      <c r="B1022" s="1" t="str">
        <f>HYPERLINK("https://asmlis.vasa.lt/Dashboard/Served?ServiceDateFrom=2025-11-24&amp;ServiceDateTo=2025-11-24&amp;DumpsterInvNr=13-P-302075", "13-P-302075")</f>
        <v>13-P-302075</v>
      </c>
      <c r="C1022">
        <v>1.1000000000000001</v>
      </c>
      <c r="D1022" t="s">
        <v>1512</v>
      </c>
      <c r="E1022" t="s">
        <v>11</v>
      </c>
      <c r="G1022" t="s">
        <v>412</v>
      </c>
      <c r="H1022" t="s">
        <v>14</v>
      </c>
    </row>
    <row r="1023" spans="1:8" hidden="1" x14ac:dyDescent="0.25">
      <c r="A1023" t="s">
        <v>1513</v>
      </c>
      <c r="B1023" s="1" t="str">
        <f>HYPERLINK("https://asmlis.vasa.lt/Dashboard/Served?ServiceDateFrom=2025-11-24&amp;ServiceDateTo=2025-11-24&amp;DumpsterInvNr=13-L-404960", "13-L-404960")</f>
        <v>13-L-404960</v>
      </c>
      <c r="C1023">
        <v>0.77</v>
      </c>
      <c r="D1023" t="s">
        <v>1514</v>
      </c>
      <c r="E1023" t="s">
        <v>11</v>
      </c>
      <c r="G1023" t="s">
        <v>74</v>
      </c>
      <c r="H1023" t="s">
        <v>14</v>
      </c>
    </row>
    <row r="1024" spans="1:8" hidden="1" x14ac:dyDescent="0.25">
      <c r="A1024" t="s">
        <v>1515</v>
      </c>
      <c r="B1024" s="1" t="str">
        <f>HYPERLINK("https://asmlis.vasa.lt/Dashboard/Served?ServiceDateFrom=2025-11-24&amp;ServiceDateTo=2025-11-24&amp;DumpsterInvNr=13-L-420170", "13-L-420170")</f>
        <v>13-L-420170</v>
      </c>
      <c r="C1024">
        <v>5</v>
      </c>
      <c r="D1024" t="s">
        <v>1516</v>
      </c>
      <c r="E1024" t="s">
        <v>11</v>
      </c>
      <c r="F1024" t="s">
        <v>13</v>
      </c>
      <c r="G1024" t="s">
        <v>74</v>
      </c>
      <c r="H1024" t="s">
        <v>14</v>
      </c>
    </row>
    <row r="1025" spans="1:8" hidden="1" x14ac:dyDescent="0.25">
      <c r="A1025" t="s">
        <v>1517</v>
      </c>
      <c r="B1025" s="1" t="str">
        <f>HYPERLINK("https://asmlis.vasa.lt/Dashboard/Served?ServiceDateFrom=2025-11-24&amp;ServiceDateTo=2025-11-24&amp;DumpsterInvNr=13-L-311791", "13-L-311791")</f>
        <v>13-L-311791</v>
      </c>
      <c r="C1025">
        <v>1.1000000000000001</v>
      </c>
      <c r="D1025" t="s">
        <v>1518</v>
      </c>
      <c r="E1025" t="s">
        <v>11</v>
      </c>
      <c r="G1025" t="s">
        <v>9</v>
      </c>
      <c r="H1025" t="s">
        <v>14</v>
      </c>
    </row>
    <row r="1026" spans="1:8" hidden="1" x14ac:dyDescent="0.25">
      <c r="A1026" t="s">
        <v>1519</v>
      </c>
      <c r="B1026" s="1" t="str">
        <f>HYPERLINK("https://asmlis.vasa.lt/Dashboard/Served?ServiceDateFrom=2025-11-24&amp;ServiceDateTo=2025-11-24&amp;DumpsterInvNr=13-L-315970", "13-L-315970")</f>
        <v>13-L-315970</v>
      </c>
      <c r="C1026">
        <v>1.1000000000000001</v>
      </c>
      <c r="D1026" t="s">
        <v>1520</v>
      </c>
      <c r="E1026" t="s">
        <v>11</v>
      </c>
      <c r="G1026" t="s">
        <v>9</v>
      </c>
      <c r="H1026" t="s">
        <v>14</v>
      </c>
    </row>
    <row r="1027" spans="1:8" hidden="1" x14ac:dyDescent="0.25">
      <c r="A1027" t="s">
        <v>1521</v>
      </c>
      <c r="B1027" s="1" t="str">
        <f>HYPERLINK("https://asmlis.vasa.lt/Dashboard/Served?ServiceDateFrom=2025-11-24&amp;ServiceDateTo=2025-11-24&amp;DumpsterInvNr=13-L-217160", "13-L-217160")</f>
        <v>13-L-217160</v>
      </c>
      <c r="C1027">
        <v>1.1000000000000001</v>
      </c>
      <c r="D1027" t="s">
        <v>1522</v>
      </c>
      <c r="E1027" t="s">
        <v>11</v>
      </c>
      <c r="F1027" t="s">
        <v>13</v>
      </c>
      <c r="G1027" t="s">
        <v>936</v>
      </c>
      <c r="H1027" t="s">
        <v>938</v>
      </c>
    </row>
    <row r="1028" spans="1:8" hidden="1" x14ac:dyDescent="0.25">
      <c r="A1028" t="s">
        <v>1523</v>
      </c>
      <c r="B1028" s="1" t="str">
        <f>HYPERLINK("https://asmlis.vasa.lt/Dashboard/Served?ServiceDateFrom=2025-11-24&amp;ServiceDateTo=2025-11-24&amp;DumpsterInvNr=13-L-222106", "13-L-222106")</f>
        <v>13-L-222106</v>
      </c>
      <c r="C1028">
        <v>1.1000000000000001</v>
      </c>
      <c r="D1028" t="s">
        <v>1525</v>
      </c>
      <c r="E1028" t="s">
        <v>11</v>
      </c>
      <c r="F1028" t="s">
        <v>13</v>
      </c>
      <c r="G1028" t="s">
        <v>936</v>
      </c>
      <c r="H1028" t="s">
        <v>938</v>
      </c>
    </row>
    <row r="1029" spans="1:8" hidden="1" x14ac:dyDescent="0.25">
      <c r="A1029" t="s">
        <v>1526</v>
      </c>
      <c r="B1029" s="1" t="str">
        <f>HYPERLINK("https://asmlis.vasa.lt/Dashboard/Served?ServiceDateFrom=2025-11-24&amp;ServiceDateTo=2025-11-24&amp;DumpsterInvNr=13-L-318605", "13-L-318605")</f>
        <v>13-L-318605</v>
      </c>
      <c r="C1029">
        <v>1.1000000000000001</v>
      </c>
      <c r="D1029" t="s">
        <v>1504</v>
      </c>
      <c r="E1029" t="s">
        <v>11</v>
      </c>
      <c r="F1029" t="s">
        <v>13</v>
      </c>
      <c r="G1029" t="s">
        <v>9</v>
      </c>
      <c r="H1029" t="s">
        <v>14</v>
      </c>
    </row>
    <row r="1030" spans="1:8" hidden="1" x14ac:dyDescent="0.25">
      <c r="A1030" t="s">
        <v>1527</v>
      </c>
      <c r="B1030" s="1" t="str">
        <f>HYPERLINK("https://asmlis.vasa.lt/Dashboard/Served?ServiceDateFrom=2025-11-24&amp;ServiceDateTo=2025-11-24&amp;DumpsterInvNr=13-L-318886", "13-L-318886")</f>
        <v>13-L-318886</v>
      </c>
      <c r="C1030">
        <v>1.1000000000000001</v>
      </c>
      <c r="D1030" t="s">
        <v>1504</v>
      </c>
      <c r="E1030" t="s">
        <v>11</v>
      </c>
      <c r="F1030" t="s">
        <v>13</v>
      </c>
      <c r="G1030" t="s">
        <v>9</v>
      </c>
      <c r="H1030" t="s">
        <v>14</v>
      </c>
    </row>
    <row r="1031" spans="1:8" hidden="1" x14ac:dyDescent="0.25">
      <c r="A1031" t="s">
        <v>1528</v>
      </c>
      <c r="B1031" s="1" t="str">
        <f>HYPERLINK("https://asmlis.vasa.lt/Dashboard/Served?ServiceDateFrom=2025-11-24&amp;ServiceDateTo=2025-11-24&amp;DumpsterInvNr=13-L-413321", "13-L-413321")</f>
        <v>13-L-413321</v>
      </c>
      <c r="C1031">
        <v>5</v>
      </c>
      <c r="D1031" t="s">
        <v>1529</v>
      </c>
      <c r="E1031" t="s">
        <v>11</v>
      </c>
      <c r="G1031" t="s">
        <v>74</v>
      </c>
      <c r="H1031" t="s">
        <v>14</v>
      </c>
    </row>
    <row r="1032" spans="1:8" hidden="1" x14ac:dyDescent="0.25">
      <c r="A1032" t="s">
        <v>1530</v>
      </c>
      <c r="B1032" s="1" t="str">
        <f>HYPERLINK("https://asmlis.vasa.lt/Dashboard/Served?ServiceDateFrom=2025-11-24&amp;ServiceDateTo=2025-11-24&amp;DumpsterInvNr=13-L-318641", "13-L-318641")</f>
        <v>13-L-318641</v>
      </c>
      <c r="C1032">
        <v>1.1000000000000001</v>
      </c>
      <c r="D1032" t="s">
        <v>1531</v>
      </c>
      <c r="E1032" t="s">
        <v>11</v>
      </c>
      <c r="G1032" t="s">
        <v>9</v>
      </c>
      <c r="H1032" t="s">
        <v>14</v>
      </c>
    </row>
    <row r="1033" spans="1:8" hidden="1" x14ac:dyDescent="0.25">
      <c r="A1033" t="s">
        <v>1532</v>
      </c>
      <c r="B1033" s="1" t="str">
        <f>HYPERLINK("https://asmlis.vasa.lt/Dashboard/Served?ServiceDateFrom=2025-11-24&amp;ServiceDateTo=2025-11-24&amp;DumpsterInvNr=13-L-424729", "13-L-424729")</f>
        <v>13-L-424729</v>
      </c>
      <c r="C1033">
        <v>0.24</v>
      </c>
      <c r="D1033" t="s">
        <v>1533</v>
      </c>
      <c r="E1033" t="s">
        <v>11</v>
      </c>
      <c r="G1033" t="s">
        <v>74</v>
      </c>
      <c r="H1033" t="s">
        <v>14</v>
      </c>
    </row>
    <row r="1034" spans="1:8" hidden="1" x14ac:dyDescent="0.25">
      <c r="A1034" t="s">
        <v>1532</v>
      </c>
      <c r="B1034" s="1" t="str">
        <f>HYPERLINK("https://asmlis.vasa.lt/Dashboard/Served?ServiceDateFrom=2025-11-24&amp;ServiceDateTo=2025-11-24&amp;DumpsterInvNr=13-L-424758", "13-L-424758")</f>
        <v>13-L-424758</v>
      </c>
      <c r="C1034">
        <v>0.24</v>
      </c>
      <c r="D1034" t="s">
        <v>1534</v>
      </c>
      <c r="E1034" t="s">
        <v>11</v>
      </c>
      <c r="G1034" t="s">
        <v>74</v>
      </c>
      <c r="H1034" t="s">
        <v>14</v>
      </c>
    </row>
    <row r="1035" spans="1:8" hidden="1" x14ac:dyDescent="0.25">
      <c r="A1035" t="s">
        <v>1535</v>
      </c>
      <c r="B1035" s="1" t="str">
        <f>HYPERLINK("https://asmlis.vasa.lt/Dashboard/Served?ServiceDateFrom=2025-11-24&amp;ServiceDateTo=2025-11-24&amp;DumpsterInvNr=13-L-404961", "13-L-404961")</f>
        <v>13-L-404961</v>
      </c>
      <c r="C1035">
        <v>0.12</v>
      </c>
      <c r="D1035" t="s">
        <v>1536</v>
      </c>
      <c r="E1035" t="s">
        <v>11</v>
      </c>
      <c r="F1035" t="s">
        <v>1209</v>
      </c>
      <c r="G1035" t="s">
        <v>74</v>
      </c>
      <c r="H1035" t="s">
        <v>14</v>
      </c>
    </row>
    <row r="1036" spans="1:8" hidden="1" x14ac:dyDescent="0.25">
      <c r="A1036" t="s">
        <v>1537</v>
      </c>
      <c r="B1036" s="1" t="str">
        <f>HYPERLINK("https://asmlis.vasa.lt/Dashboard/Served?ServiceDateFrom=2025-11-24&amp;ServiceDateTo=2025-11-24&amp;DumpsterInvNr=13-L-227629", "13-L-227629")</f>
        <v>13-L-227629</v>
      </c>
      <c r="C1036">
        <v>0.77</v>
      </c>
      <c r="D1036" t="s">
        <v>1525</v>
      </c>
      <c r="E1036" t="s">
        <v>11</v>
      </c>
      <c r="F1036" t="s">
        <v>13</v>
      </c>
      <c r="G1036" t="s">
        <v>936</v>
      </c>
      <c r="H1036" t="s">
        <v>938</v>
      </c>
    </row>
    <row r="1037" spans="1:8" hidden="1" x14ac:dyDescent="0.25">
      <c r="A1037" t="s">
        <v>1538</v>
      </c>
      <c r="B1037" s="1" t="str">
        <f>HYPERLINK("https://asmlis.vasa.lt/Dashboard/Served?ServiceDateFrom=2025-11-24&amp;ServiceDateTo=2025-11-24&amp;DumpsterInvNr=13-L-409194", "13-L-409194")</f>
        <v>13-L-409194</v>
      </c>
      <c r="C1037">
        <v>0.12</v>
      </c>
      <c r="D1037" t="s">
        <v>1539</v>
      </c>
      <c r="E1037" t="s">
        <v>11</v>
      </c>
      <c r="F1037" t="s">
        <v>1209</v>
      </c>
      <c r="G1037" t="s">
        <v>74</v>
      </c>
      <c r="H1037" t="s">
        <v>14</v>
      </c>
    </row>
    <row r="1038" spans="1:8" hidden="1" x14ac:dyDescent="0.25">
      <c r="A1038" t="s">
        <v>1541</v>
      </c>
      <c r="B1038" s="1" t="str">
        <f>HYPERLINK("https://asmlis.vasa.lt/Dashboard/Served?ServiceDateFrom=2025-11-24&amp;ServiceDateTo=2025-11-24&amp;DumpsterInvNr=13-L-318457", "13-L-318457")</f>
        <v>13-L-318457</v>
      </c>
      <c r="C1038">
        <v>1.1000000000000001</v>
      </c>
      <c r="D1038" t="s">
        <v>1542</v>
      </c>
      <c r="E1038" t="s">
        <v>11</v>
      </c>
      <c r="G1038" t="s">
        <v>9</v>
      </c>
      <c r="H1038" t="s">
        <v>14</v>
      </c>
    </row>
    <row r="1039" spans="1:8" hidden="1" x14ac:dyDescent="0.25">
      <c r="A1039" t="s">
        <v>1543</v>
      </c>
      <c r="B1039" s="1" t="str">
        <f>HYPERLINK("https://asmlis.vasa.lt/Dashboard/Served?ServiceDateFrom=2025-11-24&amp;ServiceDateTo=2025-11-24&amp;DumpsterInvNr=13-P-416088", "13-P-416088")</f>
        <v>13-P-416088</v>
      </c>
      <c r="C1039">
        <v>1.1000000000000001</v>
      </c>
      <c r="D1039" t="s">
        <v>1544</v>
      </c>
      <c r="E1039" t="s">
        <v>11</v>
      </c>
      <c r="F1039" t="s">
        <v>13</v>
      </c>
      <c r="G1039" t="s">
        <v>264</v>
      </c>
      <c r="H1039" t="s">
        <v>14</v>
      </c>
    </row>
    <row r="1040" spans="1:8" hidden="1" x14ac:dyDescent="0.25">
      <c r="A1040" t="s">
        <v>1545</v>
      </c>
      <c r="B1040" s="1" t="str">
        <f>HYPERLINK("https://asmlis.vasa.lt/Dashboard/Served?ServiceDateFrom=2025-11-24&amp;ServiceDateTo=2025-11-24&amp;DumpsterInvNr=13-P-400655", "13-P-400655")</f>
        <v>13-P-400655</v>
      </c>
      <c r="C1040">
        <v>5</v>
      </c>
      <c r="D1040" t="s">
        <v>1546</v>
      </c>
      <c r="E1040" t="s">
        <v>11</v>
      </c>
      <c r="F1040" t="s">
        <v>13</v>
      </c>
      <c r="G1040" t="s">
        <v>264</v>
      </c>
      <c r="H1040" t="s">
        <v>14</v>
      </c>
    </row>
    <row r="1041" spans="1:8" hidden="1" x14ac:dyDescent="0.25">
      <c r="A1041" t="s">
        <v>1547</v>
      </c>
      <c r="B1041" s="1" t="str">
        <f>HYPERLINK("https://asmlis.vasa.lt/Dashboard/Served?ServiceDateFrom=2025-11-24&amp;ServiceDateTo=2025-11-24&amp;DumpsterInvNr=13-L-422904", "13-L-422904")</f>
        <v>13-L-422904</v>
      </c>
      <c r="C1041">
        <v>5</v>
      </c>
      <c r="D1041" t="s">
        <v>1433</v>
      </c>
      <c r="E1041" t="s">
        <v>11</v>
      </c>
      <c r="G1041" t="s">
        <v>74</v>
      </c>
      <c r="H1041" t="s">
        <v>14</v>
      </c>
    </row>
    <row r="1042" spans="1:8" hidden="1" x14ac:dyDescent="0.25">
      <c r="A1042" t="s">
        <v>1540</v>
      </c>
      <c r="B1042" s="1" t="str">
        <f>HYPERLINK("https://asmlis.vasa.lt/Dashboard/Served?ServiceDateFrom=2025-11-24&amp;ServiceDateTo=2025-11-24&amp;DumpsterInvNr=13-L-318680", "13-L-318680")</f>
        <v>13-L-318680</v>
      </c>
      <c r="C1042">
        <v>0.24</v>
      </c>
      <c r="D1042" t="s">
        <v>1518</v>
      </c>
      <c r="E1042" t="s">
        <v>11</v>
      </c>
      <c r="G1042" t="s">
        <v>9</v>
      </c>
      <c r="H1042" t="s">
        <v>14</v>
      </c>
    </row>
    <row r="1043" spans="1:8" hidden="1" x14ac:dyDescent="0.25">
      <c r="A1043" t="s">
        <v>1548</v>
      </c>
      <c r="B1043" s="1" t="str">
        <f>HYPERLINK("https://asmlis.vasa.lt/Dashboard/Served?ServiceDateFrom=2025-11-24&amp;ServiceDateTo=2025-11-24&amp;DumpsterInvNr=13-L-318681", "13-L-318681")</f>
        <v>13-L-318681</v>
      </c>
      <c r="C1043">
        <v>0.24</v>
      </c>
      <c r="D1043" t="s">
        <v>1518</v>
      </c>
      <c r="E1043" t="s">
        <v>11</v>
      </c>
      <c r="G1043" t="s">
        <v>9</v>
      </c>
      <c r="H1043" t="s">
        <v>14</v>
      </c>
    </row>
    <row r="1044" spans="1:8" hidden="1" x14ac:dyDescent="0.25">
      <c r="A1044" t="s">
        <v>1549</v>
      </c>
      <c r="B1044" s="1" t="str">
        <f>HYPERLINK("https://asmlis.vasa.lt/Dashboard/Served?ServiceDateFrom=2025-11-24&amp;ServiceDateTo=2025-11-24&amp;DumpsterInvNr=13-P-302278", "13-P-302278")</f>
        <v>13-P-302278</v>
      </c>
      <c r="C1044">
        <v>5</v>
      </c>
      <c r="D1044" t="s">
        <v>1550</v>
      </c>
      <c r="E1044" t="s">
        <v>11</v>
      </c>
      <c r="G1044" t="s">
        <v>412</v>
      </c>
      <c r="H1044" t="s">
        <v>14</v>
      </c>
    </row>
    <row r="1045" spans="1:8" hidden="1" x14ac:dyDescent="0.25">
      <c r="A1045" t="s">
        <v>1551</v>
      </c>
      <c r="B1045" s="1" t="str">
        <f>HYPERLINK("https://asmlis.vasa.lt/Dashboard/Served?ServiceDateFrom=2025-11-24&amp;ServiceDateTo=2025-11-24&amp;DumpsterInvNr=13-P-300248", "13-P-300248")</f>
        <v>13-P-300248</v>
      </c>
      <c r="C1045">
        <v>1.1000000000000001</v>
      </c>
      <c r="D1045" t="s">
        <v>1552</v>
      </c>
      <c r="E1045" t="s">
        <v>11</v>
      </c>
      <c r="G1045" t="s">
        <v>412</v>
      </c>
      <c r="H1045" t="s">
        <v>14</v>
      </c>
    </row>
    <row r="1046" spans="1:8" hidden="1" x14ac:dyDescent="0.25">
      <c r="A1046" t="s">
        <v>1553</v>
      </c>
      <c r="B1046" s="1" t="str">
        <f>HYPERLINK("https://asmlis.vasa.lt/Dashboard/Served?ServiceDateFrom=2025-11-24&amp;ServiceDateTo=2025-11-24&amp;DumpsterInvNr=13-L-318456", "13-L-318456")</f>
        <v>13-L-318456</v>
      </c>
      <c r="C1046">
        <v>1.1000000000000001</v>
      </c>
      <c r="D1046" t="s">
        <v>1542</v>
      </c>
      <c r="E1046" t="s">
        <v>11</v>
      </c>
      <c r="G1046" t="s">
        <v>9</v>
      </c>
      <c r="H1046" t="s">
        <v>14</v>
      </c>
    </row>
    <row r="1047" spans="1:8" hidden="1" x14ac:dyDescent="0.25">
      <c r="A1047" t="s">
        <v>1554</v>
      </c>
      <c r="B1047" s="1" t="str">
        <f>HYPERLINK("https://asmlis.vasa.lt/Dashboard/Served?ServiceDateFrom=2025-11-24&amp;ServiceDateTo=2025-11-24&amp;DumpsterInvNr=13-L-134229", "13-L-134229")</f>
        <v>13-L-134229</v>
      </c>
      <c r="C1047">
        <v>5</v>
      </c>
      <c r="D1047" t="s">
        <v>1555</v>
      </c>
      <c r="E1047" t="s">
        <v>11</v>
      </c>
      <c r="F1047" t="s">
        <v>13</v>
      </c>
      <c r="G1047" t="s">
        <v>430</v>
      </c>
      <c r="H1047" t="s">
        <v>432</v>
      </c>
    </row>
    <row r="1048" spans="1:8" hidden="1" x14ac:dyDescent="0.25">
      <c r="A1048" t="s">
        <v>1556</v>
      </c>
      <c r="B1048" s="1" t="str">
        <f>HYPERLINK("https://asmlis.vasa.lt/Dashboard/Served?ServiceDateFrom=2025-11-24&amp;ServiceDateTo=2025-11-24&amp;DumpsterInvNr=13-L-423616", "13-L-423616")</f>
        <v>13-L-423616</v>
      </c>
      <c r="C1048">
        <v>1.1000000000000001</v>
      </c>
      <c r="D1048" t="s">
        <v>1557</v>
      </c>
      <c r="E1048" t="s">
        <v>11</v>
      </c>
      <c r="F1048" t="s">
        <v>13</v>
      </c>
      <c r="G1048" t="s">
        <v>74</v>
      </c>
      <c r="H1048" t="s">
        <v>14</v>
      </c>
    </row>
    <row r="1049" spans="1:8" hidden="1" x14ac:dyDescent="0.25">
      <c r="A1049" t="s">
        <v>1558</v>
      </c>
      <c r="B1049" s="1" t="str">
        <f>HYPERLINK("https://asmlis.vasa.lt/Dashboard/Served?ServiceDateFrom=2025-11-24&amp;ServiceDateTo=2025-11-24&amp;DumpsterInvNr=13-L-423682", "13-L-423682")</f>
        <v>13-L-423682</v>
      </c>
      <c r="C1049">
        <v>1.1000000000000001</v>
      </c>
      <c r="D1049" t="s">
        <v>1557</v>
      </c>
      <c r="E1049" t="s">
        <v>11</v>
      </c>
      <c r="F1049" t="s">
        <v>13</v>
      </c>
      <c r="G1049" t="s">
        <v>74</v>
      </c>
      <c r="H1049" t="s">
        <v>14</v>
      </c>
    </row>
    <row r="1050" spans="1:8" hidden="1" x14ac:dyDescent="0.25">
      <c r="A1050" t="s">
        <v>1559</v>
      </c>
      <c r="B1050" s="1" t="str">
        <f>HYPERLINK("https://asmlis.vasa.lt/Dashboard/Served?ServiceDateFrom=2025-11-24&amp;ServiceDateTo=2025-11-24&amp;DumpsterInvNr=13-L-423601", "13-L-423601")</f>
        <v>13-L-423601</v>
      </c>
      <c r="C1050">
        <v>1.1000000000000001</v>
      </c>
      <c r="D1050" t="s">
        <v>1557</v>
      </c>
      <c r="E1050" t="s">
        <v>11</v>
      </c>
      <c r="F1050" t="s">
        <v>13</v>
      </c>
      <c r="G1050" t="s">
        <v>74</v>
      </c>
      <c r="H1050" t="s">
        <v>14</v>
      </c>
    </row>
    <row r="1051" spans="1:8" hidden="1" x14ac:dyDescent="0.25">
      <c r="A1051" t="s">
        <v>1560</v>
      </c>
      <c r="B1051" s="1" t="str">
        <f>HYPERLINK("https://asmlis.vasa.lt/Dashboard/Served?ServiceDateFrom=2025-11-24&amp;ServiceDateTo=2025-11-24&amp;DumpsterInvNr=13-P-400531", "13-P-400531")</f>
        <v>13-P-400531</v>
      </c>
      <c r="C1051">
        <v>5</v>
      </c>
      <c r="D1051" t="s">
        <v>1561</v>
      </c>
      <c r="E1051" t="s">
        <v>11</v>
      </c>
      <c r="F1051" t="s">
        <v>13</v>
      </c>
      <c r="G1051" t="s">
        <v>264</v>
      </c>
      <c r="H1051" t="s">
        <v>14</v>
      </c>
    </row>
    <row r="1052" spans="1:8" hidden="1" x14ac:dyDescent="0.25">
      <c r="A1052" t="s">
        <v>1562</v>
      </c>
      <c r="B1052" s="1" t="str">
        <f>HYPERLINK("https://asmlis.vasa.lt/Dashboard/Served?ServiceDateFrom=2025-11-24&amp;ServiceDateTo=2025-11-24&amp;DumpsterInvNr=13-L-424411", "13-L-424411")</f>
        <v>13-L-424411</v>
      </c>
      <c r="C1052">
        <v>1.1000000000000001</v>
      </c>
      <c r="D1052" t="s">
        <v>1557</v>
      </c>
      <c r="E1052" t="s">
        <v>11</v>
      </c>
      <c r="F1052" t="s">
        <v>13</v>
      </c>
      <c r="G1052" t="s">
        <v>74</v>
      </c>
      <c r="H1052" t="s">
        <v>14</v>
      </c>
    </row>
    <row r="1053" spans="1:8" hidden="1" x14ac:dyDescent="0.25">
      <c r="A1053" t="s">
        <v>1563</v>
      </c>
      <c r="B1053" s="1" t="str">
        <f>HYPERLINK("https://asmlis.vasa.lt/Dashboard/Served?ServiceDateFrom=2025-11-24&amp;ServiceDateTo=2025-11-24&amp;DumpsterInvNr=13-L-314164", "13-L-314164")</f>
        <v>13-L-314164</v>
      </c>
      <c r="C1053">
        <v>5</v>
      </c>
      <c r="D1053" t="s">
        <v>1564</v>
      </c>
      <c r="E1053" t="s">
        <v>11</v>
      </c>
      <c r="F1053" t="s">
        <v>13</v>
      </c>
      <c r="G1053" t="s">
        <v>9</v>
      </c>
      <c r="H1053" t="s">
        <v>14</v>
      </c>
    </row>
    <row r="1054" spans="1:8" hidden="1" x14ac:dyDescent="0.25">
      <c r="A1054" t="s">
        <v>1565</v>
      </c>
      <c r="B1054" s="1" t="str">
        <f>HYPERLINK("https://asmlis.vasa.lt/Dashboard/Served?ServiceDateFrom=2025-11-24&amp;ServiceDateTo=2025-11-24&amp;DumpsterInvNr=13-L-314163", "13-L-314163")</f>
        <v>13-L-314163</v>
      </c>
      <c r="C1054">
        <v>5</v>
      </c>
      <c r="D1054" t="s">
        <v>1564</v>
      </c>
      <c r="E1054" t="s">
        <v>11</v>
      </c>
      <c r="F1054" t="s">
        <v>13</v>
      </c>
      <c r="G1054" t="s">
        <v>9</v>
      </c>
      <c r="H1054" t="s">
        <v>14</v>
      </c>
    </row>
    <row r="1055" spans="1:8" hidden="1" x14ac:dyDescent="0.25">
      <c r="A1055" t="s">
        <v>1566</v>
      </c>
      <c r="B1055" s="1" t="str">
        <f>HYPERLINK("https://asmlis.vasa.lt/Dashboard/Served?ServiceDateFrom=2025-11-24&amp;ServiceDateTo=2025-11-24&amp;DumpsterInvNr=13-L-314162", "13-L-314162")</f>
        <v>13-L-314162</v>
      </c>
      <c r="C1055">
        <v>5</v>
      </c>
      <c r="D1055" t="s">
        <v>1564</v>
      </c>
      <c r="E1055" t="s">
        <v>11</v>
      </c>
      <c r="F1055" t="s">
        <v>13</v>
      </c>
      <c r="G1055" t="s">
        <v>9</v>
      </c>
      <c r="H1055" t="s">
        <v>14</v>
      </c>
    </row>
    <row r="1056" spans="1:8" hidden="1" x14ac:dyDescent="0.25">
      <c r="A1056" t="s">
        <v>1567</v>
      </c>
      <c r="B1056" s="1" t="str">
        <f>HYPERLINK("https://asmlis.vasa.lt/Dashboard/Served?ServiceDateFrom=2025-11-24&amp;ServiceDateTo=2025-11-24&amp;DumpsterInvNr=13-L-319694", "13-L-319694")</f>
        <v>13-L-319694</v>
      </c>
      <c r="C1056">
        <v>1.1000000000000001</v>
      </c>
      <c r="D1056" t="s">
        <v>1518</v>
      </c>
      <c r="E1056" t="s">
        <v>11</v>
      </c>
      <c r="G1056" t="s">
        <v>9</v>
      </c>
      <c r="H1056" t="s">
        <v>14</v>
      </c>
    </row>
    <row r="1057" spans="1:8" hidden="1" x14ac:dyDescent="0.25">
      <c r="A1057" t="s">
        <v>1568</v>
      </c>
      <c r="B1057" s="1" t="str">
        <f>HYPERLINK("https://asmlis.vasa.lt/Dashboard/Served?ServiceDateFrom=2025-11-24&amp;ServiceDateTo=2025-11-24&amp;DumpsterInvNr=13-L-319693", "13-L-319693")</f>
        <v>13-L-319693</v>
      </c>
      <c r="C1057">
        <v>1.1000000000000001</v>
      </c>
      <c r="D1057" t="s">
        <v>1518</v>
      </c>
      <c r="E1057" t="s">
        <v>11</v>
      </c>
      <c r="G1057" t="s">
        <v>9</v>
      </c>
      <c r="H1057" t="s">
        <v>14</v>
      </c>
    </row>
    <row r="1058" spans="1:8" hidden="1" x14ac:dyDescent="0.25">
      <c r="A1058" t="s">
        <v>1568</v>
      </c>
      <c r="B1058" s="1" t="str">
        <f>HYPERLINK("https://asmlis.vasa.lt/Dashboard/Served?ServiceDateFrom=2025-11-24&amp;ServiceDateTo=2025-11-24&amp;DumpsterInvNr=13-L-319695", "13-L-319695")</f>
        <v>13-L-319695</v>
      </c>
      <c r="C1058">
        <v>1.1000000000000001</v>
      </c>
      <c r="D1058" t="s">
        <v>1518</v>
      </c>
      <c r="E1058" t="s">
        <v>11</v>
      </c>
      <c r="G1058" t="s">
        <v>9</v>
      </c>
      <c r="H1058" t="s">
        <v>14</v>
      </c>
    </row>
    <row r="1059" spans="1:8" hidden="1" x14ac:dyDescent="0.25">
      <c r="A1059" t="s">
        <v>1569</v>
      </c>
      <c r="B1059" s="1" t="str">
        <f>HYPERLINK("https://asmlis.vasa.lt/Dashboard/Served?ServiceDateFrom=2025-11-24&amp;ServiceDateTo=2025-11-24&amp;DumpsterInvNr=13-P-400498", "13-P-400498")</f>
        <v>13-P-400498</v>
      </c>
      <c r="C1059">
        <v>5</v>
      </c>
      <c r="D1059" t="s">
        <v>1570</v>
      </c>
      <c r="E1059" t="s">
        <v>11</v>
      </c>
      <c r="G1059" t="s">
        <v>264</v>
      </c>
      <c r="H1059" t="s">
        <v>14</v>
      </c>
    </row>
    <row r="1060" spans="1:8" hidden="1" x14ac:dyDescent="0.25">
      <c r="A1060" t="s">
        <v>1571</v>
      </c>
      <c r="B1060" s="1" t="str">
        <f>HYPERLINK("https://asmlis.vasa.lt/Dashboard/Served?ServiceDateFrom=2025-11-24&amp;ServiceDateTo=2025-11-24&amp;DumpsterInvNr=13-L-302639", "13-L-302639")</f>
        <v>13-L-302639</v>
      </c>
      <c r="C1060">
        <v>0.24</v>
      </c>
      <c r="D1060" t="s">
        <v>1572</v>
      </c>
      <c r="E1060" t="s">
        <v>11</v>
      </c>
      <c r="F1060" t="s">
        <v>13</v>
      </c>
      <c r="G1060" t="s">
        <v>9</v>
      </c>
      <c r="H1060" t="s">
        <v>14</v>
      </c>
    </row>
    <row r="1061" spans="1:8" hidden="1" x14ac:dyDescent="0.25">
      <c r="A1061" t="s">
        <v>1573</v>
      </c>
      <c r="B1061" s="1" t="str">
        <f>HYPERLINK("https://asmlis.vasa.lt/Dashboard/Served?ServiceDateFrom=2025-11-24&amp;ServiceDateTo=2025-11-24&amp;DumpsterInvNr=13-P-409192", "13-P-409192")</f>
        <v>13-P-409192</v>
      </c>
      <c r="C1061">
        <v>1.1000000000000001</v>
      </c>
      <c r="D1061" t="s">
        <v>1574</v>
      </c>
      <c r="E1061" t="s">
        <v>11</v>
      </c>
      <c r="G1061" t="s">
        <v>264</v>
      </c>
      <c r="H1061" t="s">
        <v>14</v>
      </c>
    </row>
    <row r="1062" spans="1:8" hidden="1" x14ac:dyDescent="0.25">
      <c r="A1062" t="s">
        <v>1575</v>
      </c>
      <c r="B1062" s="1" t="str">
        <f>HYPERLINK("https://asmlis.vasa.lt/Dashboard/Served?ServiceDateFrom=2025-11-24&amp;ServiceDateTo=2025-11-24&amp;DumpsterInvNr=13-L-302637", "13-L-302637")</f>
        <v>13-L-302637</v>
      </c>
      <c r="C1062">
        <v>0.24</v>
      </c>
      <c r="D1062" t="s">
        <v>1572</v>
      </c>
      <c r="E1062" t="s">
        <v>11</v>
      </c>
      <c r="F1062" t="s">
        <v>13</v>
      </c>
      <c r="G1062" t="s">
        <v>9</v>
      </c>
      <c r="H1062" t="s">
        <v>14</v>
      </c>
    </row>
    <row r="1063" spans="1:8" hidden="1" x14ac:dyDescent="0.25">
      <c r="A1063" t="s">
        <v>1576</v>
      </c>
      <c r="B1063" s="1" t="str">
        <f>HYPERLINK("https://asmlis.vasa.lt/Dashboard/Served?ServiceDateFrom=2025-11-24&amp;ServiceDateTo=2025-11-24&amp;DumpsterInvNr=13-L-421189", "13-L-421189")</f>
        <v>13-L-421189</v>
      </c>
      <c r="C1063">
        <v>5</v>
      </c>
      <c r="D1063" t="s">
        <v>1577</v>
      </c>
      <c r="E1063" t="s">
        <v>11</v>
      </c>
      <c r="G1063" t="s">
        <v>74</v>
      </c>
      <c r="H1063" t="s">
        <v>14</v>
      </c>
    </row>
    <row r="1064" spans="1:8" hidden="1" x14ac:dyDescent="0.25">
      <c r="A1064" t="s">
        <v>1578</v>
      </c>
      <c r="B1064" s="1" t="str">
        <f>HYPERLINK("https://asmlis.vasa.lt/Dashboard/Served?ServiceDateFrom=2025-11-24&amp;ServiceDateTo=2025-11-24&amp;DumpsterInvNr=13-L-305683", "13-L-305683")</f>
        <v>13-L-305683</v>
      </c>
      <c r="C1064">
        <v>0.24</v>
      </c>
      <c r="D1064" t="s">
        <v>1579</v>
      </c>
      <c r="E1064" t="s">
        <v>11</v>
      </c>
      <c r="F1064" t="s">
        <v>13</v>
      </c>
      <c r="G1064" t="s">
        <v>9</v>
      </c>
      <c r="H1064" t="s">
        <v>14</v>
      </c>
    </row>
    <row r="1065" spans="1:8" hidden="1" x14ac:dyDescent="0.25">
      <c r="A1065" t="s">
        <v>1578</v>
      </c>
      <c r="B1065" s="1" t="str">
        <f>HYPERLINK("https://asmlis.vasa.lt/Dashboard/Served?ServiceDateFrom=2025-11-24&amp;ServiceDateTo=2025-11-24&amp;DumpsterInvNr=13-L-312467", "13-L-312467")</f>
        <v>13-L-312467</v>
      </c>
      <c r="C1065">
        <v>0.77</v>
      </c>
      <c r="D1065" t="s">
        <v>1580</v>
      </c>
      <c r="E1065" t="s">
        <v>11</v>
      </c>
      <c r="G1065" t="s">
        <v>9</v>
      </c>
      <c r="H1065" t="s">
        <v>14</v>
      </c>
    </row>
    <row r="1066" spans="1:8" hidden="1" x14ac:dyDescent="0.25">
      <c r="A1066" t="s">
        <v>1581</v>
      </c>
      <c r="B1066" s="1" t="str">
        <f>HYPERLINK("https://asmlis.vasa.lt/Dashboard/Served?ServiceDateFrom=2025-11-24&amp;ServiceDateTo=2025-11-24&amp;DumpsterInvNr=13-L-404959", "13-L-404959")</f>
        <v>13-L-404959</v>
      </c>
      <c r="C1066">
        <v>0.12</v>
      </c>
      <c r="D1066" t="s">
        <v>1582</v>
      </c>
      <c r="E1066" t="s">
        <v>11</v>
      </c>
      <c r="G1066" t="s">
        <v>74</v>
      </c>
      <c r="H1066" t="s">
        <v>14</v>
      </c>
    </row>
    <row r="1067" spans="1:8" hidden="1" x14ac:dyDescent="0.25">
      <c r="A1067" t="s">
        <v>1581</v>
      </c>
      <c r="B1067" s="1" t="str">
        <f>HYPERLINK("https://asmlis.vasa.lt/Dashboard/Served?ServiceDateFrom=2025-11-24&amp;ServiceDateTo=2025-11-24&amp;DumpsterInvNr=13-L-404958", "13-L-404958")</f>
        <v>13-L-404958</v>
      </c>
      <c r="C1067">
        <v>0.12</v>
      </c>
      <c r="D1067" t="s">
        <v>1583</v>
      </c>
      <c r="E1067" t="s">
        <v>11</v>
      </c>
      <c r="G1067" t="s">
        <v>74</v>
      </c>
      <c r="H1067" t="s">
        <v>14</v>
      </c>
    </row>
    <row r="1068" spans="1:8" hidden="1" x14ac:dyDescent="0.25">
      <c r="A1068" t="s">
        <v>1584</v>
      </c>
      <c r="B1068" s="1" t="str">
        <f>HYPERLINK("https://asmlis.vasa.lt/Dashboard/Served?ServiceDateFrom=2025-11-24&amp;ServiceDateTo=2025-11-24&amp;DumpsterInvNr=13-L-316003", "13-L-316003")</f>
        <v>13-L-316003</v>
      </c>
      <c r="C1068">
        <v>1.1000000000000001</v>
      </c>
      <c r="D1068" t="s">
        <v>1580</v>
      </c>
      <c r="E1068" t="s">
        <v>11</v>
      </c>
      <c r="G1068" t="s">
        <v>9</v>
      </c>
      <c r="H1068" t="s">
        <v>14</v>
      </c>
    </row>
    <row r="1069" spans="1:8" hidden="1" x14ac:dyDescent="0.25">
      <c r="A1069" t="s">
        <v>1585</v>
      </c>
      <c r="B1069" s="1" t="str">
        <f>HYPERLINK("https://asmlis.vasa.lt/Dashboard/Served?ServiceDateFrom=2025-11-24&amp;ServiceDateTo=2025-11-24&amp;DumpsterInvNr=13-L-314429", "13-L-314429")</f>
        <v>13-L-314429</v>
      </c>
      <c r="C1069">
        <v>1.1000000000000001</v>
      </c>
      <c r="D1069" t="s">
        <v>1586</v>
      </c>
      <c r="E1069" t="s">
        <v>11</v>
      </c>
      <c r="G1069" t="s">
        <v>9</v>
      </c>
      <c r="H1069" t="s">
        <v>14</v>
      </c>
    </row>
    <row r="1070" spans="1:8" hidden="1" x14ac:dyDescent="0.25">
      <c r="A1070" t="s">
        <v>1587</v>
      </c>
      <c r="B1070" s="1" t="str">
        <f>HYPERLINK("https://asmlis.vasa.lt/Dashboard/Served?ServiceDateFrom=2025-11-24&amp;ServiceDateTo=2025-11-24&amp;DumpsterInvNr=13-P-300268", "13-P-300268")</f>
        <v>13-P-300268</v>
      </c>
      <c r="C1070">
        <v>1.1000000000000001</v>
      </c>
      <c r="D1070" t="s">
        <v>1588</v>
      </c>
      <c r="E1070" t="s">
        <v>11</v>
      </c>
      <c r="F1070" t="s">
        <v>13</v>
      </c>
      <c r="G1070" t="s">
        <v>412</v>
      </c>
      <c r="H1070" t="s">
        <v>14</v>
      </c>
    </row>
    <row r="1071" spans="1:8" hidden="1" x14ac:dyDescent="0.25">
      <c r="A1071" t="s">
        <v>1589</v>
      </c>
      <c r="B1071" s="1" t="str">
        <f>HYPERLINK("https://asmlis.vasa.lt/Dashboard/Served?ServiceDateFrom=2025-11-24&amp;ServiceDateTo=2025-11-24&amp;DumpsterInvNr=13-P-300318", "13-P-300318")</f>
        <v>13-P-300318</v>
      </c>
      <c r="C1071">
        <v>1.1000000000000001</v>
      </c>
      <c r="D1071" t="s">
        <v>1588</v>
      </c>
      <c r="E1071" t="s">
        <v>11</v>
      </c>
      <c r="F1071" t="s">
        <v>13</v>
      </c>
      <c r="G1071" t="s">
        <v>412</v>
      </c>
      <c r="H1071" t="s">
        <v>14</v>
      </c>
    </row>
    <row r="1072" spans="1:8" hidden="1" x14ac:dyDescent="0.25">
      <c r="A1072" t="s">
        <v>1590</v>
      </c>
      <c r="B1072" s="1" t="str">
        <f>HYPERLINK("https://asmlis.vasa.lt/Dashboard/Served?ServiceDateFrom=2025-11-24&amp;ServiceDateTo=2025-11-24&amp;DumpsterInvNr=13-L-311053", "13-L-311053")</f>
        <v>13-L-311053</v>
      </c>
      <c r="C1072">
        <v>1.1000000000000001</v>
      </c>
      <c r="D1072" t="s">
        <v>1591</v>
      </c>
      <c r="E1072" t="s">
        <v>11</v>
      </c>
      <c r="G1072" t="s">
        <v>9</v>
      </c>
      <c r="H1072" t="s">
        <v>14</v>
      </c>
    </row>
    <row r="1073" spans="1:8" hidden="1" x14ac:dyDescent="0.25">
      <c r="A1073" t="s">
        <v>1592</v>
      </c>
      <c r="B1073" s="1" t="str">
        <f>HYPERLINK("https://asmlis.vasa.lt/Dashboard/Served?ServiceDateFrom=2025-11-24&amp;ServiceDateTo=2025-11-24&amp;DumpsterInvNr=13-L-404957", "13-L-404957")</f>
        <v>13-L-404957</v>
      </c>
      <c r="C1073">
        <v>0.12</v>
      </c>
      <c r="D1073" t="s">
        <v>1593</v>
      </c>
      <c r="E1073" t="s">
        <v>11</v>
      </c>
      <c r="G1073" t="s">
        <v>74</v>
      </c>
      <c r="H1073" t="s">
        <v>14</v>
      </c>
    </row>
    <row r="1074" spans="1:8" hidden="1" x14ac:dyDescent="0.25">
      <c r="A1074" t="s">
        <v>1594</v>
      </c>
      <c r="B1074" s="1" t="str">
        <f>HYPERLINK("https://asmlis.vasa.lt/Dashboard/Served?ServiceDateFrom=2025-11-24&amp;ServiceDateTo=2025-11-24&amp;DumpsterInvNr=13-L-426056", "13-L-426056")</f>
        <v>13-L-426056</v>
      </c>
      <c r="C1074">
        <v>1.1000000000000001</v>
      </c>
      <c r="D1074" t="s">
        <v>1595</v>
      </c>
      <c r="E1074" t="s">
        <v>11</v>
      </c>
      <c r="F1074" t="s">
        <v>13</v>
      </c>
      <c r="G1074" t="s">
        <v>74</v>
      </c>
      <c r="H1074" t="s">
        <v>14</v>
      </c>
    </row>
    <row r="1075" spans="1:8" hidden="1" x14ac:dyDescent="0.25">
      <c r="A1075" t="s">
        <v>1596</v>
      </c>
      <c r="B1075" s="1" t="str">
        <f>HYPERLINK("https://asmlis.vasa.lt/Dashboard/Served?ServiceDateFrom=2025-11-24&amp;ServiceDateTo=2025-11-24&amp;DumpsterInvNr=13-L-318679", "13-L-318679")</f>
        <v>13-L-318679</v>
      </c>
      <c r="C1075">
        <v>1.1000000000000001</v>
      </c>
      <c r="D1075" t="s">
        <v>1518</v>
      </c>
      <c r="E1075" t="s">
        <v>11</v>
      </c>
      <c r="F1075" t="s">
        <v>13</v>
      </c>
      <c r="G1075" t="s">
        <v>9</v>
      </c>
      <c r="H1075" t="s">
        <v>14</v>
      </c>
    </row>
    <row r="1076" spans="1:8" hidden="1" x14ac:dyDescent="0.25">
      <c r="A1076" t="s">
        <v>1597</v>
      </c>
      <c r="B1076" s="1" t="str">
        <f>HYPERLINK("https://asmlis.vasa.lt/Dashboard/Served?ServiceDateFrom=2025-11-24&amp;ServiceDateTo=2025-11-24&amp;DumpsterInvNr=13-P-400523", "13-P-400523")</f>
        <v>13-P-400523</v>
      </c>
      <c r="C1076">
        <v>5</v>
      </c>
      <c r="D1076" t="s">
        <v>1598</v>
      </c>
      <c r="E1076" t="s">
        <v>11</v>
      </c>
      <c r="G1076" t="s">
        <v>264</v>
      </c>
      <c r="H1076" t="s">
        <v>14</v>
      </c>
    </row>
    <row r="1077" spans="1:8" hidden="1" x14ac:dyDescent="0.25">
      <c r="A1077" t="s">
        <v>1599</v>
      </c>
      <c r="B1077" s="1" t="str">
        <f>HYPERLINK("https://asmlis.vasa.lt/Dashboard/Served?ServiceDateFrom=2025-11-24&amp;ServiceDateTo=2025-11-24&amp;DumpsterInvNr=13-L-316077", "13-L-316077")</f>
        <v>13-L-316077</v>
      </c>
      <c r="C1077">
        <v>0.77</v>
      </c>
      <c r="D1077" t="s">
        <v>1580</v>
      </c>
      <c r="E1077" t="s">
        <v>11</v>
      </c>
      <c r="F1077" t="s">
        <v>13</v>
      </c>
      <c r="G1077" t="s">
        <v>9</v>
      </c>
      <c r="H1077" t="s">
        <v>14</v>
      </c>
    </row>
    <row r="1078" spans="1:8" hidden="1" x14ac:dyDescent="0.25">
      <c r="A1078" t="s">
        <v>1600</v>
      </c>
      <c r="B1078" s="1" t="str">
        <f>HYPERLINK("https://asmlis.vasa.lt/Dashboard/Served?ServiceDateFrom=2025-11-24&amp;ServiceDateTo=2025-11-24&amp;DumpsterInvNr=13-L-318678", "13-L-318678")</f>
        <v>13-L-318678</v>
      </c>
      <c r="C1078">
        <v>1.1000000000000001</v>
      </c>
      <c r="D1078" t="s">
        <v>1518</v>
      </c>
      <c r="E1078" t="s">
        <v>11</v>
      </c>
      <c r="F1078" t="s">
        <v>13</v>
      </c>
      <c r="G1078" t="s">
        <v>9</v>
      </c>
      <c r="H1078" t="s">
        <v>14</v>
      </c>
    </row>
    <row r="1079" spans="1:8" hidden="1" x14ac:dyDescent="0.25">
      <c r="A1079" t="s">
        <v>1601</v>
      </c>
      <c r="B1079" s="1" t="str">
        <f>HYPERLINK("https://asmlis.vasa.lt/Dashboard/Served?ServiceDateFrom=2025-11-24&amp;ServiceDateTo=2025-11-24&amp;DumpsterInvNr=13-L-420901", "13-L-420901")</f>
        <v>13-L-420901</v>
      </c>
      <c r="C1079">
        <v>5</v>
      </c>
      <c r="D1079" t="s">
        <v>1602</v>
      </c>
      <c r="E1079" t="s">
        <v>11</v>
      </c>
      <c r="G1079" t="s">
        <v>74</v>
      </c>
      <c r="H1079" t="s">
        <v>14</v>
      </c>
    </row>
    <row r="1080" spans="1:8" hidden="1" x14ac:dyDescent="0.25">
      <c r="A1080" t="s">
        <v>1603</v>
      </c>
      <c r="B1080" s="1" t="str">
        <f>HYPERLINK("https://asmlis.vasa.lt/Dashboard/Served?ServiceDateFrom=2025-11-24&amp;ServiceDateTo=2025-11-24&amp;DumpsterInvNr=13-L-404956", "13-L-404956")</f>
        <v>13-L-404956</v>
      </c>
      <c r="C1080">
        <v>0.12</v>
      </c>
      <c r="D1080" t="s">
        <v>1605</v>
      </c>
      <c r="E1080" t="s">
        <v>11</v>
      </c>
      <c r="G1080" t="s">
        <v>74</v>
      </c>
      <c r="H1080" t="s">
        <v>14</v>
      </c>
    </row>
    <row r="1081" spans="1:8" hidden="1" x14ac:dyDescent="0.25">
      <c r="A1081" t="s">
        <v>1606</v>
      </c>
      <c r="B1081" s="1" t="str">
        <f>HYPERLINK("https://asmlis.vasa.lt/Dashboard/Served?ServiceDateFrom=2025-11-24&amp;ServiceDateTo=2025-11-24&amp;DumpsterInvNr=13-L-318677", "13-L-318677")</f>
        <v>13-L-318677</v>
      </c>
      <c r="C1081">
        <v>1.1000000000000001</v>
      </c>
      <c r="D1081" t="s">
        <v>1518</v>
      </c>
      <c r="E1081" t="s">
        <v>11</v>
      </c>
      <c r="G1081" t="s">
        <v>9</v>
      </c>
      <c r="H1081" t="s">
        <v>14</v>
      </c>
    </row>
    <row r="1082" spans="1:8" hidden="1" x14ac:dyDescent="0.25">
      <c r="A1082" t="s">
        <v>1607</v>
      </c>
      <c r="B1082" s="1" t="str">
        <f>HYPERLINK("https://asmlis.vasa.lt/Dashboard/Served?ServiceDateFrom=2025-11-24&amp;ServiceDateTo=2025-11-24&amp;DumpsterInvNr=13-L-221518", "13-L-221518")</f>
        <v>13-L-221518</v>
      </c>
      <c r="C1082">
        <v>1.1000000000000001</v>
      </c>
      <c r="D1082" t="s">
        <v>1608</v>
      </c>
      <c r="E1082" t="s">
        <v>11</v>
      </c>
      <c r="G1082" t="s">
        <v>936</v>
      </c>
      <c r="H1082" t="s">
        <v>938</v>
      </c>
    </row>
    <row r="1083" spans="1:8" hidden="1" x14ac:dyDescent="0.25">
      <c r="A1083" t="s">
        <v>1609</v>
      </c>
      <c r="B1083" s="1" t="str">
        <f>HYPERLINK("https://asmlis.vasa.lt/Dashboard/Served?ServiceDateFrom=2025-11-24&amp;ServiceDateTo=2025-11-24&amp;DumpsterInvNr=13-P-302063", "13-P-302063")</f>
        <v>13-P-302063</v>
      </c>
      <c r="C1083">
        <v>1.1000000000000001</v>
      </c>
      <c r="D1083" t="s">
        <v>1610</v>
      </c>
      <c r="E1083" t="s">
        <v>11</v>
      </c>
      <c r="G1083" t="s">
        <v>412</v>
      </c>
      <c r="H1083" t="s">
        <v>14</v>
      </c>
    </row>
    <row r="1084" spans="1:8" hidden="1" x14ac:dyDescent="0.25">
      <c r="A1084" t="s">
        <v>1611</v>
      </c>
      <c r="B1084" s="1" t="str">
        <f>HYPERLINK("https://asmlis.vasa.lt/Dashboard/Served?ServiceDateFrom=2025-11-24&amp;ServiceDateTo=2025-11-24&amp;DumpsterInvNr=13-P-415779", "13-P-415779")</f>
        <v>13-P-415779</v>
      </c>
      <c r="C1084">
        <v>1.1000000000000001</v>
      </c>
      <c r="D1084" t="s">
        <v>1612</v>
      </c>
      <c r="E1084" t="s">
        <v>11</v>
      </c>
      <c r="F1084" t="s">
        <v>13</v>
      </c>
      <c r="G1084" t="s">
        <v>264</v>
      </c>
      <c r="H1084" t="s">
        <v>14</v>
      </c>
    </row>
    <row r="1085" spans="1:8" hidden="1" x14ac:dyDescent="0.25">
      <c r="A1085" t="s">
        <v>1611</v>
      </c>
      <c r="B1085" s="1" t="str">
        <f>HYPERLINK("https://asmlis.vasa.lt/Dashboard/Served?ServiceDateFrom=2025-11-24&amp;ServiceDateTo=2025-11-24&amp;DumpsterInvNr=13-P-401385", "13-P-401385")</f>
        <v>13-P-401385</v>
      </c>
      <c r="C1085">
        <v>2.5</v>
      </c>
      <c r="D1085" t="s">
        <v>1613</v>
      </c>
      <c r="E1085" t="s">
        <v>11</v>
      </c>
      <c r="F1085" t="s">
        <v>13</v>
      </c>
      <c r="G1085" t="s">
        <v>264</v>
      </c>
      <c r="H1085" t="s">
        <v>14</v>
      </c>
    </row>
    <row r="1086" spans="1:8" hidden="1" x14ac:dyDescent="0.25">
      <c r="A1086" t="s">
        <v>1614</v>
      </c>
      <c r="B1086" s="1" t="str">
        <f>HYPERLINK("https://asmlis.vasa.lt/Dashboard/Served?ServiceDateFrom=2025-11-24&amp;ServiceDateTo=2025-11-24&amp;DumpsterInvNr=13-L-420809", "13-L-420809")</f>
        <v>13-L-420809</v>
      </c>
      <c r="C1086">
        <v>5</v>
      </c>
      <c r="D1086" t="s">
        <v>1615</v>
      </c>
      <c r="E1086" t="s">
        <v>11</v>
      </c>
      <c r="F1086" t="s">
        <v>13</v>
      </c>
      <c r="G1086" t="s">
        <v>74</v>
      </c>
      <c r="H1086" t="s">
        <v>14</v>
      </c>
    </row>
    <row r="1087" spans="1:8" hidden="1" x14ac:dyDescent="0.25">
      <c r="A1087" t="s">
        <v>1616</v>
      </c>
      <c r="B1087" s="1" t="str">
        <f>HYPERLINK("https://asmlis.vasa.lt/Dashboard/Served?ServiceDateFrom=2025-11-24&amp;ServiceDateTo=2025-11-24&amp;DumpsterInvNr=13-L-318579", "13-L-318579")</f>
        <v>13-L-318579</v>
      </c>
      <c r="C1087">
        <v>1.1000000000000001</v>
      </c>
      <c r="D1087" t="s">
        <v>1591</v>
      </c>
      <c r="E1087" t="s">
        <v>11</v>
      </c>
      <c r="G1087" t="s">
        <v>9</v>
      </c>
      <c r="H1087" t="s">
        <v>14</v>
      </c>
    </row>
    <row r="1088" spans="1:8" hidden="1" x14ac:dyDescent="0.25">
      <c r="A1088" t="s">
        <v>1616</v>
      </c>
      <c r="B1088" s="1" t="str">
        <f>HYPERLINK("https://asmlis.vasa.lt/Dashboard/Served?ServiceDateFrom=2025-11-24&amp;ServiceDateTo=2025-11-24&amp;DumpsterInvNr=13-P-415263", "13-P-415263")</f>
        <v>13-P-415263</v>
      </c>
      <c r="C1088">
        <v>1.1000000000000001</v>
      </c>
      <c r="D1088" t="s">
        <v>1612</v>
      </c>
      <c r="E1088" t="s">
        <v>11</v>
      </c>
      <c r="F1088" t="s">
        <v>13</v>
      </c>
      <c r="G1088" t="s">
        <v>264</v>
      </c>
      <c r="H1088" t="s">
        <v>14</v>
      </c>
    </row>
    <row r="1089" spans="1:8" hidden="1" x14ac:dyDescent="0.25">
      <c r="A1089" t="s">
        <v>1617</v>
      </c>
      <c r="B1089" s="1" t="str">
        <f>HYPERLINK("https://asmlis.vasa.lt/Dashboard/Served?ServiceDateFrom=2025-11-24&amp;ServiceDateTo=2025-11-24&amp;DumpsterInvNr=13-P-212548", "13-P-212548")</f>
        <v>13-P-212548</v>
      </c>
      <c r="C1089">
        <v>5</v>
      </c>
      <c r="D1089" t="s">
        <v>1618</v>
      </c>
      <c r="E1089" t="s">
        <v>11</v>
      </c>
      <c r="G1089" t="s">
        <v>234</v>
      </c>
      <c r="H1089" t="s">
        <v>14</v>
      </c>
    </row>
    <row r="1090" spans="1:8" hidden="1" x14ac:dyDescent="0.25">
      <c r="A1090" t="s">
        <v>1619</v>
      </c>
      <c r="B1090" s="1" t="str">
        <f>HYPERLINK("https://asmlis.vasa.lt/Dashboard/Served?ServiceDateFrom=2025-11-24&amp;ServiceDateTo=2025-11-24&amp;DumpsterInvNr=13-L-144778", "13-L-144778")</f>
        <v>13-L-144778</v>
      </c>
      <c r="C1090">
        <v>5</v>
      </c>
      <c r="D1090" t="s">
        <v>1620</v>
      </c>
      <c r="E1090" t="s">
        <v>11</v>
      </c>
      <c r="F1090" t="s">
        <v>13</v>
      </c>
      <c r="G1090" t="s">
        <v>430</v>
      </c>
      <c r="H1090" t="s">
        <v>432</v>
      </c>
    </row>
    <row r="1091" spans="1:8" hidden="1" x14ac:dyDescent="0.25">
      <c r="A1091" t="s">
        <v>1621</v>
      </c>
      <c r="B1091" s="1" t="str">
        <f>HYPERLINK("https://asmlis.vasa.lt/Dashboard/Served?ServiceDateFrom=2025-11-24&amp;ServiceDateTo=2025-11-24&amp;DumpsterInvNr=13-L-408823", "13-L-408823")</f>
        <v>13-L-408823</v>
      </c>
      <c r="C1091">
        <v>0.24</v>
      </c>
      <c r="D1091" t="s">
        <v>1622</v>
      </c>
      <c r="E1091" t="s">
        <v>11</v>
      </c>
      <c r="G1091" t="s">
        <v>74</v>
      </c>
      <c r="H1091" t="s">
        <v>14</v>
      </c>
    </row>
    <row r="1092" spans="1:8" hidden="1" x14ac:dyDescent="0.25">
      <c r="A1092" t="s">
        <v>1621</v>
      </c>
      <c r="B1092" s="1" t="str">
        <f>HYPERLINK("https://asmlis.vasa.lt/Dashboard/Served?ServiceDateFrom=2025-11-24&amp;ServiceDateTo=2025-11-24&amp;DumpsterInvNr=13-L-314553", "13-L-314553")</f>
        <v>13-L-314553</v>
      </c>
      <c r="C1092">
        <v>0.24</v>
      </c>
      <c r="D1092" t="s">
        <v>1623</v>
      </c>
      <c r="E1092" t="s">
        <v>11</v>
      </c>
      <c r="F1092" t="s">
        <v>13</v>
      </c>
      <c r="G1092" t="s">
        <v>9</v>
      </c>
      <c r="H1092" t="s">
        <v>14</v>
      </c>
    </row>
    <row r="1093" spans="1:8" hidden="1" x14ac:dyDescent="0.25">
      <c r="A1093" t="s">
        <v>1624</v>
      </c>
      <c r="B1093" s="1" t="str">
        <f>HYPERLINK("https://asmlis.vasa.lt/Dashboard/Served?ServiceDateFrom=2025-11-24&amp;ServiceDateTo=2025-11-24&amp;DumpsterInvNr=13-P-302028", "13-P-302028")</f>
        <v>13-P-302028</v>
      </c>
      <c r="C1093">
        <v>1.1000000000000001</v>
      </c>
      <c r="D1093" t="s">
        <v>1610</v>
      </c>
      <c r="E1093" t="s">
        <v>11</v>
      </c>
      <c r="G1093" t="s">
        <v>412</v>
      </c>
      <c r="H1093" t="s">
        <v>14</v>
      </c>
    </row>
    <row r="1094" spans="1:8" hidden="1" x14ac:dyDescent="0.25">
      <c r="A1094" t="s">
        <v>1625</v>
      </c>
      <c r="B1094" s="1" t="str">
        <f>HYPERLINK("https://asmlis.vasa.lt/Dashboard/Served?ServiceDateFrom=2025-11-24&amp;ServiceDateTo=2025-11-24&amp;DumpsterInvNr=13-L-314556", "13-L-314556")</f>
        <v>13-L-314556</v>
      </c>
      <c r="C1094">
        <v>0.24</v>
      </c>
      <c r="D1094" t="s">
        <v>1623</v>
      </c>
      <c r="E1094" t="s">
        <v>11</v>
      </c>
      <c r="F1094" t="s">
        <v>13</v>
      </c>
      <c r="G1094" t="s">
        <v>9</v>
      </c>
      <c r="H1094" t="s">
        <v>14</v>
      </c>
    </row>
    <row r="1095" spans="1:8" hidden="1" x14ac:dyDescent="0.25">
      <c r="A1095" t="s">
        <v>1626</v>
      </c>
      <c r="B1095" s="1" t="str">
        <f>HYPERLINK("https://asmlis.vasa.lt/Dashboard/Served?ServiceDateFrom=2025-11-24&amp;ServiceDateTo=2025-11-24&amp;DumpsterInvNr=13-L-204204", "13-L-204204")</f>
        <v>13-L-204204</v>
      </c>
      <c r="C1095">
        <v>1.1000000000000001</v>
      </c>
      <c r="D1095" t="s">
        <v>1608</v>
      </c>
      <c r="E1095" t="s">
        <v>11</v>
      </c>
      <c r="F1095" t="s">
        <v>13</v>
      </c>
      <c r="G1095" t="s">
        <v>936</v>
      </c>
      <c r="H1095" t="s">
        <v>938</v>
      </c>
    </row>
    <row r="1096" spans="1:8" hidden="1" x14ac:dyDescent="0.25">
      <c r="A1096" t="s">
        <v>1627</v>
      </c>
      <c r="B1096" s="1" t="str">
        <f>HYPERLINK("https://asmlis.vasa.lt/Dashboard/Served?ServiceDateFrom=2025-11-24&amp;ServiceDateTo=2025-11-24&amp;DumpsterInvNr=13-L-314028", "13-L-314028")</f>
        <v>13-L-314028</v>
      </c>
      <c r="C1096">
        <v>1.1000000000000001</v>
      </c>
      <c r="D1096" t="s">
        <v>1586</v>
      </c>
      <c r="E1096" t="s">
        <v>11</v>
      </c>
      <c r="F1096" t="s">
        <v>13</v>
      </c>
      <c r="G1096" t="s">
        <v>9</v>
      </c>
      <c r="H1096" t="s">
        <v>14</v>
      </c>
    </row>
    <row r="1097" spans="1:8" hidden="1" x14ac:dyDescent="0.25">
      <c r="A1097" t="s">
        <v>1628</v>
      </c>
      <c r="B1097" s="1" t="str">
        <f>HYPERLINK("https://asmlis.vasa.lt/Dashboard/Served?ServiceDateFrom=2025-11-24&amp;ServiceDateTo=2025-11-24&amp;DumpsterInvNr=13-P-300760", "13-P-300760")</f>
        <v>13-P-300760</v>
      </c>
      <c r="C1097">
        <v>0.66</v>
      </c>
      <c r="D1097" t="s">
        <v>1629</v>
      </c>
      <c r="E1097" t="s">
        <v>11</v>
      </c>
      <c r="G1097" t="s">
        <v>412</v>
      </c>
      <c r="H1097" t="s">
        <v>14</v>
      </c>
    </row>
    <row r="1098" spans="1:8" hidden="1" x14ac:dyDescent="0.25">
      <c r="A1098" t="s">
        <v>1630</v>
      </c>
      <c r="B1098" s="1" t="str">
        <f>HYPERLINK("https://asmlis.vasa.lt/Dashboard/Served?ServiceDateFrom=2025-11-24&amp;ServiceDateTo=2025-11-24&amp;DumpsterInvNr=13-L-404955", "13-L-404955")</f>
        <v>13-L-404955</v>
      </c>
      <c r="C1098">
        <v>0.12</v>
      </c>
      <c r="D1098" t="s">
        <v>1631</v>
      </c>
      <c r="E1098" t="s">
        <v>11</v>
      </c>
      <c r="G1098" t="s">
        <v>74</v>
      </c>
      <c r="H1098" t="s">
        <v>14</v>
      </c>
    </row>
    <row r="1099" spans="1:8" hidden="1" x14ac:dyDescent="0.25">
      <c r="A1099" t="s">
        <v>1632</v>
      </c>
      <c r="B1099" s="1" t="str">
        <f>HYPERLINK("https://asmlis.vasa.lt/Dashboard/Served?ServiceDateFrom=2025-11-24&amp;ServiceDateTo=2025-11-24&amp;DumpsterInvNr=13-L-311109", "13-L-311109")</f>
        <v>13-L-311109</v>
      </c>
      <c r="C1099">
        <v>1.1000000000000001</v>
      </c>
      <c r="D1099" t="s">
        <v>1591</v>
      </c>
      <c r="E1099" t="s">
        <v>11</v>
      </c>
      <c r="G1099" t="s">
        <v>9</v>
      </c>
      <c r="H1099" t="s">
        <v>14</v>
      </c>
    </row>
    <row r="1100" spans="1:8" hidden="1" x14ac:dyDescent="0.25">
      <c r="A1100" t="s">
        <v>1632</v>
      </c>
      <c r="B1100" s="1" t="str">
        <f>HYPERLINK("https://asmlis.vasa.lt/Dashboard/Served?ServiceDateFrom=2025-11-24&amp;ServiceDateTo=2025-11-24&amp;DumpsterInvNr=13-L-404954", "13-L-404954")</f>
        <v>13-L-404954</v>
      </c>
      <c r="C1100">
        <v>0.12</v>
      </c>
      <c r="D1100" t="s">
        <v>1633</v>
      </c>
      <c r="E1100" t="s">
        <v>11</v>
      </c>
      <c r="G1100" t="s">
        <v>74</v>
      </c>
      <c r="H1100" t="s">
        <v>14</v>
      </c>
    </row>
    <row r="1101" spans="1:8" hidden="1" x14ac:dyDescent="0.25">
      <c r="A1101" t="s">
        <v>1632</v>
      </c>
      <c r="B1101" s="1" t="str">
        <f>HYPERLINK("https://asmlis.vasa.lt/Dashboard/Served?ServiceDateFrom=2025-11-24&amp;ServiceDateTo=2025-11-24&amp;DumpsterInvNr=13-P-306746", "13-P-306746")</f>
        <v>13-P-306746</v>
      </c>
      <c r="C1101">
        <v>0.77</v>
      </c>
      <c r="D1101" t="s">
        <v>1629</v>
      </c>
      <c r="E1101" t="s">
        <v>11</v>
      </c>
      <c r="F1101" t="s">
        <v>13</v>
      </c>
      <c r="G1101" t="s">
        <v>412</v>
      </c>
      <c r="H1101" t="s">
        <v>14</v>
      </c>
    </row>
    <row r="1102" spans="1:8" hidden="1" x14ac:dyDescent="0.25">
      <c r="A1102" t="s">
        <v>1634</v>
      </c>
      <c r="B1102" s="1" t="str">
        <f>HYPERLINK("https://asmlis.vasa.lt/Dashboard/Served?ServiceDateFrom=2025-11-24&amp;ServiceDateTo=2025-11-24&amp;DumpsterInvNr=13-L-318684", "13-L-318684")</f>
        <v>13-L-318684</v>
      </c>
      <c r="C1102">
        <v>1.1000000000000001</v>
      </c>
      <c r="D1102" t="s">
        <v>1518</v>
      </c>
      <c r="E1102" t="s">
        <v>11</v>
      </c>
      <c r="G1102" t="s">
        <v>9</v>
      </c>
      <c r="H1102" t="s">
        <v>14</v>
      </c>
    </row>
    <row r="1103" spans="1:8" hidden="1" x14ac:dyDescent="0.25">
      <c r="A1103" t="s">
        <v>1635</v>
      </c>
      <c r="B1103" s="1" t="str">
        <f>HYPERLINK("https://asmlis.vasa.lt/Dashboard/Served?ServiceDateFrom=2025-11-24&amp;ServiceDateTo=2025-11-24&amp;DumpsterInvNr=13-L-311931", "13-L-311931")</f>
        <v>13-L-311931</v>
      </c>
      <c r="C1103">
        <v>1.1000000000000001</v>
      </c>
      <c r="D1103" t="s">
        <v>1591</v>
      </c>
      <c r="E1103" t="s">
        <v>11</v>
      </c>
      <c r="F1103" t="s">
        <v>13</v>
      </c>
      <c r="G1103" t="s">
        <v>9</v>
      </c>
      <c r="H1103" t="s">
        <v>14</v>
      </c>
    </row>
    <row r="1104" spans="1:8" hidden="1" x14ac:dyDescent="0.25">
      <c r="A1104" t="s">
        <v>1635</v>
      </c>
      <c r="B1104" s="1" t="str">
        <f>HYPERLINK("https://asmlis.vasa.lt/Dashboard/Served?ServiceDateFrom=2025-11-24&amp;ServiceDateTo=2025-11-24&amp;DumpsterInvNr=13-L-317009", "13-L-317009")</f>
        <v>13-L-317009</v>
      </c>
      <c r="C1104">
        <v>5</v>
      </c>
      <c r="D1104" t="s">
        <v>1636</v>
      </c>
      <c r="E1104" t="s">
        <v>11</v>
      </c>
      <c r="F1104" t="s">
        <v>13</v>
      </c>
      <c r="G1104" t="s">
        <v>9</v>
      </c>
      <c r="H1104" t="s">
        <v>14</v>
      </c>
    </row>
    <row r="1105" spans="1:8" hidden="1" x14ac:dyDescent="0.25">
      <c r="A1105" t="s">
        <v>1637</v>
      </c>
      <c r="B1105" s="1" t="str">
        <f>HYPERLINK("https://asmlis.vasa.lt/Dashboard/Served?ServiceDateFrom=2025-11-24&amp;ServiceDateTo=2025-11-24&amp;DumpsterInvNr=13-L-311107", "13-L-311107")</f>
        <v>13-L-311107</v>
      </c>
      <c r="C1105">
        <v>1.1000000000000001</v>
      </c>
      <c r="D1105" t="s">
        <v>1591</v>
      </c>
      <c r="E1105" t="s">
        <v>11</v>
      </c>
      <c r="F1105" t="s">
        <v>13</v>
      </c>
      <c r="G1105" t="s">
        <v>9</v>
      </c>
      <c r="H1105" t="s">
        <v>14</v>
      </c>
    </row>
    <row r="1106" spans="1:8" hidden="1" x14ac:dyDescent="0.25">
      <c r="A1106" t="s">
        <v>1638</v>
      </c>
      <c r="B1106" s="1" t="str">
        <f>HYPERLINK("https://asmlis.vasa.lt/Dashboard/Served?ServiceDateFrom=2025-11-24&amp;ServiceDateTo=2025-11-24&amp;DumpsterInvNr=13-L-311163", "13-L-311163")</f>
        <v>13-L-311163</v>
      </c>
      <c r="C1106">
        <v>1.1000000000000001</v>
      </c>
      <c r="D1106" t="s">
        <v>1591</v>
      </c>
      <c r="E1106" t="s">
        <v>11</v>
      </c>
      <c r="F1106" t="s">
        <v>13</v>
      </c>
      <c r="G1106" t="s">
        <v>9</v>
      </c>
      <c r="H1106" t="s">
        <v>14</v>
      </c>
    </row>
    <row r="1107" spans="1:8" hidden="1" x14ac:dyDescent="0.25">
      <c r="A1107" t="s">
        <v>1639</v>
      </c>
      <c r="B1107" s="1" t="str">
        <f>HYPERLINK("https://asmlis.vasa.lt/Dashboard/Served?ServiceDateFrom=2025-11-24&amp;ServiceDateTo=2025-11-24&amp;DumpsterInvNr=13-P-300767", "13-P-300767")</f>
        <v>13-P-300767</v>
      </c>
      <c r="C1107">
        <v>2.5</v>
      </c>
      <c r="D1107" t="s">
        <v>1640</v>
      </c>
      <c r="E1107" t="s">
        <v>11</v>
      </c>
      <c r="G1107" t="s">
        <v>412</v>
      </c>
      <c r="H1107" t="s">
        <v>14</v>
      </c>
    </row>
    <row r="1108" spans="1:8" hidden="1" x14ac:dyDescent="0.25">
      <c r="A1108" t="s">
        <v>1641</v>
      </c>
      <c r="B1108" s="1" t="str">
        <f>HYPERLINK("https://asmlis.vasa.lt/Dashboard/Served?ServiceDateFrom=2025-11-24&amp;ServiceDateTo=2025-11-24&amp;DumpsterInvNr=13-L-424883", "13-L-424883")</f>
        <v>13-L-424883</v>
      </c>
      <c r="C1108">
        <v>1.1000000000000001</v>
      </c>
      <c r="D1108" t="s">
        <v>1642</v>
      </c>
      <c r="E1108" t="s">
        <v>11</v>
      </c>
      <c r="G1108" t="s">
        <v>74</v>
      </c>
      <c r="H1108" t="s">
        <v>14</v>
      </c>
    </row>
    <row r="1109" spans="1:8" hidden="1" x14ac:dyDescent="0.25">
      <c r="A1109" t="s">
        <v>1643</v>
      </c>
      <c r="B1109" s="1" t="str">
        <f>HYPERLINK("https://asmlis.vasa.lt/Dashboard/Served?ServiceDateFrom=2025-11-24&amp;ServiceDateTo=2025-11-24&amp;DumpsterInvNr=13-L-318683", "13-L-318683")</f>
        <v>13-L-318683</v>
      </c>
      <c r="C1109">
        <v>1.1000000000000001</v>
      </c>
      <c r="D1109" t="s">
        <v>1518</v>
      </c>
      <c r="E1109" t="s">
        <v>11</v>
      </c>
      <c r="G1109" t="s">
        <v>9</v>
      </c>
      <c r="H1109" t="s">
        <v>14</v>
      </c>
    </row>
    <row r="1110" spans="1:8" hidden="1" x14ac:dyDescent="0.25">
      <c r="A1110" t="s">
        <v>1644</v>
      </c>
      <c r="B1110" s="1" t="str">
        <f>HYPERLINK("https://asmlis.vasa.lt/Dashboard/Served?ServiceDateFrom=2025-11-24&amp;ServiceDateTo=2025-11-24&amp;DumpsterInvNr=13-L-404953", "13-L-404953")</f>
        <v>13-L-404953</v>
      </c>
      <c r="C1110">
        <v>0.24</v>
      </c>
      <c r="D1110" t="s">
        <v>1645</v>
      </c>
      <c r="E1110" t="s">
        <v>11</v>
      </c>
      <c r="G1110" t="s">
        <v>74</v>
      </c>
      <c r="H1110" t="s">
        <v>14</v>
      </c>
    </row>
    <row r="1111" spans="1:8" hidden="1" x14ac:dyDescent="0.25">
      <c r="A1111" t="s">
        <v>1644</v>
      </c>
      <c r="B1111" s="1" t="str">
        <f>HYPERLINK("https://asmlis.vasa.lt/Dashboard/Served?ServiceDateFrom=2025-11-24&amp;ServiceDateTo=2025-11-24&amp;DumpsterInvNr=13-L-409195", "13-L-409195")</f>
        <v>13-L-409195</v>
      </c>
      <c r="C1111">
        <v>0.12</v>
      </c>
      <c r="D1111" t="s">
        <v>1646</v>
      </c>
      <c r="E1111" t="s">
        <v>11</v>
      </c>
      <c r="G1111" t="s">
        <v>74</v>
      </c>
      <c r="H1111" t="s">
        <v>14</v>
      </c>
    </row>
    <row r="1112" spans="1:8" hidden="1" x14ac:dyDescent="0.25">
      <c r="A1112" t="s">
        <v>1647</v>
      </c>
      <c r="B1112" s="1" t="str">
        <f>HYPERLINK("https://asmlis.vasa.lt/Dashboard/Served?ServiceDateFrom=2025-11-24&amp;ServiceDateTo=2025-11-24&amp;DumpsterInvNr=13-L-426736", "13-L-426736")</f>
        <v>13-L-426736</v>
      </c>
      <c r="C1112">
        <v>1.1000000000000001</v>
      </c>
      <c r="D1112" t="s">
        <v>1642</v>
      </c>
      <c r="E1112" t="s">
        <v>11</v>
      </c>
      <c r="G1112" t="s">
        <v>74</v>
      </c>
      <c r="H1112" t="s">
        <v>14</v>
      </c>
    </row>
    <row r="1113" spans="1:8" hidden="1" x14ac:dyDescent="0.25">
      <c r="A1113" t="s">
        <v>1648</v>
      </c>
      <c r="B1113" s="1" t="str">
        <f>HYPERLINK("https://asmlis.vasa.lt/Dashboard/Served?ServiceDateFrom=2025-11-24&amp;ServiceDateTo=2025-11-24&amp;DumpsterInvNr=13-L-317167", "13-L-317167")</f>
        <v>13-L-317167</v>
      </c>
      <c r="C1113">
        <v>1.1000000000000001</v>
      </c>
      <c r="D1113" t="s">
        <v>1649</v>
      </c>
      <c r="E1113" t="s">
        <v>11</v>
      </c>
      <c r="G1113" t="s">
        <v>9</v>
      </c>
      <c r="H1113" t="s">
        <v>14</v>
      </c>
    </row>
    <row r="1114" spans="1:8" hidden="1" x14ac:dyDescent="0.25">
      <c r="A1114" t="s">
        <v>1650</v>
      </c>
      <c r="B1114" s="1" t="str">
        <f>HYPERLINK("https://asmlis.vasa.lt/Dashboard/Served?ServiceDateFrom=2025-11-24&amp;ServiceDateTo=2025-11-24&amp;DumpsterInvNr=13-L-423213", "13-L-423213")</f>
        <v>13-L-423213</v>
      </c>
      <c r="C1114">
        <v>5</v>
      </c>
      <c r="D1114" t="s">
        <v>1651</v>
      </c>
      <c r="E1114" t="s">
        <v>11</v>
      </c>
      <c r="G1114" t="s">
        <v>74</v>
      </c>
      <c r="H1114" t="s">
        <v>14</v>
      </c>
    </row>
    <row r="1115" spans="1:8" hidden="1" x14ac:dyDescent="0.25">
      <c r="A1115" t="s">
        <v>1652</v>
      </c>
      <c r="B1115" s="1" t="str">
        <f>HYPERLINK("https://asmlis.vasa.lt/Dashboard/Served?ServiceDateFrom=2025-11-24&amp;ServiceDateTo=2025-11-24&amp;DumpsterInvNr=13-L-222315", "13-L-222315")</f>
        <v>13-L-222315</v>
      </c>
      <c r="C1115">
        <v>1.1000000000000001</v>
      </c>
      <c r="D1115" t="s">
        <v>1653</v>
      </c>
      <c r="E1115" t="s">
        <v>11</v>
      </c>
      <c r="F1115" t="s">
        <v>13</v>
      </c>
      <c r="G1115" t="s">
        <v>936</v>
      </c>
      <c r="H1115" t="s">
        <v>938</v>
      </c>
    </row>
    <row r="1116" spans="1:8" hidden="1" x14ac:dyDescent="0.25">
      <c r="A1116" t="s">
        <v>1654</v>
      </c>
      <c r="B1116" s="1" t="str">
        <f>HYPERLINK("https://asmlis.vasa.lt/Dashboard/Served?ServiceDateFrom=2025-11-24&amp;ServiceDateTo=2025-11-24&amp;DumpsterInvNr=13-L-224961", "13-L-224961")</f>
        <v>13-L-224961</v>
      </c>
      <c r="C1116">
        <v>0.12</v>
      </c>
      <c r="D1116" t="s">
        <v>1655</v>
      </c>
      <c r="E1116" t="s">
        <v>11</v>
      </c>
      <c r="G1116" t="s">
        <v>936</v>
      </c>
      <c r="H1116" t="s">
        <v>938</v>
      </c>
    </row>
    <row r="1117" spans="1:8" hidden="1" x14ac:dyDescent="0.25">
      <c r="A1117" t="s">
        <v>1118</v>
      </c>
      <c r="B1117" s="1" t="str">
        <f>HYPERLINK("https://asmlis.vasa.lt/Dashboard/Served?ServiceDateFrom=2025-11-24&amp;ServiceDateTo=2025-11-24&amp;DumpsterInvNr=13-L-318685", "13-L-318685")</f>
        <v>13-L-318685</v>
      </c>
      <c r="C1117">
        <v>1.1000000000000001</v>
      </c>
      <c r="D1117" t="s">
        <v>1518</v>
      </c>
      <c r="E1117" t="s">
        <v>11</v>
      </c>
      <c r="F1117" t="s">
        <v>13</v>
      </c>
      <c r="G1117" t="s">
        <v>9</v>
      </c>
      <c r="H1117" t="s">
        <v>14</v>
      </c>
    </row>
    <row r="1118" spans="1:8" hidden="1" x14ac:dyDescent="0.25">
      <c r="A1118" t="s">
        <v>1656</v>
      </c>
      <c r="B1118" s="1" t="str">
        <f>HYPERLINK("https://asmlis.vasa.lt/Dashboard/Served?ServiceDateFrom=2025-11-24&amp;ServiceDateTo=2025-11-24&amp;DumpsterInvNr=13-L-318682", "13-L-318682")</f>
        <v>13-L-318682</v>
      </c>
      <c r="C1118">
        <v>1.1000000000000001</v>
      </c>
      <c r="D1118" t="s">
        <v>1518</v>
      </c>
      <c r="E1118" t="s">
        <v>11</v>
      </c>
      <c r="F1118" t="s">
        <v>13</v>
      </c>
      <c r="G1118" t="s">
        <v>9</v>
      </c>
      <c r="H1118" t="s">
        <v>14</v>
      </c>
    </row>
    <row r="1119" spans="1:8" hidden="1" x14ac:dyDescent="0.25">
      <c r="A1119" t="s">
        <v>1657</v>
      </c>
      <c r="B1119" s="1" t="str">
        <f>HYPERLINK("https://asmlis.vasa.lt/Dashboard/Served?ServiceDateFrom=2025-11-24&amp;ServiceDateTo=2025-11-24&amp;DumpsterInvNr=13-L-312722", "13-L-312722")</f>
        <v>13-L-312722</v>
      </c>
      <c r="C1119">
        <v>1.1000000000000001</v>
      </c>
      <c r="D1119" t="s">
        <v>1658</v>
      </c>
      <c r="E1119" t="s">
        <v>11</v>
      </c>
      <c r="F1119" t="s">
        <v>13</v>
      </c>
      <c r="G1119" t="s">
        <v>9</v>
      </c>
      <c r="H1119" t="s">
        <v>14</v>
      </c>
    </row>
    <row r="1120" spans="1:8" hidden="1" x14ac:dyDescent="0.25">
      <c r="A1120" t="s">
        <v>1659</v>
      </c>
      <c r="B1120" s="1" t="str">
        <f>HYPERLINK("https://asmlis.vasa.lt/Dashboard/Served?ServiceDateFrom=2025-11-24&amp;ServiceDateTo=2025-11-24&amp;DumpsterInvNr=13-P-306953", "13-P-306953")</f>
        <v>13-P-306953</v>
      </c>
      <c r="C1120">
        <v>2.5</v>
      </c>
      <c r="D1120" t="s">
        <v>1640</v>
      </c>
      <c r="E1120" t="s">
        <v>11</v>
      </c>
      <c r="F1120" t="s">
        <v>13</v>
      </c>
      <c r="G1120" t="s">
        <v>412</v>
      </c>
      <c r="H1120" t="s">
        <v>14</v>
      </c>
    </row>
    <row r="1121" spans="1:8" hidden="1" x14ac:dyDescent="0.25">
      <c r="A1121" t="s">
        <v>1660</v>
      </c>
      <c r="B1121" s="1" t="str">
        <f>HYPERLINK("https://asmlis.vasa.lt/Dashboard/Served?ServiceDateFrom=2025-11-24&amp;ServiceDateTo=2025-11-24&amp;DumpsterInvNr=13-L-308347", "13-L-308347")</f>
        <v>13-L-308347</v>
      </c>
      <c r="C1121">
        <v>1.1000000000000001</v>
      </c>
      <c r="D1121" t="s">
        <v>1658</v>
      </c>
      <c r="E1121" t="s">
        <v>11</v>
      </c>
      <c r="F1121" t="s">
        <v>13</v>
      </c>
      <c r="G1121" t="s">
        <v>9</v>
      </c>
      <c r="H1121" t="s">
        <v>14</v>
      </c>
    </row>
    <row r="1122" spans="1:8" hidden="1" x14ac:dyDescent="0.25">
      <c r="A1122" t="s">
        <v>1136</v>
      </c>
      <c r="B1122" s="1" t="str">
        <f>HYPERLINK("https://asmlis.vasa.lt/Dashboard/Served?ServiceDateFrom=2025-11-24&amp;ServiceDateTo=2025-11-24&amp;DumpsterInvNr=13-L-317267", "13-L-317267")</f>
        <v>13-L-317267</v>
      </c>
      <c r="C1122">
        <v>1.1000000000000001</v>
      </c>
      <c r="D1122" t="s">
        <v>1658</v>
      </c>
      <c r="E1122" t="s">
        <v>11</v>
      </c>
      <c r="F1122" t="s">
        <v>13</v>
      </c>
      <c r="G1122" t="s">
        <v>9</v>
      </c>
      <c r="H1122" t="s">
        <v>14</v>
      </c>
    </row>
    <row r="1123" spans="1:8" hidden="1" x14ac:dyDescent="0.25">
      <c r="A1123" t="s">
        <v>1136</v>
      </c>
      <c r="B1123" s="1" t="str">
        <f>HYPERLINK("https://asmlis.vasa.lt/Dashboard/Served?ServiceDateFrom=2025-11-24&amp;ServiceDateTo=2025-11-24&amp;DumpsterInvNr=13-P-416435", "13-P-416435")</f>
        <v>13-P-416435</v>
      </c>
      <c r="C1123">
        <v>1.1000000000000001</v>
      </c>
      <c r="D1123" t="s">
        <v>1661</v>
      </c>
      <c r="E1123" t="s">
        <v>11</v>
      </c>
      <c r="F1123" t="s">
        <v>13</v>
      </c>
      <c r="G1123" t="s">
        <v>264</v>
      </c>
      <c r="H1123" t="s">
        <v>14</v>
      </c>
    </row>
    <row r="1124" spans="1:8" hidden="1" x14ac:dyDescent="0.25">
      <c r="A1124" t="s">
        <v>1662</v>
      </c>
      <c r="B1124" s="1" t="str">
        <f>HYPERLINK("https://asmlis.vasa.lt/Dashboard/Served?ServiceDateFrom=2025-11-24&amp;ServiceDateTo=2025-11-24&amp;DumpsterInvNr=13-L-313632", "13-L-313632")</f>
        <v>13-L-313632</v>
      </c>
      <c r="C1124">
        <v>1.1000000000000001</v>
      </c>
      <c r="D1124" t="s">
        <v>1663</v>
      </c>
      <c r="E1124" t="s">
        <v>11</v>
      </c>
      <c r="G1124" t="s">
        <v>9</v>
      </c>
      <c r="H1124" t="s">
        <v>14</v>
      </c>
    </row>
    <row r="1125" spans="1:8" hidden="1" x14ac:dyDescent="0.25">
      <c r="A1125" t="s">
        <v>1664</v>
      </c>
      <c r="B1125" s="1" t="str">
        <f>HYPERLINK("https://asmlis.vasa.lt/Dashboard/Served?ServiceDateFrom=2025-11-24&amp;ServiceDateTo=2025-11-24&amp;DumpsterInvNr=13-L-414393", "13-L-414393")</f>
        <v>13-L-414393</v>
      </c>
      <c r="C1125">
        <v>0.77</v>
      </c>
      <c r="D1125" t="s">
        <v>1642</v>
      </c>
      <c r="E1125" t="s">
        <v>11</v>
      </c>
      <c r="G1125" t="s">
        <v>74</v>
      </c>
      <c r="H1125" t="s">
        <v>14</v>
      </c>
    </row>
    <row r="1126" spans="1:8" hidden="1" x14ac:dyDescent="0.25">
      <c r="A1126" t="s">
        <v>1665</v>
      </c>
      <c r="B1126" s="1" t="str">
        <f>HYPERLINK("https://asmlis.vasa.lt/Dashboard/Served?ServiceDateFrom=2025-11-24&amp;ServiceDateTo=2025-11-24&amp;DumpsterInvNr=13-L-220940", "13-L-220940")</f>
        <v>13-L-220940</v>
      </c>
      <c r="C1126">
        <v>1.1000000000000001</v>
      </c>
      <c r="D1126" t="s">
        <v>1653</v>
      </c>
      <c r="E1126" t="s">
        <v>11</v>
      </c>
      <c r="G1126" t="s">
        <v>936</v>
      </c>
      <c r="H1126" t="s">
        <v>938</v>
      </c>
    </row>
    <row r="1127" spans="1:8" hidden="1" x14ac:dyDescent="0.25">
      <c r="A1127" t="s">
        <v>1666</v>
      </c>
      <c r="B1127" s="1" t="str">
        <f>HYPERLINK("https://asmlis.vasa.lt/Dashboard/Served?ServiceDateFrom=2025-11-24&amp;ServiceDateTo=2025-11-24&amp;DumpsterInvNr=13-L-414680", "13-L-414680")</f>
        <v>13-L-414680</v>
      </c>
      <c r="C1127">
        <v>0.24</v>
      </c>
      <c r="D1127" t="s">
        <v>1667</v>
      </c>
      <c r="E1127" t="s">
        <v>11</v>
      </c>
      <c r="G1127" t="s">
        <v>74</v>
      </c>
      <c r="H1127" t="s">
        <v>14</v>
      </c>
    </row>
    <row r="1128" spans="1:8" hidden="1" x14ac:dyDescent="0.25">
      <c r="A1128" t="s">
        <v>1666</v>
      </c>
      <c r="B1128" s="1" t="str">
        <f>HYPERLINK("https://asmlis.vasa.lt/Dashboard/Served?ServiceDateFrom=2025-11-24&amp;ServiceDateTo=2025-11-24&amp;DumpsterInvNr=13-L-404949", "13-L-404949")</f>
        <v>13-L-404949</v>
      </c>
      <c r="C1128">
        <v>0.12</v>
      </c>
      <c r="D1128" t="s">
        <v>1668</v>
      </c>
      <c r="E1128" t="s">
        <v>11</v>
      </c>
      <c r="G1128" t="s">
        <v>74</v>
      </c>
      <c r="H1128" t="s">
        <v>14</v>
      </c>
    </row>
    <row r="1129" spans="1:8" hidden="1" x14ac:dyDescent="0.25">
      <c r="A1129" t="s">
        <v>1669</v>
      </c>
      <c r="B1129" s="1" t="str">
        <f>HYPERLINK("https://asmlis.vasa.lt/Dashboard/Served?ServiceDateFrom=2025-11-24&amp;ServiceDateTo=2025-11-24&amp;DumpsterInvNr=13-L-225357", "13-L-225357")</f>
        <v>13-L-225357</v>
      </c>
      <c r="C1129">
        <v>1.1000000000000001</v>
      </c>
      <c r="D1129" t="s">
        <v>1653</v>
      </c>
      <c r="E1129" t="s">
        <v>11</v>
      </c>
      <c r="G1129" t="s">
        <v>936</v>
      </c>
      <c r="H1129" t="s">
        <v>938</v>
      </c>
    </row>
    <row r="1130" spans="1:8" hidden="1" x14ac:dyDescent="0.25">
      <c r="A1130" t="s">
        <v>1670</v>
      </c>
      <c r="B1130" s="1" t="str">
        <f>HYPERLINK("https://asmlis.vasa.lt/Dashboard/Served?ServiceDateFrom=2025-11-24&amp;ServiceDateTo=2025-11-24&amp;DumpsterInvNr=13-P-300398", "13-P-300398")</f>
        <v>13-P-300398</v>
      </c>
      <c r="C1130">
        <v>1.1000000000000001</v>
      </c>
      <c r="D1130" t="s">
        <v>1671</v>
      </c>
      <c r="E1130" t="s">
        <v>11</v>
      </c>
      <c r="F1130" t="s">
        <v>13</v>
      </c>
      <c r="G1130" t="s">
        <v>412</v>
      </c>
      <c r="H1130" t="s">
        <v>14</v>
      </c>
    </row>
    <row r="1131" spans="1:8" hidden="1" x14ac:dyDescent="0.25">
      <c r="A1131" t="s">
        <v>1672</v>
      </c>
      <c r="B1131" s="1" t="str">
        <f>HYPERLINK("https://asmlis.vasa.lt/Dashboard/Served?ServiceDateFrom=2025-11-24&amp;ServiceDateTo=2025-11-24&amp;DumpsterInvNr=13-L-415371", "13-L-415371")</f>
        <v>13-L-415371</v>
      </c>
      <c r="C1131">
        <v>0.24</v>
      </c>
      <c r="D1131" t="s">
        <v>1673</v>
      </c>
      <c r="E1131" t="s">
        <v>11</v>
      </c>
      <c r="G1131" t="s">
        <v>74</v>
      </c>
      <c r="H1131" t="s">
        <v>14</v>
      </c>
    </row>
    <row r="1132" spans="1:8" hidden="1" x14ac:dyDescent="0.25">
      <c r="A1132" t="s">
        <v>1674</v>
      </c>
      <c r="B1132" s="1" t="str">
        <f>HYPERLINK("https://asmlis.vasa.lt/Dashboard/Served?ServiceDateFrom=2025-11-24&amp;ServiceDateTo=2025-11-24&amp;DumpsterInvNr=13-L-224772", "13-L-224772")</f>
        <v>13-L-224772</v>
      </c>
      <c r="C1132">
        <v>1.1000000000000001</v>
      </c>
      <c r="D1132" t="s">
        <v>1653</v>
      </c>
      <c r="E1132" t="s">
        <v>11</v>
      </c>
      <c r="G1132" t="s">
        <v>936</v>
      </c>
      <c r="H1132" t="s">
        <v>938</v>
      </c>
    </row>
    <row r="1133" spans="1:8" hidden="1" x14ac:dyDescent="0.25">
      <c r="A1133" t="s">
        <v>1675</v>
      </c>
      <c r="B1133" s="1" t="str">
        <f>HYPERLINK("https://asmlis.vasa.lt/Dashboard/Served?ServiceDateFrom=2025-11-24&amp;ServiceDateTo=2025-11-24&amp;DumpsterInvNr=13-L-306854", "13-L-306854")</f>
        <v>13-L-306854</v>
      </c>
      <c r="C1133">
        <v>0.77</v>
      </c>
      <c r="D1133" t="s">
        <v>1676</v>
      </c>
      <c r="E1133" t="s">
        <v>11</v>
      </c>
      <c r="F1133" t="s">
        <v>13</v>
      </c>
      <c r="G1133" t="s">
        <v>9</v>
      </c>
      <c r="H1133" t="s">
        <v>14</v>
      </c>
    </row>
    <row r="1134" spans="1:8" hidden="1" x14ac:dyDescent="0.25">
      <c r="A1134" t="s">
        <v>1677</v>
      </c>
      <c r="B1134" s="1" t="str">
        <f>HYPERLINK("https://asmlis.vasa.lt/Dashboard/Served?ServiceDateFrom=2025-11-24&amp;ServiceDateTo=2025-11-24&amp;DumpsterInvNr=13-L-426151", "13-L-426151")</f>
        <v>13-L-426151</v>
      </c>
      <c r="C1134">
        <v>1.1000000000000001</v>
      </c>
      <c r="D1134" t="s">
        <v>1678</v>
      </c>
      <c r="E1134" t="s">
        <v>11</v>
      </c>
      <c r="G1134" t="s">
        <v>74</v>
      </c>
      <c r="H1134" t="s">
        <v>14</v>
      </c>
    </row>
    <row r="1135" spans="1:8" hidden="1" x14ac:dyDescent="0.25">
      <c r="A1135" t="s">
        <v>1679</v>
      </c>
      <c r="B1135" s="1" t="str">
        <f>HYPERLINK("https://asmlis.vasa.lt/Dashboard/Served?ServiceDateFrom=2025-11-24&amp;ServiceDateTo=2025-11-24&amp;DumpsterInvNr=13-P-400536", "13-P-400536")</f>
        <v>13-P-400536</v>
      </c>
      <c r="C1135">
        <v>5</v>
      </c>
      <c r="D1135" t="s">
        <v>1680</v>
      </c>
      <c r="E1135" t="s">
        <v>11</v>
      </c>
      <c r="F1135" t="s">
        <v>13</v>
      </c>
      <c r="G1135" t="s">
        <v>264</v>
      </c>
      <c r="H1135" t="s">
        <v>14</v>
      </c>
    </row>
    <row r="1136" spans="1:8" hidden="1" x14ac:dyDescent="0.25">
      <c r="A1136" t="s">
        <v>1681</v>
      </c>
      <c r="B1136" s="1" t="str">
        <f>HYPERLINK("https://asmlis.vasa.lt/Dashboard/Served?ServiceDateFrom=2025-11-24&amp;ServiceDateTo=2025-11-24&amp;DumpsterInvNr=13-L-318627", "13-L-318627")</f>
        <v>13-L-318627</v>
      </c>
      <c r="C1136">
        <v>1.1000000000000001</v>
      </c>
      <c r="D1136" t="s">
        <v>1682</v>
      </c>
      <c r="E1136" t="s">
        <v>11</v>
      </c>
      <c r="F1136" t="s">
        <v>13</v>
      </c>
      <c r="G1136" t="s">
        <v>9</v>
      </c>
      <c r="H1136" t="s">
        <v>14</v>
      </c>
    </row>
    <row r="1137" spans="1:8" hidden="1" x14ac:dyDescent="0.25">
      <c r="A1137" t="s">
        <v>1683</v>
      </c>
      <c r="B1137" s="1" t="str">
        <f>HYPERLINK("https://asmlis.vasa.lt/Dashboard/Served?ServiceDateFrom=2025-11-24&amp;ServiceDateTo=2025-11-24&amp;DumpsterInvNr=13-L-135450", "13-L-135450")</f>
        <v>13-L-135450</v>
      </c>
      <c r="C1137">
        <v>5</v>
      </c>
      <c r="D1137" t="s">
        <v>1684</v>
      </c>
      <c r="E1137" t="s">
        <v>11</v>
      </c>
      <c r="F1137" t="s">
        <v>13</v>
      </c>
      <c r="G1137" t="s">
        <v>430</v>
      </c>
      <c r="H1137" t="s">
        <v>432</v>
      </c>
    </row>
    <row r="1138" spans="1:8" hidden="1" x14ac:dyDescent="0.25">
      <c r="A1138" t="s">
        <v>1685</v>
      </c>
      <c r="B1138" s="1" t="str">
        <f>HYPERLINK("https://asmlis.vasa.lt/Dashboard/Served?ServiceDateFrom=2025-11-24&amp;ServiceDateTo=2025-11-24&amp;DumpsterInvNr=13-L-418001", "13-L-418001")</f>
        <v>13-L-418001</v>
      </c>
      <c r="C1138">
        <v>5</v>
      </c>
      <c r="D1138" t="s">
        <v>1686</v>
      </c>
      <c r="E1138" t="s">
        <v>11</v>
      </c>
      <c r="F1138" t="s">
        <v>13</v>
      </c>
      <c r="G1138" t="s">
        <v>74</v>
      </c>
      <c r="H1138" t="s">
        <v>14</v>
      </c>
    </row>
    <row r="1139" spans="1:8" hidden="1" x14ac:dyDescent="0.25">
      <c r="A1139" t="s">
        <v>1687</v>
      </c>
      <c r="B1139" s="1" t="str">
        <f>HYPERLINK("https://asmlis.vasa.lt/Dashboard/Served?ServiceDateFrom=2025-11-24&amp;ServiceDateTo=2025-11-24&amp;DumpsterInvNr=13-L-220941", "13-L-220941")</f>
        <v>13-L-220941</v>
      </c>
      <c r="C1139">
        <v>1.1000000000000001</v>
      </c>
      <c r="D1139" t="s">
        <v>1653</v>
      </c>
      <c r="E1139" t="s">
        <v>11</v>
      </c>
      <c r="G1139" t="s">
        <v>936</v>
      </c>
      <c r="H1139" t="s">
        <v>938</v>
      </c>
    </row>
    <row r="1140" spans="1:8" hidden="1" x14ac:dyDescent="0.25">
      <c r="A1140" t="s">
        <v>1501</v>
      </c>
      <c r="B1140" s="1" t="str">
        <f>HYPERLINK("https://asmlis.vasa.lt/Dashboard/Served?ServiceDateFrom=2025-11-24&amp;ServiceDateTo=2025-11-24&amp;DumpsterInvNr=13-L-426153", "13-L-426153")</f>
        <v>13-L-426153</v>
      </c>
      <c r="C1140">
        <v>1.1000000000000001</v>
      </c>
      <c r="D1140" t="s">
        <v>1678</v>
      </c>
      <c r="E1140" t="s">
        <v>11</v>
      </c>
      <c r="G1140" t="s">
        <v>74</v>
      </c>
      <c r="H1140" t="s">
        <v>14</v>
      </c>
    </row>
    <row r="1141" spans="1:8" hidden="1" x14ac:dyDescent="0.25">
      <c r="A1141" t="s">
        <v>1688</v>
      </c>
      <c r="B1141" s="1" t="str">
        <f>HYPERLINK("https://asmlis.vasa.lt/Dashboard/Served?ServiceDateFrom=2025-11-24&amp;ServiceDateTo=2025-11-24&amp;DumpsterInvNr=13-L-225358", "13-L-225358")</f>
        <v>13-L-225358</v>
      </c>
      <c r="C1141">
        <v>1.1000000000000001</v>
      </c>
      <c r="D1141" t="s">
        <v>1653</v>
      </c>
      <c r="E1141" t="s">
        <v>11</v>
      </c>
      <c r="F1141" t="s">
        <v>13</v>
      </c>
      <c r="G1141" t="s">
        <v>936</v>
      </c>
      <c r="H1141" t="s">
        <v>938</v>
      </c>
    </row>
    <row r="1142" spans="1:8" hidden="1" x14ac:dyDescent="0.25">
      <c r="A1142" t="s">
        <v>1689</v>
      </c>
      <c r="B1142" s="1" t="str">
        <f>HYPERLINK("https://asmlis.vasa.lt/Dashboard/Served?ServiceDateFrom=2025-11-24&amp;ServiceDateTo=2025-11-24&amp;DumpsterInvNr=13-L-224771", "13-L-224771")</f>
        <v>13-L-224771</v>
      </c>
      <c r="C1142">
        <v>1.1000000000000001</v>
      </c>
      <c r="D1142" t="s">
        <v>1653</v>
      </c>
      <c r="E1142" t="s">
        <v>11</v>
      </c>
      <c r="F1142" t="s">
        <v>13</v>
      </c>
      <c r="G1142" t="s">
        <v>936</v>
      </c>
      <c r="H1142" t="s">
        <v>938</v>
      </c>
    </row>
    <row r="1143" spans="1:8" hidden="1" x14ac:dyDescent="0.25">
      <c r="A1143" t="s">
        <v>1690</v>
      </c>
      <c r="B1143" s="1" t="str">
        <f>HYPERLINK("https://asmlis.vasa.lt/Dashboard/Served?ServiceDateFrom=2025-11-24&amp;ServiceDateTo=2025-11-24&amp;DumpsterInvNr=13-L-404950", "13-L-404950")</f>
        <v>13-L-404950</v>
      </c>
      <c r="C1143">
        <v>0.12</v>
      </c>
      <c r="D1143" t="s">
        <v>1691</v>
      </c>
      <c r="E1143" t="s">
        <v>11</v>
      </c>
      <c r="G1143" t="s">
        <v>74</v>
      </c>
      <c r="H1143" t="s">
        <v>14</v>
      </c>
    </row>
    <row r="1144" spans="1:8" hidden="1" x14ac:dyDescent="0.25">
      <c r="A1144" t="s">
        <v>1690</v>
      </c>
      <c r="B1144" s="1" t="str">
        <f>HYPERLINK("https://asmlis.vasa.lt/Dashboard/Served?ServiceDateFrom=2025-11-24&amp;ServiceDateTo=2025-11-24&amp;DumpsterInvNr=13-L-416863", "13-L-416863")</f>
        <v>13-L-416863</v>
      </c>
      <c r="C1144">
        <v>0.24</v>
      </c>
      <c r="D1144" t="s">
        <v>1692</v>
      </c>
      <c r="E1144" t="s">
        <v>11</v>
      </c>
      <c r="G1144" t="s">
        <v>74</v>
      </c>
      <c r="H1144" t="s">
        <v>14</v>
      </c>
    </row>
    <row r="1145" spans="1:8" hidden="1" x14ac:dyDescent="0.25">
      <c r="A1145" t="s">
        <v>1693</v>
      </c>
      <c r="B1145" s="1" t="str">
        <f>HYPERLINK("https://asmlis.vasa.lt/Dashboard/Served?ServiceDateFrom=2025-11-24&amp;ServiceDateTo=2025-11-24&amp;DumpsterInvNr=13-L-426150", "13-L-426150")</f>
        <v>13-L-426150</v>
      </c>
      <c r="C1145">
        <v>1.1000000000000001</v>
      </c>
      <c r="D1145" t="s">
        <v>1678</v>
      </c>
      <c r="E1145" t="s">
        <v>11</v>
      </c>
      <c r="G1145" t="s">
        <v>74</v>
      </c>
      <c r="H1145" t="s">
        <v>14</v>
      </c>
    </row>
    <row r="1146" spans="1:8" hidden="1" x14ac:dyDescent="0.25">
      <c r="A1146" t="s">
        <v>1693</v>
      </c>
      <c r="B1146" s="1" t="str">
        <f>HYPERLINK("https://asmlis.vasa.lt/Dashboard/Served?ServiceDateFrom=2025-11-24&amp;ServiceDateTo=2025-11-24&amp;DumpsterInvNr=13-L-225908", "13-L-225908")</f>
        <v>13-L-225908</v>
      </c>
      <c r="C1146">
        <v>1.1000000000000001</v>
      </c>
      <c r="D1146" t="s">
        <v>1653</v>
      </c>
      <c r="E1146" t="s">
        <v>11</v>
      </c>
      <c r="F1146" t="s">
        <v>13</v>
      </c>
      <c r="G1146" t="s">
        <v>936</v>
      </c>
      <c r="H1146" t="s">
        <v>938</v>
      </c>
    </row>
    <row r="1147" spans="1:8" hidden="1" x14ac:dyDescent="0.25">
      <c r="A1147" t="s">
        <v>1693</v>
      </c>
      <c r="B1147" s="1" t="str">
        <f>HYPERLINK("https://asmlis.vasa.lt/Dashboard/Served?ServiceDateFrom=2025-11-24&amp;ServiceDateTo=2025-11-24&amp;DumpsterInvNr=13-P-401760", "13-P-401760")</f>
        <v>13-P-401760</v>
      </c>
      <c r="C1147">
        <v>1.8</v>
      </c>
      <c r="D1147" t="s">
        <v>1694</v>
      </c>
      <c r="E1147" t="s">
        <v>11</v>
      </c>
      <c r="F1147" t="s">
        <v>13</v>
      </c>
      <c r="G1147" t="s">
        <v>264</v>
      </c>
      <c r="H1147" t="s">
        <v>14</v>
      </c>
    </row>
    <row r="1148" spans="1:8" hidden="1" x14ac:dyDescent="0.25">
      <c r="A1148" t="s">
        <v>1695</v>
      </c>
      <c r="B1148" s="1" t="str">
        <f>HYPERLINK("https://asmlis.vasa.lt/Dashboard/Served?ServiceDateFrom=2025-11-24&amp;ServiceDateTo=2025-11-24&amp;DumpsterInvNr=13-L-223486", "13-L-223486")</f>
        <v>13-L-223486</v>
      </c>
      <c r="C1148">
        <v>1.1000000000000001</v>
      </c>
      <c r="D1148" t="s">
        <v>1653</v>
      </c>
      <c r="E1148" t="s">
        <v>11</v>
      </c>
      <c r="F1148" t="s">
        <v>13</v>
      </c>
      <c r="G1148" t="s">
        <v>936</v>
      </c>
      <c r="H1148" t="s">
        <v>938</v>
      </c>
    </row>
    <row r="1149" spans="1:8" hidden="1" x14ac:dyDescent="0.25">
      <c r="A1149" t="s">
        <v>1695</v>
      </c>
      <c r="B1149" s="1" t="str">
        <f>HYPERLINK("https://asmlis.vasa.lt/Dashboard/Served?ServiceDateFrom=2025-11-24&amp;ServiceDateTo=2025-11-24&amp;DumpsterInvNr=13-L-421564", "13-L-421564")</f>
        <v>13-L-421564</v>
      </c>
      <c r="C1149">
        <v>5</v>
      </c>
      <c r="D1149" t="s">
        <v>1696</v>
      </c>
      <c r="E1149" t="s">
        <v>11</v>
      </c>
      <c r="F1149" t="s">
        <v>13</v>
      </c>
      <c r="G1149" t="s">
        <v>74</v>
      </c>
      <c r="H1149" t="s">
        <v>14</v>
      </c>
    </row>
    <row r="1150" spans="1:8" hidden="1" x14ac:dyDescent="0.25">
      <c r="A1150" t="s">
        <v>1697</v>
      </c>
      <c r="B1150" s="1" t="str">
        <f>HYPERLINK("https://asmlis.vasa.lt/Dashboard/Served?ServiceDateFrom=2025-11-24&amp;ServiceDateTo=2025-11-24&amp;DumpsterInvNr=13-P-416007", "13-P-416007")</f>
        <v>13-P-416007</v>
      </c>
      <c r="C1150">
        <v>1.8</v>
      </c>
      <c r="D1150" t="s">
        <v>1694</v>
      </c>
      <c r="E1150" t="s">
        <v>11</v>
      </c>
      <c r="F1150" t="s">
        <v>13</v>
      </c>
      <c r="G1150" t="s">
        <v>264</v>
      </c>
      <c r="H1150" t="s">
        <v>14</v>
      </c>
    </row>
    <row r="1151" spans="1:8" hidden="1" x14ac:dyDescent="0.25">
      <c r="A1151" t="s">
        <v>1698</v>
      </c>
      <c r="B1151" s="1" t="str">
        <f>HYPERLINK("https://asmlis.vasa.lt/Dashboard/Served?ServiceDateFrom=2025-11-24&amp;ServiceDateTo=2025-11-24&amp;DumpsterInvNr=13-L-315706", "13-L-315706")</f>
        <v>13-L-315706</v>
      </c>
      <c r="C1151">
        <v>2.5</v>
      </c>
      <c r="D1151" t="s">
        <v>1699</v>
      </c>
      <c r="E1151" t="s">
        <v>11</v>
      </c>
      <c r="F1151" t="s">
        <v>13</v>
      </c>
      <c r="G1151" t="s">
        <v>9</v>
      </c>
      <c r="H1151" t="s">
        <v>14</v>
      </c>
    </row>
    <row r="1152" spans="1:8" hidden="1" x14ac:dyDescent="0.25">
      <c r="A1152" t="s">
        <v>1700</v>
      </c>
      <c r="B1152" s="1" t="str">
        <f>HYPERLINK("https://asmlis.vasa.lt/Dashboard/Served?ServiceDateFrom=2025-11-24&amp;ServiceDateTo=2025-11-24&amp;DumpsterInvNr=13-L-315705", "13-L-315705")</f>
        <v>13-L-315705</v>
      </c>
      <c r="C1152">
        <v>2.5</v>
      </c>
      <c r="D1152" t="s">
        <v>1699</v>
      </c>
      <c r="E1152" t="s">
        <v>11</v>
      </c>
      <c r="F1152" t="s">
        <v>13</v>
      </c>
      <c r="G1152" t="s">
        <v>9</v>
      </c>
      <c r="H1152" t="s">
        <v>14</v>
      </c>
    </row>
    <row r="1153" spans="1:8" hidden="1" x14ac:dyDescent="0.25">
      <c r="A1153" t="s">
        <v>1701</v>
      </c>
      <c r="B1153" s="1" t="str">
        <f>HYPERLINK("https://asmlis.vasa.lt/Dashboard/Served?ServiceDateFrom=2025-11-24&amp;ServiceDateTo=2025-11-24&amp;DumpsterInvNr=13-L-424882", "13-L-424882")</f>
        <v>13-L-424882</v>
      </c>
      <c r="C1153">
        <v>1.1000000000000001</v>
      </c>
      <c r="D1153" t="s">
        <v>1642</v>
      </c>
      <c r="E1153" t="s">
        <v>11</v>
      </c>
      <c r="F1153" t="s">
        <v>13</v>
      </c>
      <c r="G1153" t="s">
        <v>74</v>
      </c>
      <c r="H1153" t="s">
        <v>14</v>
      </c>
    </row>
    <row r="1154" spans="1:8" hidden="1" x14ac:dyDescent="0.25">
      <c r="A1154" t="s">
        <v>1702</v>
      </c>
      <c r="B1154" s="1" t="str">
        <f>HYPERLINK("https://asmlis.vasa.lt/Dashboard/Served?ServiceDateFrom=2025-11-24&amp;ServiceDateTo=2025-11-24&amp;DumpsterInvNr=13-L-404951", "13-L-404951")</f>
        <v>13-L-404951</v>
      </c>
      <c r="C1154">
        <v>0.24</v>
      </c>
      <c r="D1154" t="s">
        <v>1703</v>
      </c>
      <c r="E1154" t="s">
        <v>11</v>
      </c>
      <c r="G1154" t="s">
        <v>74</v>
      </c>
      <c r="H1154" t="s">
        <v>14</v>
      </c>
    </row>
    <row r="1155" spans="1:8" hidden="1" x14ac:dyDescent="0.25">
      <c r="A1155" t="s">
        <v>1704</v>
      </c>
      <c r="B1155" s="1" t="str">
        <f>HYPERLINK("https://asmlis.vasa.lt/Dashboard/Served?ServiceDateFrom=2025-11-24&amp;ServiceDateTo=2025-11-24&amp;DumpsterInvNr=13-L-422057", "13-L-422057")</f>
        <v>13-L-422057</v>
      </c>
      <c r="C1155">
        <v>5</v>
      </c>
      <c r="D1155" t="s">
        <v>1705</v>
      </c>
      <c r="E1155" t="s">
        <v>11</v>
      </c>
      <c r="F1155" t="s">
        <v>13</v>
      </c>
      <c r="G1155" t="s">
        <v>74</v>
      </c>
      <c r="H1155" t="s">
        <v>14</v>
      </c>
    </row>
    <row r="1156" spans="1:8" hidden="1" x14ac:dyDescent="0.25">
      <c r="A1156" t="s">
        <v>1706</v>
      </c>
      <c r="B1156" s="1" t="str">
        <f>HYPERLINK("https://asmlis.vasa.lt/Dashboard/Served?ServiceDateFrom=2025-11-24&amp;ServiceDateTo=2025-11-24&amp;DumpsterInvNr=13-L-427091", "13-L-427091")</f>
        <v>13-L-427091</v>
      </c>
      <c r="C1156">
        <v>1.1000000000000001</v>
      </c>
      <c r="D1156" t="s">
        <v>1678</v>
      </c>
      <c r="E1156" t="s">
        <v>11</v>
      </c>
      <c r="F1156" t="s">
        <v>13</v>
      </c>
      <c r="G1156" t="s">
        <v>74</v>
      </c>
      <c r="H1156" t="s">
        <v>14</v>
      </c>
    </row>
    <row r="1157" spans="1:8" hidden="1" x14ac:dyDescent="0.25">
      <c r="A1157" t="s">
        <v>1707</v>
      </c>
      <c r="B1157" s="1" t="str">
        <f>HYPERLINK("https://asmlis.vasa.lt/Dashboard/Served?ServiceDateFrom=2025-11-24&amp;ServiceDateTo=2025-11-24&amp;DumpsterInvNr=13-L-310999", "13-L-310999")</f>
        <v>13-L-310999</v>
      </c>
      <c r="C1157">
        <v>1.1000000000000001</v>
      </c>
      <c r="D1157" t="s">
        <v>1708</v>
      </c>
      <c r="E1157" t="s">
        <v>11</v>
      </c>
      <c r="G1157" t="s">
        <v>9</v>
      </c>
      <c r="H1157" t="s">
        <v>14</v>
      </c>
    </row>
    <row r="1158" spans="1:8" hidden="1" x14ac:dyDescent="0.25">
      <c r="A1158" t="s">
        <v>1709</v>
      </c>
      <c r="B1158" s="1" t="str">
        <f>HYPERLINK("https://asmlis.vasa.lt/Dashboard/Served?ServiceDateFrom=2025-11-24&amp;ServiceDateTo=2025-11-24&amp;DumpsterInvNr=13-P-401278", "13-P-401278")</f>
        <v>13-P-401278</v>
      </c>
      <c r="C1158">
        <v>5</v>
      </c>
      <c r="D1158" t="s">
        <v>1710</v>
      </c>
      <c r="E1158" t="s">
        <v>11</v>
      </c>
      <c r="F1158" t="s">
        <v>13</v>
      </c>
      <c r="G1158" t="s">
        <v>264</v>
      </c>
      <c r="H1158" t="s">
        <v>14</v>
      </c>
    </row>
    <row r="1159" spans="1:8" hidden="1" x14ac:dyDescent="0.25">
      <c r="A1159" t="s">
        <v>1711</v>
      </c>
      <c r="B1159" s="1" t="str">
        <f>HYPERLINK("https://asmlis.vasa.lt/Dashboard/Served?ServiceDateFrom=2025-11-24&amp;ServiceDateTo=2025-11-24&amp;DumpsterInvNr=13-P-400683", "13-P-400683")</f>
        <v>13-P-400683</v>
      </c>
      <c r="C1159">
        <v>5</v>
      </c>
      <c r="D1159" t="s">
        <v>1712</v>
      </c>
      <c r="E1159" t="s">
        <v>11</v>
      </c>
      <c r="G1159" t="s">
        <v>264</v>
      </c>
      <c r="H1159" t="s">
        <v>14</v>
      </c>
    </row>
    <row r="1160" spans="1:8" hidden="1" x14ac:dyDescent="0.25">
      <c r="A1160" t="s">
        <v>1713</v>
      </c>
      <c r="B1160" s="1" t="str">
        <f>HYPERLINK("https://asmlis.vasa.lt/Dashboard/Served?ServiceDateFrom=2025-11-24&amp;ServiceDateTo=2025-11-24&amp;DumpsterInvNr=13-L-421567", "13-L-421567")</f>
        <v>13-L-421567</v>
      </c>
      <c r="C1160">
        <v>5</v>
      </c>
      <c r="D1160" t="s">
        <v>1714</v>
      </c>
      <c r="E1160" t="s">
        <v>11</v>
      </c>
      <c r="F1160" t="s">
        <v>13</v>
      </c>
      <c r="G1160" t="s">
        <v>74</v>
      </c>
      <c r="H1160" t="s">
        <v>14</v>
      </c>
    </row>
    <row r="1161" spans="1:8" hidden="1" x14ac:dyDescent="0.25">
      <c r="A1161" t="s">
        <v>1715</v>
      </c>
      <c r="B1161" s="1" t="str">
        <f>HYPERLINK("https://asmlis.vasa.lt/Dashboard/Served?ServiceDateFrom=2025-11-24&amp;ServiceDateTo=2025-11-24&amp;DumpsterInvNr=13-P-300213", "13-P-300213")</f>
        <v>13-P-300213</v>
      </c>
      <c r="C1161">
        <v>1.1000000000000001</v>
      </c>
      <c r="D1161" t="s">
        <v>1716</v>
      </c>
      <c r="E1161" t="s">
        <v>11</v>
      </c>
      <c r="G1161" t="s">
        <v>412</v>
      </c>
      <c r="H1161" t="s">
        <v>14</v>
      </c>
    </row>
    <row r="1162" spans="1:8" hidden="1" x14ac:dyDescent="0.25">
      <c r="A1162" t="s">
        <v>1717</v>
      </c>
      <c r="B1162" s="1" t="str">
        <f>HYPERLINK("https://asmlis.vasa.lt/Dashboard/Served?ServiceDateFrom=2025-11-24&amp;ServiceDateTo=2025-11-24&amp;DumpsterInvNr=13-L-404952", "13-L-404952")</f>
        <v>13-L-404952</v>
      </c>
      <c r="C1162">
        <v>0.12</v>
      </c>
      <c r="D1162" t="s">
        <v>1718</v>
      </c>
      <c r="E1162" t="s">
        <v>11</v>
      </c>
      <c r="G1162" t="s">
        <v>74</v>
      </c>
      <c r="H1162" t="s">
        <v>14</v>
      </c>
    </row>
    <row r="1163" spans="1:8" hidden="1" x14ac:dyDescent="0.25">
      <c r="A1163" t="s">
        <v>1719</v>
      </c>
      <c r="B1163" s="1" t="str">
        <f>HYPERLINK("https://asmlis.vasa.lt/Dashboard/Served?ServiceDateFrom=2025-11-24&amp;ServiceDateTo=2025-11-24&amp;DumpsterInvNr=13-L-216060", "13-L-216060")</f>
        <v>13-L-216060</v>
      </c>
      <c r="C1163">
        <v>1.1000000000000001</v>
      </c>
      <c r="D1163" t="s">
        <v>1720</v>
      </c>
      <c r="E1163" t="s">
        <v>11</v>
      </c>
      <c r="G1163" t="s">
        <v>936</v>
      </c>
      <c r="H1163" t="s">
        <v>938</v>
      </c>
    </row>
    <row r="1164" spans="1:8" hidden="1" x14ac:dyDescent="0.25">
      <c r="A1164" t="s">
        <v>1721</v>
      </c>
      <c r="B1164" s="1" t="str">
        <f>HYPERLINK("https://asmlis.vasa.lt/Dashboard/Served?ServiceDateFrom=2025-11-24&amp;ServiceDateTo=2025-11-24&amp;DumpsterInvNr=13-P-416238", "13-P-416238")</f>
        <v>13-P-416238</v>
      </c>
      <c r="C1164">
        <v>1.1000000000000001</v>
      </c>
      <c r="D1164" t="s">
        <v>1722</v>
      </c>
      <c r="E1164" t="s">
        <v>11</v>
      </c>
      <c r="G1164" t="s">
        <v>264</v>
      </c>
      <c r="H1164" t="s">
        <v>14</v>
      </c>
    </row>
    <row r="1165" spans="1:8" hidden="1" x14ac:dyDescent="0.25">
      <c r="A1165" t="s">
        <v>1723</v>
      </c>
      <c r="B1165" s="1" t="str">
        <f>HYPERLINK("https://asmlis.vasa.lt/Dashboard/Served?ServiceDateFrom=2025-11-24&amp;ServiceDateTo=2025-11-24&amp;DumpsterInvNr=13-L-420157", "13-L-420157")</f>
        <v>13-L-420157</v>
      </c>
      <c r="C1165">
        <v>5</v>
      </c>
      <c r="D1165" t="s">
        <v>1724</v>
      </c>
      <c r="E1165" t="s">
        <v>11</v>
      </c>
      <c r="F1165" t="s">
        <v>13</v>
      </c>
      <c r="G1165" t="s">
        <v>74</v>
      </c>
      <c r="H1165" t="s">
        <v>14</v>
      </c>
    </row>
    <row r="1166" spans="1:8" hidden="1" x14ac:dyDescent="0.25">
      <c r="A1166" t="s">
        <v>1725</v>
      </c>
      <c r="B1166" s="1" t="str">
        <f>HYPERLINK("https://asmlis.vasa.lt/Dashboard/Served?ServiceDateFrom=2025-11-24&amp;ServiceDateTo=2025-11-24&amp;DumpsterInvNr=13-L-317237", "13-L-317237")</f>
        <v>13-L-317237</v>
      </c>
      <c r="C1166">
        <v>1.1000000000000001</v>
      </c>
      <c r="D1166" t="s">
        <v>1726</v>
      </c>
      <c r="E1166" t="s">
        <v>11</v>
      </c>
      <c r="G1166" t="s">
        <v>9</v>
      </c>
      <c r="H1166" t="s">
        <v>14</v>
      </c>
    </row>
    <row r="1167" spans="1:8" hidden="1" x14ac:dyDescent="0.25">
      <c r="A1167" t="s">
        <v>1725</v>
      </c>
      <c r="B1167" s="1" t="str">
        <f>HYPERLINK("https://asmlis.vasa.lt/Dashboard/Served?ServiceDateFrom=2025-11-24&amp;ServiceDateTo=2025-11-24&amp;DumpsterInvNr=13-P-306887", "13-P-306887")</f>
        <v>13-P-306887</v>
      </c>
      <c r="C1167">
        <v>1.1000000000000001</v>
      </c>
      <c r="D1167" t="s">
        <v>1716</v>
      </c>
      <c r="E1167" t="s">
        <v>11</v>
      </c>
      <c r="G1167" t="s">
        <v>412</v>
      </c>
      <c r="H1167" t="s">
        <v>14</v>
      </c>
    </row>
    <row r="1168" spans="1:8" hidden="1" x14ac:dyDescent="0.25">
      <c r="A1168" t="s">
        <v>1728</v>
      </c>
      <c r="B1168" s="1" t="str">
        <f>HYPERLINK("https://asmlis.vasa.lt/Dashboard/Served?ServiceDateFrom=2025-11-24&amp;ServiceDateTo=2025-11-24&amp;DumpsterInvNr=13-L-139730", "13-L-139730")</f>
        <v>13-L-139730</v>
      </c>
      <c r="C1168">
        <v>5</v>
      </c>
      <c r="D1168" t="s">
        <v>1729</v>
      </c>
      <c r="E1168" t="s">
        <v>11</v>
      </c>
      <c r="F1168" t="s">
        <v>13</v>
      </c>
      <c r="G1168" t="s">
        <v>430</v>
      </c>
      <c r="H1168" t="s">
        <v>432</v>
      </c>
    </row>
    <row r="1169" spans="1:8" hidden="1" x14ac:dyDescent="0.25">
      <c r="A1169" t="s">
        <v>1730</v>
      </c>
      <c r="B1169" s="1" t="str">
        <f>HYPERLINK("https://asmlis.vasa.lt/Dashboard/Served?ServiceDateFrom=2025-11-24&amp;ServiceDateTo=2025-11-24&amp;DumpsterInvNr=13-L-312742", "13-L-312742")</f>
        <v>13-L-312742</v>
      </c>
      <c r="C1169">
        <v>1.1000000000000001</v>
      </c>
      <c r="D1169" t="s">
        <v>1731</v>
      </c>
      <c r="E1169" t="s">
        <v>11</v>
      </c>
      <c r="G1169" t="s">
        <v>9</v>
      </c>
      <c r="H1169" t="s">
        <v>14</v>
      </c>
    </row>
    <row r="1170" spans="1:8" hidden="1" x14ac:dyDescent="0.25">
      <c r="A1170" t="s">
        <v>1732</v>
      </c>
      <c r="B1170" s="1" t="str">
        <f>HYPERLINK("https://asmlis.vasa.lt/Dashboard/Served?ServiceDateFrom=2025-11-24&amp;ServiceDateTo=2025-11-24&amp;DumpsterInvNr=13-L-404948", "13-L-404948")</f>
        <v>13-L-404948</v>
      </c>
      <c r="C1170">
        <v>0.12</v>
      </c>
      <c r="D1170" t="s">
        <v>1733</v>
      </c>
      <c r="E1170" t="s">
        <v>11</v>
      </c>
      <c r="G1170" t="s">
        <v>74</v>
      </c>
      <c r="H1170" t="s">
        <v>14</v>
      </c>
    </row>
    <row r="1171" spans="1:8" hidden="1" x14ac:dyDescent="0.25">
      <c r="A1171" t="s">
        <v>1734</v>
      </c>
      <c r="B1171" s="1" t="str">
        <f>HYPERLINK("https://asmlis.vasa.lt/Dashboard/Served?ServiceDateFrom=2025-11-24&amp;ServiceDateTo=2025-11-24&amp;DumpsterInvNr=13-P-306808", "13-P-306808")</f>
        <v>13-P-306808</v>
      </c>
      <c r="C1171">
        <v>5</v>
      </c>
      <c r="D1171" t="s">
        <v>1735</v>
      </c>
      <c r="E1171" t="s">
        <v>11</v>
      </c>
      <c r="F1171" t="s">
        <v>13</v>
      </c>
      <c r="G1171" t="s">
        <v>412</v>
      </c>
      <c r="H1171" t="s">
        <v>14</v>
      </c>
    </row>
    <row r="1172" spans="1:8" hidden="1" x14ac:dyDescent="0.25">
      <c r="A1172" t="s">
        <v>1736</v>
      </c>
      <c r="B1172" s="1" t="str">
        <f>HYPERLINK("https://asmlis.vasa.lt/Dashboard/Served?ServiceDateFrom=2025-11-24&amp;ServiceDateTo=2025-11-24&amp;DumpsterInvNr=13-P-301821", "13-P-301821")</f>
        <v>13-P-301821</v>
      </c>
      <c r="C1172">
        <v>1.1000000000000001</v>
      </c>
      <c r="D1172" t="s">
        <v>1716</v>
      </c>
      <c r="E1172" t="s">
        <v>11</v>
      </c>
      <c r="F1172" t="s">
        <v>13</v>
      </c>
      <c r="G1172" t="s">
        <v>412</v>
      </c>
      <c r="H1172" t="s">
        <v>14</v>
      </c>
    </row>
    <row r="1173" spans="1:8" hidden="1" x14ac:dyDescent="0.25">
      <c r="A1173" t="s">
        <v>1737</v>
      </c>
      <c r="B1173" s="1" t="str">
        <f>HYPERLINK("https://asmlis.vasa.lt/Dashboard/Served?ServiceDateFrom=2025-11-24&amp;ServiceDateTo=2025-11-24&amp;DumpsterInvNr=13-L-317127", "13-L-317127")</f>
        <v>13-L-317127</v>
      </c>
      <c r="C1173">
        <v>1.1000000000000001</v>
      </c>
      <c r="D1173" t="s">
        <v>1731</v>
      </c>
      <c r="E1173" t="s">
        <v>11</v>
      </c>
      <c r="G1173" t="s">
        <v>9</v>
      </c>
      <c r="H1173" t="s">
        <v>14</v>
      </c>
    </row>
    <row r="1174" spans="1:8" hidden="1" x14ac:dyDescent="0.25">
      <c r="A1174" t="s">
        <v>1738</v>
      </c>
      <c r="B1174" s="1" t="str">
        <f>HYPERLINK("https://asmlis.vasa.lt/Dashboard/Served?ServiceDateFrom=2025-11-24&amp;ServiceDateTo=2025-11-24&amp;DumpsterInvNr=13-L-314378", "13-L-314378")</f>
        <v>13-L-314378</v>
      </c>
      <c r="C1174">
        <v>1.1000000000000001</v>
      </c>
      <c r="D1174" t="s">
        <v>1739</v>
      </c>
      <c r="E1174" t="s">
        <v>11</v>
      </c>
      <c r="G1174" t="s">
        <v>9</v>
      </c>
      <c r="H1174" t="s">
        <v>14</v>
      </c>
    </row>
    <row r="1175" spans="1:8" hidden="1" x14ac:dyDescent="0.25">
      <c r="A1175" t="s">
        <v>1740</v>
      </c>
      <c r="B1175" s="1" t="str">
        <f>HYPERLINK("https://asmlis.vasa.lt/Dashboard/Served?ServiceDateFrom=2025-11-24&amp;ServiceDateTo=2025-11-24&amp;DumpsterInvNr=13-L-421248", "13-L-421248")</f>
        <v>13-L-421248</v>
      </c>
      <c r="C1175">
        <v>1.1000000000000001</v>
      </c>
      <c r="D1175" t="s">
        <v>1741</v>
      </c>
      <c r="E1175" t="s">
        <v>11</v>
      </c>
      <c r="F1175" t="s">
        <v>13</v>
      </c>
      <c r="G1175" t="s">
        <v>74</v>
      </c>
      <c r="H1175" t="s">
        <v>14</v>
      </c>
    </row>
    <row r="1176" spans="1:8" hidden="1" x14ac:dyDescent="0.25">
      <c r="A1176" t="s">
        <v>1742</v>
      </c>
      <c r="B1176" s="1" t="str">
        <f>HYPERLINK("https://asmlis.vasa.lt/Dashboard/Served?ServiceDateFrom=2025-11-24&amp;ServiceDateTo=2025-11-24&amp;DumpsterInvNr=13-L-315106", "13-L-315106")</f>
        <v>13-L-315106</v>
      </c>
      <c r="C1176">
        <v>1.1000000000000001</v>
      </c>
      <c r="D1176" t="s">
        <v>1726</v>
      </c>
      <c r="E1176" t="s">
        <v>11</v>
      </c>
      <c r="G1176" t="s">
        <v>9</v>
      </c>
      <c r="H1176" t="s">
        <v>14</v>
      </c>
    </row>
    <row r="1177" spans="1:8" hidden="1" x14ac:dyDescent="0.25">
      <c r="A1177" t="s">
        <v>1743</v>
      </c>
      <c r="B1177" s="1" t="str">
        <f>HYPERLINK("https://asmlis.vasa.lt/Dashboard/Served?ServiceDateFrom=2025-11-24&amp;ServiceDateTo=2025-11-24&amp;DumpsterInvNr=13-L-318941", "13-L-318941")</f>
        <v>13-L-318941</v>
      </c>
      <c r="C1177">
        <v>1.1000000000000001</v>
      </c>
      <c r="D1177" t="s">
        <v>1731</v>
      </c>
      <c r="E1177" t="s">
        <v>11</v>
      </c>
      <c r="G1177" t="s">
        <v>9</v>
      </c>
      <c r="H1177" t="s">
        <v>14</v>
      </c>
    </row>
    <row r="1178" spans="1:8" hidden="1" x14ac:dyDescent="0.25">
      <c r="A1178" t="s">
        <v>1744</v>
      </c>
      <c r="B1178" s="1" t="str">
        <f>HYPERLINK("https://asmlis.vasa.lt/Dashboard/Served?ServiceDateFrom=2025-11-24&amp;ServiceDateTo=2025-11-24&amp;DumpsterInvNr=13-L-314604", "13-L-314604")</f>
        <v>13-L-314604</v>
      </c>
      <c r="C1178">
        <v>1.1000000000000001</v>
      </c>
      <c r="D1178" t="s">
        <v>1739</v>
      </c>
      <c r="E1178" t="s">
        <v>11</v>
      </c>
      <c r="F1178" t="s">
        <v>13</v>
      </c>
      <c r="G1178" t="s">
        <v>9</v>
      </c>
      <c r="H1178" t="s">
        <v>14</v>
      </c>
    </row>
    <row r="1179" spans="1:8" hidden="1" x14ac:dyDescent="0.25">
      <c r="A1179" t="s">
        <v>1745</v>
      </c>
      <c r="B1179" s="1" t="str">
        <f>HYPERLINK("https://asmlis.vasa.lt/Dashboard/Served?ServiceDateFrom=2025-11-24&amp;ServiceDateTo=2025-11-24&amp;DumpsterInvNr=13-P-405426", "13-P-405426")</f>
        <v>13-P-405426</v>
      </c>
      <c r="C1179">
        <v>5</v>
      </c>
      <c r="D1179" t="s">
        <v>1746</v>
      </c>
      <c r="E1179" t="s">
        <v>11</v>
      </c>
      <c r="F1179" t="s">
        <v>13</v>
      </c>
      <c r="G1179" t="s">
        <v>264</v>
      </c>
      <c r="H1179" t="s">
        <v>14</v>
      </c>
    </row>
    <row r="1180" spans="1:8" hidden="1" x14ac:dyDescent="0.25">
      <c r="A1180" t="s">
        <v>1747</v>
      </c>
      <c r="B1180" s="1" t="str">
        <f>HYPERLINK("https://asmlis.vasa.lt/Dashboard/Served?ServiceDateFrom=2025-11-24&amp;ServiceDateTo=2025-11-24&amp;DumpsterInvNr=13-P-400638", "13-P-400638")</f>
        <v>13-P-400638</v>
      </c>
      <c r="C1180">
        <v>3</v>
      </c>
      <c r="D1180" t="s">
        <v>1746</v>
      </c>
      <c r="E1180" t="s">
        <v>11</v>
      </c>
      <c r="F1180" t="s">
        <v>13</v>
      </c>
      <c r="G1180" t="s">
        <v>264</v>
      </c>
      <c r="H1180" t="s">
        <v>14</v>
      </c>
    </row>
    <row r="1181" spans="1:8" hidden="1" x14ac:dyDescent="0.25">
      <c r="A1181" t="s">
        <v>1748</v>
      </c>
      <c r="B1181" s="1" t="str">
        <f>HYPERLINK("https://asmlis.vasa.lt/Dashboard/Served?ServiceDateFrom=2025-11-24&amp;ServiceDateTo=2025-11-24&amp;DumpsterInvNr=13-L-309663", "13-L-309663")</f>
        <v>13-L-309663</v>
      </c>
      <c r="C1181">
        <v>5</v>
      </c>
      <c r="D1181" t="s">
        <v>1749</v>
      </c>
      <c r="E1181" t="s">
        <v>11</v>
      </c>
      <c r="F1181" t="s">
        <v>13</v>
      </c>
      <c r="G1181" t="s">
        <v>9</v>
      </c>
      <c r="H1181" t="s">
        <v>14</v>
      </c>
    </row>
    <row r="1182" spans="1:8" hidden="1" x14ac:dyDescent="0.25">
      <c r="A1182" t="s">
        <v>1750</v>
      </c>
      <c r="B1182" s="1" t="str">
        <f>HYPERLINK("https://asmlis.vasa.lt/Dashboard/Served?ServiceDateFrom=2025-11-24&amp;ServiceDateTo=2025-11-24&amp;DumpsterInvNr=13-L-404946", "13-L-404946")</f>
        <v>13-L-404946</v>
      </c>
      <c r="C1182">
        <v>0.12</v>
      </c>
      <c r="D1182" t="s">
        <v>1751</v>
      </c>
      <c r="E1182" t="s">
        <v>11</v>
      </c>
      <c r="G1182" t="s">
        <v>74</v>
      </c>
      <c r="H1182" t="s">
        <v>14</v>
      </c>
    </row>
    <row r="1183" spans="1:8" hidden="1" x14ac:dyDescent="0.25">
      <c r="A1183" t="s">
        <v>1752</v>
      </c>
      <c r="B1183" s="1" t="str">
        <f>HYPERLINK("https://asmlis.vasa.lt/Dashboard/Served?ServiceDateFrom=2025-11-24&amp;ServiceDateTo=2025-11-24&amp;DumpsterInvNr=13-L-404941", "13-L-404941")</f>
        <v>13-L-404941</v>
      </c>
      <c r="C1183">
        <v>0.12</v>
      </c>
      <c r="D1183" t="s">
        <v>1753</v>
      </c>
      <c r="E1183" t="s">
        <v>11</v>
      </c>
      <c r="G1183" t="s">
        <v>74</v>
      </c>
      <c r="H1183" t="s">
        <v>14</v>
      </c>
    </row>
    <row r="1184" spans="1:8" hidden="1" x14ac:dyDescent="0.25">
      <c r="A1184" t="s">
        <v>1754</v>
      </c>
      <c r="B1184" s="1" t="str">
        <f>HYPERLINK("https://asmlis.vasa.lt/Dashboard/Served?ServiceDateFrom=2025-11-24&amp;ServiceDateTo=2025-11-24&amp;DumpsterInvNr=13-P-400567", "13-P-400567")</f>
        <v>13-P-400567</v>
      </c>
      <c r="C1184">
        <v>5</v>
      </c>
      <c r="D1184" t="s">
        <v>1755</v>
      </c>
      <c r="E1184" t="s">
        <v>11</v>
      </c>
      <c r="G1184" t="s">
        <v>264</v>
      </c>
      <c r="H1184" t="s">
        <v>14</v>
      </c>
    </row>
    <row r="1185" spans="1:8" hidden="1" x14ac:dyDescent="0.25">
      <c r="A1185" t="s">
        <v>1756</v>
      </c>
      <c r="B1185" s="1" t="str">
        <f>HYPERLINK("https://asmlis.vasa.lt/Dashboard/Served?ServiceDateFrom=2025-11-24&amp;ServiceDateTo=2025-11-24&amp;DumpsterInvNr=13-L-421914", "13-L-421914")</f>
        <v>13-L-421914</v>
      </c>
      <c r="C1185">
        <v>5</v>
      </c>
      <c r="D1185" t="s">
        <v>1757</v>
      </c>
      <c r="E1185" t="s">
        <v>11</v>
      </c>
      <c r="G1185" t="s">
        <v>74</v>
      </c>
      <c r="H1185" t="s">
        <v>14</v>
      </c>
    </row>
    <row r="1186" spans="1:8" hidden="1" x14ac:dyDescent="0.25">
      <c r="A1186" t="s">
        <v>1758</v>
      </c>
      <c r="B1186" s="1" t="str">
        <f>HYPERLINK("https://asmlis.vasa.lt/Dashboard/Served?ServiceDateFrom=2025-11-24&amp;ServiceDateTo=2025-11-24&amp;DumpsterInvNr=13-L-404944", "13-L-404944")</f>
        <v>13-L-404944</v>
      </c>
      <c r="C1186">
        <v>0.12</v>
      </c>
      <c r="D1186" t="s">
        <v>1759</v>
      </c>
      <c r="E1186" t="s">
        <v>11</v>
      </c>
      <c r="G1186" t="s">
        <v>74</v>
      </c>
      <c r="H1186" t="s">
        <v>14</v>
      </c>
    </row>
    <row r="1187" spans="1:8" hidden="1" x14ac:dyDescent="0.25">
      <c r="A1187" t="s">
        <v>1758</v>
      </c>
      <c r="B1187" s="1" t="str">
        <f>HYPERLINK("https://asmlis.vasa.lt/Dashboard/Served?ServiceDateFrom=2025-11-24&amp;ServiceDateTo=2025-11-24&amp;DumpsterInvNr=13-L-408824", "13-L-408824")</f>
        <v>13-L-408824</v>
      </c>
      <c r="C1187">
        <v>0.24</v>
      </c>
      <c r="D1187" t="s">
        <v>1760</v>
      </c>
      <c r="E1187" t="s">
        <v>11</v>
      </c>
      <c r="G1187" t="s">
        <v>74</v>
      </c>
      <c r="H1187" t="s">
        <v>14</v>
      </c>
    </row>
    <row r="1188" spans="1:8" hidden="1" x14ac:dyDescent="0.25">
      <c r="A1188" t="s">
        <v>1761</v>
      </c>
      <c r="B1188" s="1" t="str">
        <f>HYPERLINK("https://asmlis.vasa.lt/Dashboard/Served?ServiceDateFrom=2025-11-24&amp;ServiceDateTo=2025-11-24&amp;DumpsterInvNr=13-L-318568", "13-L-318568")</f>
        <v>13-L-318568</v>
      </c>
      <c r="C1188">
        <v>1.1000000000000001</v>
      </c>
      <c r="D1188" t="s">
        <v>1762</v>
      </c>
      <c r="E1188" t="s">
        <v>11</v>
      </c>
      <c r="G1188" t="s">
        <v>9</v>
      </c>
      <c r="H1188" t="s">
        <v>14</v>
      </c>
    </row>
    <row r="1189" spans="1:8" hidden="1" x14ac:dyDescent="0.25">
      <c r="A1189" t="s">
        <v>1763</v>
      </c>
      <c r="B1189" s="1" t="str">
        <f>HYPERLINK("https://asmlis.vasa.lt/Dashboard/Served?ServiceDateFrom=2025-11-24&amp;ServiceDateTo=2025-11-24&amp;DumpsterInvNr=13-P-409193", "13-P-409193")</f>
        <v>13-P-409193</v>
      </c>
      <c r="C1189">
        <v>1.1000000000000001</v>
      </c>
      <c r="D1189" t="s">
        <v>1764</v>
      </c>
      <c r="E1189" t="s">
        <v>11</v>
      </c>
      <c r="F1189" t="s">
        <v>13</v>
      </c>
      <c r="G1189" t="s">
        <v>264</v>
      </c>
      <c r="H1189" t="s">
        <v>14</v>
      </c>
    </row>
    <row r="1190" spans="1:8" hidden="1" x14ac:dyDescent="0.25">
      <c r="A1190" t="s">
        <v>1765</v>
      </c>
      <c r="B1190" s="1" t="str">
        <f>HYPERLINK("https://asmlis.vasa.lt/Dashboard/Served?ServiceDateFrom=2025-11-24&amp;ServiceDateTo=2025-11-24&amp;DumpsterInvNr=13-L-318569", "13-L-318569")</f>
        <v>13-L-318569</v>
      </c>
      <c r="C1190">
        <v>1.1000000000000001</v>
      </c>
      <c r="D1190" t="s">
        <v>1762</v>
      </c>
      <c r="E1190" t="s">
        <v>11</v>
      </c>
      <c r="G1190" t="s">
        <v>9</v>
      </c>
      <c r="H1190" t="s">
        <v>14</v>
      </c>
    </row>
    <row r="1191" spans="1:8" hidden="1" x14ac:dyDescent="0.25">
      <c r="A1191" t="s">
        <v>1766</v>
      </c>
      <c r="B1191" s="1" t="str">
        <f>HYPERLINK("https://asmlis.vasa.lt/Dashboard/Served?ServiceDateFrom=2025-11-24&amp;ServiceDateTo=2025-11-24&amp;DumpsterInvNr=13-L-143546", "13-L-143546")</f>
        <v>13-L-143546</v>
      </c>
      <c r="C1191">
        <v>5</v>
      </c>
      <c r="D1191" t="s">
        <v>1767</v>
      </c>
      <c r="E1191" t="s">
        <v>11</v>
      </c>
      <c r="F1191" t="s">
        <v>13</v>
      </c>
      <c r="G1191" t="s">
        <v>430</v>
      </c>
      <c r="H1191" t="s">
        <v>432</v>
      </c>
    </row>
    <row r="1192" spans="1:8" hidden="1" x14ac:dyDescent="0.25">
      <c r="A1192" t="s">
        <v>1768</v>
      </c>
      <c r="B1192" s="1" t="str">
        <f>HYPERLINK("https://asmlis.vasa.lt/Dashboard/Served?ServiceDateFrom=2025-11-24&amp;ServiceDateTo=2025-11-24&amp;DumpsterInvNr=13-L-404943", "13-L-404943")</f>
        <v>13-L-404943</v>
      </c>
      <c r="C1192">
        <v>0.12</v>
      </c>
      <c r="D1192" t="s">
        <v>1769</v>
      </c>
      <c r="E1192" t="s">
        <v>11</v>
      </c>
      <c r="G1192" t="s">
        <v>74</v>
      </c>
      <c r="H1192" t="s">
        <v>14</v>
      </c>
    </row>
    <row r="1193" spans="1:8" hidden="1" x14ac:dyDescent="0.25">
      <c r="A1193" t="s">
        <v>1768</v>
      </c>
      <c r="B1193" s="1" t="str">
        <f>HYPERLINK("https://asmlis.vasa.lt/Dashboard/Served?ServiceDateFrom=2025-11-24&amp;ServiceDateTo=2025-11-24&amp;DumpsterInvNr=13-L-404942", "13-L-404942")</f>
        <v>13-L-404942</v>
      </c>
      <c r="C1193">
        <v>0.12</v>
      </c>
      <c r="D1193" t="s">
        <v>1770</v>
      </c>
      <c r="E1193" t="s">
        <v>11</v>
      </c>
      <c r="G1193" t="s">
        <v>74</v>
      </c>
      <c r="H1193" t="s">
        <v>14</v>
      </c>
    </row>
    <row r="1194" spans="1:8" hidden="1" x14ac:dyDescent="0.25">
      <c r="A1194" t="s">
        <v>1771</v>
      </c>
      <c r="B1194" s="1" t="str">
        <f>HYPERLINK("https://asmlis.vasa.lt/Dashboard/Served?ServiceDateFrom=2025-11-24&amp;ServiceDateTo=2025-11-24&amp;DumpsterInvNr=13-L-314623", "13-L-314623")</f>
        <v>13-L-314623</v>
      </c>
      <c r="C1194">
        <v>1.1000000000000001</v>
      </c>
      <c r="D1194" t="s">
        <v>1772</v>
      </c>
      <c r="E1194" t="s">
        <v>11</v>
      </c>
      <c r="G1194" t="s">
        <v>9</v>
      </c>
      <c r="H1194" t="s">
        <v>14</v>
      </c>
    </row>
    <row r="1195" spans="1:8" hidden="1" x14ac:dyDescent="0.25">
      <c r="A1195" t="s">
        <v>1773</v>
      </c>
      <c r="B1195" s="1" t="str">
        <f>HYPERLINK("https://asmlis.vasa.lt/Dashboard/Served?ServiceDateFrom=2025-11-24&amp;ServiceDateTo=2025-11-24&amp;DumpsterInvNr=13-L-404945", "13-L-404945")</f>
        <v>13-L-404945</v>
      </c>
      <c r="C1195">
        <v>0.12</v>
      </c>
      <c r="D1195" t="s">
        <v>1774</v>
      </c>
      <c r="E1195" t="s">
        <v>11</v>
      </c>
      <c r="F1195" t="s">
        <v>1209</v>
      </c>
      <c r="G1195" t="s">
        <v>74</v>
      </c>
      <c r="H1195" t="s">
        <v>14</v>
      </c>
    </row>
    <row r="1196" spans="1:8" hidden="1" x14ac:dyDescent="0.25">
      <c r="A1196" t="s">
        <v>1775</v>
      </c>
      <c r="B1196" s="1" t="str">
        <f>HYPERLINK("https://asmlis.vasa.lt/Dashboard/Served?ServiceDateFrom=2025-11-24&amp;ServiceDateTo=2025-11-24&amp;DumpsterInvNr=13-L-404947", "13-L-404947")</f>
        <v>13-L-404947</v>
      </c>
      <c r="C1196">
        <v>0.24</v>
      </c>
      <c r="D1196" t="s">
        <v>1776</v>
      </c>
      <c r="E1196" t="s">
        <v>11</v>
      </c>
      <c r="F1196" t="s">
        <v>1209</v>
      </c>
      <c r="G1196" t="s">
        <v>74</v>
      </c>
      <c r="H1196" t="s">
        <v>14</v>
      </c>
    </row>
    <row r="1197" spans="1:8" hidden="1" x14ac:dyDescent="0.25">
      <c r="A1197" t="s">
        <v>1777</v>
      </c>
      <c r="B1197" s="1" t="str">
        <f>HYPERLINK("https://asmlis.vasa.lt/Dashboard/Served?ServiceDateFrom=2025-11-24&amp;ServiceDateTo=2025-11-24&amp;DumpsterInvNr=13-L-315453", "13-L-315453")</f>
        <v>13-L-315453</v>
      </c>
      <c r="C1197">
        <v>1.1000000000000001</v>
      </c>
      <c r="D1197" t="s">
        <v>1778</v>
      </c>
      <c r="E1197" t="s">
        <v>11</v>
      </c>
      <c r="G1197" t="s">
        <v>9</v>
      </c>
      <c r="H1197" t="s">
        <v>14</v>
      </c>
    </row>
    <row r="1198" spans="1:8" hidden="1" x14ac:dyDescent="0.25">
      <c r="A1198" t="s">
        <v>1779</v>
      </c>
      <c r="B1198" s="1" t="str">
        <f>HYPERLINK("https://asmlis.vasa.lt/Dashboard/Served?ServiceDateFrom=2025-11-24&amp;ServiceDateTo=2025-11-24&amp;DumpsterInvNr=13-L-422521", "13-L-422521")</f>
        <v>13-L-422521</v>
      </c>
      <c r="C1198">
        <v>1.1000000000000001</v>
      </c>
      <c r="D1198" t="s">
        <v>1780</v>
      </c>
      <c r="E1198" t="s">
        <v>11</v>
      </c>
      <c r="G1198" t="s">
        <v>74</v>
      </c>
      <c r="H1198" t="s">
        <v>14</v>
      </c>
    </row>
    <row r="1199" spans="1:8" hidden="1" x14ac:dyDescent="0.25">
      <c r="A1199" t="s">
        <v>1781</v>
      </c>
      <c r="B1199" s="1" t="str">
        <f>HYPERLINK("https://asmlis.vasa.lt/Dashboard/Served?ServiceDateFrom=2025-11-24&amp;ServiceDateTo=2025-11-24&amp;DumpsterInvNr=13-L-390064", "13-L-390064")</f>
        <v>13-L-390064</v>
      </c>
      <c r="C1199">
        <v>1.1000000000000001</v>
      </c>
      <c r="D1199" t="s">
        <v>1762</v>
      </c>
      <c r="E1199" t="s">
        <v>11</v>
      </c>
      <c r="G1199" t="s">
        <v>9</v>
      </c>
      <c r="H1199" t="s">
        <v>14</v>
      </c>
    </row>
    <row r="1200" spans="1:8" hidden="1" x14ac:dyDescent="0.25">
      <c r="A1200" t="s">
        <v>1782</v>
      </c>
      <c r="B1200" s="1" t="str">
        <f>HYPERLINK("https://asmlis.vasa.lt/Dashboard/Served?ServiceDateFrom=2025-11-24&amp;ServiceDateTo=2025-11-24&amp;DumpsterInvNr=13-L-404940", "13-L-404940")</f>
        <v>13-L-404940</v>
      </c>
      <c r="C1200">
        <v>0.24</v>
      </c>
      <c r="D1200" t="s">
        <v>1783</v>
      </c>
      <c r="E1200" t="s">
        <v>11</v>
      </c>
      <c r="G1200" t="s">
        <v>74</v>
      </c>
      <c r="H1200" t="s">
        <v>14</v>
      </c>
    </row>
    <row r="1201" spans="1:8" hidden="1" x14ac:dyDescent="0.25">
      <c r="A1201" t="s">
        <v>1782</v>
      </c>
      <c r="B1201" s="1" t="str">
        <f>HYPERLINK("https://asmlis.vasa.lt/Dashboard/Served?ServiceDateFrom=2025-11-24&amp;ServiceDateTo=2025-11-24&amp;DumpsterInvNr=13-L-404939", "13-L-404939")</f>
        <v>13-L-404939</v>
      </c>
      <c r="C1201">
        <v>0.12</v>
      </c>
      <c r="D1201" t="s">
        <v>1784</v>
      </c>
      <c r="E1201" t="s">
        <v>11</v>
      </c>
      <c r="G1201" t="s">
        <v>74</v>
      </c>
      <c r="H1201" t="s">
        <v>14</v>
      </c>
    </row>
    <row r="1202" spans="1:8" hidden="1" x14ac:dyDescent="0.25">
      <c r="A1202" t="s">
        <v>1785</v>
      </c>
      <c r="B1202" s="1" t="str">
        <f>HYPERLINK("https://asmlis.vasa.lt/Dashboard/Served?ServiceDateFrom=2025-11-24&amp;ServiceDateTo=2025-11-24&amp;DumpsterInvNr=13-P-416086", "13-P-416086")</f>
        <v>13-P-416086</v>
      </c>
      <c r="C1202">
        <v>5</v>
      </c>
      <c r="D1202" t="s">
        <v>1786</v>
      </c>
      <c r="E1202" t="s">
        <v>11</v>
      </c>
      <c r="F1202" t="s">
        <v>13</v>
      </c>
      <c r="G1202" t="s">
        <v>264</v>
      </c>
      <c r="H1202" t="s">
        <v>14</v>
      </c>
    </row>
    <row r="1203" spans="1:8" hidden="1" x14ac:dyDescent="0.25">
      <c r="A1203" t="s">
        <v>1785</v>
      </c>
      <c r="B1203" s="1" t="str">
        <f>HYPERLINK("https://asmlis.vasa.lt/Dashboard/Served?ServiceDateFrom=2025-11-24&amp;ServiceDateTo=2025-11-24&amp;DumpsterInvNr=13-L-319669", "13-L-319669")</f>
        <v>13-L-319669</v>
      </c>
      <c r="C1203">
        <v>1.1000000000000001</v>
      </c>
      <c r="D1203" t="s">
        <v>1731</v>
      </c>
      <c r="E1203" t="s">
        <v>11</v>
      </c>
      <c r="F1203" t="s">
        <v>13</v>
      </c>
      <c r="G1203" t="s">
        <v>9</v>
      </c>
      <c r="H1203" t="s">
        <v>14</v>
      </c>
    </row>
    <row r="1204" spans="1:8" hidden="1" x14ac:dyDescent="0.25">
      <c r="A1204" t="s">
        <v>1788</v>
      </c>
      <c r="B1204" s="1" t="str">
        <f>HYPERLINK("https://asmlis.vasa.lt/Dashboard/Served?ServiceDateFrom=2025-11-24&amp;ServiceDateTo=2025-11-24&amp;DumpsterInvNr=13-L-212720", "13-L-212720")</f>
        <v>13-L-212720</v>
      </c>
      <c r="C1204">
        <v>1.1000000000000001</v>
      </c>
      <c r="D1204" t="s">
        <v>1789</v>
      </c>
      <c r="E1204" t="s">
        <v>11</v>
      </c>
      <c r="F1204" t="s">
        <v>13</v>
      </c>
      <c r="G1204" t="s">
        <v>936</v>
      </c>
      <c r="H1204" t="s">
        <v>938</v>
      </c>
    </row>
    <row r="1205" spans="1:8" hidden="1" x14ac:dyDescent="0.25">
      <c r="A1205" t="s">
        <v>1790</v>
      </c>
      <c r="B1205" s="1" t="str">
        <f>HYPERLINK("https://asmlis.vasa.lt/Dashboard/Served?ServiceDateFrom=2025-11-24&amp;ServiceDateTo=2025-11-24&amp;DumpsterInvNr=13-L-222231", "13-L-222231")</f>
        <v>13-L-222231</v>
      </c>
      <c r="C1205">
        <v>1.1000000000000001</v>
      </c>
      <c r="D1205" t="s">
        <v>1791</v>
      </c>
      <c r="E1205" t="s">
        <v>11</v>
      </c>
      <c r="F1205" t="s">
        <v>13</v>
      </c>
      <c r="G1205" t="s">
        <v>936</v>
      </c>
      <c r="H1205" t="s">
        <v>938</v>
      </c>
    </row>
    <row r="1206" spans="1:8" hidden="1" x14ac:dyDescent="0.25">
      <c r="A1206" t="s">
        <v>1792</v>
      </c>
      <c r="B1206" s="1" t="str">
        <f>HYPERLINK("https://asmlis.vasa.lt/Dashboard/Served?ServiceDateFrom=2025-11-24&amp;ServiceDateTo=2025-11-24&amp;DumpsterInvNr=13-L-309637", "13-L-309637")</f>
        <v>13-L-309637</v>
      </c>
      <c r="C1206">
        <v>5</v>
      </c>
      <c r="D1206" t="s">
        <v>1793</v>
      </c>
      <c r="E1206" t="s">
        <v>11</v>
      </c>
      <c r="F1206" t="s">
        <v>13</v>
      </c>
      <c r="G1206" t="s">
        <v>9</v>
      </c>
      <c r="H1206" t="s">
        <v>14</v>
      </c>
    </row>
    <row r="1207" spans="1:8" hidden="1" x14ac:dyDescent="0.25">
      <c r="A1207" t="s">
        <v>1794</v>
      </c>
      <c r="B1207" s="1" t="str">
        <f>HYPERLINK("https://asmlis.vasa.lt/Dashboard/Served?ServiceDateFrom=2025-11-24&amp;ServiceDateTo=2025-11-24&amp;DumpsterInvNr=13-L-424452", "13-L-424452")</f>
        <v>13-L-424452</v>
      </c>
      <c r="C1207">
        <v>5</v>
      </c>
      <c r="D1207" t="s">
        <v>1796</v>
      </c>
      <c r="E1207" t="s">
        <v>11</v>
      </c>
      <c r="G1207" t="s">
        <v>74</v>
      </c>
      <c r="H1207" t="s">
        <v>14</v>
      </c>
    </row>
    <row r="1208" spans="1:8" hidden="1" x14ac:dyDescent="0.25">
      <c r="A1208" t="s">
        <v>1797</v>
      </c>
      <c r="B1208" s="1" t="str">
        <f>HYPERLINK("https://asmlis.vasa.lt/Dashboard/Served?ServiceDateFrom=2025-11-24&amp;ServiceDateTo=2025-11-24&amp;DumpsterInvNr=13-P-300297", "13-P-300297")</f>
        <v>13-P-300297</v>
      </c>
      <c r="C1208">
        <v>1.1000000000000001</v>
      </c>
      <c r="D1208" t="s">
        <v>1798</v>
      </c>
      <c r="E1208" t="s">
        <v>11</v>
      </c>
      <c r="F1208" t="s">
        <v>13</v>
      </c>
      <c r="G1208" t="s">
        <v>412</v>
      </c>
      <c r="H1208" t="s">
        <v>14</v>
      </c>
    </row>
    <row r="1209" spans="1:8" hidden="1" x14ac:dyDescent="0.25">
      <c r="A1209" t="s">
        <v>1799</v>
      </c>
      <c r="B1209" s="1" t="str">
        <f>HYPERLINK("https://asmlis.vasa.lt/Dashboard/Served?ServiceDateFrom=2025-11-24&amp;ServiceDateTo=2025-11-24&amp;DumpsterInvNr=13-L-404938", "13-L-404938")</f>
        <v>13-L-404938</v>
      </c>
      <c r="C1209">
        <v>0.12</v>
      </c>
      <c r="D1209" t="s">
        <v>1800</v>
      </c>
      <c r="E1209" t="s">
        <v>11</v>
      </c>
      <c r="G1209" t="s">
        <v>74</v>
      </c>
      <c r="H1209" t="s">
        <v>14</v>
      </c>
    </row>
    <row r="1210" spans="1:8" hidden="1" x14ac:dyDescent="0.25">
      <c r="A1210" t="s">
        <v>1801</v>
      </c>
      <c r="B1210" s="1" t="str">
        <f>HYPERLINK("https://asmlis.vasa.lt/Dashboard/Served?ServiceDateFrom=2025-11-24&amp;ServiceDateTo=2025-11-24&amp;DumpsterInvNr=13-L-312008", "13-L-312008")</f>
        <v>13-L-312008</v>
      </c>
      <c r="C1210">
        <v>1.1000000000000001</v>
      </c>
      <c r="D1210" t="s">
        <v>1802</v>
      </c>
      <c r="E1210" t="s">
        <v>11</v>
      </c>
      <c r="F1210" t="s">
        <v>13</v>
      </c>
      <c r="G1210" t="s">
        <v>9</v>
      </c>
      <c r="H1210" t="s">
        <v>14</v>
      </c>
    </row>
    <row r="1211" spans="1:8" hidden="1" x14ac:dyDescent="0.25">
      <c r="A1211" t="s">
        <v>1803</v>
      </c>
      <c r="B1211" s="1" t="str">
        <f>HYPERLINK("https://asmlis.vasa.lt/Dashboard/Served?ServiceDateFrom=2025-11-24&amp;ServiceDateTo=2025-11-24&amp;DumpsterInvNr=13-L-426184", "13-L-426184")</f>
        <v>13-L-426184</v>
      </c>
      <c r="C1211">
        <v>1.1000000000000001</v>
      </c>
      <c r="D1211" t="s">
        <v>1780</v>
      </c>
      <c r="E1211" t="s">
        <v>11</v>
      </c>
      <c r="G1211" t="s">
        <v>74</v>
      </c>
      <c r="H1211" t="s">
        <v>14</v>
      </c>
    </row>
    <row r="1212" spans="1:8" hidden="1" x14ac:dyDescent="0.25">
      <c r="A1212" t="s">
        <v>1804</v>
      </c>
      <c r="B1212" s="1" t="str">
        <f>HYPERLINK("https://asmlis.vasa.lt/Dashboard/Served?ServiceDateFrom=2025-11-24&amp;ServiceDateTo=2025-11-24&amp;DumpsterInvNr=13-L-424785", "13-L-424785")</f>
        <v>13-L-424785</v>
      </c>
      <c r="C1212">
        <v>1.1000000000000001</v>
      </c>
      <c r="D1212" t="s">
        <v>1780</v>
      </c>
      <c r="E1212" t="s">
        <v>11</v>
      </c>
      <c r="G1212" t="s">
        <v>74</v>
      </c>
      <c r="H1212" t="s">
        <v>14</v>
      </c>
    </row>
    <row r="1213" spans="1:8" hidden="1" x14ac:dyDescent="0.25">
      <c r="A1213" t="s">
        <v>1805</v>
      </c>
      <c r="B1213" s="1" t="str">
        <f>HYPERLINK("https://asmlis.vasa.lt/Dashboard/Served?ServiceDateFrom=2025-11-24&amp;ServiceDateTo=2025-11-24&amp;DumpsterInvNr=13-L-314521", "13-L-314521")</f>
        <v>13-L-314521</v>
      </c>
      <c r="C1213">
        <v>1.1000000000000001</v>
      </c>
      <c r="D1213" t="s">
        <v>1726</v>
      </c>
      <c r="E1213" t="s">
        <v>11</v>
      </c>
      <c r="F1213" t="s">
        <v>13</v>
      </c>
      <c r="G1213" t="s">
        <v>9</v>
      </c>
      <c r="H1213" t="s">
        <v>14</v>
      </c>
    </row>
    <row r="1214" spans="1:8" hidden="1" x14ac:dyDescent="0.25">
      <c r="A1214" t="s">
        <v>1805</v>
      </c>
      <c r="B1214" s="1" t="str">
        <f>HYPERLINK("https://asmlis.vasa.lt/Dashboard/Served?ServiceDateFrom=2025-11-24&amp;ServiceDateTo=2025-11-24&amp;DumpsterInvNr=13-P-300241", "13-P-300241")</f>
        <v>13-P-300241</v>
      </c>
      <c r="C1214">
        <v>1.1000000000000001</v>
      </c>
      <c r="D1214" t="s">
        <v>1806</v>
      </c>
      <c r="E1214" t="s">
        <v>11</v>
      </c>
      <c r="G1214" t="s">
        <v>412</v>
      </c>
      <c r="H1214" t="s">
        <v>14</v>
      </c>
    </row>
    <row r="1215" spans="1:8" hidden="1" x14ac:dyDescent="0.25">
      <c r="A1215" t="s">
        <v>1807</v>
      </c>
      <c r="B1215" s="1" t="str">
        <f>HYPERLINK("https://asmlis.vasa.lt/Dashboard/Served?ServiceDateFrom=2025-11-24&amp;ServiceDateTo=2025-11-24&amp;DumpsterInvNr=13-L-313743", "13-L-313743")</f>
        <v>13-L-313743</v>
      </c>
      <c r="C1215">
        <v>1.1000000000000001</v>
      </c>
      <c r="D1215" t="s">
        <v>1772</v>
      </c>
      <c r="E1215" t="s">
        <v>11</v>
      </c>
      <c r="F1215" t="s">
        <v>13</v>
      </c>
      <c r="G1215" t="s">
        <v>9</v>
      </c>
      <c r="H1215" t="s">
        <v>14</v>
      </c>
    </row>
    <row r="1216" spans="1:8" hidden="1" x14ac:dyDescent="0.25">
      <c r="A1216" t="s">
        <v>1808</v>
      </c>
      <c r="B1216" s="1" t="str">
        <f>HYPERLINK("https://asmlis.vasa.lt/Dashboard/Served?ServiceDateFrom=2025-11-24&amp;ServiceDateTo=2025-11-24&amp;DumpsterInvNr=13-L-301153", "13-L-301153")</f>
        <v>13-L-301153</v>
      </c>
      <c r="C1216">
        <v>1.1000000000000001</v>
      </c>
      <c r="D1216" t="s">
        <v>1731</v>
      </c>
      <c r="E1216" t="s">
        <v>11</v>
      </c>
      <c r="F1216" t="s">
        <v>13</v>
      </c>
      <c r="G1216" t="s">
        <v>9</v>
      </c>
      <c r="H1216" t="s">
        <v>14</v>
      </c>
    </row>
    <row r="1217" spans="1:8" hidden="1" x14ac:dyDescent="0.25">
      <c r="A1217" t="s">
        <v>1809</v>
      </c>
      <c r="B1217" s="1" t="str">
        <f>HYPERLINK("https://asmlis.vasa.lt/Dashboard/Served?ServiceDateFrom=2025-11-24&amp;ServiceDateTo=2025-11-24&amp;DumpsterInvNr=13-L-228165", "13-L-228165")</f>
        <v>13-L-228165</v>
      </c>
      <c r="C1217">
        <v>1.1000000000000001</v>
      </c>
      <c r="D1217" t="s">
        <v>1810</v>
      </c>
      <c r="E1217" t="s">
        <v>11</v>
      </c>
      <c r="G1217" t="s">
        <v>936</v>
      </c>
      <c r="H1217" t="s">
        <v>938</v>
      </c>
    </row>
    <row r="1218" spans="1:8" hidden="1" x14ac:dyDescent="0.25">
      <c r="A1218" t="s">
        <v>1811</v>
      </c>
      <c r="B1218" s="1" t="str">
        <f>HYPERLINK("https://asmlis.vasa.lt/Dashboard/Served?ServiceDateFrom=2025-11-24&amp;ServiceDateTo=2025-11-24&amp;DumpsterInvNr=13-L-425920", "13-L-425920")</f>
        <v>13-L-425920</v>
      </c>
      <c r="C1218">
        <v>1.1000000000000001</v>
      </c>
      <c r="D1218" t="s">
        <v>1780</v>
      </c>
      <c r="E1218" t="s">
        <v>11</v>
      </c>
      <c r="G1218" t="s">
        <v>74</v>
      </c>
      <c r="H1218" t="s">
        <v>14</v>
      </c>
    </row>
    <row r="1219" spans="1:8" hidden="1" x14ac:dyDescent="0.25">
      <c r="A1219" t="s">
        <v>1812</v>
      </c>
      <c r="B1219" s="1" t="str">
        <f>HYPERLINK("https://asmlis.vasa.lt/Dashboard/Served?ServiceDateFrom=2025-11-24&amp;ServiceDateTo=2025-11-24&amp;DumpsterInvNr=13-L-409196", "13-L-409196")</f>
        <v>13-L-409196</v>
      </c>
      <c r="C1219">
        <v>0.12</v>
      </c>
      <c r="D1219" t="s">
        <v>1813</v>
      </c>
      <c r="E1219" t="s">
        <v>11</v>
      </c>
      <c r="G1219" t="s">
        <v>74</v>
      </c>
      <c r="H1219" t="s">
        <v>14</v>
      </c>
    </row>
    <row r="1220" spans="1:8" hidden="1" x14ac:dyDescent="0.25">
      <c r="A1220" t="s">
        <v>1812</v>
      </c>
      <c r="B1220" s="1" t="str">
        <f>HYPERLINK("https://asmlis.vasa.lt/Dashboard/Served?ServiceDateFrom=2025-11-24&amp;ServiceDateTo=2025-11-24&amp;DumpsterInvNr=13-L-404937", "13-L-404937")</f>
        <v>13-L-404937</v>
      </c>
      <c r="C1220">
        <v>0.12</v>
      </c>
      <c r="D1220" t="s">
        <v>1814</v>
      </c>
      <c r="E1220" t="s">
        <v>11</v>
      </c>
      <c r="G1220" t="s">
        <v>74</v>
      </c>
      <c r="H1220" t="s">
        <v>14</v>
      </c>
    </row>
    <row r="1221" spans="1:8" hidden="1" x14ac:dyDescent="0.25">
      <c r="A1221" t="s">
        <v>1815</v>
      </c>
      <c r="B1221" s="1" t="str">
        <f>HYPERLINK("https://asmlis.vasa.lt/Dashboard/Served?ServiceDateFrom=2025-11-24&amp;ServiceDateTo=2025-11-24&amp;DumpsterInvNr=13-L-404936", "13-L-404936")</f>
        <v>13-L-404936</v>
      </c>
      <c r="C1221">
        <v>0.12</v>
      </c>
      <c r="D1221" t="s">
        <v>1816</v>
      </c>
      <c r="E1221" t="s">
        <v>11</v>
      </c>
      <c r="G1221" t="s">
        <v>74</v>
      </c>
      <c r="H1221" t="s">
        <v>14</v>
      </c>
    </row>
    <row r="1222" spans="1:8" hidden="1" x14ac:dyDescent="0.25">
      <c r="A1222" t="s">
        <v>1817</v>
      </c>
      <c r="B1222" s="1" t="str">
        <f>HYPERLINK("https://asmlis.vasa.lt/Dashboard/Served?ServiceDateFrom=2025-11-24&amp;ServiceDateTo=2025-11-24&amp;DumpsterInvNr=13-P-306921", "13-P-306921")</f>
        <v>13-P-306921</v>
      </c>
      <c r="C1222">
        <v>1.1000000000000001</v>
      </c>
      <c r="D1222" t="s">
        <v>1818</v>
      </c>
      <c r="E1222" t="s">
        <v>11</v>
      </c>
      <c r="G1222" t="s">
        <v>412</v>
      </c>
      <c r="H1222" t="s">
        <v>14</v>
      </c>
    </row>
    <row r="1223" spans="1:8" hidden="1" x14ac:dyDescent="0.25">
      <c r="A1223" t="s">
        <v>1819</v>
      </c>
      <c r="B1223" s="1" t="str">
        <f>HYPERLINK("https://asmlis.vasa.lt/Dashboard/Served?ServiceDateFrom=2025-11-24&amp;ServiceDateTo=2025-11-24&amp;DumpsterInvNr=13-P-400676", "13-P-400676")</f>
        <v>13-P-400676</v>
      </c>
      <c r="C1223">
        <v>5</v>
      </c>
      <c r="D1223" t="s">
        <v>1820</v>
      </c>
      <c r="E1223" t="s">
        <v>11</v>
      </c>
      <c r="G1223" t="s">
        <v>264</v>
      </c>
      <c r="H1223" t="s">
        <v>14</v>
      </c>
    </row>
    <row r="1224" spans="1:8" hidden="1" x14ac:dyDescent="0.25">
      <c r="A1224" t="s">
        <v>1821</v>
      </c>
      <c r="B1224" s="1" t="str">
        <f>HYPERLINK("https://asmlis.vasa.lt/Dashboard/Served?ServiceDateFrom=2025-11-24&amp;ServiceDateTo=2025-11-24&amp;DumpsterInvNr=13-P-400559", "13-P-400559")</f>
        <v>13-P-400559</v>
      </c>
      <c r="C1224">
        <v>5</v>
      </c>
      <c r="D1224" t="s">
        <v>1822</v>
      </c>
      <c r="E1224" t="s">
        <v>11</v>
      </c>
      <c r="F1224" t="s">
        <v>13</v>
      </c>
      <c r="G1224" t="s">
        <v>264</v>
      </c>
      <c r="H1224" t="s">
        <v>14</v>
      </c>
    </row>
    <row r="1225" spans="1:8" hidden="1" x14ac:dyDescent="0.25">
      <c r="A1225" t="s">
        <v>1823</v>
      </c>
      <c r="B1225" s="1" t="str">
        <f>HYPERLINK("https://asmlis.vasa.lt/Dashboard/Served?ServiceDateFrom=2025-11-24&amp;ServiceDateTo=2025-11-24&amp;DumpsterInvNr=13-L-139471", "13-L-139471")</f>
        <v>13-L-139471</v>
      </c>
      <c r="C1225">
        <v>5</v>
      </c>
      <c r="D1225" t="s">
        <v>1824</v>
      </c>
      <c r="E1225" t="s">
        <v>11</v>
      </c>
      <c r="F1225" t="s">
        <v>13</v>
      </c>
      <c r="G1225" t="s">
        <v>430</v>
      </c>
      <c r="H1225" t="s">
        <v>432</v>
      </c>
    </row>
    <row r="1226" spans="1:8" hidden="1" x14ac:dyDescent="0.25">
      <c r="A1226" t="s">
        <v>1825</v>
      </c>
      <c r="B1226" s="1" t="str">
        <f>HYPERLINK("https://asmlis.vasa.lt/Dashboard/Served?ServiceDateFrom=2025-11-24&amp;ServiceDateTo=2025-11-24&amp;DumpsterInvNr=13-P-300175", "13-P-300175")</f>
        <v>13-P-300175</v>
      </c>
      <c r="C1226">
        <v>5</v>
      </c>
      <c r="D1226" t="s">
        <v>1826</v>
      </c>
      <c r="E1226" t="s">
        <v>11</v>
      </c>
      <c r="F1226" t="s">
        <v>13</v>
      </c>
      <c r="G1226" t="s">
        <v>412</v>
      </c>
      <c r="H1226" t="s">
        <v>14</v>
      </c>
    </row>
    <row r="1227" spans="1:8" hidden="1" x14ac:dyDescent="0.25">
      <c r="A1227" t="s">
        <v>1827</v>
      </c>
      <c r="B1227" s="1" t="str">
        <f>HYPERLINK("https://asmlis.vasa.lt/Dashboard/Served?ServiceDateFrom=2025-11-24&amp;ServiceDateTo=2025-11-24&amp;DumpsterInvNr=13-L-413669", "13-L-413669")</f>
        <v>13-L-413669</v>
      </c>
      <c r="C1227">
        <v>5</v>
      </c>
      <c r="D1227" t="s">
        <v>1828</v>
      </c>
      <c r="E1227" t="s">
        <v>11</v>
      </c>
      <c r="F1227" t="s">
        <v>13</v>
      </c>
      <c r="G1227" t="s">
        <v>74</v>
      </c>
      <c r="H1227" t="s">
        <v>14</v>
      </c>
    </row>
    <row r="1228" spans="1:8" hidden="1" x14ac:dyDescent="0.25">
      <c r="A1228" t="s">
        <v>1829</v>
      </c>
      <c r="B1228" s="1" t="str">
        <f>HYPERLINK("https://asmlis.vasa.lt/Dashboard/Served?ServiceDateFrom=2025-11-24&amp;ServiceDateTo=2025-11-24&amp;DumpsterInvNr=13-L-422072", "13-L-422072")</f>
        <v>13-L-422072</v>
      </c>
      <c r="C1228">
        <v>5</v>
      </c>
      <c r="D1228" t="s">
        <v>1830</v>
      </c>
      <c r="E1228" t="s">
        <v>11</v>
      </c>
      <c r="F1228" t="s">
        <v>13</v>
      </c>
      <c r="G1228" t="s">
        <v>74</v>
      </c>
      <c r="H1228" t="s">
        <v>14</v>
      </c>
    </row>
    <row r="1229" spans="1:8" hidden="1" x14ac:dyDescent="0.25">
      <c r="A1229" t="s">
        <v>1831</v>
      </c>
      <c r="B1229" s="1" t="str">
        <f>HYPERLINK("https://asmlis.vasa.lt/Dashboard/Served?ServiceDateFrom=2025-11-24&amp;ServiceDateTo=2025-11-24&amp;DumpsterInvNr=13-P-207726", "13-P-207726")</f>
        <v>13-P-207726</v>
      </c>
      <c r="C1229">
        <v>5</v>
      </c>
      <c r="D1229" t="s">
        <v>1832</v>
      </c>
      <c r="E1229" t="s">
        <v>11</v>
      </c>
      <c r="G1229" t="s">
        <v>234</v>
      </c>
      <c r="H1229" t="s">
        <v>14</v>
      </c>
    </row>
    <row r="1230" spans="1:8" hidden="1" x14ac:dyDescent="0.25">
      <c r="A1230" t="s">
        <v>1182</v>
      </c>
      <c r="B1230" s="1" t="str">
        <f>HYPERLINK("https://asmlis.vasa.lt/Dashboard/Served?ServiceDateFrom=2025-11-24&amp;ServiceDateTo=2025-11-24&amp;DumpsterInvNr=13-L-218408", "13-L-218408")</f>
        <v>13-L-218408</v>
      </c>
      <c r="C1230">
        <v>1.1000000000000001</v>
      </c>
      <c r="D1230" t="s">
        <v>1810</v>
      </c>
      <c r="E1230" t="s">
        <v>11</v>
      </c>
      <c r="G1230" t="s">
        <v>936</v>
      </c>
      <c r="H1230" t="s">
        <v>938</v>
      </c>
    </row>
    <row r="1231" spans="1:8" hidden="1" x14ac:dyDescent="0.25">
      <c r="A1231" t="s">
        <v>1833</v>
      </c>
      <c r="B1231" s="1" t="str">
        <f>HYPERLINK("https://asmlis.vasa.lt/Dashboard/Served?ServiceDateFrom=2025-11-24&amp;ServiceDateTo=2025-11-24&amp;DumpsterInvNr=13-P-409187", "13-P-409187")</f>
        <v>13-P-409187</v>
      </c>
      <c r="C1231">
        <v>1.1000000000000001</v>
      </c>
      <c r="D1231" t="s">
        <v>1834</v>
      </c>
      <c r="E1231" t="s">
        <v>11</v>
      </c>
      <c r="G1231" t="s">
        <v>264</v>
      </c>
      <c r="H1231" t="s">
        <v>14</v>
      </c>
    </row>
    <row r="1232" spans="1:8" hidden="1" x14ac:dyDescent="0.25">
      <c r="A1232" t="s">
        <v>1835</v>
      </c>
      <c r="B1232" s="1" t="str">
        <f>HYPERLINK("https://asmlis.vasa.lt/Dashboard/Served?ServiceDateFrom=2025-11-24&amp;ServiceDateTo=2025-11-24&amp;DumpsterInvNr=13-L-422926", "13-L-422926")</f>
        <v>13-L-422926</v>
      </c>
      <c r="C1232">
        <v>0.24</v>
      </c>
      <c r="D1232" t="s">
        <v>1836</v>
      </c>
      <c r="E1232" t="s">
        <v>11</v>
      </c>
      <c r="G1232" t="s">
        <v>74</v>
      </c>
      <c r="H1232" t="s">
        <v>14</v>
      </c>
    </row>
    <row r="1233" spans="1:8" hidden="1" x14ac:dyDescent="0.25">
      <c r="A1233" t="s">
        <v>1837</v>
      </c>
      <c r="B1233" s="1" t="str">
        <f>HYPERLINK("https://asmlis.vasa.lt/Dashboard/Served?ServiceDateFrom=2025-11-24&amp;ServiceDateTo=2025-11-24&amp;DumpsterInvNr=13-L-412395", "13-L-412395")</f>
        <v>13-L-412395</v>
      </c>
      <c r="C1233">
        <v>0.24</v>
      </c>
      <c r="D1233" t="s">
        <v>1838</v>
      </c>
      <c r="E1233" t="s">
        <v>11</v>
      </c>
      <c r="G1233" t="s">
        <v>74</v>
      </c>
      <c r="H1233" t="s">
        <v>14</v>
      </c>
    </row>
    <row r="1234" spans="1:8" hidden="1" x14ac:dyDescent="0.25">
      <c r="A1234" t="s">
        <v>1839</v>
      </c>
      <c r="B1234" s="1" t="str">
        <f>HYPERLINK("https://asmlis.vasa.lt/Dashboard/Served?ServiceDateFrom=2025-11-24&amp;ServiceDateTo=2025-11-24&amp;DumpsterInvNr=13-L-217036", "13-L-217036")</f>
        <v>13-L-217036</v>
      </c>
      <c r="C1234">
        <v>1.1000000000000001</v>
      </c>
      <c r="D1234" t="s">
        <v>1810</v>
      </c>
      <c r="E1234" t="s">
        <v>11</v>
      </c>
      <c r="F1234" t="s">
        <v>13</v>
      </c>
      <c r="G1234" t="s">
        <v>936</v>
      </c>
      <c r="H1234" t="s">
        <v>938</v>
      </c>
    </row>
    <row r="1235" spans="1:8" hidden="1" x14ac:dyDescent="0.25">
      <c r="A1235" t="s">
        <v>1202</v>
      </c>
      <c r="B1235" s="1" t="str">
        <f>HYPERLINK("https://asmlis.vasa.lt/Dashboard/Served?ServiceDateFrom=2025-11-24&amp;ServiceDateTo=2025-11-24&amp;DumpsterInvNr=13-L-306752", "13-L-306752")</f>
        <v>13-L-306752</v>
      </c>
      <c r="C1235">
        <v>0.24</v>
      </c>
      <c r="D1235" t="s">
        <v>1840</v>
      </c>
      <c r="E1235" t="s">
        <v>11</v>
      </c>
      <c r="G1235" t="s">
        <v>9</v>
      </c>
      <c r="H1235" t="s">
        <v>14</v>
      </c>
    </row>
    <row r="1236" spans="1:8" hidden="1" x14ac:dyDescent="0.25">
      <c r="A1236" t="s">
        <v>1841</v>
      </c>
      <c r="B1236" s="1" t="str">
        <f>HYPERLINK("https://asmlis.vasa.lt/Dashboard/Served?ServiceDateFrom=2025-11-24&amp;ServiceDateTo=2025-11-24&amp;DumpsterInvNr=13-L-421275", "13-L-421275")</f>
        <v>13-L-421275</v>
      </c>
      <c r="C1236">
        <v>0.24</v>
      </c>
      <c r="D1236" t="s">
        <v>1842</v>
      </c>
      <c r="E1236" t="s">
        <v>11</v>
      </c>
      <c r="G1236" t="s">
        <v>74</v>
      </c>
      <c r="H1236" t="s">
        <v>14</v>
      </c>
    </row>
    <row r="1237" spans="1:8" hidden="1" x14ac:dyDescent="0.25">
      <c r="A1237" t="s">
        <v>1843</v>
      </c>
      <c r="B1237" s="1" t="str">
        <f>HYPERLINK("https://asmlis.vasa.lt/Dashboard/Served?ServiceDateFrom=2025-11-24&amp;ServiceDateTo=2025-11-24&amp;DumpsterInvNr=13-L-317229", "13-L-317229")</f>
        <v>13-L-317229</v>
      </c>
      <c r="C1237">
        <v>1.1000000000000001</v>
      </c>
      <c r="D1237" t="s">
        <v>1844</v>
      </c>
      <c r="E1237" t="s">
        <v>11</v>
      </c>
      <c r="G1237" t="s">
        <v>9</v>
      </c>
      <c r="H1237" t="s">
        <v>14</v>
      </c>
    </row>
    <row r="1238" spans="1:8" hidden="1" x14ac:dyDescent="0.25">
      <c r="A1238" t="s">
        <v>1845</v>
      </c>
      <c r="B1238" s="1" t="str">
        <f>HYPERLINK("https://asmlis.vasa.lt/Dashboard/Served?ServiceDateFrom=2025-11-24&amp;ServiceDateTo=2025-11-24&amp;DumpsterInvNr=13-L-404935", "13-L-404935")</f>
        <v>13-L-404935</v>
      </c>
      <c r="C1238">
        <v>0.12</v>
      </c>
      <c r="D1238" t="s">
        <v>1846</v>
      </c>
      <c r="E1238" t="s">
        <v>11</v>
      </c>
      <c r="F1238" t="s">
        <v>1209</v>
      </c>
      <c r="G1238" t="s">
        <v>74</v>
      </c>
      <c r="H1238" t="s">
        <v>14</v>
      </c>
    </row>
    <row r="1239" spans="1:8" hidden="1" x14ac:dyDescent="0.25">
      <c r="A1239" t="s">
        <v>1848</v>
      </c>
      <c r="B1239" s="1" t="str">
        <f>HYPERLINK("https://asmlis.vasa.lt/Dashboard/Served?ServiceDateFrom=2025-11-24&amp;ServiceDateTo=2025-11-24&amp;DumpsterInvNr=13-P-400542", "13-P-400542")</f>
        <v>13-P-400542</v>
      </c>
      <c r="C1239">
        <v>5</v>
      </c>
      <c r="D1239" t="s">
        <v>1849</v>
      </c>
      <c r="E1239" t="s">
        <v>11</v>
      </c>
      <c r="F1239" t="s">
        <v>13</v>
      </c>
      <c r="G1239" t="s">
        <v>264</v>
      </c>
      <c r="H1239" t="s">
        <v>14</v>
      </c>
    </row>
    <row r="1240" spans="1:8" hidden="1" x14ac:dyDescent="0.25">
      <c r="A1240" t="s">
        <v>1850</v>
      </c>
      <c r="B1240" s="1" t="str">
        <f>HYPERLINK("https://asmlis.vasa.lt/Dashboard/Served?ServiceDateFrom=2025-11-24&amp;ServiceDateTo=2025-11-24&amp;DumpsterInvNr=13-L-222553", "13-L-222553")</f>
        <v>13-L-222553</v>
      </c>
      <c r="C1240">
        <v>1.1000000000000001</v>
      </c>
      <c r="D1240" t="s">
        <v>1810</v>
      </c>
      <c r="E1240" t="s">
        <v>11</v>
      </c>
      <c r="G1240" t="s">
        <v>936</v>
      </c>
      <c r="H1240" t="s">
        <v>938</v>
      </c>
    </row>
    <row r="1241" spans="1:8" hidden="1" x14ac:dyDescent="0.25">
      <c r="A1241" t="s">
        <v>1851</v>
      </c>
      <c r="B1241" s="1" t="str">
        <f>HYPERLINK("https://asmlis.vasa.lt/Dashboard/Served?ServiceDateFrom=2025-11-24&amp;ServiceDateTo=2025-11-24&amp;DumpsterInvNr=13-L-312802", "13-L-312802")</f>
        <v>13-L-312802</v>
      </c>
      <c r="C1241">
        <v>5</v>
      </c>
      <c r="D1241" t="s">
        <v>1852</v>
      </c>
      <c r="E1241" t="s">
        <v>11</v>
      </c>
      <c r="F1241" t="s">
        <v>13</v>
      </c>
      <c r="G1241" t="s">
        <v>9</v>
      </c>
      <c r="H1241" t="s">
        <v>14</v>
      </c>
    </row>
    <row r="1242" spans="1:8" hidden="1" x14ac:dyDescent="0.25">
      <c r="A1242" t="s">
        <v>1851</v>
      </c>
      <c r="B1242" s="1" t="str">
        <f>HYPERLINK("https://asmlis.vasa.lt/Dashboard/Served?ServiceDateFrom=2025-11-24&amp;ServiceDateTo=2025-11-24&amp;DumpsterInvNr=13-P-400653", "13-P-400653")</f>
        <v>13-P-400653</v>
      </c>
      <c r="C1242">
        <v>5</v>
      </c>
      <c r="D1242" t="s">
        <v>1853</v>
      </c>
      <c r="E1242" t="s">
        <v>11</v>
      </c>
      <c r="F1242" t="s">
        <v>13</v>
      </c>
      <c r="G1242" t="s">
        <v>264</v>
      </c>
      <c r="H1242" t="s">
        <v>14</v>
      </c>
    </row>
    <row r="1243" spans="1:8" hidden="1" x14ac:dyDescent="0.25">
      <c r="A1243" t="s">
        <v>1854</v>
      </c>
      <c r="B1243" s="1" t="str">
        <f>HYPERLINK("https://asmlis.vasa.lt/Dashboard/Served?ServiceDateFrom=2025-11-24&amp;ServiceDateTo=2025-11-24&amp;DumpsterInvNr=13-L-312803", "13-L-312803")</f>
        <v>13-L-312803</v>
      </c>
      <c r="C1243">
        <v>5</v>
      </c>
      <c r="D1243" t="s">
        <v>1852</v>
      </c>
      <c r="E1243" t="s">
        <v>11</v>
      </c>
      <c r="F1243" t="s">
        <v>13</v>
      </c>
      <c r="G1243" t="s">
        <v>9</v>
      </c>
      <c r="H1243" t="s">
        <v>14</v>
      </c>
    </row>
    <row r="1244" spans="1:8" hidden="1" x14ac:dyDescent="0.25">
      <c r="A1244" t="s">
        <v>1855</v>
      </c>
      <c r="B1244" s="1" t="str">
        <f>HYPERLINK("https://asmlis.vasa.lt/Dashboard/Served?ServiceDateFrom=2025-11-24&amp;ServiceDateTo=2025-11-24&amp;DumpsterInvNr=13-L-422731", "13-L-422731")</f>
        <v>13-L-422731</v>
      </c>
      <c r="C1244">
        <v>1.1000000000000001</v>
      </c>
      <c r="D1244" t="s">
        <v>1856</v>
      </c>
      <c r="E1244" t="s">
        <v>11</v>
      </c>
      <c r="G1244" t="s">
        <v>74</v>
      </c>
      <c r="H1244" t="s">
        <v>14</v>
      </c>
    </row>
    <row r="1245" spans="1:8" hidden="1" x14ac:dyDescent="0.25">
      <c r="A1245" t="s">
        <v>1857</v>
      </c>
      <c r="B1245" s="1" t="str">
        <f>HYPERLINK("https://asmlis.vasa.lt/Dashboard/Served?ServiceDateFrom=2025-11-24&amp;ServiceDateTo=2025-11-24&amp;DumpsterInvNr=13-L-424533", "13-L-424533")</f>
        <v>13-L-424533</v>
      </c>
      <c r="C1245">
        <v>5</v>
      </c>
      <c r="D1245" t="s">
        <v>1858</v>
      </c>
      <c r="E1245" t="s">
        <v>11</v>
      </c>
      <c r="F1245" t="s">
        <v>13</v>
      </c>
      <c r="G1245" t="s">
        <v>74</v>
      </c>
      <c r="H1245" t="s">
        <v>14</v>
      </c>
    </row>
    <row r="1246" spans="1:8" hidden="1" x14ac:dyDescent="0.25">
      <c r="A1246" t="s">
        <v>1859</v>
      </c>
      <c r="B1246" s="1" t="str">
        <f>HYPERLINK("https://asmlis.vasa.lt/Dashboard/Served?ServiceDateFrom=2025-11-24&amp;ServiceDateTo=2025-11-24&amp;DumpsterInvNr=13-L-426887", "13-L-426887")</f>
        <v>13-L-426887</v>
      </c>
      <c r="C1246">
        <v>1.1000000000000001</v>
      </c>
      <c r="D1246" t="s">
        <v>1856</v>
      </c>
      <c r="E1246" t="s">
        <v>11</v>
      </c>
      <c r="G1246" t="s">
        <v>74</v>
      </c>
      <c r="H1246" t="s">
        <v>14</v>
      </c>
    </row>
    <row r="1247" spans="1:8" hidden="1" x14ac:dyDescent="0.25">
      <c r="A1247" t="s">
        <v>1860</v>
      </c>
      <c r="B1247" s="1" t="str">
        <f>HYPERLINK("https://asmlis.vasa.lt/Dashboard/Served?ServiceDateFrom=2025-11-24&amp;ServiceDateTo=2025-11-24&amp;DumpsterInvNr=13-L-139004", "13-L-139004")</f>
        <v>13-L-139004</v>
      </c>
      <c r="C1247">
        <v>5</v>
      </c>
      <c r="D1247" t="s">
        <v>1861</v>
      </c>
      <c r="E1247" t="s">
        <v>11</v>
      </c>
      <c r="F1247" t="s">
        <v>13</v>
      </c>
      <c r="G1247" t="s">
        <v>430</v>
      </c>
      <c r="H1247" t="s">
        <v>432</v>
      </c>
    </row>
    <row r="1248" spans="1:8" hidden="1" x14ac:dyDescent="0.25">
      <c r="A1248" t="s">
        <v>1862</v>
      </c>
      <c r="B1248" s="1" t="str">
        <f>HYPERLINK("https://asmlis.vasa.lt/Dashboard/Served?ServiceDateFrom=2025-11-24&amp;ServiceDateTo=2025-11-24&amp;DumpsterInvNr=13-L-426813", "13-L-426813")</f>
        <v>13-L-426813</v>
      </c>
      <c r="C1248">
        <v>1.1000000000000001</v>
      </c>
      <c r="D1248" t="s">
        <v>1856</v>
      </c>
      <c r="E1248" t="s">
        <v>11</v>
      </c>
      <c r="G1248" t="s">
        <v>74</v>
      </c>
      <c r="H1248" t="s">
        <v>14</v>
      </c>
    </row>
    <row r="1249" spans="1:8" hidden="1" x14ac:dyDescent="0.25">
      <c r="A1249" t="s">
        <v>1863</v>
      </c>
      <c r="B1249" s="1" t="str">
        <f>HYPERLINK("https://asmlis.vasa.lt/Dashboard/Served?ServiceDateFrom=2025-11-24&amp;ServiceDateTo=2025-11-24&amp;DumpsterInvNr=13-L-417848", "13-L-417848")</f>
        <v>13-L-417848</v>
      </c>
      <c r="C1249">
        <v>5</v>
      </c>
      <c r="D1249" t="s">
        <v>1864</v>
      </c>
      <c r="E1249" t="s">
        <v>11</v>
      </c>
      <c r="G1249" t="s">
        <v>74</v>
      </c>
      <c r="H1249" t="s">
        <v>14</v>
      </c>
    </row>
    <row r="1250" spans="1:8" hidden="1" x14ac:dyDescent="0.25">
      <c r="A1250" t="s">
        <v>1865</v>
      </c>
      <c r="B1250" s="1" t="str">
        <f>HYPERLINK("https://asmlis.vasa.lt/Dashboard/Served?ServiceDateFrom=2025-11-24&amp;ServiceDateTo=2025-11-24&amp;DumpsterInvNr=13-L-404930", "13-L-404930")</f>
        <v>13-L-404930</v>
      </c>
      <c r="C1250">
        <v>0.12</v>
      </c>
      <c r="D1250" t="s">
        <v>1866</v>
      </c>
      <c r="E1250" t="s">
        <v>11</v>
      </c>
      <c r="G1250" t="s">
        <v>74</v>
      </c>
      <c r="H1250" t="s">
        <v>14</v>
      </c>
    </row>
    <row r="1251" spans="1:8" hidden="1" x14ac:dyDescent="0.25">
      <c r="A1251" t="s">
        <v>1865</v>
      </c>
      <c r="B1251" s="1" t="str">
        <f>HYPERLINK("https://asmlis.vasa.lt/Dashboard/Served?ServiceDateFrom=2025-11-24&amp;ServiceDateTo=2025-11-24&amp;DumpsterInvNr=13-L-410622", "13-L-410622")</f>
        <v>13-L-410622</v>
      </c>
      <c r="C1251">
        <v>0.24</v>
      </c>
      <c r="D1251" t="s">
        <v>1867</v>
      </c>
      <c r="E1251" t="s">
        <v>11</v>
      </c>
      <c r="G1251" t="s">
        <v>74</v>
      </c>
      <c r="H1251" t="s">
        <v>14</v>
      </c>
    </row>
    <row r="1252" spans="1:8" hidden="1" x14ac:dyDescent="0.25">
      <c r="A1252" t="s">
        <v>1868</v>
      </c>
      <c r="B1252" s="1" t="str">
        <f>HYPERLINK("https://asmlis.vasa.lt/Dashboard/Served?ServiceDateFrom=2025-11-24&amp;ServiceDateTo=2025-11-24&amp;DumpsterInvNr=13-L-404933", "13-L-404933")</f>
        <v>13-L-404933</v>
      </c>
      <c r="C1252">
        <v>0.12</v>
      </c>
      <c r="D1252" t="s">
        <v>1869</v>
      </c>
      <c r="E1252" t="s">
        <v>11</v>
      </c>
      <c r="F1252" t="s">
        <v>1209</v>
      </c>
      <c r="G1252" t="s">
        <v>74</v>
      </c>
      <c r="H1252" t="s">
        <v>14</v>
      </c>
    </row>
    <row r="1253" spans="1:8" hidden="1" x14ac:dyDescent="0.25">
      <c r="A1253" t="s">
        <v>1870</v>
      </c>
      <c r="B1253" s="1" t="str">
        <f>HYPERLINK("https://asmlis.vasa.lt/Dashboard/Served?ServiceDateFrom=2025-11-24&amp;ServiceDateTo=2025-11-24&amp;DumpsterInvNr=13-L-404932", "13-L-404932")</f>
        <v>13-L-404932</v>
      </c>
      <c r="C1253">
        <v>0.12</v>
      </c>
      <c r="D1253" t="s">
        <v>1871</v>
      </c>
      <c r="E1253" t="s">
        <v>11</v>
      </c>
      <c r="F1253" t="s">
        <v>1209</v>
      </c>
      <c r="G1253" t="s">
        <v>74</v>
      </c>
      <c r="H1253" t="s">
        <v>14</v>
      </c>
    </row>
    <row r="1254" spans="1:8" hidden="1" x14ac:dyDescent="0.25">
      <c r="A1254" t="s">
        <v>1872</v>
      </c>
      <c r="B1254" s="1" t="str">
        <f>HYPERLINK("https://asmlis.vasa.lt/Dashboard/Served?ServiceDateFrom=2025-11-24&amp;ServiceDateTo=2025-11-24&amp;DumpsterInvNr=13-L-404929", "13-L-404929")</f>
        <v>13-L-404929</v>
      </c>
      <c r="C1254">
        <v>0.12</v>
      </c>
      <c r="D1254" t="s">
        <v>1873</v>
      </c>
      <c r="E1254" t="s">
        <v>11</v>
      </c>
      <c r="F1254" t="s">
        <v>1209</v>
      </c>
      <c r="G1254" t="s">
        <v>74</v>
      </c>
      <c r="H1254" t="s">
        <v>14</v>
      </c>
    </row>
    <row r="1255" spans="1:8" hidden="1" x14ac:dyDescent="0.25">
      <c r="A1255" t="s">
        <v>1188</v>
      </c>
      <c r="B1255" s="1" t="str">
        <f>HYPERLINK("https://asmlis.vasa.lt/Dashboard/Served?ServiceDateFrom=2025-11-24&amp;ServiceDateTo=2025-11-24&amp;DumpsterInvNr=13-L-404931", "13-L-404931")</f>
        <v>13-L-404931</v>
      </c>
      <c r="C1255">
        <v>0.12</v>
      </c>
      <c r="D1255" t="s">
        <v>1867</v>
      </c>
      <c r="E1255" t="s">
        <v>11</v>
      </c>
      <c r="F1255" t="s">
        <v>1209</v>
      </c>
      <c r="G1255" t="s">
        <v>74</v>
      </c>
      <c r="H1255" t="s">
        <v>14</v>
      </c>
    </row>
    <row r="1256" spans="1:8" hidden="1" x14ac:dyDescent="0.25">
      <c r="A1256" t="s">
        <v>1874</v>
      </c>
      <c r="B1256" s="1" t="str">
        <f>HYPERLINK("https://asmlis.vasa.lt/Dashboard/Served?ServiceDateFrom=2025-11-24&amp;ServiceDateTo=2025-11-24&amp;DumpsterInvNr=13-L-224930", "13-L-224930")</f>
        <v>13-L-224930</v>
      </c>
      <c r="C1256">
        <v>1.1000000000000001</v>
      </c>
      <c r="D1256" t="s">
        <v>1655</v>
      </c>
      <c r="E1256" t="s">
        <v>11</v>
      </c>
      <c r="G1256" t="s">
        <v>936</v>
      </c>
      <c r="H1256" t="s">
        <v>938</v>
      </c>
    </row>
    <row r="1257" spans="1:8" hidden="1" x14ac:dyDescent="0.25">
      <c r="A1257" t="s">
        <v>1874</v>
      </c>
      <c r="B1257" s="1" t="str">
        <f>HYPERLINK("https://asmlis.vasa.lt/Dashboard/Served?ServiceDateFrom=2025-11-24&amp;ServiceDateTo=2025-11-24&amp;DumpsterInvNr=13-P-300786", "13-P-300786")</f>
        <v>13-P-300786</v>
      </c>
      <c r="C1257">
        <v>2.5</v>
      </c>
      <c r="D1257" t="s">
        <v>1415</v>
      </c>
      <c r="E1257" t="s">
        <v>11</v>
      </c>
      <c r="G1257" t="s">
        <v>412</v>
      </c>
      <c r="H1257" t="s">
        <v>14</v>
      </c>
    </row>
    <row r="1258" spans="1:8" hidden="1" x14ac:dyDescent="0.25">
      <c r="A1258" t="s">
        <v>1875</v>
      </c>
      <c r="B1258" s="1" t="str">
        <f>HYPERLINK("https://asmlis.vasa.lt/Dashboard/Served?ServiceDateFrom=2025-11-24&amp;ServiceDateTo=2025-11-24&amp;DumpsterInvNr=13-P-413969", "13-P-413969")</f>
        <v>13-P-413969</v>
      </c>
      <c r="C1258">
        <v>5</v>
      </c>
      <c r="D1258" t="s">
        <v>1876</v>
      </c>
      <c r="E1258" t="s">
        <v>11</v>
      </c>
      <c r="G1258" t="s">
        <v>264</v>
      </c>
      <c r="H1258" t="s">
        <v>14</v>
      </c>
    </row>
    <row r="1259" spans="1:8" hidden="1" x14ac:dyDescent="0.25">
      <c r="A1259" t="s">
        <v>1877</v>
      </c>
      <c r="B1259" s="1" t="str">
        <f>HYPERLINK("https://asmlis.vasa.lt/Dashboard/Served?ServiceDateFrom=2025-11-24&amp;ServiceDateTo=2025-11-24&amp;DumpsterInvNr=13-L-317142", "13-L-317142")</f>
        <v>13-L-317142</v>
      </c>
      <c r="C1259">
        <v>1.1000000000000001</v>
      </c>
      <c r="D1259" t="s">
        <v>1878</v>
      </c>
      <c r="E1259" t="s">
        <v>11</v>
      </c>
      <c r="G1259" t="s">
        <v>9</v>
      </c>
      <c r="H1259" t="s">
        <v>14</v>
      </c>
    </row>
    <row r="1260" spans="1:8" hidden="1" x14ac:dyDescent="0.25">
      <c r="A1260" t="s">
        <v>1879</v>
      </c>
      <c r="B1260" s="1" t="str">
        <f>HYPERLINK("https://asmlis.vasa.lt/Dashboard/Served?ServiceDateFrom=2025-11-24&amp;ServiceDateTo=2025-11-24&amp;DumpsterInvNr=13-L-222551", "13-L-222551")</f>
        <v>13-L-222551</v>
      </c>
      <c r="C1260">
        <v>1.1000000000000001</v>
      </c>
      <c r="D1260" t="s">
        <v>1655</v>
      </c>
      <c r="E1260" t="s">
        <v>11</v>
      </c>
      <c r="F1260" t="s">
        <v>13</v>
      </c>
      <c r="G1260" t="s">
        <v>936</v>
      </c>
      <c r="H1260" t="s">
        <v>938</v>
      </c>
    </row>
    <row r="1261" spans="1:8" hidden="1" x14ac:dyDescent="0.25">
      <c r="A1261" t="s">
        <v>1880</v>
      </c>
      <c r="B1261" s="1" t="str">
        <f>HYPERLINK("https://asmlis.vasa.lt/Dashboard/Served?ServiceDateFrom=2025-11-24&amp;ServiceDateTo=2025-11-24&amp;DumpsterInvNr=13-P-412382", "13-P-412382")</f>
        <v>13-P-412382</v>
      </c>
      <c r="C1261">
        <v>1.1000000000000001</v>
      </c>
      <c r="D1261" t="s">
        <v>1881</v>
      </c>
      <c r="E1261" t="s">
        <v>11</v>
      </c>
      <c r="G1261" t="s">
        <v>264</v>
      </c>
      <c r="H1261" t="s">
        <v>14</v>
      </c>
    </row>
    <row r="1262" spans="1:8" hidden="1" x14ac:dyDescent="0.25">
      <c r="A1262" t="s">
        <v>1882</v>
      </c>
      <c r="B1262" s="1" t="str">
        <f>HYPERLINK("https://asmlis.vasa.lt/Dashboard/Served?ServiceDateFrom=2025-11-24&amp;ServiceDateTo=2025-11-24&amp;DumpsterInvNr=13-P-300850", "13-P-300850")</f>
        <v>13-P-300850</v>
      </c>
      <c r="C1262">
        <v>1.1000000000000001</v>
      </c>
      <c r="D1262" t="s">
        <v>1883</v>
      </c>
      <c r="E1262" t="s">
        <v>11</v>
      </c>
      <c r="G1262" t="s">
        <v>412</v>
      </c>
      <c r="H1262" t="s">
        <v>14</v>
      </c>
    </row>
    <row r="1263" spans="1:8" hidden="1" x14ac:dyDescent="0.25">
      <c r="A1263" t="s">
        <v>1884</v>
      </c>
      <c r="B1263" s="1" t="str">
        <f>HYPERLINK("https://asmlis.vasa.lt/Dashboard/Served?ServiceDateFrom=2025-11-24&amp;ServiceDateTo=2025-11-24&amp;DumpsterInvNr=13-L-317169", "13-L-317169")</f>
        <v>13-L-317169</v>
      </c>
      <c r="C1263">
        <v>1.1000000000000001</v>
      </c>
      <c r="D1263" t="s">
        <v>1878</v>
      </c>
      <c r="E1263" t="s">
        <v>11</v>
      </c>
      <c r="G1263" t="s">
        <v>9</v>
      </c>
      <c r="H1263" t="s">
        <v>14</v>
      </c>
    </row>
    <row r="1264" spans="1:8" hidden="1" x14ac:dyDescent="0.25">
      <c r="A1264" t="s">
        <v>1885</v>
      </c>
      <c r="B1264" s="1" t="str">
        <f>HYPERLINK("https://asmlis.vasa.lt/Dashboard/Served?ServiceDateFrom=2025-11-24&amp;ServiceDateTo=2025-11-24&amp;DumpsterInvNr=13-L-317002", "13-L-317002")</f>
        <v>13-L-317002</v>
      </c>
      <c r="C1264">
        <v>5</v>
      </c>
      <c r="D1264" t="s">
        <v>1180</v>
      </c>
      <c r="E1264" t="s">
        <v>11</v>
      </c>
      <c r="F1264" t="s">
        <v>13</v>
      </c>
      <c r="G1264" t="s">
        <v>9</v>
      </c>
      <c r="H1264" t="s">
        <v>14</v>
      </c>
    </row>
    <row r="1265" spans="1:8" hidden="1" x14ac:dyDescent="0.25">
      <c r="A1265" t="s">
        <v>1886</v>
      </c>
      <c r="B1265" s="1" t="str">
        <f>HYPERLINK("https://asmlis.vasa.lt/Dashboard/Served?ServiceDateFrom=2025-11-24&amp;ServiceDateTo=2025-11-24&amp;DumpsterInvNr=13-P-301835", "13-P-301835")</f>
        <v>13-P-301835</v>
      </c>
      <c r="C1265">
        <v>1.1000000000000001</v>
      </c>
      <c r="D1265" t="s">
        <v>1883</v>
      </c>
      <c r="E1265" t="s">
        <v>11</v>
      </c>
      <c r="G1265" t="s">
        <v>412</v>
      </c>
      <c r="H1265" t="s">
        <v>14</v>
      </c>
    </row>
    <row r="1266" spans="1:8" hidden="1" x14ac:dyDescent="0.25">
      <c r="A1266" t="s">
        <v>1887</v>
      </c>
      <c r="B1266" s="1" t="str">
        <f>HYPERLINK("https://asmlis.vasa.lt/Dashboard/Served?ServiceDateFrom=2025-11-24&amp;ServiceDateTo=2025-11-24&amp;DumpsterInvNr=13-L-417764", "13-L-417764")</f>
        <v>13-L-417764</v>
      </c>
      <c r="C1266">
        <v>1.1000000000000001</v>
      </c>
      <c r="D1266" t="s">
        <v>1888</v>
      </c>
      <c r="E1266" t="s">
        <v>11</v>
      </c>
      <c r="F1266" t="s">
        <v>13</v>
      </c>
      <c r="G1266" t="s">
        <v>74</v>
      </c>
      <c r="H1266" t="s">
        <v>14</v>
      </c>
    </row>
    <row r="1267" spans="1:8" hidden="1" x14ac:dyDescent="0.25">
      <c r="A1267" t="s">
        <v>1889</v>
      </c>
      <c r="B1267" s="1" t="str">
        <f>HYPERLINK("https://asmlis.vasa.lt/Dashboard/Served?ServiceDateFrom=2025-11-24&amp;ServiceDateTo=2025-11-24&amp;DumpsterInvNr=13-L-318732", "13-L-318732")</f>
        <v>13-L-318732</v>
      </c>
      <c r="C1267">
        <v>1.1000000000000001</v>
      </c>
      <c r="D1267" t="s">
        <v>1890</v>
      </c>
      <c r="E1267" t="s">
        <v>11</v>
      </c>
      <c r="G1267" t="s">
        <v>9</v>
      </c>
      <c r="H1267" t="s">
        <v>14</v>
      </c>
    </row>
    <row r="1268" spans="1:8" hidden="1" x14ac:dyDescent="0.25">
      <c r="A1268" t="s">
        <v>1891</v>
      </c>
      <c r="B1268" s="1" t="str">
        <f>HYPERLINK("https://asmlis.vasa.lt/Dashboard/Served?ServiceDateFrom=2025-11-24&amp;ServiceDateTo=2025-11-24&amp;DumpsterInvNr=13-P-400643", "13-P-400643")</f>
        <v>13-P-400643</v>
      </c>
      <c r="C1268">
        <v>5</v>
      </c>
      <c r="D1268" t="s">
        <v>1796</v>
      </c>
      <c r="E1268" t="s">
        <v>11</v>
      </c>
      <c r="F1268" t="s">
        <v>13</v>
      </c>
      <c r="G1268" t="s">
        <v>264</v>
      </c>
      <c r="H1268" t="s">
        <v>14</v>
      </c>
    </row>
    <row r="1269" spans="1:8" hidden="1" x14ac:dyDescent="0.25">
      <c r="A1269" t="s">
        <v>1892</v>
      </c>
      <c r="B1269" s="1" t="str">
        <f>HYPERLINK("https://asmlis.vasa.lt/Dashboard/Served?ServiceDateFrom=2025-11-24&amp;ServiceDateTo=2025-11-24&amp;DumpsterInvNr=13-P-302387", "13-P-302387")</f>
        <v>13-P-302387</v>
      </c>
      <c r="C1269">
        <v>2.5</v>
      </c>
      <c r="D1269" t="s">
        <v>1415</v>
      </c>
      <c r="E1269" t="s">
        <v>11</v>
      </c>
      <c r="F1269" t="s">
        <v>13</v>
      </c>
      <c r="G1269" t="s">
        <v>412</v>
      </c>
      <c r="H1269" t="s">
        <v>14</v>
      </c>
    </row>
    <row r="1270" spans="1:8" hidden="1" x14ac:dyDescent="0.25">
      <c r="A1270" t="s">
        <v>1893</v>
      </c>
      <c r="B1270" s="1" t="str">
        <f>HYPERLINK("https://asmlis.vasa.lt/Dashboard/Served?ServiceDateFrom=2025-11-24&amp;ServiceDateTo=2025-11-24&amp;DumpsterInvNr=13-L-318734", "13-L-318734")</f>
        <v>13-L-318734</v>
      </c>
      <c r="C1270">
        <v>1.1000000000000001</v>
      </c>
      <c r="D1270" t="s">
        <v>1890</v>
      </c>
      <c r="E1270" t="s">
        <v>11</v>
      </c>
      <c r="F1270" t="s">
        <v>13</v>
      </c>
      <c r="G1270" t="s">
        <v>9</v>
      </c>
      <c r="H1270" t="s">
        <v>14</v>
      </c>
    </row>
    <row r="1271" spans="1:8" hidden="1" x14ac:dyDescent="0.25">
      <c r="A1271" t="s">
        <v>1893</v>
      </c>
      <c r="B1271" s="1" t="str">
        <f>HYPERLINK("https://asmlis.vasa.lt/Dashboard/Served?ServiceDateFrom=2025-11-24&amp;ServiceDateTo=2025-11-24&amp;DumpsterInvNr=13-L-318733", "13-L-318733")</f>
        <v>13-L-318733</v>
      </c>
      <c r="C1271">
        <v>1.1000000000000001</v>
      </c>
      <c r="D1271" t="s">
        <v>1890</v>
      </c>
      <c r="E1271" t="s">
        <v>11</v>
      </c>
      <c r="F1271" t="s">
        <v>13</v>
      </c>
      <c r="G1271" t="s">
        <v>9</v>
      </c>
      <c r="H1271" t="s">
        <v>14</v>
      </c>
    </row>
    <row r="1272" spans="1:8" hidden="1" x14ac:dyDescent="0.25">
      <c r="A1272" t="s">
        <v>1895</v>
      </c>
      <c r="B1272" s="1" t="str">
        <f>HYPERLINK("https://asmlis.vasa.lt/Dashboard/Served?ServiceDateFrom=2025-11-24&amp;ServiceDateTo=2025-11-24&amp;DumpsterInvNr=13-P-302423", "13-P-302423")</f>
        <v>13-P-302423</v>
      </c>
      <c r="C1272">
        <v>2.5</v>
      </c>
      <c r="D1272" t="s">
        <v>1415</v>
      </c>
      <c r="E1272" t="s">
        <v>11</v>
      </c>
      <c r="F1272" t="s">
        <v>13</v>
      </c>
      <c r="G1272" t="s">
        <v>412</v>
      </c>
      <c r="H1272" t="s">
        <v>14</v>
      </c>
    </row>
    <row r="1273" spans="1:8" hidden="1" x14ac:dyDescent="0.25">
      <c r="A1273" t="s">
        <v>1896</v>
      </c>
      <c r="B1273" s="1" t="str">
        <f>HYPERLINK("https://asmlis.vasa.lt/Dashboard/Served?ServiceDateFrom=2025-11-24&amp;ServiceDateTo=2025-11-24&amp;DumpsterInvNr=13-L-316586", "13-L-316586")</f>
        <v>13-L-316586</v>
      </c>
      <c r="C1273">
        <v>1.1000000000000001</v>
      </c>
      <c r="D1273" t="s">
        <v>1878</v>
      </c>
      <c r="E1273" t="s">
        <v>11</v>
      </c>
      <c r="G1273" t="s">
        <v>9</v>
      </c>
      <c r="H1273" t="s">
        <v>14</v>
      </c>
    </row>
    <row r="1274" spans="1:8" hidden="1" x14ac:dyDescent="0.25">
      <c r="A1274" t="s">
        <v>1897</v>
      </c>
      <c r="B1274" s="1" t="str">
        <f>HYPERLINK("https://asmlis.vasa.lt/Dashboard/Served?ServiceDateFrom=2025-11-24&amp;ServiceDateTo=2025-11-24&amp;DumpsterInvNr=13-T-000261", "13-T-000261")</f>
        <v>13-T-000261</v>
      </c>
      <c r="C1274">
        <v>2.5</v>
      </c>
      <c r="D1274" t="s">
        <v>1900</v>
      </c>
      <c r="E1274" t="s">
        <v>11</v>
      </c>
      <c r="F1274" t="s">
        <v>13</v>
      </c>
      <c r="G1274" t="s">
        <v>1899</v>
      </c>
      <c r="H1274" t="s">
        <v>432</v>
      </c>
    </row>
    <row r="1275" spans="1:8" hidden="1" x14ac:dyDescent="0.25">
      <c r="A1275" t="s">
        <v>1901</v>
      </c>
      <c r="B1275" s="1" t="str">
        <f>HYPERLINK("https://asmlis.vasa.lt/Dashboard/Served?ServiceDateFrom=2025-11-24&amp;ServiceDateTo=2025-11-24&amp;DumpsterInvNr=13-L-145004", "13-L-145004")</f>
        <v>13-L-145004</v>
      </c>
      <c r="C1275">
        <v>5</v>
      </c>
      <c r="D1275" t="s">
        <v>1902</v>
      </c>
      <c r="E1275" t="s">
        <v>11</v>
      </c>
      <c r="F1275" t="s">
        <v>13</v>
      </c>
      <c r="G1275" t="s">
        <v>430</v>
      </c>
      <c r="H1275" t="s">
        <v>432</v>
      </c>
    </row>
    <row r="1276" spans="1:8" hidden="1" x14ac:dyDescent="0.25">
      <c r="A1276" t="s">
        <v>1904</v>
      </c>
      <c r="B1276" s="1" t="str">
        <f>HYPERLINK("https://asmlis.vasa.lt/Dashboard/Served?ServiceDateFrom=2025-11-24&amp;ServiceDateTo=2025-11-24&amp;DumpsterInvNr=13-T-000262", "13-T-000262")</f>
        <v>13-T-000262</v>
      </c>
      <c r="C1276">
        <v>2.5</v>
      </c>
      <c r="D1276" t="s">
        <v>1900</v>
      </c>
      <c r="E1276" t="s">
        <v>11</v>
      </c>
      <c r="F1276" t="s">
        <v>13</v>
      </c>
      <c r="G1276" t="s">
        <v>1899</v>
      </c>
      <c r="H1276" t="s">
        <v>432</v>
      </c>
    </row>
    <row r="1277" spans="1:8" hidden="1" x14ac:dyDescent="0.25">
      <c r="A1277" t="s">
        <v>1905</v>
      </c>
      <c r="B1277" s="1" t="str">
        <f>HYPERLINK("https://asmlis.vasa.lt/Dashboard/Served?ServiceDateFrom=2025-11-24&amp;ServiceDateTo=2025-11-24&amp;DumpsterInvNr=13-L-218976", "13-L-218976")</f>
        <v>13-L-218976</v>
      </c>
      <c r="C1277">
        <v>1.1000000000000001</v>
      </c>
      <c r="D1277" t="s">
        <v>1906</v>
      </c>
      <c r="E1277" t="s">
        <v>11</v>
      </c>
      <c r="F1277" t="s">
        <v>13</v>
      </c>
      <c r="G1277" t="s">
        <v>936</v>
      </c>
      <c r="H1277" t="s">
        <v>938</v>
      </c>
    </row>
    <row r="1278" spans="1:8" hidden="1" x14ac:dyDescent="0.25">
      <c r="A1278" t="s">
        <v>1907</v>
      </c>
      <c r="B1278" s="1" t="str">
        <f>HYPERLINK("https://asmlis.vasa.lt/Dashboard/Served?ServiceDateFrom=2025-11-24&amp;ServiceDateTo=2025-11-24&amp;DumpsterInvNr=13-L-213922", "13-L-213922")</f>
        <v>13-L-213922</v>
      </c>
      <c r="C1278">
        <v>1.1000000000000001</v>
      </c>
      <c r="D1278" t="s">
        <v>1908</v>
      </c>
      <c r="E1278" t="s">
        <v>11</v>
      </c>
      <c r="F1278" t="s">
        <v>1209</v>
      </c>
      <c r="G1278" t="s">
        <v>936</v>
      </c>
      <c r="H1278" t="s">
        <v>938</v>
      </c>
    </row>
    <row r="1279" spans="1:8" hidden="1" x14ac:dyDescent="0.25">
      <c r="A1279" t="s">
        <v>1909</v>
      </c>
      <c r="B1279" s="1" t="str">
        <f>HYPERLINK("https://asmlis.vasa.lt/Dashboard/Served?ServiceDateFrom=2025-11-24&amp;ServiceDateTo=2025-11-24&amp;DumpsterInvNr=13-L-301482", "13-L-301482")</f>
        <v>13-L-301482</v>
      </c>
      <c r="C1279">
        <v>1.1000000000000001</v>
      </c>
      <c r="D1279" t="s">
        <v>1588</v>
      </c>
      <c r="E1279" t="s">
        <v>11</v>
      </c>
      <c r="G1279" t="s">
        <v>9</v>
      </c>
      <c r="H1279" t="s">
        <v>14</v>
      </c>
    </row>
    <row r="1280" spans="1:8" hidden="1" x14ac:dyDescent="0.25">
      <c r="A1280" t="s">
        <v>1909</v>
      </c>
      <c r="B1280" s="1" t="str">
        <f>HYPERLINK("https://asmlis.vasa.lt/Dashboard/Served?ServiceDateFrom=2025-11-24&amp;ServiceDateTo=2025-11-24&amp;DumpsterInvNr=13-L-301487", "13-L-301487")</f>
        <v>13-L-301487</v>
      </c>
      <c r="C1280">
        <v>1.1000000000000001</v>
      </c>
      <c r="D1280" t="s">
        <v>1588</v>
      </c>
      <c r="E1280" t="s">
        <v>11</v>
      </c>
      <c r="G1280" t="s">
        <v>9</v>
      </c>
      <c r="H1280" t="s">
        <v>14</v>
      </c>
    </row>
    <row r="1281" spans="1:8" hidden="1" x14ac:dyDescent="0.25">
      <c r="A1281" t="s">
        <v>1910</v>
      </c>
      <c r="B1281" s="1" t="str">
        <f>HYPERLINK("https://asmlis.vasa.lt/Dashboard/Served?ServiceDateFrom=2025-11-24&amp;ServiceDateTo=2025-11-24&amp;DumpsterInvNr=13-L-141758", "13-L-141758")</f>
        <v>13-L-141758</v>
      </c>
      <c r="C1281">
        <v>5</v>
      </c>
      <c r="D1281" t="s">
        <v>1913</v>
      </c>
      <c r="E1281" t="s">
        <v>11</v>
      </c>
      <c r="F1281" t="s">
        <v>13</v>
      </c>
      <c r="G1281" t="s">
        <v>1912</v>
      </c>
      <c r="H1281" t="s">
        <v>432</v>
      </c>
    </row>
    <row r="1282" spans="1:8" hidden="1" x14ac:dyDescent="0.25">
      <c r="A1282" t="s">
        <v>1915</v>
      </c>
      <c r="B1282" s="1" t="str">
        <f>HYPERLINK("https://asmlis.vasa.lt/Dashboard/Served?ServiceDateFrom=2025-11-24&amp;ServiceDateTo=2025-11-24&amp;DumpsterInvNr=13-L-222166", "13-L-222166")</f>
        <v>13-L-222166</v>
      </c>
      <c r="C1282">
        <v>0.77</v>
      </c>
      <c r="D1282" t="s">
        <v>1908</v>
      </c>
      <c r="E1282" t="s">
        <v>11</v>
      </c>
      <c r="F1282" t="s">
        <v>1209</v>
      </c>
      <c r="G1282" t="s">
        <v>936</v>
      </c>
      <c r="H1282" t="s">
        <v>938</v>
      </c>
    </row>
    <row r="1283" spans="1:8" hidden="1" x14ac:dyDescent="0.25">
      <c r="A1283" t="s">
        <v>1916</v>
      </c>
      <c r="B1283" s="1" t="str">
        <f>HYPERLINK("https://asmlis.vasa.lt/Dashboard/Served?ServiceDateFrom=2025-11-24&amp;ServiceDateTo=2025-11-24&amp;DumpsterInvNr=13-P-115030", "13-P-115030")</f>
        <v>13-P-115030</v>
      </c>
      <c r="C1283">
        <v>4</v>
      </c>
      <c r="D1283" t="s">
        <v>1918</v>
      </c>
      <c r="E1283" t="s">
        <v>11</v>
      </c>
      <c r="F1283" t="s">
        <v>13</v>
      </c>
      <c r="G1283" t="s">
        <v>1917</v>
      </c>
      <c r="H1283" t="s">
        <v>432</v>
      </c>
    </row>
    <row r="1284" spans="1:8" hidden="1" x14ac:dyDescent="0.25">
      <c r="A1284" t="s">
        <v>1847</v>
      </c>
      <c r="B1284" s="1" t="str">
        <f>HYPERLINK("https://asmlis.vasa.lt/Dashboard/Served?ServiceDateFrom=2025-11-24&amp;ServiceDateTo=2025-11-24&amp;DumpsterInvNr=13-L-315474", "13-L-315474")</f>
        <v>13-L-315474</v>
      </c>
      <c r="C1284">
        <v>0.24</v>
      </c>
      <c r="D1284" t="s">
        <v>1840</v>
      </c>
      <c r="E1284" t="s">
        <v>11</v>
      </c>
      <c r="F1284" t="s">
        <v>13</v>
      </c>
      <c r="G1284" t="s">
        <v>9</v>
      </c>
      <c r="H1284" t="s">
        <v>14</v>
      </c>
    </row>
    <row r="1285" spans="1:8" hidden="1" x14ac:dyDescent="0.25">
      <c r="A1285" t="s">
        <v>1847</v>
      </c>
      <c r="B1285" s="1" t="str">
        <f>HYPERLINK("https://asmlis.vasa.lt/Dashboard/Served?ServiceDateFrom=2025-11-24&amp;ServiceDateTo=2025-11-24&amp;DumpsterInvNr=13-P-109676", "13-P-109676")</f>
        <v>13-P-109676</v>
      </c>
      <c r="C1285">
        <v>2.5</v>
      </c>
      <c r="D1285" t="s">
        <v>1918</v>
      </c>
      <c r="E1285" t="s">
        <v>11</v>
      </c>
      <c r="F1285" t="s">
        <v>13</v>
      </c>
      <c r="G1285" t="s">
        <v>1917</v>
      </c>
      <c r="H1285" t="s">
        <v>432</v>
      </c>
    </row>
    <row r="1286" spans="1:8" hidden="1" x14ac:dyDescent="0.25">
      <c r="A1286" t="s">
        <v>1920</v>
      </c>
      <c r="B1286" s="1" t="str">
        <f>HYPERLINK("https://asmlis.vasa.lt/Dashboard/Served?ServiceDateFrom=2025-11-24&amp;ServiceDateTo=2025-11-24&amp;DumpsterInvNr=13-L-418712", "13-L-418712")</f>
        <v>13-L-418712</v>
      </c>
      <c r="C1286">
        <v>5</v>
      </c>
      <c r="D1286" t="s">
        <v>1921</v>
      </c>
      <c r="E1286" t="s">
        <v>11</v>
      </c>
      <c r="F1286" t="s">
        <v>13</v>
      </c>
      <c r="G1286" t="s">
        <v>74</v>
      </c>
      <c r="H1286" t="s">
        <v>14</v>
      </c>
    </row>
    <row r="1287" spans="1:8" hidden="1" x14ac:dyDescent="0.25">
      <c r="A1287" t="s">
        <v>1922</v>
      </c>
      <c r="B1287" s="1" t="str">
        <f>HYPERLINK("https://asmlis.vasa.lt/Dashboard/Served?ServiceDateFrom=2025-11-24&amp;ServiceDateTo=2025-11-24&amp;DumpsterInvNr=13-P-212062", "13-P-212062")</f>
        <v>13-P-212062</v>
      </c>
      <c r="C1287">
        <v>2.5</v>
      </c>
      <c r="D1287" t="s">
        <v>1923</v>
      </c>
      <c r="E1287" t="s">
        <v>11</v>
      </c>
      <c r="F1287" t="s">
        <v>13</v>
      </c>
      <c r="G1287" t="s">
        <v>234</v>
      </c>
      <c r="H1287" t="s">
        <v>14</v>
      </c>
    </row>
    <row r="1288" spans="1:8" hidden="1" x14ac:dyDescent="0.25">
      <c r="A1288" t="s">
        <v>1924</v>
      </c>
      <c r="B1288" s="1" t="str">
        <f>HYPERLINK("https://asmlis.vasa.lt/Dashboard/Served?ServiceDateFrom=2025-11-24&amp;ServiceDateTo=2025-11-24&amp;DumpsterInvNr=13-P-206911", "13-P-206911")</f>
        <v>13-P-206911</v>
      </c>
      <c r="C1288">
        <v>2.5</v>
      </c>
      <c r="D1288" t="s">
        <v>1923</v>
      </c>
      <c r="E1288" t="s">
        <v>11</v>
      </c>
      <c r="F1288" t="s">
        <v>13</v>
      </c>
      <c r="G1288" t="s">
        <v>234</v>
      </c>
      <c r="H1288" t="s">
        <v>14</v>
      </c>
    </row>
    <row r="1289" spans="1:8" hidden="1" x14ac:dyDescent="0.25">
      <c r="A1289" t="s">
        <v>1925</v>
      </c>
      <c r="B1289" s="1" t="str">
        <f>HYPERLINK("https://asmlis.vasa.lt/Dashboard/Served?ServiceDateFrom=2025-11-24&amp;ServiceDateTo=2025-11-24&amp;DumpsterInvNr=13-P-416220", "13-P-416220")</f>
        <v>13-P-416220</v>
      </c>
      <c r="C1289">
        <v>5</v>
      </c>
      <c r="D1289" t="s">
        <v>1926</v>
      </c>
      <c r="E1289" t="s">
        <v>11</v>
      </c>
      <c r="G1289" t="s">
        <v>264</v>
      </c>
      <c r="H1289" t="s">
        <v>14</v>
      </c>
    </row>
    <row r="1290" spans="1:8" hidden="1" x14ac:dyDescent="0.25">
      <c r="A1290" t="s">
        <v>1927</v>
      </c>
      <c r="B1290" s="1" t="str">
        <f>HYPERLINK("https://asmlis.vasa.lt/Dashboard/Served?ServiceDateFrom=2025-11-24&amp;ServiceDateTo=2025-11-24&amp;DumpsterInvNr=13-L-319689", "13-L-319689")</f>
        <v>13-L-319689</v>
      </c>
      <c r="C1290">
        <v>1.1000000000000001</v>
      </c>
      <c r="D1290" t="s">
        <v>1928</v>
      </c>
      <c r="E1290" t="s">
        <v>11</v>
      </c>
      <c r="G1290" t="s">
        <v>9</v>
      </c>
      <c r="H1290" t="s">
        <v>14</v>
      </c>
    </row>
    <row r="1291" spans="1:8" hidden="1" x14ac:dyDescent="0.25">
      <c r="A1291" t="s">
        <v>1929</v>
      </c>
      <c r="B1291" s="1" t="str">
        <f>HYPERLINK("https://asmlis.vasa.lt/Dashboard/Served?ServiceDateFrom=2025-11-24&amp;ServiceDateTo=2025-11-24&amp;DumpsterInvNr=13-T-000314", "13-T-000314")</f>
        <v>13-T-000314</v>
      </c>
      <c r="C1291">
        <v>2.5</v>
      </c>
      <c r="D1291" t="s">
        <v>1930</v>
      </c>
      <c r="E1291" t="s">
        <v>11</v>
      </c>
      <c r="F1291" t="s">
        <v>13</v>
      </c>
      <c r="G1291" t="s">
        <v>1899</v>
      </c>
      <c r="H1291" t="s">
        <v>432</v>
      </c>
    </row>
    <row r="1292" spans="1:8" hidden="1" x14ac:dyDescent="0.25">
      <c r="A1292" t="s">
        <v>1931</v>
      </c>
      <c r="B1292" s="1" t="str">
        <f>HYPERLINK("https://asmlis.vasa.lt/Dashboard/Served?ServiceDateFrom=2025-11-24&amp;ServiceDateTo=2025-11-24&amp;DumpsterInvNr=13-T-000315", "13-T-000315")</f>
        <v>13-T-000315</v>
      </c>
      <c r="C1292">
        <v>2.5</v>
      </c>
      <c r="D1292" t="s">
        <v>1930</v>
      </c>
      <c r="E1292" t="s">
        <v>11</v>
      </c>
      <c r="F1292" t="s">
        <v>13</v>
      </c>
      <c r="G1292" t="s">
        <v>1899</v>
      </c>
      <c r="H1292" t="s">
        <v>432</v>
      </c>
    </row>
    <row r="1293" spans="1:8" hidden="1" x14ac:dyDescent="0.25">
      <c r="A1293" t="s">
        <v>1932</v>
      </c>
      <c r="B1293" s="1" t="str">
        <f>HYPERLINK("https://asmlis.vasa.lt/Dashboard/Served?ServiceDateFrom=2025-11-24&amp;ServiceDateTo=2025-11-24&amp;DumpsterInvNr=13-L-319624", "13-L-319624")</f>
        <v>13-L-319624</v>
      </c>
      <c r="C1293">
        <v>1.1000000000000001</v>
      </c>
      <c r="D1293" t="s">
        <v>1890</v>
      </c>
      <c r="E1293" t="s">
        <v>11</v>
      </c>
      <c r="F1293" t="s">
        <v>13</v>
      </c>
      <c r="G1293" t="s">
        <v>9</v>
      </c>
      <c r="H1293" t="s">
        <v>14</v>
      </c>
    </row>
    <row r="1294" spans="1:8" hidden="1" x14ac:dyDescent="0.25">
      <c r="A1294" t="s">
        <v>1933</v>
      </c>
      <c r="B1294" s="1" t="str">
        <f>HYPERLINK("https://asmlis.vasa.lt/Dashboard/Served?ServiceDateFrom=2025-11-24&amp;ServiceDateTo=2025-11-24&amp;DumpsterInvNr=13-L-217656", "13-L-217656")</f>
        <v>13-L-217656</v>
      </c>
      <c r="C1294">
        <v>0.77</v>
      </c>
      <c r="D1294" t="s">
        <v>1810</v>
      </c>
      <c r="E1294" t="s">
        <v>11</v>
      </c>
      <c r="G1294" t="s">
        <v>936</v>
      </c>
      <c r="H1294" t="s">
        <v>938</v>
      </c>
    </row>
    <row r="1295" spans="1:8" hidden="1" x14ac:dyDescent="0.25">
      <c r="A1295" t="s">
        <v>1934</v>
      </c>
      <c r="B1295" s="1" t="str">
        <f>HYPERLINK("https://asmlis.vasa.lt/Dashboard/Served?ServiceDateFrom=2025-11-24&amp;ServiceDateTo=2025-11-24&amp;DumpsterInvNr=13-L-416747", "13-L-416747")</f>
        <v>13-L-416747</v>
      </c>
      <c r="C1295">
        <v>1.1000000000000001</v>
      </c>
      <c r="D1295" t="s">
        <v>1780</v>
      </c>
      <c r="E1295" t="s">
        <v>11</v>
      </c>
      <c r="G1295" t="s">
        <v>74</v>
      </c>
      <c r="H1295" t="s">
        <v>14</v>
      </c>
    </row>
    <row r="1296" spans="1:8" hidden="1" x14ac:dyDescent="0.25">
      <c r="A1296" t="s">
        <v>1935</v>
      </c>
      <c r="B1296" s="1" t="str">
        <f>HYPERLINK("https://asmlis.vasa.lt/Dashboard/Served?ServiceDateFrom=2025-11-24&amp;ServiceDateTo=2025-11-24&amp;DumpsterInvNr=13-P-413906", "13-P-413906")</f>
        <v>13-P-413906</v>
      </c>
      <c r="C1296">
        <v>5</v>
      </c>
      <c r="D1296" t="s">
        <v>1864</v>
      </c>
      <c r="E1296" t="s">
        <v>11</v>
      </c>
      <c r="F1296" t="s">
        <v>13</v>
      </c>
      <c r="G1296" t="s">
        <v>264</v>
      </c>
      <c r="H1296" t="s">
        <v>14</v>
      </c>
    </row>
    <row r="1297" spans="1:8" hidden="1" x14ac:dyDescent="0.25">
      <c r="A1297" t="s">
        <v>1936</v>
      </c>
      <c r="B1297" s="1" t="str">
        <f>HYPERLINK("https://asmlis.vasa.lt/Dashboard/Served?ServiceDateFrom=2025-11-24&amp;ServiceDateTo=2025-11-24&amp;DumpsterInvNr=13-L-310024", "13-L-310024")</f>
        <v>13-L-310024</v>
      </c>
      <c r="C1297">
        <v>1.1000000000000001</v>
      </c>
      <c r="D1297" t="s">
        <v>1937</v>
      </c>
      <c r="E1297" t="s">
        <v>11</v>
      </c>
      <c r="G1297" t="s">
        <v>9</v>
      </c>
      <c r="H1297" t="s">
        <v>14</v>
      </c>
    </row>
    <row r="1298" spans="1:8" hidden="1" x14ac:dyDescent="0.25">
      <c r="A1298" t="s">
        <v>1938</v>
      </c>
      <c r="B1298" s="1" t="str">
        <f>HYPERLINK("https://asmlis.vasa.lt/Dashboard/Served?ServiceDateFrom=2025-11-24&amp;ServiceDateTo=2025-11-24&amp;DumpsterInvNr=13-P-301998", "13-P-301998")</f>
        <v>13-P-301998</v>
      </c>
      <c r="C1298">
        <v>1.1000000000000001</v>
      </c>
      <c r="D1298" t="s">
        <v>1883</v>
      </c>
      <c r="E1298" t="s">
        <v>11</v>
      </c>
      <c r="F1298" t="s">
        <v>13</v>
      </c>
      <c r="G1298" t="s">
        <v>412</v>
      </c>
      <c r="H1298" t="s">
        <v>14</v>
      </c>
    </row>
    <row r="1299" spans="1:8" hidden="1" x14ac:dyDescent="0.25">
      <c r="A1299" t="s">
        <v>1939</v>
      </c>
      <c r="B1299" s="1" t="str">
        <f>HYPERLINK("https://asmlis.vasa.lt/Dashboard/Served?ServiceDateFrom=2025-11-24&amp;ServiceDateTo=2025-11-24&amp;DumpsterInvNr=13-L-223659", "13-L-223659")</f>
        <v>13-L-223659</v>
      </c>
      <c r="C1299">
        <v>1.1000000000000001</v>
      </c>
      <c r="D1299" t="s">
        <v>1810</v>
      </c>
      <c r="E1299" t="s">
        <v>11</v>
      </c>
      <c r="G1299" t="s">
        <v>936</v>
      </c>
      <c r="H1299" t="s">
        <v>938</v>
      </c>
    </row>
    <row r="1300" spans="1:8" hidden="1" x14ac:dyDescent="0.25">
      <c r="A1300" t="s">
        <v>1940</v>
      </c>
      <c r="B1300" s="1" t="str">
        <f>HYPERLINK("https://asmlis.vasa.lt/Dashboard/Served?ServiceDateFrom=2025-11-24&amp;ServiceDateTo=2025-11-24&amp;DumpsterInvNr=13-L-408608", "13-L-408608")</f>
        <v>13-L-408608</v>
      </c>
      <c r="C1300">
        <v>1.1000000000000001</v>
      </c>
      <c r="D1300" t="s">
        <v>1780</v>
      </c>
      <c r="E1300" t="s">
        <v>11</v>
      </c>
      <c r="G1300" t="s">
        <v>74</v>
      </c>
      <c r="H1300" t="s">
        <v>14</v>
      </c>
    </row>
    <row r="1301" spans="1:8" hidden="1" x14ac:dyDescent="0.25">
      <c r="A1301" t="s">
        <v>1941</v>
      </c>
      <c r="B1301" s="1" t="str">
        <f>HYPERLINK("https://asmlis.vasa.lt/Dashboard/Served?ServiceDateFrom=2025-11-24&amp;ServiceDateTo=2025-11-24&amp;DumpsterInvNr=13-P-300372", "13-P-300372")</f>
        <v>13-P-300372</v>
      </c>
      <c r="C1301">
        <v>1.1000000000000001</v>
      </c>
      <c r="D1301" t="s">
        <v>1818</v>
      </c>
      <c r="E1301" t="s">
        <v>11</v>
      </c>
      <c r="F1301" t="s">
        <v>13</v>
      </c>
      <c r="G1301" t="s">
        <v>412</v>
      </c>
      <c r="H1301" t="s">
        <v>14</v>
      </c>
    </row>
    <row r="1302" spans="1:8" hidden="1" x14ac:dyDescent="0.25">
      <c r="A1302" t="s">
        <v>1942</v>
      </c>
      <c r="B1302" s="1" t="str">
        <f>HYPERLINK("https://asmlis.vasa.lt/Dashboard/Served?ServiceDateFrom=2025-11-24&amp;ServiceDateTo=2025-11-24&amp;DumpsterInvNr=13-L-315441", "13-L-315441")</f>
        <v>13-L-315441</v>
      </c>
      <c r="C1302">
        <v>1.1000000000000001</v>
      </c>
      <c r="D1302" t="s">
        <v>1943</v>
      </c>
      <c r="E1302" t="s">
        <v>11</v>
      </c>
      <c r="G1302" t="s">
        <v>9</v>
      </c>
      <c r="H1302" t="s">
        <v>14</v>
      </c>
    </row>
    <row r="1303" spans="1:8" hidden="1" x14ac:dyDescent="0.25">
      <c r="A1303" t="s">
        <v>1944</v>
      </c>
      <c r="B1303" s="1" t="str">
        <f>HYPERLINK("https://asmlis.vasa.lt/Dashboard/Served?ServiceDateFrom=2025-11-24&amp;ServiceDateTo=2025-11-24&amp;DumpsterInvNr=13-L-408609", "13-L-408609")</f>
        <v>13-L-408609</v>
      </c>
      <c r="C1303">
        <v>1.1000000000000001</v>
      </c>
      <c r="D1303" t="s">
        <v>1780</v>
      </c>
      <c r="E1303" t="s">
        <v>11</v>
      </c>
      <c r="G1303" t="s">
        <v>74</v>
      </c>
      <c r="H1303" t="s">
        <v>14</v>
      </c>
    </row>
    <row r="1304" spans="1:8" hidden="1" x14ac:dyDescent="0.25">
      <c r="A1304" t="s">
        <v>1945</v>
      </c>
      <c r="B1304" s="1" t="str">
        <f>HYPERLINK("https://asmlis.vasa.lt/Dashboard/Served?ServiceDateFrom=2025-11-24&amp;ServiceDateTo=2025-11-24&amp;DumpsterInvNr=13-L-136770", "13-L-136770")</f>
        <v>13-L-136770</v>
      </c>
      <c r="C1304">
        <v>5</v>
      </c>
      <c r="D1304" t="s">
        <v>1946</v>
      </c>
      <c r="E1304" t="s">
        <v>11</v>
      </c>
      <c r="F1304" t="s">
        <v>13</v>
      </c>
      <c r="G1304" t="s">
        <v>430</v>
      </c>
      <c r="H1304" t="s">
        <v>432</v>
      </c>
    </row>
    <row r="1305" spans="1:8" hidden="1" x14ac:dyDescent="0.25">
      <c r="A1305" t="s">
        <v>1947</v>
      </c>
      <c r="B1305" s="1" t="str">
        <f>HYPERLINK("https://asmlis.vasa.lt/Dashboard/Served?ServiceDateFrom=2025-11-24&amp;ServiceDateTo=2025-11-24&amp;DumpsterInvNr=13-P-416348", "13-P-416348")</f>
        <v>13-P-416348</v>
      </c>
      <c r="C1305">
        <v>1.1000000000000001</v>
      </c>
      <c r="D1305" t="s">
        <v>1948</v>
      </c>
      <c r="E1305" t="s">
        <v>11</v>
      </c>
      <c r="G1305" t="s">
        <v>264</v>
      </c>
      <c r="H1305" t="s">
        <v>14</v>
      </c>
    </row>
    <row r="1306" spans="1:8" hidden="1" x14ac:dyDescent="0.25">
      <c r="A1306" t="s">
        <v>1949</v>
      </c>
      <c r="B1306" s="1" t="str">
        <f>HYPERLINK("https://asmlis.vasa.lt/Dashboard/Served?ServiceDateFrom=2025-11-24&amp;ServiceDateTo=2025-11-24&amp;DumpsterInvNr=13-L-313105", "13-L-313105")</f>
        <v>13-L-313105</v>
      </c>
      <c r="C1306">
        <v>5</v>
      </c>
      <c r="D1306" t="s">
        <v>1951</v>
      </c>
      <c r="E1306" t="s">
        <v>11</v>
      </c>
      <c r="F1306" t="s">
        <v>13</v>
      </c>
      <c r="G1306" t="s">
        <v>9</v>
      </c>
      <c r="H1306" t="s">
        <v>14</v>
      </c>
    </row>
    <row r="1307" spans="1:8" hidden="1" x14ac:dyDescent="0.25">
      <c r="A1307" t="s">
        <v>1952</v>
      </c>
      <c r="B1307" s="1" t="str">
        <f>HYPERLINK("https://asmlis.vasa.lt/Dashboard/Served?ServiceDateFrom=2025-11-24&amp;ServiceDateTo=2025-11-24&amp;DumpsterInvNr=13-L-311451", "13-L-311451")</f>
        <v>13-L-311451</v>
      </c>
      <c r="C1307">
        <v>0.77</v>
      </c>
      <c r="D1307" t="s">
        <v>1953</v>
      </c>
      <c r="E1307" t="s">
        <v>11</v>
      </c>
      <c r="F1307" t="s">
        <v>13</v>
      </c>
      <c r="G1307" t="s">
        <v>9</v>
      </c>
      <c r="H1307" t="s">
        <v>14</v>
      </c>
    </row>
    <row r="1308" spans="1:8" hidden="1" x14ac:dyDescent="0.25">
      <c r="A1308" t="s">
        <v>1954</v>
      </c>
      <c r="B1308" s="1" t="str">
        <f>HYPERLINK("https://asmlis.vasa.lt/Dashboard/Served?ServiceDateFrom=2025-11-24&amp;ServiceDateTo=2025-11-24&amp;DumpsterInvNr=13-L-422082", "13-L-422082")</f>
        <v>13-L-422082</v>
      </c>
      <c r="C1308">
        <v>5</v>
      </c>
      <c r="D1308" t="s">
        <v>1955</v>
      </c>
      <c r="E1308" t="s">
        <v>11</v>
      </c>
      <c r="G1308" t="s">
        <v>74</v>
      </c>
      <c r="H1308" t="s">
        <v>14</v>
      </c>
    </row>
    <row r="1309" spans="1:8" hidden="1" x14ac:dyDescent="0.25">
      <c r="A1309" t="s">
        <v>1956</v>
      </c>
      <c r="B1309" s="1" t="str">
        <f>HYPERLINK("https://asmlis.vasa.lt/Dashboard/Served?ServiceDateFrom=2025-11-24&amp;ServiceDateTo=2025-11-24&amp;DumpsterInvNr=13-L-304608", "13-L-304608")</f>
        <v>13-L-304608</v>
      </c>
      <c r="C1309">
        <v>0.24</v>
      </c>
      <c r="D1309" t="s">
        <v>1937</v>
      </c>
      <c r="E1309" t="s">
        <v>11</v>
      </c>
      <c r="F1309" t="s">
        <v>13</v>
      </c>
      <c r="G1309" t="s">
        <v>9</v>
      </c>
      <c r="H1309" t="s">
        <v>14</v>
      </c>
    </row>
    <row r="1310" spans="1:8" hidden="1" x14ac:dyDescent="0.25">
      <c r="A1310" t="s">
        <v>1957</v>
      </c>
      <c r="B1310" s="1" t="str">
        <f>HYPERLINK("https://asmlis.vasa.lt/Dashboard/Served?ServiceDateFrom=2025-11-24&amp;ServiceDateTo=2025-11-24&amp;DumpsterInvNr=13-P-302450", "13-P-302450")</f>
        <v>13-P-302450</v>
      </c>
      <c r="C1310">
        <v>1.3</v>
      </c>
      <c r="D1310" t="s">
        <v>841</v>
      </c>
      <c r="E1310" t="s">
        <v>11</v>
      </c>
      <c r="F1310" t="s">
        <v>13</v>
      </c>
      <c r="G1310" t="s">
        <v>412</v>
      </c>
      <c r="H1310" t="s">
        <v>14</v>
      </c>
    </row>
    <row r="1311" spans="1:8" hidden="1" x14ac:dyDescent="0.25">
      <c r="A1311" t="s">
        <v>1958</v>
      </c>
      <c r="B1311" s="1" t="str">
        <f>HYPERLINK("https://asmlis.vasa.lt/Dashboard/Served?ServiceDateFrom=2025-11-24&amp;ServiceDateTo=2025-11-24&amp;DumpsterInvNr=13-L-139333", "13-L-139333")</f>
        <v>13-L-139333</v>
      </c>
      <c r="C1311">
        <v>5</v>
      </c>
      <c r="D1311" t="s">
        <v>1960</v>
      </c>
      <c r="E1311" t="s">
        <v>11</v>
      </c>
      <c r="F1311" t="s">
        <v>13</v>
      </c>
      <c r="G1311" t="s">
        <v>1912</v>
      </c>
      <c r="H1311" t="s">
        <v>432</v>
      </c>
    </row>
    <row r="1312" spans="1:8" hidden="1" x14ac:dyDescent="0.25">
      <c r="A1312" t="s">
        <v>1961</v>
      </c>
      <c r="B1312" s="1" t="str">
        <f>HYPERLINK("https://asmlis.vasa.lt/Dashboard/Served?ServiceDateFrom=2025-11-24&amp;ServiceDateTo=2025-11-24&amp;DumpsterInvNr=13-L-315127", "13-L-315127")</f>
        <v>13-L-315127</v>
      </c>
      <c r="C1312">
        <v>1.1000000000000001</v>
      </c>
      <c r="D1312" t="s">
        <v>1962</v>
      </c>
      <c r="E1312" t="s">
        <v>11</v>
      </c>
      <c r="G1312" t="s">
        <v>9</v>
      </c>
      <c r="H1312" t="s">
        <v>14</v>
      </c>
    </row>
    <row r="1313" spans="1:8" hidden="1" x14ac:dyDescent="0.25">
      <c r="A1313" t="s">
        <v>1963</v>
      </c>
      <c r="B1313" s="1" t="str">
        <f>HYPERLINK("https://asmlis.vasa.lt/Dashboard/Served?ServiceDateFrom=2025-11-24&amp;ServiceDateTo=2025-11-24&amp;DumpsterInvNr=13-L-404482", "13-L-404482")</f>
        <v>13-L-404482</v>
      </c>
      <c r="C1313">
        <v>1.1000000000000001</v>
      </c>
      <c r="D1313" t="s">
        <v>1964</v>
      </c>
      <c r="E1313" t="s">
        <v>11</v>
      </c>
      <c r="G1313" t="s">
        <v>74</v>
      </c>
      <c r="H1313" t="s">
        <v>14</v>
      </c>
    </row>
    <row r="1314" spans="1:8" hidden="1" x14ac:dyDescent="0.25">
      <c r="A1314" t="s">
        <v>1963</v>
      </c>
      <c r="B1314" s="1" t="str">
        <f>HYPERLINK("https://asmlis.vasa.lt/Dashboard/Served?ServiceDateFrom=2025-11-24&amp;ServiceDateTo=2025-11-24&amp;DumpsterInvNr=13-L-319690", "13-L-319690")</f>
        <v>13-L-319690</v>
      </c>
      <c r="C1314">
        <v>1.1000000000000001</v>
      </c>
      <c r="D1314" t="s">
        <v>1937</v>
      </c>
      <c r="E1314" t="s">
        <v>11</v>
      </c>
      <c r="F1314" t="s">
        <v>13</v>
      </c>
      <c r="G1314" t="s">
        <v>9</v>
      </c>
      <c r="H1314" t="s">
        <v>14</v>
      </c>
    </row>
    <row r="1315" spans="1:8" hidden="1" x14ac:dyDescent="0.25">
      <c r="A1315" t="s">
        <v>1965</v>
      </c>
      <c r="B1315" s="1" t="str">
        <f>HYPERLINK("https://asmlis.vasa.lt/Dashboard/Served?ServiceDateFrom=2025-11-24&amp;ServiceDateTo=2025-11-24&amp;DumpsterInvNr=13-P-302445", "13-P-302445")</f>
        <v>13-P-302445</v>
      </c>
      <c r="C1315">
        <v>1.3</v>
      </c>
      <c r="D1315" t="s">
        <v>841</v>
      </c>
      <c r="E1315" t="s">
        <v>11</v>
      </c>
      <c r="F1315" t="s">
        <v>13</v>
      </c>
      <c r="G1315" t="s">
        <v>412</v>
      </c>
      <c r="H1315" t="s">
        <v>14</v>
      </c>
    </row>
    <row r="1316" spans="1:8" hidden="1" x14ac:dyDescent="0.25">
      <c r="A1316" t="s">
        <v>1966</v>
      </c>
      <c r="B1316" s="1" t="str">
        <f>HYPERLINK("https://asmlis.vasa.lt/Dashboard/Served?ServiceDateFrom=2025-11-24&amp;ServiceDateTo=2025-11-24&amp;DumpsterInvNr=13-P-306889", "13-P-306889")</f>
        <v>13-P-306889</v>
      </c>
      <c r="C1316">
        <v>1.1000000000000001</v>
      </c>
      <c r="D1316" t="s">
        <v>1967</v>
      </c>
      <c r="E1316" t="s">
        <v>11</v>
      </c>
      <c r="G1316" t="s">
        <v>412</v>
      </c>
      <c r="H1316" t="s">
        <v>14</v>
      </c>
    </row>
    <row r="1317" spans="1:8" hidden="1" x14ac:dyDescent="0.25">
      <c r="A1317" t="s">
        <v>1898</v>
      </c>
      <c r="B1317" s="1" t="str">
        <f>HYPERLINK("https://asmlis.vasa.lt/Dashboard/Served?ServiceDateFrom=2025-11-24&amp;ServiceDateTo=2025-11-24&amp;DumpsterInvNr=13-L-216016", "13-L-216016")</f>
        <v>13-L-216016</v>
      </c>
      <c r="C1317">
        <v>1.1000000000000001</v>
      </c>
      <c r="D1317" t="s">
        <v>1968</v>
      </c>
      <c r="E1317" t="s">
        <v>11</v>
      </c>
      <c r="G1317" t="s">
        <v>936</v>
      </c>
      <c r="H1317" t="s">
        <v>938</v>
      </c>
    </row>
    <row r="1318" spans="1:8" hidden="1" x14ac:dyDescent="0.25">
      <c r="A1318" t="s">
        <v>1969</v>
      </c>
      <c r="B1318" s="1" t="str">
        <f>HYPERLINK("https://asmlis.vasa.lt/Dashboard/Served?ServiceDateFrom=2025-11-24&amp;ServiceDateTo=2025-11-24&amp;DumpsterInvNr=13-L-142321", "13-L-142321")</f>
        <v>13-L-142321</v>
      </c>
      <c r="C1318">
        <v>5</v>
      </c>
      <c r="D1318" t="s">
        <v>1970</v>
      </c>
      <c r="E1318" t="s">
        <v>11</v>
      </c>
      <c r="F1318" t="s">
        <v>13</v>
      </c>
      <c r="G1318" t="s">
        <v>430</v>
      </c>
      <c r="H1318" t="s">
        <v>432</v>
      </c>
    </row>
    <row r="1319" spans="1:8" hidden="1" x14ac:dyDescent="0.25">
      <c r="A1319" t="s">
        <v>1971</v>
      </c>
      <c r="B1319" s="1" t="str">
        <f>HYPERLINK("https://asmlis.vasa.lt/Dashboard/Served?ServiceDateFrom=2025-11-24&amp;ServiceDateTo=2025-11-24&amp;DumpsterInvNr=13-L-309445", "13-L-309445")</f>
        <v>13-L-309445</v>
      </c>
      <c r="C1319">
        <v>1.1000000000000001</v>
      </c>
      <c r="D1319" t="s">
        <v>1972</v>
      </c>
      <c r="E1319" t="s">
        <v>11</v>
      </c>
      <c r="F1319" t="s">
        <v>13</v>
      </c>
      <c r="G1319" t="s">
        <v>9</v>
      </c>
      <c r="H1319" t="s">
        <v>14</v>
      </c>
    </row>
    <row r="1320" spans="1:8" hidden="1" x14ac:dyDescent="0.25">
      <c r="A1320" t="s">
        <v>1973</v>
      </c>
      <c r="B1320" s="1" t="str">
        <f>HYPERLINK("https://asmlis.vasa.lt/Dashboard/Served?ServiceDateFrom=2025-11-24&amp;ServiceDateTo=2025-11-24&amp;DumpsterInvNr=13-L-318001", "13-L-318001")</f>
        <v>13-L-318001</v>
      </c>
      <c r="C1320">
        <v>1.1000000000000001</v>
      </c>
      <c r="D1320" t="s">
        <v>1972</v>
      </c>
      <c r="E1320" t="s">
        <v>11</v>
      </c>
      <c r="F1320" t="s">
        <v>13</v>
      </c>
      <c r="G1320" t="s">
        <v>9</v>
      </c>
      <c r="H1320" t="s">
        <v>14</v>
      </c>
    </row>
    <row r="1321" spans="1:8" hidden="1" x14ac:dyDescent="0.25">
      <c r="A1321" t="s">
        <v>1974</v>
      </c>
      <c r="B1321" s="1" t="str">
        <f>HYPERLINK("https://asmlis.vasa.lt/Dashboard/Served?ServiceDateFrom=2025-11-24&amp;ServiceDateTo=2025-11-24&amp;DumpsterInvNr=13-L-309349", "13-L-309349")</f>
        <v>13-L-309349</v>
      </c>
      <c r="C1321">
        <v>1.1000000000000001</v>
      </c>
      <c r="D1321" t="s">
        <v>1972</v>
      </c>
      <c r="E1321" t="s">
        <v>11</v>
      </c>
      <c r="F1321" t="s">
        <v>13</v>
      </c>
      <c r="G1321" t="s">
        <v>9</v>
      </c>
      <c r="H1321" t="s">
        <v>14</v>
      </c>
    </row>
    <row r="1322" spans="1:8" hidden="1" x14ac:dyDescent="0.25">
      <c r="A1322" t="s">
        <v>1975</v>
      </c>
      <c r="B1322" s="1" t="str">
        <f>HYPERLINK("https://asmlis.vasa.lt/Dashboard/Served?ServiceDateFrom=2025-11-24&amp;ServiceDateTo=2025-11-24&amp;DumpsterInvNr=13-L-424444", "13-L-424444")</f>
        <v>13-L-424444</v>
      </c>
      <c r="C1322">
        <v>5</v>
      </c>
      <c r="D1322" t="s">
        <v>1853</v>
      </c>
      <c r="E1322" t="s">
        <v>11</v>
      </c>
      <c r="F1322" t="s">
        <v>13</v>
      </c>
      <c r="G1322" t="s">
        <v>74</v>
      </c>
      <c r="H1322" t="s">
        <v>14</v>
      </c>
    </row>
    <row r="1323" spans="1:8" hidden="1" x14ac:dyDescent="0.25">
      <c r="A1323" t="s">
        <v>1976</v>
      </c>
      <c r="B1323" s="1" t="str">
        <f>HYPERLINK("https://asmlis.vasa.lt/Dashboard/Served?ServiceDateFrom=2025-11-24&amp;ServiceDateTo=2025-11-24&amp;DumpsterInvNr=13-L-306067", "13-L-306067")</f>
        <v>13-L-306067</v>
      </c>
      <c r="C1323">
        <v>1.1000000000000001</v>
      </c>
      <c r="D1323" t="s">
        <v>1977</v>
      </c>
      <c r="E1323" t="s">
        <v>11</v>
      </c>
      <c r="F1323" t="s">
        <v>13</v>
      </c>
      <c r="G1323" t="s">
        <v>9</v>
      </c>
      <c r="H1323" t="s">
        <v>14</v>
      </c>
    </row>
    <row r="1324" spans="1:8" hidden="1" x14ac:dyDescent="0.25">
      <c r="A1324" t="s">
        <v>1978</v>
      </c>
      <c r="B1324" s="1" t="str">
        <f>HYPERLINK("https://asmlis.vasa.lt/Dashboard/Served?ServiceDateFrom=2025-11-24&amp;ServiceDateTo=2025-11-24&amp;DumpsterInvNr=13-L-312690", "13-L-312690")</f>
        <v>13-L-312690</v>
      </c>
      <c r="C1324">
        <v>1.1000000000000001</v>
      </c>
      <c r="D1324" t="s">
        <v>1977</v>
      </c>
      <c r="E1324" t="s">
        <v>11</v>
      </c>
      <c r="F1324" t="s">
        <v>13</v>
      </c>
      <c r="G1324" t="s">
        <v>9</v>
      </c>
      <c r="H1324" t="s">
        <v>14</v>
      </c>
    </row>
    <row r="1325" spans="1:8" hidden="1" x14ac:dyDescent="0.25">
      <c r="A1325" t="s">
        <v>1979</v>
      </c>
      <c r="B1325" s="1" t="str">
        <f>HYPERLINK("https://asmlis.vasa.lt/Dashboard/Served?ServiceDateFrom=2025-11-24&amp;ServiceDateTo=2025-11-24&amp;DumpsterInvNr=13-L-318352", "13-L-318352")</f>
        <v>13-L-318352</v>
      </c>
      <c r="C1325">
        <v>1.1000000000000001</v>
      </c>
      <c r="D1325" t="s">
        <v>1980</v>
      </c>
      <c r="E1325" t="s">
        <v>11</v>
      </c>
      <c r="G1325" t="s">
        <v>9</v>
      </c>
      <c r="H1325" t="s">
        <v>14</v>
      </c>
    </row>
    <row r="1326" spans="1:8" hidden="1" x14ac:dyDescent="0.25">
      <c r="A1326" t="s">
        <v>1981</v>
      </c>
      <c r="B1326" s="1" t="str">
        <f>HYPERLINK("https://asmlis.vasa.lt/Dashboard/Served?ServiceDateFrom=2025-11-24&amp;ServiceDateTo=2025-11-24&amp;DumpsterInvNr=13-L-142320", "13-L-142320")</f>
        <v>13-L-142320</v>
      </c>
      <c r="C1326">
        <v>1.3</v>
      </c>
      <c r="D1326" t="s">
        <v>1970</v>
      </c>
      <c r="E1326" t="s">
        <v>11</v>
      </c>
      <c r="F1326" t="s">
        <v>13</v>
      </c>
      <c r="G1326" t="s">
        <v>430</v>
      </c>
      <c r="H1326" t="s">
        <v>432</v>
      </c>
    </row>
    <row r="1327" spans="1:8" hidden="1" x14ac:dyDescent="0.25">
      <c r="A1327" t="s">
        <v>1982</v>
      </c>
      <c r="B1327" s="1" t="str">
        <f>HYPERLINK("https://asmlis.vasa.lt/Dashboard/Served?ServiceDateFrom=2025-11-24&amp;ServiceDateTo=2025-11-24&amp;DumpsterInvNr=13-L-216019", "13-L-216019")</f>
        <v>13-L-216019</v>
      </c>
      <c r="C1327">
        <v>1.1000000000000001</v>
      </c>
      <c r="D1327" t="s">
        <v>1968</v>
      </c>
      <c r="E1327" t="s">
        <v>11</v>
      </c>
      <c r="G1327" t="s">
        <v>936</v>
      </c>
      <c r="H1327" t="s">
        <v>938</v>
      </c>
    </row>
    <row r="1328" spans="1:8" hidden="1" x14ac:dyDescent="0.25">
      <c r="A1328" t="s">
        <v>1983</v>
      </c>
      <c r="B1328" s="1" t="str">
        <f>HYPERLINK("https://asmlis.vasa.lt/Dashboard/Served?ServiceDateFrom=2025-11-24&amp;ServiceDateTo=2025-11-24&amp;DumpsterInvNr=13-L-313343", "13-L-313343")</f>
        <v>13-L-313343</v>
      </c>
      <c r="C1328">
        <v>1.1000000000000001</v>
      </c>
      <c r="D1328" t="s">
        <v>1977</v>
      </c>
      <c r="E1328" t="s">
        <v>11</v>
      </c>
      <c r="F1328" t="s">
        <v>13</v>
      </c>
      <c r="G1328" t="s">
        <v>9</v>
      </c>
      <c r="H1328" t="s">
        <v>14</v>
      </c>
    </row>
    <row r="1329" spans="1:8" hidden="1" x14ac:dyDescent="0.25">
      <c r="A1329" t="s">
        <v>1984</v>
      </c>
      <c r="B1329" s="1" t="str">
        <f>HYPERLINK("https://asmlis.vasa.lt/Dashboard/Served?ServiceDateFrom=2025-11-24&amp;ServiceDateTo=2025-11-24&amp;DumpsterInvNr=13-L-424962", "13-L-424962")</f>
        <v>13-L-424962</v>
      </c>
      <c r="C1329">
        <v>1.1000000000000001</v>
      </c>
      <c r="D1329" t="s">
        <v>1964</v>
      </c>
      <c r="E1329" t="s">
        <v>11</v>
      </c>
      <c r="G1329" t="s">
        <v>74</v>
      </c>
      <c r="H1329" t="s">
        <v>14</v>
      </c>
    </row>
    <row r="1330" spans="1:8" hidden="1" x14ac:dyDescent="0.25">
      <c r="A1330" t="s">
        <v>1985</v>
      </c>
      <c r="B1330" s="1" t="str">
        <f>HYPERLINK("https://asmlis.vasa.lt/Dashboard/Served?ServiceDateFrom=2025-11-24&amp;ServiceDateTo=2025-11-24&amp;DumpsterInvNr=13-P-405431", "13-P-405431")</f>
        <v>13-P-405431</v>
      </c>
      <c r="C1330">
        <v>5</v>
      </c>
      <c r="D1330" t="s">
        <v>1828</v>
      </c>
      <c r="E1330" t="s">
        <v>11</v>
      </c>
      <c r="F1330" t="s">
        <v>13</v>
      </c>
      <c r="G1330" t="s">
        <v>264</v>
      </c>
      <c r="H1330" t="s">
        <v>14</v>
      </c>
    </row>
    <row r="1331" spans="1:8" hidden="1" x14ac:dyDescent="0.25">
      <c r="A1331" t="s">
        <v>1986</v>
      </c>
      <c r="B1331" s="1" t="str">
        <f>HYPERLINK("https://asmlis.vasa.lt/Dashboard/Served?ServiceDateFrom=2025-11-24&amp;ServiceDateTo=2025-11-24&amp;DumpsterInvNr=13-P-300721", "13-P-300721")</f>
        <v>13-P-300721</v>
      </c>
      <c r="C1331">
        <v>1.1000000000000001</v>
      </c>
      <c r="D1331" t="s">
        <v>1987</v>
      </c>
      <c r="E1331" t="s">
        <v>11</v>
      </c>
      <c r="F1331" t="s">
        <v>13</v>
      </c>
      <c r="G1331" t="s">
        <v>412</v>
      </c>
      <c r="H1331" t="s">
        <v>14</v>
      </c>
    </row>
    <row r="1332" spans="1:8" hidden="1" x14ac:dyDescent="0.25">
      <c r="A1332" t="s">
        <v>1988</v>
      </c>
      <c r="B1332" s="1" t="str">
        <f>HYPERLINK("https://asmlis.vasa.lt/Dashboard/Served?ServiceDateFrom=2025-11-24&amp;ServiceDateTo=2025-11-24&amp;DumpsterInvNr=13-L-318814", "13-L-318814")</f>
        <v>13-L-318814</v>
      </c>
      <c r="C1332">
        <v>1.1000000000000001</v>
      </c>
      <c r="D1332" t="s">
        <v>1977</v>
      </c>
      <c r="E1332" t="s">
        <v>11</v>
      </c>
      <c r="F1332" t="s">
        <v>13</v>
      </c>
      <c r="G1332" t="s">
        <v>9</v>
      </c>
      <c r="H1332" t="s">
        <v>14</v>
      </c>
    </row>
    <row r="1333" spans="1:8" hidden="1" x14ac:dyDescent="0.25">
      <c r="A1333" t="s">
        <v>1988</v>
      </c>
      <c r="B1333" s="1" t="str">
        <f>HYPERLINK("https://asmlis.vasa.lt/Dashboard/Served?ServiceDateFrom=2025-11-24&amp;ServiceDateTo=2025-11-24&amp;DumpsterInvNr=13-P-306731", "13-P-306731")</f>
        <v>13-P-306731</v>
      </c>
      <c r="C1333">
        <v>5</v>
      </c>
      <c r="D1333" t="s">
        <v>868</v>
      </c>
      <c r="E1333" t="s">
        <v>11</v>
      </c>
      <c r="F1333" t="s">
        <v>13</v>
      </c>
      <c r="G1333" t="s">
        <v>412</v>
      </c>
      <c r="H1333" t="s">
        <v>14</v>
      </c>
    </row>
    <row r="1334" spans="1:8" hidden="1" x14ac:dyDescent="0.25">
      <c r="A1334" t="s">
        <v>1989</v>
      </c>
      <c r="B1334" s="1" t="str">
        <f>HYPERLINK("https://asmlis.vasa.lt/Dashboard/Served?ServiceDateFrom=2025-11-24&amp;ServiceDateTo=2025-11-24&amp;DumpsterInvNr=13-L-315332", "13-L-315332")</f>
        <v>13-L-315332</v>
      </c>
      <c r="C1334">
        <v>1.1000000000000001</v>
      </c>
      <c r="D1334" t="s">
        <v>1980</v>
      </c>
      <c r="E1334" t="s">
        <v>11</v>
      </c>
      <c r="F1334" t="s">
        <v>13</v>
      </c>
      <c r="G1334" t="s">
        <v>9</v>
      </c>
      <c r="H1334" t="s">
        <v>14</v>
      </c>
    </row>
    <row r="1335" spans="1:8" hidden="1" x14ac:dyDescent="0.25">
      <c r="A1335" t="s">
        <v>1990</v>
      </c>
      <c r="B1335" s="1" t="str">
        <f>HYPERLINK("https://asmlis.vasa.lt/Dashboard/Served?ServiceDateFrom=2025-11-24&amp;ServiceDateTo=2025-11-24&amp;DumpsterInvNr=13-L-135456", "13-L-135456")</f>
        <v>13-L-135456</v>
      </c>
      <c r="C1335">
        <v>5</v>
      </c>
      <c r="D1335" t="s">
        <v>1991</v>
      </c>
      <c r="E1335" t="s">
        <v>11</v>
      </c>
      <c r="F1335" t="s">
        <v>13</v>
      </c>
      <c r="G1335" t="s">
        <v>430</v>
      </c>
      <c r="H1335" t="s">
        <v>432</v>
      </c>
    </row>
    <row r="1336" spans="1:8" hidden="1" x14ac:dyDescent="0.25">
      <c r="A1336" t="s">
        <v>1992</v>
      </c>
      <c r="B1336" s="1" t="str">
        <f>HYPERLINK("https://asmlis.vasa.lt/Dashboard/Served?ServiceDateFrom=2025-11-24&amp;ServiceDateTo=2025-11-24&amp;DumpsterInvNr=13-L-225289", "13-L-225289")</f>
        <v>13-L-225289</v>
      </c>
      <c r="C1336">
        <v>1.1000000000000001</v>
      </c>
      <c r="D1336" t="s">
        <v>1993</v>
      </c>
      <c r="E1336" t="s">
        <v>11</v>
      </c>
      <c r="G1336" t="s">
        <v>936</v>
      </c>
      <c r="H1336" t="s">
        <v>938</v>
      </c>
    </row>
    <row r="1337" spans="1:8" hidden="1" x14ac:dyDescent="0.25">
      <c r="A1337" t="s">
        <v>1992</v>
      </c>
      <c r="B1337" s="1" t="str">
        <f>HYPERLINK("https://asmlis.vasa.lt/Dashboard/Served?ServiceDateFrom=2025-11-24&amp;ServiceDateTo=2025-11-24&amp;DumpsterInvNr=13-L-222239", "13-L-222239")</f>
        <v>13-L-222239</v>
      </c>
      <c r="C1337">
        <v>1.1000000000000001</v>
      </c>
      <c r="D1337" t="s">
        <v>1968</v>
      </c>
      <c r="E1337" t="s">
        <v>11</v>
      </c>
      <c r="G1337" t="s">
        <v>936</v>
      </c>
      <c r="H1337" t="s">
        <v>938</v>
      </c>
    </row>
    <row r="1338" spans="1:8" hidden="1" x14ac:dyDescent="0.25">
      <c r="A1338" t="s">
        <v>1994</v>
      </c>
      <c r="B1338" s="1" t="str">
        <f>HYPERLINK("https://asmlis.vasa.lt/Dashboard/Served?ServiceDateFrom=2025-11-24&amp;ServiceDateTo=2025-11-24&amp;DumpsterInvNr=13-P-400651", "13-P-400651")</f>
        <v>13-P-400651</v>
      </c>
      <c r="C1338">
        <v>5</v>
      </c>
      <c r="D1338" t="s">
        <v>1577</v>
      </c>
      <c r="E1338" t="s">
        <v>11</v>
      </c>
      <c r="F1338" t="s">
        <v>13</v>
      </c>
      <c r="G1338" t="s">
        <v>264</v>
      </c>
      <c r="H1338" t="s">
        <v>14</v>
      </c>
    </row>
    <row r="1339" spans="1:8" hidden="1" x14ac:dyDescent="0.25">
      <c r="A1339" t="s">
        <v>1995</v>
      </c>
      <c r="B1339" s="1" t="str">
        <f>HYPERLINK("https://asmlis.vasa.lt/Dashboard/Served?ServiceDateFrom=2025-11-24&amp;ServiceDateTo=2025-11-24&amp;DumpsterInvNr=13-L-210408", "13-L-210408")</f>
        <v>13-L-210408</v>
      </c>
      <c r="C1339">
        <v>5</v>
      </c>
      <c r="D1339" t="s">
        <v>1996</v>
      </c>
      <c r="E1339" t="s">
        <v>11</v>
      </c>
      <c r="G1339" t="s">
        <v>936</v>
      </c>
      <c r="H1339" t="s">
        <v>938</v>
      </c>
    </row>
    <row r="1340" spans="1:8" hidden="1" x14ac:dyDescent="0.25">
      <c r="A1340" t="s">
        <v>1997</v>
      </c>
      <c r="B1340" s="1" t="str">
        <f>HYPERLINK("https://asmlis.vasa.lt/Dashboard/Served?ServiceDateFrom=2025-11-24&amp;ServiceDateTo=2025-11-24&amp;DumpsterInvNr=13-L-314544", "13-L-314544")</f>
        <v>13-L-314544</v>
      </c>
      <c r="C1340">
        <v>1.1000000000000001</v>
      </c>
      <c r="D1340" t="s">
        <v>1998</v>
      </c>
      <c r="E1340" t="s">
        <v>11</v>
      </c>
      <c r="G1340" t="s">
        <v>9</v>
      </c>
      <c r="H1340" t="s">
        <v>14</v>
      </c>
    </row>
    <row r="1341" spans="1:8" hidden="1" x14ac:dyDescent="0.25">
      <c r="A1341" t="s">
        <v>1999</v>
      </c>
      <c r="B1341" s="1" t="str">
        <f>HYPERLINK("https://asmlis.vasa.lt/Dashboard/Served?ServiceDateFrom=2025-11-24&amp;ServiceDateTo=2025-11-24&amp;DumpsterInvNr=13-L-317833", "13-L-317833")</f>
        <v>13-L-317833</v>
      </c>
      <c r="C1341">
        <v>1.1000000000000001</v>
      </c>
      <c r="D1341" t="s">
        <v>2000</v>
      </c>
      <c r="E1341" t="s">
        <v>11</v>
      </c>
      <c r="G1341" t="s">
        <v>9</v>
      </c>
      <c r="H1341" t="s">
        <v>14</v>
      </c>
    </row>
    <row r="1342" spans="1:8" hidden="1" x14ac:dyDescent="0.25">
      <c r="A1342" t="s">
        <v>1307</v>
      </c>
      <c r="B1342" s="1" t="str">
        <f>HYPERLINK("https://asmlis.vasa.lt/Dashboard/Served?ServiceDateFrom=2025-11-24&amp;ServiceDateTo=2025-11-24&amp;DumpsterInvNr=13-P-413964", "13-P-413964")</f>
        <v>13-P-413964</v>
      </c>
      <c r="C1342">
        <v>3</v>
      </c>
      <c r="D1342" t="s">
        <v>2001</v>
      </c>
      <c r="E1342" t="s">
        <v>11</v>
      </c>
      <c r="F1342" t="s">
        <v>13</v>
      </c>
      <c r="G1342" t="s">
        <v>264</v>
      </c>
      <c r="H1342" t="s">
        <v>14</v>
      </c>
    </row>
    <row r="1343" spans="1:8" hidden="1" x14ac:dyDescent="0.25">
      <c r="A1343" t="s">
        <v>1326</v>
      </c>
      <c r="B1343" s="1" t="str">
        <f>HYPERLINK("https://asmlis.vasa.lt/Dashboard/Served?ServiceDateFrom=2025-11-24&amp;ServiceDateTo=2025-11-24&amp;DumpsterInvNr=13-P-413934", "13-P-413934")</f>
        <v>13-P-413934</v>
      </c>
      <c r="C1343">
        <v>3</v>
      </c>
      <c r="D1343" t="s">
        <v>2001</v>
      </c>
      <c r="E1343" t="s">
        <v>11</v>
      </c>
      <c r="F1343" t="s">
        <v>13</v>
      </c>
      <c r="G1343" t="s">
        <v>264</v>
      </c>
      <c r="H1343" t="s">
        <v>14</v>
      </c>
    </row>
    <row r="1344" spans="1:8" hidden="1" x14ac:dyDescent="0.25">
      <c r="A1344" t="s">
        <v>2002</v>
      </c>
      <c r="B1344" s="1" t="str">
        <f>HYPERLINK("https://asmlis.vasa.lt/Dashboard/Served?ServiceDateFrom=2025-11-24&amp;ServiceDateTo=2025-11-24&amp;DumpsterInvNr=13-L-225807", "13-L-225807")</f>
        <v>13-L-225807</v>
      </c>
      <c r="C1344">
        <v>1.1000000000000001</v>
      </c>
      <c r="D1344" t="s">
        <v>1968</v>
      </c>
      <c r="E1344" t="s">
        <v>11</v>
      </c>
      <c r="G1344" t="s">
        <v>936</v>
      </c>
      <c r="H1344" t="s">
        <v>938</v>
      </c>
    </row>
    <row r="1345" spans="1:8" hidden="1" x14ac:dyDescent="0.25">
      <c r="A1345" t="s">
        <v>2003</v>
      </c>
      <c r="B1345" s="1" t="str">
        <f>HYPERLINK("https://asmlis.vasa.lt/Dashboard/Served?ServiceDateFrom=2025-11-24&amp;ServiceDateTo=2025-11-24&amp;DumpsterInvNr=13-L-316675", "13-L-316675")</f>
        <v>13-L-316675</v>
      </c>
      <c r="C1345">
        <v>0.77</v>
      </c>
      <c r="D1345" t="s">
        <v>1629</v>
      </c>
      <c r="E1345" t="s">
        <v>11</v>
      </c>
      <c r="G1345" t="s">
        <v>9</v>
      </c>
      <c r="H1345" t="s">
        <v>14</v>
      </c>
    </row>
    <row r="1346" spans="1:8" hidden="1" x14ac:dyDescent="0.25">
      <c r="A1346" t="s">
        <v>2004</v>
      </c>
      <c r="B1346" s="1" t="str">
        <f>HYPERLINK("https://asmlis.vasa.lt/Dashboard/Served?ServiceDateFrom=2025-11-24&amp;ServiceDateTo=2025-11-24&amp;DumpsterInvNr=13-L-313757", "13-L-313757")</f>
        <v>13-L-313757</v>
      </c>
      <c r="C1346">
        <v>1.1000000000000001</v>
      </c>
      <c r="D1346" t="s">
        <v>2000</v>
      </c>
      <c r="E1346" t="s">
        <v>11</v>
      </c>
      <c r="G1346" t="s">
        <v>9</v>
      </c>
      <c r="H1346" t="s">
        <v>14</v>
      </c>
    </row>
    <row r="1347" spans="1:8" hidden="1" x14ac:dyDescent="0.25">
      <c r="A1347" t="s">
        <v>2005</v>
      </c>
      <c r="B1347" s="1" t="str">
        <f>HYPERLINK("https://asmlis.vasa.lt/Dashboard/Served?ServiceDateFrom=2025-11-24&amp;ServiceDateTo=2025-11-24&amp;DumpsterInvNr=13-L-425800", "13-L-425800")</f>
        <v>13-L-425800</v>
      </c>
      <c r="C1347">
        <v>0.77</v>
      </c>
      <c r="D1347" t="s">
        <v>2006</v>
      </c>
      <c r="E1347" t="s">
        <v>11</v>
      </c>
      <c r="F1347" t="s">
        <v>712</v>
      </c>
      <c r="G1347" t="s">
        <v>74</v>
      </c>
      <c r="H1347" t="s">
        <v>14</v>
      </c>
    </row>
    <row r="1348" spans="1:8" hidden="1" x14ac:dyDescent="0.25">
      <c r="A1348" t="s">
        <v>2008</v>
      </c>
      <c r="B1348" s="1" t="str">
        <f>HYPERLINK("https://asmlis.vasa.lt/Dashboard/Served?ServiceDateFrom=2025-11-24&amp;ServiceDateTo=2025-11-24&amp;DumpsterInvNr=13-L-222124", "13-L-222124")</f>
        <v>13-L-222124</v>
      </c>
      <c r="C1348">
        <v>1.1000000000000001</v>
      </c>
      <c r="D1348" t="s">
        <v>1968</v>
      </c>
      <c r="E1348" t="s">
        <v>11</v>
      </c>
      <c r="F1348" t="s">
        <v>13</v>
      </c>
      <c r="G1348" t="s">
        <v>936</v>
      </c>
      <c r="H1348" t="s">
        <v>938</v>
      </c>
    </row>
    <row r="1349" spans="1:8" hidden="1" x14ac:dyDescent="0.25">
      <c r="A1349" t="s">
        <v>2009</v>
      </c>
      <c r="B1349" s="1" t="str">
        <f>HYPERLINK("https://asmlis.vasa.lt/Dashboard/Served?ServiceDateFrom=2025-11-24&amp;ServiceDateTo=2025-11-24&amp;DumpsterInvNr=13-L-308823", "13-L-308823")</f>
        <v>13-L-308823</v>
      </c>
      <c r="C1349">
        <v>5</v>
      </c>
      <c r="D1349" t="s">
        <v>2010</v>
      </c>
      <c r="E1349" t="s">
        <v>11</v>
      </c>
      <c r="G1349" t="s">
        <v>9</v>
      </c>
      <c r="H1349" t="s">
        <v>14</v>
      </c>
    </row>
    <row r="1350" spans="1:8" hidden="1" x14ac:dyDescent="0.25">
      <c r="A1350" t="s">
        <v>2011</v>
      </c>
      <c r="B1350" s="1" t="str">
        <f>HYPERLINK("https://asmlis.vasa.lt/Dashboard/Served?ServiceDateFrom=2025-11-24&amp;ServiceDateTo=2025-11-24&amp;DumpsterInvNr=13-L-222151", "13-L-222151")</f>
        <v>13-L-222151</v>
      </c>
      <c r="C1350">
        <v>1.1000000000000001</v>
      </c>
      <c r="D1350" t="s">
        <v>1968</v>
      </c>
      <c r="E1350" t="s">
        <v>11</v>
      </c>
      <c r="F1350" t="s">
        <v>13</v>
      </c>
      <c r="G1350" t="s">
        <v>936</v>
      </c>
      <c r="H1350" t="s">
        <v>938</v>
      </c>
    </row>
    <row r="1351" spans="1:8" hidden="1" x14ac:dyDescent="0.25">
      <c r="A1351" t="s">
        <v>2007</v>
      </c>
      <c r="B1351" s="1" t="str">
        <f>HYPERLINK("https://asmlis.vasa.lt/Dashboard/Served?ServiceDateFrom=2025-11-24&amp;ServiceDateTo=2025-11-24&amp;DumpsterInvNr=13-L-317795", "13-L-317795")</f>
        <v>13-L-317795</v>
      </c>
      <c r="C1351">
        <v>1.1000000000000001</v>
      </c>
      <c r="D1351" t="s">
        <v>1998</v>
      </c>
      <c r="E1351" t="s">
        <v>11</v>
      </c>
      <c r="G1351" t="s">
        <v>9</v>
      </c>
      <c r="H1351" t="s">
        <v>14</v>
      </c>
    </row>
    <row r="1352" spans="1:8" hidden="1" x14ac:dyDescent="0.25">
      <c r="A1352" t="s">
        <v>2012</v>
      </c>
      <c r="B1352" s="1" t="str">
        <f>HYPERLINK("https://asmlis.vasa.lt/Dashboard/Served?ServiceDateFrom=2025-11-24&amp;ServiceDateTo=2025-11-24&amp;DumpsterInvNr=13-P-301791", "13-P-301791")</f>
        <v>13-P-301791</v>
      </c>
      <c r="C1352">
        <v>1.1000000000000001</v>
      </c>
      <c r="D1352" t="s">
        <v>2013</v>
      </c>
      <c r="E1352" t="s">
        <v>11</v>
      </c>
      <c r="F1352" t="s">
        <v>13</v>
      </c>
      <c r="G1352" t="s">
        <v>412</v>
      </c>
      <c r="H1352" t="s">
        <v>14</v>
      </c>
    </row>
    <row r="1353" spans="1:8" hidden="1" x14ac:dyDescent="0.25">
      <c r="A1353" t="s">
        <v>2014</v>
      </c>
      <c r="B1353" s="1" t="str">
        <f>HYPERLINK("https://asmlis.vasa.lt/Dashboard/Served?ServiceDateFrom=2025-11-24&amp;ServiceDateTo=2025-11-24&amp;DumpsterInvNr=13-L-318924", "13-L-318924")</f>
        <v>13-L-318924</v>
      </c>
      <c r="C1353">
        <v>1.1000000000000001</v>
      </c>
      <c r="D1353" t="s">
        <v>1610</v>
      </c>
      <c r="E1353" t="s">
        <v>11</v>
      </c>
      <c r="G1353" t="s">
        <v>9</v>
      </c>
      <c r="H1353" t="s">
        <v>14</v>
      </c>
    </row>
    <row r="1354" spans="1:8" hidden="1" x14ac:dyDescent="0.25">
      <c r="A1354" t="s">
        <v>2014</v>
      </c>
      <c r="B1354" s="1" t="str">
        <f>HYPERLINK("https://asmlis.vasa.lt/Dashboard/Served?ServiceDateFrom=2025-11-24&amp;ServiceDateTo=2025-11-24&amp;DumpsterInvNr=13-P-415759", "13-P-415759")</f>
        <v>13-P-415759</v>
      </c>
      <c r="C1354">
        <v>1.1000000000000001</v>
      </c>
      <c r="D1354" t="s">
        <v>2015</v>
      </c>
      <c r="E1354" t="s">
        <v>11</v>
      </c>
      <c r="F1354" t="s">
        <v>13</v>
      </c>
      <c r="G1354" t="s">
        <v>264</v>
      </c>
      <c r="H1354" t="s">
        <v>14</v>
      </c>
    </row>
    <row r="1355" spans="1:8" hidden="1" x14ac:dyDescent="0.25">
      <c r="A1355" t="s">
        <v>2014</v>
      </c>
      <c r="B1355" s="1" t="str">
        <f>HYPERLINK("https://asmlis.vasa.lt/Dashboard/Served?ServiceDateFrom=2025-11-24&amp;ServiceDateTo=2025-11-24&amp;DumpsterInvNr=13-P-301790", "13-P-301790")</f>
        <v>13-P-301790</v>
      </c>
      <c r="C1355">
        <v>1.1000000000000001</v>
      </c>
      <c r="D1355" t="s">
        <v>2013</v>
      </c>
      <c r="E1355" t="s">
        <v>11</v>
      </c>
      <c r="F1355" t="s">
        <v>13</v>
      </c>
      <c r="G1355" t="s">
        <v>412</v>
      </c>
      <c r="H1355" t="s">
        <v>14</v>
      </c>
    </row>
    <row r="1356" spans="1:8" hidden="1" x14ac:dyDescent="0.25">
      <c r="A1356" t="s">
        <v>2016</v>
      </c>
      <c r="B1356" s="1" t="str">
        <f>HYPERLINK("https://asmlis.vasa.lt/Dashboard/Served?ServiceDateFrom=2025-11-24&amp;ServiceDateTo=2025-11-24&amp;DumpsterInvNr=13-L-413325", "13-L-413325")</f>
        <v>13-L-413325</v>
      </c>
      <c r="C1356">
        <v>5</v>
      </c>
      <c r="D1356" t="s">
        <v>1820</v>
      </c>
      <c r="E1356" t="s">
        <v>11</v>
      </c>
      <c r="F1356" t="s">
        <v>13</v>
      </c>
      <c r="G1356" t="s">
        <v>74</v>
      </c>
      <c r="H1356" t="s">
        <v>14</v>
      </c>
    </row>
    <row r="1357" spans="1:8" hidden="1" x14ac:dyDescent="0.25">
      <c r="A1357" t="s">
        <v>2017</v>
      </c>
      <c r="B1357" s="1" t="str">
        <f>HYPERLINK("https://asmlis.vasa.lt/Dashboard/Served?ServiceDateFrom=2025-11-24&amp;ServiceDateTo=2025-11-24&amp;DumpsterInvNr=13-L-314128", "13-L-314128")</f>
        <v>13-L-314128</v>
      </c>
      <c r="C1357">
        <v>1.1000000000000001</v>
      </c>
      <c r="D1357" t="s">
        <v>1610</v>
      </c>
      <c r="E1357" t="s">
        <v>11</v>
      </c>
      <c r="G1357" t="s">
        <v>9</v>
      </c>
      <c r="H1357" t="s">
        <v>14</v>
      </c>
    </row>
    <row r="1358" spans="1:8" hidden="1" x14ac:dyDescent="0.25">
      <c r="A1358" t="s">
        <v>2018</v>
      </c>
      <c r="B1358" s="1" t="str">
        <f>HYPERLINK("https://asmlis.vasa.lt/Dashboard/Served?ServiceDateFrom=2025-11-24&amp;ServiceDateTo=2025-11-24&amp;DumpsterInvNr=13-L-226398", "13-L-226398")</f>
        <v>13-L-226398</v>
      </c>
      <c r="C1358">
        <v>1.1000000000000001</v>
      </c>
      <c r="D1358" t="s">
        <v>2019</v>
      </c>
      <c r="E1358" t="s">
        <v>11</v>
      </c>
      <c r="G1358" t="s">
        <v>936</v>
      </c>
      <c r="H1358" t="s">
        <v>938</v>
      </c>
    </row>
    <row r="1359" spans="1:8" hidden="1" x14ac:dyDescent="0.25">
      <c r="A1359" t="s">
        <v>2020</v>
      </c>
      <c r="B1359" s="1" t="str">
        <f>HYPERLINK("https://asmlis.vasa.lt/Dashboard/Served?ServiceDateFrom=2025-11-24&amp;ServiceDateTo=2025-11-24&amp;DumpsterInvNr=13-P-301815", "13-P-301815")</f>
        <v>13-P-301815</v>
      </c>
      <c r="C1359">
        <v>1.1000000000000001</v>
      </c>
      <c r="D1359" t="s">
        <v>2021</v>
      </c>
      <c r="E1359" t="s">
        <v>11</v>
      </c>
      <c r="G1359" t="s">
        <v>412</v>
      </c>
      <c r="H1359" t="s">
        <v>14</v>
      </c>
    </row>
    <row r="1360" spans="1:8" hidden="1" x14ac:dyDescent="0.25">
      <c r="A1360" t="s">
        <v>2022</v>
      </c>
      <c r="B1360" s="1" t="str">
        <f>HYPERLINK("https://asmlis.vasa.lt/Dashboard/Served?ServiceDateFrom=2025-11-24&amp;ServiceDateTo=2025-11-24&amp;DumpsterInvNr=13-L-309340", "13-L-309340")</f>
        <v>13-L-309340</v>
      </c>
      <c r="C1360">
        <v>0.77</v>
      </c>
      <c r="D1360" t="s">
        <v>2000</v>
      </c>
      <c r="E1360" t="s">
        <v>11</v>
      </c>
      <c r="G1360" t="s">
        <v>9</v>
      </c>
      <c r="H1360" t="s">
        <v>14</v>
      </c>
    </row>
    <row r="1361" spans="1:8" hidden="1" x14ac:dyDescent="0.25">
      <c r="A1361" t="s">
        <v>2023</v>
      </c>
      <c r="B1361" s="1" t="str">
        <f>HYPERLINK("https://asmlis.vasa.lt/Dashboard/Served?ServiceDateFrom=2025-11-24&amp;ServiceDateTo=2025-11-24&amp;DumpsterInvNr=13-L-223603", "13-L-223603")</f>
        <v>13-L-223603</v>
      </c>
      <c r="C1361">
        <v>1.1000000000000001</v>
      </c>
      <c r="D1361" t="s">
        <v>2019</v>
      </c>
      <c r="E1361" t="s">
        <v>11</v>
      </c>
      <c r="G1361" t="s">
        <v>936</v>
      </c>
      <c r="H1361" t="s">
        <v>938</v>
      </c>
    </row>
    <row r="1362" spans="1:8" hidden="1" x14ac:dyDescent="0.25">
      <c r="A1362" t="s">
        <v>2024</v>
      </c>
      <c r="B1362" s="1" t="str">
        <f>HYPERLINK("https://asmlis.vasa.lt/Dashboard/Served?ServiceDateFrom=2025-11-24&amp;ServiceDateTo=2025-11-24&amp;DumpsterInvNr=13-L-421935", "13-L-421935")</f>
        <v>13-L-421935</v>
      </c>
      <c r="C1362">
        <v>1.1000000000000001</v>
      </c>
      <c r="D1362" t="s">
        <v>2025</v>
      </c>
      <c r="E1362" t="s">
        <v>11</v>
      </c>
      <c r="G1362" t="s">
        <v>74</v>
      </c>
      <c r="H1362" t="s">
        <v>14</v>
      </c>
    </row>
    <row r="1363" spans="1:8" hidden="1" x14ac:dyDescent="0.25">
      <c r="A1363" t="s">
        <v>2026</v>
      </c>
      <c r="B1363" s="1" t="str">
        <f>HYPERLINK("https://asmlis.vasa.lt/Dashboard/Served?ServiceDateFrom=2025-11-24&amp;ServiceDateTo=2025-11-24&amp;DumpsterInvNr=13-L-142322", "13-L-142322")</f>
        <v>13-L-142322</v>
      </c>
      <c r="C1363">
        <v>5</v>
      </c>
      <c r="D1363" t="s">
        <v>1970</v>
      </c>
      <c r="E1363" t="s">
        <v>11</v>
      </c>
      <c r="F1363" t="s">
        <v>13</v>
      </c>
      <c r="G1363" t="s">
        <v>430</v>
      </c>
      <c r="H1363" t="s">
        <v>432</v>
      </c>
    </row>
    <row r="1364" spans="1:8" hidden="1" x14ac:dyDescent="0.25">
      <c r="A1364" t="s">
        <v>2027</v>
      </c>
      <c r="B1364" s="1" t="str">
        <f>HYPERLINK("https://asmlis.vasa.lt/Dashboard/Served?ServiceDateFrom=2025-11-24&amp;ServiceDateTo=2025-11-24&amp;DumpsterInvNr=13-L-422031", "13-L-422031")</f>
        <v>13-L-422031</v>
      </c>
      <c r="C1364">
        <v>5</v>
      </c>
      <c r="D1364" t="s">
        <v>2028</v>
      </c>
      <c r="E1364" t="s">
        <v>11</v>
      </c>
      <c r="F1364" t="s">
        <v>13</v>
      </c>
      <c r="G1364" t="s">
        <v>74</v>
      </c>
      <c r="H1364" t="s">
        <v>14</v>
      </c>
    </row>
    <row r="1365" spans="1:8" hidden="1" x14ac:dyDescent="0.25">
      <c r="A1365" t="s">
        <v>2029</v>
      </c>
      <c r="B1365" s="1" t="str">
        <f>HYPERLINK("https://asmlis.vasa.lt/Dashboard/Served?ServiceDateFrom=2025-11-24&amp;ServiceDateTo=2025-11-24&amp;DumpsterInvNr=13-P-115442", "13-P-115442")</f>
        <v>13-P-115442</v>
      </c>
      <c r="C1365">
        <v>1.1000000000000001</v>
      </c>
      <c r="D1365" t="s">
        <v>2030</v>
      </c>
      <c r="E1365" t="s">
        <v>11</v>
      </c>
      <c r="G1365" t="s">
        <v>1917</v>
      </c>
      <c r="H1365" t="s">
        <v>432</v>
      </c>
    </row>
    <row r="1366" spans="1:8" hidden="1" x14ac:dyDescent="0.25">
      <c r="A1366" t="s">
        <v>2031</v>
      </c>
      <c r="B1366" s="1" t="str">
        <f>HYPERLINK("https://asmlis.vasa.lt/Dashboard/Served?ServiceDateFrom=2025-11-24&amp;ServiceDateTo=2025-11-24&amp;DumpsterInvNr=13-L-304735", "13-L-304735")</f>
        <v>13-L-304735</v>
      </c>
      <c r="C1366">
        <v>0.24</v>
      </c>
      <c r="D1366" t="s">
        <v>1998</v>
      </c>
      <c r="E1366" t="s">
        <v>11</v>
      </c>
      <c r="F1366" t="s">
        <v>1209</v>
      </c>
      <c r="G1366" t="s">
        <v>9</v>
      </c>
      <c r="H1366" t="s">
        <v>14</v>
      </c>
    </row>
    <row r="1367" spans="1:8" hidden="1" x14ac:dyDescent="0.25">
      <c r="A1367" t="s">
        <v>2032</v>
      </c>
      <c r="B1367" s="1" t="str">
        <f>HYPERLINK("https://asmlis.vasa.lt/Dashboard/Served?ServiceDateFrom=2025-11-24&amp;ServiceDateTo=2025-11-24&amp;DumpsterInvNr=13-L-309085", "13-L-309085")</f>
        <v>13-L-309085</v>
      </c>
      <c r="C1367">
        <v>1.1000000000000001</v>
      </c>
      <c r="D1367" t="s">
        <v>2033</v>
      </c>
      <c r="E1367" t="s">
        <v>11</v>
      </c>
      <c r="F1367" t="s">
        <v>13</v>
      </c>
      <c r="G1367" t="s">
        <v>9</v>
      </c>
      <c r="H1367" t="s">
        <v>14</v>
      </c>
    </row>
    <row r="1368" spans="1:8" hidden="1" x14ac:dyDescent="0.25">
      <c r="A1368" t="s">
        <v>2034</v>
      </c>
      <c r="B1368" s="1" t="str">
        <f>HYPERLINK("https://asmlis.vasa.lt/Dashboard/Served?ServiceDateFrom=2025-11-24&amp;ServiceDateTo=2025-11-24&amp;DumpsterInvNr=13-L-225019", "13-L-225019")</f>
        <v>13-L-225019</v>
      </c>
      <c r="C1368">
        <v>1.1000000000000001</v>
      </c>
      <c r="D1368" t="s">
        <v>2019</v>
      </c>
      <c r="E1368" t="s">
        <v>11</v>
      </c>
      <c r="G1368" t="s">
        <v>936</v>
      </c>
      <c r="H1368" t="s">
        <v>938</v>
      </c>
    </row>
    <row r="1369" spans="1:8" hidden="1" x14ac:dyDescent="0.25">
      <c r="A1369" t="s">
        <v>2035</v>
      </c>
      <c r="B1369" s="1" t="str">
        <f>HYPERLINK("https://asmlis.vasa.lt/Dashboard/Served?ServiceDateFrom=2025-11-24&amp;ServiceDateTo=2025-11-24&amp;DumpsterInvNr=13-L-425335", "13-L-425335")</f>
        <v>13-L-425335</v>
      </c>
      <c r="C1369">
        <v>0.77</v>
      </c>
      <c r="D1369" t="s">
        <v>2025</v>
      </c>
      <c r="E1369" t="s">
        <v>11</v>
      </c>
      <c r="G1369" t="s">
        <v>74</v>
      </c>
      <c r="H1369" t="s">
        <v>14</v>
      </c>
    </row>
    <row r="1370" spans="1:8" hidden="1" x14ac:dyDescent="0.25">
      <c r="A1370" t="s">
        <v>2036</v>
      </c>
      <c r="B1370" s="1" t="str">
        <f>HYPERLINK("https://asmlis.vasa.lt/Dashboard/Served?ServiceDateFrom=2025-11-24&amp;ServiceDateTo=2025-11-24&amp;DumpsterInvNr=13-L-227632", "13-L-227632")</f>
        <v>13-L-227632</v>
      </c>
      <c r="C1370">
        <v>1.1000000000000001</v>
      </c>
      <c r="D1370" t="s">
        <v>1968</v>
      </c>
      <c r="E1370" t="s">
        <v>11</v>
      </c>
      <c r="G1370" t="s">
        <v>936</v>
      </c>
      <c r="H1370" t="s">
        <v>938</v>
      </c>
    </row>
    <row r="1371" spans="1:8" hidden="1" x14ac:dyDescent="0.25">
      <c r="A1371" t="s">
        <v>2037</v>
      </c>
      <c r="B1371" s="1" t="str">
        <f>HYPERLINK("https://asmlis.vasa.lt/Dashboard/Served?ServiceDateFrom=2025-11-24&amp;ServiceDateTo=2025-11-24&amp;DumpsterInvNr=13-P-212482", "13-P-212482")</f>
        <v>13-P-212482</v>
      </c>
      <c r="C1371">
        <v>2.5</v>
      </c>
      <c r="D1371" t="s">
        <v>999</v>
      </c>
      <c r="E1371" t="s">
        <v>11</v>
      </c>
      <c r="G1371" t="s">
        <v>234</v>
      </c>
      <c r="H1371" t="s">
        <v>14</v>
      </c>
    </row>
    <row r="1372" spans="1:8" hidden="1" x14ac:dyDescent="0.25">
      <c r="A1372" t="s">
        <v>2038</v>
      </c>
      <c r="B1372" s="1" t="str">
        <f>HYPERLINK("https://asmlis.vasa.lt/Dashboard/Served?ServiceDateFrom=2025-11-24&amp;ServiceDateTo=2025-11-24&amp;DumpsterInvNr=13-L-314948", "13-L-314948")</f>
        <v>13-L-314948</v>
      </c>
      <c r="C1372">
        <v>1.1000000000000001</v>
      </c>
      <c r="D1372" t="s">
        <v>2000</v>
      </c>
      <c r="E1372" t="s">
        <v>11</v>
      </c>
      <c r="F1372" t="s">
        <v>13</v>
      </c>
      <c r="G1372" t="s">
        <v>9</v>
      </c>
      <c r="H1372" t="s">
        <v>14</v>
      </c>
    </row>
    <row r="1373" spans="1:8" hidden="1" x14ac:dyDescent="0.25">
      <c r="A1373" t="s">
        <v>2039</v>
      </c>
      <c r="B1373" s="1" t="str">
        <f>HYPERLINK("https://asmlis.vasa.lt/Dashboard/Served?ServiceDateFrom=2025-11-24&amp;ServiceDateTo=2025-11-24&amp;DumpsterInvNr=13-L-309084", "13-L-309084")</f>
        <v>13-L-309084</v>
      </c>
      <c r="C1373">
        <v>1.1000000000000001</v>
      </c>
      <c r="D1373" t="s">
        <v>2033</v>
      </c>
      <c r="E1373" t="s">
        <v>11</v>
      </c>
      <c r="F1373" t="s">
        <v>13</v>
      </c>
      <c r="G1373" t="s">
        <v>9</v>
      </c>
      <c r="H1373" t="s">
        <v>14</v>
      </c>
    </row>
    <row r="1374" spans="1:8" hidden="1" x14ac:dyDescent="0.25">
      <c r="A1374" t="s">
        <v>2040</v>
      </c>
      <c r="B1374" s="1" t="str">
        <f>HYPERLINK("https://asmlis.vasa.lt/Dashboard/Served?ServiceDateFrom=2025-11-24&amp;ServiceDateTo=2025-11-24&amp;DumpsterInvNr=13-L-208114", "13-L-208114")</f>
        <v>13-L-208114</v>
      </c>
      <c r="C1374">
        <v>1.1000000000000001</v>
      </c>
      <c r="D1374" t="s">
        <v>1968</v>
      </c>
      <c r="E1374" t="s">
        <v>11</v>
      </c>
      <c r="F1374" t="s">
        <v>13</v>
      </c>
      <c r="G1374" t="s">
        <v>936</v>
      </c>
      <c r="H1374" t="s">
        <v>938</v>
      </c>
    </row>
    <row r="1375" spans="1:8" hidden="1" x14ac:dyDescent="0.25">
      <c r="A1375" t="s">
        <v>2041</v>
      </c>
      <c r="B1375" s="1" t="str">
        <f>HYPERLINK("https://asmlis.vasa.lt/Dashboard/Served?ServiceDateFrom=2025-11-24&amp;ServiceDateTo=2025-11-24&amp;DumpsterInvNr=13-P-302572", "13-P-302572")</f>
        <v>13-P-302572</v>
      </c>
      <c r="C1375">
        <v>2.5</v>
      </c>
      <c r="D1375" t="s">
        <v>2042</v>
      </c>
      <c r="E1375" t="s">
        <v>11</v>
      </c>
      <c r="G1375" t="s">
        <v>412</v>
      </c>
      <c r="H1375" t="s">
        <v>14</v>
      </c>
    </row>
    <row r="1376" spans="1:8" hidden="1" x14ac:dyDescent="0.25">
      <c r="A1376" t="s">
        <v>2043</v>
      </c>
      <c r="B1376" s="1" t="str">
        <f>HYPERLINK("https://asmlis.vasa.lt/Dashboard/Served?ServiceDateFrom=2025-11-24&amp;ServiceDateTo=2025-11-24&amp;DumpsterInvNr=13-L-216325", "13-L-216325")</f>
        <v>13-L-216325</v>
      </c>
      <c r="C1376">
        <v>1.1000000000000001</v>
      </c>
      <c r="D1376" t="s">
        <v>2019</v>
      </c>
      <c r="E1376" t="s">
        <v>11</v>
      </c>
      <c r="G1376" t="s">
        <v>936</v>
      </c>
      <c r="H1376" t="s">
        <v>938</v>
      </c>
    </row>
    <row r="1377" spans="1:10" hidden="1" x14ac:dyDescent="0.25">
      <c r="A1377" t="s">
        <v>2044</v>
      </c>
      <c r="B1377" s="1" t="str">
        <f>HYPERLINK("https://asmlis.vasa.lt/Dashboard/Served?ServiceDateFrom=2025-11-24&amp;ServiceDateTo=2025-11-24&amp;DumpsterInvNr=13-L-314545", "13-L-314545")</f>
        <v>13-L-314545</v>
      </c>
      <c r="C1377">
        <v>1.1000000000000001</v>
      </c>
      <c r="D1377" t="s">
        <v>2045</v>
      </c>
      <c r="E1377" t="s">
        <v>11</v>
      </c>
      <c r="G1377" t="s">
        <v>9</v>
      </c>
      <c r="H1377" t="s">
        <v>14</v>
      </c>
    </row>
    <row r="1378" spans="1:10" hidden="1" x14ac:dyDescent="0.25">
      <c r="A1378" t="s">
        <v>2046</v>
      </c>
      <c r="B1378" s="1" t="str">
        <f>HYPERLINK("https://asmlis.vasa.lt/Dashboard/Served?ServiceDateFrom=2025-11-24&amp;ServiceDateTo=2025-11-24&amp;DumpsterInvNr=13-L-424496", "13-L-424496")</f>
        <v>13-L-424496</v>
      </c>
      <c r="C1378">
        <v>0.24</v>
      </c>
      <c r="D1378" t="s">
        <v>2047</v>
      </c>
      <c r="E1378" t="s">
        <v>11</v>
      </c>
      <c r="F1378" t="s">
        <v>1209</v>
      </c>
      <c r="G1378" t="s">
        <v>74</v>
      </c>
      <c r="H1378" t="s">
        <v>14</v>
      </c>
    </row>
    <row r="1379" spans="1:10" hidden="1" x14ac:dyDescent="0.25">
      <c r="A1379" t="s">
        <v>2048</v>
      </c>
      <c r="B1379" s="1" t="str">
        <f>HYPERLINK("https://asmlis.vasa.lt/Dashboard/Served?ServiceDateFrom=2025-11-24&amp;ServiceDateTo=2025-11-24&amp;DumpsterInvNr=13-L-135455", "13-L-135455")</f>
        <v>13-L-135455</v>
      </c>
      <c r="C1379">
        <v>5</v>
      </c>
      <c r="D1379" t="s">
        <v>2049</v>
      </c>
      <c r="E1379" t="s">
        <v>11</v>
      </c>
      <c r="F1379" t="s">
        <v>13</v>
      </c>
      <c r="G1379" t="s">
        <v>430</v>
      </c>
      <c r="H1379" t="s">
        <v>432</v>
      </c>
    </row>
    <row r="1380" spans="1:10" hidden="1" x14ac:dyDescent="0.25">
      <c r="A1380" t="s">
        <v>2050</v>
      </c>
      <c r="B1380" s="1" t="str">
        <f>HYPERLINK("https://asmlis.vasa.lt/Dashboard/Served?ServiceDateFrom=2025-11-24&amp;ServiceDateTo=2025-11-24&amp;DumpsterInvNr=13-P-102395", "13-P-102395")</f>
        <v>13-P-102395</v>
      </c>
      <c r="C1380">
        <v>5</v>
      </c>
      <c r="D1380" t="s">
        <v>2051</v>
      </c>
      <c r="E1380" t="s">
        <v>11</v>
      </c>
      <c r="F1380" t="s">
        <v>13</v>
      </c>
      <c r="G1380" t="s">
        <v>1917</v>
      </c>
      <c r="H1380" t="s">
        <v>432</v>
      </c>
    </row>
    <row r="1381" spans="1:10" hidden="1" x14ac:dyDescent="0.25">
      <c r="A1381" t="s">
        <v>2050</v>
      </c>
      <c r="B1381" s="1" t="str">
        <f>HYPERLINK("https://asmlis.vasa.lt/Dashboard/Served?ServiceDateFrom=2025-11-24&amp;ServiceDateTo=2025-11-24&amp;DumpsterInvNr=13-L-318712", "13-L-318712")</f>
        <v>13-L-318712</v>
      </c>
      <c r="C1381">
        <v>1.1000000000000001</v>
      </c>
      <c r="D1381" t="s">
        <v>2053</v>
      </c>
      <c r="E1381" t="s">
        <v>11</v>
      </c>
      <c r="F1381" t="s">
        <v>871</v>
      </c>
      <c r="G1381" t="s">
        <v>9</v>
      </c>
      <c r="H1381" t="s">
        <v>14</v>
      </c>
      <c r="J1381" t="s">
        <v>17525</v>
      </c>
    </row>
    <row r="1382" spans="1:10" hidden="1" x14ac:dyDescent="0.25">
      <c r="A1382" t="s">
        <v>2054</v>
      </c>
      <c r="B1382" s="1" t="str">
        <f>HYPERLINK("https://asmlis.vasa.lt/Dashboard/Served?ServiceDateFrom=2025-11-24&amp;ServiceDateTo=2025-11-24&amp;DumpsterInvNr=13-P-416551", "13-P-416551")</f>
        <v>13-P-416551</v>
      </c>
      <c r="C1382">
        <v>1.1000000000000001</v>
      </c>
      <c r="D1382" t="s">
        <v>2055</v>
      </c>
      <c r="E1382" t="s">
        <v>11</v>
      </c>
      <c r="G1382" t="s">
        <v>264</v>
      </c>
      <c r="H1382" t="s">
        <v>14</v>
      </c>
    </row>
    <row r="1383" spans="1:10" hidden="1" x14ac:dyDescent="0.25">
      <c r="A1383" t="s">
        <v>2056</v>
      </c>
      <c r="B1383" s="1" t="str">
        <f>HYPERLINK("https://asmlis.vasa.lt/Dashboard/Served?ServiceDateFrom=2025-11-24&amp;ServiceDateTo=2025-11-24&amp;DumpsterInvNr=13-T-000273", "13-T-000273")</f>
        <v>13-T-000273</v>
      </c>
      <c r="C1383">
        <v>2.5</v>
      </c>
      <c r="D1383" t="s">
        <v>2057</v>
      </c>
      <c r="E1383" t="s">
        <v>11</v>
      </c>
      <c r="F1383" t="s">
        <v>13</v>
      </c>
      <c r="G1383" t="s">
        <v>1899</v>
      </c>
      <c r="H1383" t="s">
        <v>432</v>
      </c>
    </row>
    <row r="1384" spans="1:10" hidden="1" x14ac:dyDescent="0.25">
      <c r="A1384" t="s">
        <v>2058</v>
      </c>
      <c r="B1384" s="1" t="str">
        <f>HYPERLINK("https://asmlis.vasa.lt/Dashboard/Served?ServiceDateFrom=2025-11-24&amp;ServiceDateTo=2025-11-24&amp;DumpsterInvNr=13-L-404968", "13-L-404968")</f>
        <v>13-L-404968</v>
      </c>
      <c r="C1384">
        <v>0.24</v>
      </c>
      <c r="D1384" t="s">
        <v>2059</v>
      </c>
      <c r="E1384" t="s">
        <v>11</v>
      </c>
      <c r="G1384" t="s">
        <v>74</v>
      </c>
      <c r="H1384" t="s">
        <v>14</v>
      </c>
    </row>
    <row r="1385" spans="1:10" hidden="1" x14ac:dyDescent="0.25">
      <c r="A1385" t="s">
        <v>2060</v>
      </c>
      <c r="B1385" s="1" t="str">
        <f>HYPERLINK("https://asmlis.vasa.lt/Dashboard/Served?ServiceDateFrom=2025-11-24&amp;ServiceDateTo=2025-11-24&amp;DumpsterInvNr=13-T-000271", "13-T-000271")</f>
        <v>13-T-000271</v>
      </c>
      <c r="C1385">
        <v>2.5</v>
      </c>
      <c r="D1385" t="s">
        <v>2057</v>
      </c>
      <c r="E1385" t="s">
        <v>11</v>
      </c>
      <c r="F1385" t="s">
        <v>13</v>
      </c>
      <c r="G1385" t="s">
        <v>1899</v>
      </c>
      <c r="H1385" t="s">
        <v>432</v>
      </c>
    </row>
    <row r="1386" spans="1:10" hidden="1" x14ac:dyDescent="0.25">
      <c r="A1386" t="s">
        <v>2061</v>
      </c>
      <c r="B1386" s="1" t="str">
        <f>HYPERLINK("https://asmlis.vasa.lt/Dashboard/Served?ServiceDateFrom=2025-11-24&amp;ServiceDateTo=2025-11-24&amp;DumpsterInvNr=13-T-000168", "13-T-000168")</f>
        <v>13-T-000168</v>
      </c>
      <c r="C1386">
        <v>2.5</v>
      </c>
      <c r="D1386" t="s">
        <v>2063</v>
      </c>
      <c r="E1386" t="s">
        <v>11</v>
      </c>
      <c r="F1386" t="s">
        <v>13</v>
      </c>
      <c r="G1386" t="s">
        <v>1899</v>
      </c>
      <c r="H1386" t="s">
        <v>432</v>
      </c>
    </row>
    <row r="1387" spans="1:10" hidden="1" x14ac:dyDescent="0.25">
      <c r="A1387" t="s">
        <v>2064</v>
      </c>
      <c r="B1387" s="1" t="str">
        <f>HYPERLINK("https://asmlis.vasa.lt/Dashboard/Served?ServiceDateFrom=2025-11-24&amp;ServiceDateTo=2025-11-24&amp;DumpsterInvNr=13-T-000164", "13-T-000164")</f>
        <v>13-T-000164</v>
      </c>
      <c r="C1387">
        <v>2.5</v>
      </c>
      <c r="D1387" t="s">
        <v>2063</v>
      </c>
      <c r="E1387" t="s">
        <v>11</v>
      </c>
      <c r="F1387" t="s">
        <v>2065</v>
      </c>
      <c r="G1387" t="s">
        <v>1899</v>
      </c>
      <c r="H1387" t="s">
        <v>432</v>
      </c>
    </row>
    <row r="1388" spans="1:10" hidden="1" x14ac:dyDescent="0.25">
      <c r="A1388" t="s">
        <v>2064</v>
      </c>
      <c r="B1388" s="1" t="str">
        <f>HYPERLINK("https://asmlis.vasa.lt/Dashboard/Served?ServiceDateFrom=2025-11-24&amp;ServiceDateTo=2025-11-24&amp;DumpsterInvNr=13-P-416165", "13-P-416165")</f>
        <v>13-P-416165</v>
      </c>
      <c r="C1388">
        <v>1.1000000000000001</v>
      </c>
      <c r="D1388" t="s">
        <v>2055</v>
      </c>
      <c r="E1388" t="s">
        <v>11</v>
      </c>
      <c r="G1388" t="s">
        <v>264</v>
      </c>
      <c r="H1388" t="s">
        <v>14</v>
      </c>
    </row>
    <row r="1389" spans="1:10" hidden="1" x14ac:dyDescent="0.25">
      <c r="A1389" t="s">
        <v>2066</v>
      </c>
      <c r="B1389" s="1" t="str">
        <f>HYPERLINK("https://asmlis.vasa.lt/Dashboard/Served?ServiceDateFrom=2025-11-24&amp;ServiceDateTo=2025-11-24&amp;DumpsterInvNr=13-P-300395", "13-P-300395")</f>
        <v>13-P-300395</v>
      </c>
      <c r="C1389">
        <v>1.1000000000000001</v>
      </c>
      <c r="D1389" t="s">
        <v>2067</v>
      </c>
      <c r="E1389" t="s">
        <v>11</v>
      </c>
      <c r="G1389" t="s">
        <v>412</v>
      </c>
      <c r="H1389" t="s">
        <v>14</v>
      </c>
    </row>
    <row r="1390" spans="1:10" hidden="1" x14ac:dyDescent="0.25">
      <c r="A1390" t="s">
        <v>2068</v>
      </c>
      <c r="B1390" s="1" t="str">
        <f>HYPERLINK("https://asmlis.vasa.lt/Dashboard/Served?ServiceDateFrom=2025-11-24&amp;ServiceDateTo=2025-11-24&amp;DumpsterInvNr=13-P-116476", "13-P-116476")</f>
        <v>13-P-116476</v>
      </c>
      <c r="C1390">
        <v>1.1000000000000001</v>
      </c>
      <c r="D1390" t="s">
        <v>2069</v>
      </c>
      <c r="E1390" t="s">
        <v>11</v>
      </c>
      <c r="G1390" t="s">
        <v>1917</v>
      </c>
      <c r="H1390" t="s">
        <v>432</v>
      </c>
    </row>
    <row r="1391" spans="1:10" hidden="1" x14ac:dyDescent="0.25">
      <c r="A1391" t="s">
        <v>2070</v>
      </c>
      <c r="B1391" s="1" t="str">
        <f>HYPERLINK("https://asmlis.vasa.lt/Dashboard/Served?ServiceDateFrom=2025-11-24&amp;ServiceDateTo=2025-11-24&amp;DumpsterInvNr=13-L-222347", "13-L-222347")</f>
        <v>13-L-222347</v>
      </c>
      <c r="C1391">
        <v>1.1000000000000001</v>
      </c>
      <c r="D1391" t="s">
        <v>1655</v>
      </c>
      <c r="E1391" t="s">
        <v>11</v>
      </c>
      <c r="G1391" t="s">
        <v>936</v>
      </c>
      <c r="H1391" t="s">
        <v>938</v>
      </c>
    </row>
    <row r="1392" spans="1:10" hidden="1" x14ac:dyDescent="0.25">
      <c r="A1392" t="s">
        <v>2071</v>
      </c>
      <c r="B1392" s="1" t="str">
        <f>HYPERLINK("https://asmlis.vasa.lt/Dashboard/Served?ServiceDateFrom=2025-11-24&amp;ServiceDateTo=2025-11-24&amp;DumpsterInvNr=13-P-405312", "13-P-405312")</f>
        <v>13-P-405312</v>
      </c>
      <c r="C1392">
        <v>5</v>
      </c>
      <c r="D1392" t="s">
        <v>1686</v>
      </c>
      <c r="E1392" t="s">
        <v>11</v>
      </c>
      <c r="G1392" t="s">
        <v>264</v>
      </c>
      <c r="H1392" t="s">
        <v>14</v>
      </c>
    </row>
    <row r="1393" spans="1:8" hidden="1" x14ac:dyDescent="0.25">
      <c r="A1393" t="s">
        <v>2072</v>
      </c>
      <c r="B1393" s="1" t="str">
        <f>HYPERLINK("https://asmlis.vasa.lt/Dashboard/Served?ServiceDateFrom=2025-11-24&amp;ServiceDateTo=2025-11-24&amp;DumpsterInvNr=13-T-000320", "13-T-000320")</f>
        <v>13-T-000320</v>
      </c>
      <c r="C1393">
        <v>2.5</v>
      </c>
      <c r="D1393" t="s">
        <v>2063</v>
      </c>
      <c r="E1393" t="s">
        <v>11</v>
      </c>
      <c r="F1393" t="s">
        <v>13</v>
      </c>
      <c r="G1393" t="s">
        <v>1899</v>
      </c>
      <c r="H1393" t="s">
        <v>432</v>
      </c>
    </row>
    <row r="1394" spans="1:8" hidden="1" x14ac:dyDescent="0.25">
      <c r="A1394" t="s">
        <v>2073</v>
      </c>
      <c r="B1394" s="1" t="str">
        <f>HYPERLINK("https://asmlis.vasa.lt/Dashboard/Served?ServiceDateFrom=2025-11-24&amp;ServiceDateTo=2025-11-24&amp;DumpsterInvNr=13-L-316612", "13-L-316612")</f>
        <v>13-L-316612</v>
      </c>
      <c r="C1394">
        <v>1.1000000000000001</v>
      </c>
      <c r="D1394" t="s">
        <v>2074</v>
      </c>
      <c r="E1394" t="s">
        <v>11</v>
      </c>
      <c r="G1394" t="s">
        <v>9</v>
      </c>
      <c r="H1394" t="s">
        <v>14</v>
      </c>
    </row>
    <row r="1395" spans="1:8" hidden="1" x14ac:dyDescent="0.25">
      <c r="A1395" t="s">
        <v>2073</v>
      </c>
      <c r="B1395" s="1" t="str">
        <f>HYPERLINK("https://asmlis.vasa.lt/Dashboard/Served?ServiceDateFrom=2025-11-24&amp;ServiceDateTo=2025-11-24&amp;DumpsterInvNr=13-P-301713", "13-P-301713")</f>
        <v>13-P-301713</v>
      </c>
      <c r="C1395">
        <v>1.1000000000000001</v>
      </c>
      <c r="D1395" t="s">
        <v>2067</v>
      </c>
      <c r="E1395" t="s">
        <v>11</v>
      </c>
      <c r="F1395" t="s">
        <v>13</v>
      </c>
      <c r="G1395" t="s">
        <v>412</v>
      </c>
      <c r="H1395" t="s">
        <v>14</v>
      </c>
    </row>
    <row r="1396" spans="1:8" hidden="1" x14ac:dyDescent="0.25">
      <c r="A1396" t="s">
        <v>2075</v>
      </c>
      <c r="B1396" s="1" t="str">
        <f>HYPERLINK("https://asmlis.vasa.lt/Dashboard/Served?ServiceDateFrom=2025-11-24&amp;ServiceDateTo=2025-11-24&amp;DumpsterInvNr=13-L-315301", "13-L-315301")</f>
        <v>13-L-315301</v>
      </c>
      <c r="C1396">
        <v>5</v>
      </c>
      <c r="D1396" t="s">
        <v>2076</v>
      </c>
      <c r="E1396" t="s">
        <v>11</v>
      </c>
      <c r="G1396" t="s">
        <v>9</v>
      </c>
      <c r="H1396" t="s">
        <v>14</v>
      </c>
    </row>
    <row r="1397" spans="1:8" hidden="1" x14ac:dyDescent="0.25">
      <c r="A1397" t="s">
        <v>2077</v>
      </c>
      <c r="B1397" s="1" t="str">
        <f>HYPERLINK("https://asmlis.vasa.lt/Dashboard/Served?ServiceDateFrom=2025-11-24&amp;ServiceDateTo=2025-11-24&amp;DumpsterInvNr=13-L-312956", "13-L-312956")</f>
        <v>13-L-312956</v>
      </c>
      <c r="C1397">
        <v>1.1000000000000001</v>
      </c>
      <c r="D1397" t="s">
        <v>2074</v>
      </c>
      <c r="E1397" t="s">
        <v>11</v>
      </c>
      <c r="G1397" t="s">
        <v>9</v>
      </c>
      <c r="H1397" t="s">
        <v>14</v>
      </c>
    </row>
    <row r="1398" spans="1:8" hidden="1" x14ac:dyDescent="0.25">
      <c r="A1398" t="s">
        <v>2077</v>
      </c>
      <c r="B1398" s="1" t="str">
        <f>HYPERLINK("https://asmlis.vasa.lt/Dashboard/Served?ServiceDateFrom=2025-11-24&amp;ServiceDateTo=2025-11-24&amp;DumpsterInvNr=13-L-424474", "13-L-424474")</f>
        <v>13-L-424474</v>
      </c>
      <c r="C1398">
        <v>5</v>
      </c>
      <c r="D1398" t="s">
        <v>2078</v>
      </c>
      <c r="E1398" t="s">
        <v>11</v>
      </c>
      <c r="F1398" t="s">
        <v>13</v>
      </c>
      <c r="G1398" t="s">
        <v>74</v>
      </c>
      <c r="H1398" t="s">
        <v>14</v>
      </c>
    </row>
    <row r="1399" spans="1:8" hidden="1" x14ac:dyDescent="0.25">
      <c r="A1399" t="s">
        <v>2079</v>
      </c>
      <c r="B1399" s="1" t="str">
        <f>HYPERLINK("https://asmlis.vasa.lt/Dashboard/Served?ServiceDateFrom=2025-11-24&amp;ServiceDateTo=2025-11-24&amp;DumpsterInvNr=13-T-000318", "13-T-000318")</f>
        <v>13-T-000318</v>
      </c>
      <c r="C1399">
        <v>2.5</v>
      </c>
      <c r="D1399" t="s">
        <v>2080</v>
      </c>
      <c r="E1399" t="s">
        <v>11</v>
      </c>
      <c r="F1399" t="s">
        <v>13</v>
      </c>
      <c r="G1399" t="s">
        <v>1899</v>
      </c>
      <c r="H1399" t="s">
        <v>432</v>
      </c>
    </row>
    <row r="1400" spans="1:8" hidden="1" x14ac:dyDescent="0.25">
      <c r="A1400" t="s">
        <v>1903</v>
      </c>
      <c r="B1400" s="1" t="str">
        <f>HYPERLINK("https://asmlis.vasa.lt/Dashboard/Served?ServiceDateFrom=2025-11-24&amp;ServiceDateTo=2025-11-24&amp;DumpsterInvNr=13-L-314616", "13-L-314616")</f>
        <v>13-L-314616</v>
      </c>
      <c r="C1400">
        <v>1.1000000000000001</v>
      </c>
      <c r="D1400" t="s">
        <v>2082</v>
      </c>
      <c r="E1400" t="s">
        <v>11</v>
      </c>
      <c r="G1400" t="s">
        <v>9</v>
      </c>
      <c r="H1400" t="s">
        <v>14</v>
      </c>
    </row>
    <row r="1401" spans="1:8" hidden="1" x14ac:dyDescent="0.25">
      <c r="A1401" t="s">
        <v>1919</v>
      </c>
      <c r="B1401" s="1" t="str">
        <f>HYPERLINK("https://asmlis.vasa.lt/Dashboard/Served?ServiceDateFrom=2025-11-24&amp;ServiceDateTo=2025-11-24&amp;DumpsterInvNr=13-L-417341", "13-L-417341")</f>
        <v>13-L-417341</v>
      </c>
      <c r="C1401">
        <v>0.24</v>
      </c>
      <c r="D1401" t="s">
        <v>2083</v>
      </c>
      <c r="E1401" t="s">
        <v>11</v>
      </c>
      <c r="G1401" t="s">
        <v>74</v>
      </c>
      <c r="H1401" t="s">
        <v>14</v>
      </c>
    </row>
    <row r="1402" spans="1:8" hidden="1" x14ac:dyDescent="0.25">
      <c r="A1402" t="s">
        <v>1914</v>
      </c>
      <c r="B1402" s="1" t="str">
        <f>HYPERLINK("https://asmlis.vasa.lt/Dashboard/Served?ServiceDateFrom=2025-11-24&amp;ServiceDateTo=2025-11-24&amp;DumpsterInvNr=13-P-413897", "13-P-413897")</f>
        <v>13-P-413897</v>
      </c>
      <c r="C1402">
        <v>3</v>
      </c>
      <c r="D1402" t="s">
        <v>1396</v>
      </c>
      <c r="E1402" t="s">
        <v>11</v>
      </c>
      <c r="F1402" t="s">
        <v>13</v>
      </c>
      <c r="G1402" t="s">
        <v>264</v>
      </c>
      <c r="H1402" t="s">
        <v>14</v>
      </c>
    </row>
    <row r="1403" spans="1:8" hidden="1" x14ac:dyDescent="0.25">
      <c r="A1403" t="s">
        <v>2052</v>
      </c>
      <c r="B1403" s="1" t="str">
        <f>HYPERLINK("https://asmlis.vasa.lt/Dashboard/Served?ServiceDateFrom=2025-11-24&amp;ServiceDateTo=2025-11-24&amp;DumpsterInvNr=13-L-208112", "13-L-208112")</f>
        <v>13-L-208112</v>
      </c>
      <c r="C1403">
        <v>0.77</v>
      </c>
      <c r="D1403" t="s">
        <v>1655</v>
      </c>
      <c r="E1403" t="s">
        <v>11</v>
      </c>
      <c r="G1403" t="s">
        <v>936</v>
      </c>
      <c r="H1403" t="s">
        <v>938</v>
      </c>
    </row>
    <row r="1404" spans="1:8" hidden="1" x14ac:dyDescent="0.25">
      <c r="A1404" t="s">
        <v>2084</v>
      </c>
      <c r="B1404" s="1" t="str">
        <f>HYPERLINK("https://asmlis.vasa.lt/Dashboard/Served?ServiceDateFrom=2025-11-24&amp;ServiceDateTo=2025-11-24&amp;DumpsterInvNr=13-L-318720", "13-L-318720")</f>
        <v>13-L-318720</v>
      </c>
      <c r="C1404">
        <v>1.1000000000000001</v>
      </c>
      <c r="D1404" t="s">
        <v>2085</v>
      </c>
      <c r="E1404" t="s">
        <v>11</v>
      </c>
      <c r="G1404" t="s">
        <v>9</v>
      </c>
      <c r="H1404" t="s">
        <v>14</v>
      </c>
    </row>
    <row r="1405" spans="1:8" hidden="1" x14ac:dyDescent="0.25">
      <c r="A1405" t="s">
        <v>2084</v>
      </c>
      <c r="B1405" s="1" t="str">
        <f>HYPERLINK("https://asmlis.vasa.lt/Dashboard/Served?ServiceDateFrom=2025-11-24&amp;ServiceDateTo=2025-11-24&amp;DumpsterInvNr=13-P-413914", "13-P-413914")</f>
        <v>13-P-413914</v>
      </c>
      <c r="C1405">
        <v>3</v>
      </c>
      <c r="D1405" t="s">
        <v>1396</v>
      </c>
      <c r="E1405" t="s">
        <v>11</v>
      </c>
      <c r="F1405" t="s">
        <v>13</v>
      </c>
      <c r="G1405" t="s">
        <v>264</v>
      </c>
      <c r="H1405" t="s">
        <v>14</v>
      </c>
    </row>
    <row r="1406" spans="1:8" hidden="1" x14ac:dyDescent="0.25">
      <c r="A1406" t="s">
        <v>2086</v>
      </c>
      <c r="B1406" s="1" t="str">
        <f>HYPERLINK("https://asmlis.vasa.lt/Dashboard/Served?ServiceDateFrom=2025-11-24&amp;ServiceDateTo=2025-11-24&amp;DumpsterInvNr=13-L-218848", "13-L-218848")</f>
        <v>13-L-218848</v>
      </c>
      <c r="C1406">
        <v>1.1000000000000001</v>
      </c>
      <c r="D1406" t="s">
        <v>1655</v>
      </c>
      <c r="E1406" t="s">
        <v>11</v>
      </c>
      <c r="F1406" t="s">
        <v>13</v>
      </c>
      <c r="G1406" t="s">
        <v>936</v>
      </c>
      <c r="H1406" t="s">
        <v>938</v>
      </c>
    </row>
    <row r="1407" spans="1:8" hidden="1" x14ac:dyDescent="0.25">
      <c r="A1407" t="s">
        <v>2087</v>
      </c>
      <c r="B1407" s="1" t="str">
        <f>HYPERLINK("https://asmlis.vasa.lt/Dashboard/Served?ServiceDateFrom=2025-11-24&amp;ServiceDateTo=2025-11-24&amp;DumpsterInvNr=13-L-425910", "13-L-425910")</f>
        <v>13-L-425910</v>
      </c>
      <c r="C1407">
        <v>0.24</v>
      </c>
      <c r="D1407" t="s">
        <v>2088</v>
      </c>
      <c r="E1407" t="s">
        <v>11</v>
      </c>
      <c r="G1407" t="s">
        <v>74</v>
      </c>
      <c r="H1407" t="s">
        <v>14</v>
      </c>
    </row>
    <row r="1408" spans="1:8" hidden="1" x14ac:dyDescent="0.25">
      <c r="A1408" t="s">
        <v>2087</v>
      </c>
      <c r="B1408" s="1" t="str">
        <f>HYPERLINK("https://asmlis.vasa.lt/Dashboard/Served?ServiceDateFrom=2025-11-24&amp;ServiceDateTo=2025-11-24&amp;DumpsterInvNr=13-T-000319", "13-T-000319")</f>
        <v>13-T-000319</v>
      </c>
      <c r="C1408">
        <v>2.5</v>
      </c>
      <c r="D1408" t="s">
        <v>2080</v>
      </c>
      <c r="E1408" t="s">
        <v>11</v>
      </c>
      <c r="F1408" t="s">
        <v>13</v>
      </c>
      <c r="G1408" t="s">
        <v>1899</v>
      </c>
      <c r="H1408" t="s">
        <v>432</v>
      </c>
    </row>
    <row r="1409" spans="1:8" hidden="1" x14ac:dyDescent="0.25">
      <c r="A1409" t="s">
        <v>2089</v>
      </c>
      <c r="B1409" s="1" t="str">
        <f>HYPERLINK("https://asmlis.vasa.lt/Dashboard/Served?ServiceDateFrom=2025-11-24&amp;ServiceDateTo=2025-11-24&amp;DumpsterInvNr=13-L-424803", "13-L-424803")</f>
        <v>13-L-424803</v>
      </c>
      <c r="C1409">
        <v>5</v>
      </c>
      <c r="D1409" t="s">
        <v>1746</v>
      </c>
      <c r="E1409" t="s">
        <v>11</v>
      </c>
      <c r="F1409" t="s">
        <v>13</v>
      </c>
      <c r="G1409" t="s">
        <v>74</v>
      </c>
      <c r="H1409" t="s">
        <v>14</v>
      </c>
    </row>
    <row r="1410" spans="1:8" hidden="1" x14ac:dyDescent="0.25">
      <c r="A1410" t="s">
        <v>2090</v>
      </c>
      <c r="B1410" s="1" t="str">
        <f>HYPERLINK("https://asmlis.vasa.lt/Dashboard/Served?ServiceDateFrom=2025-11-24&amp;ServiceDateTo=2025-11-24&amp;DumpsterInvNr=13-L-200449", "13-L-200449")</f>
        <v>13-L-200449</v>
      </c>
      <c r="C1410">
        <v>0.24</v>
      </c>
      <c r="D1410" t="s">
        <v>2091</v>
      </c>
      <c r="E1410" t="s">
        <v>11</v>
      </c>
      <c r="G1410" t="s">
        <v>936</v>
      </c>
      <c r="H1410" t="s">
        <v>938</v>
      </c>
    </row>
    <row r="1411" spans="1:8" hidden="1" x14ac:dyDescent="0.25">
      <c r="A1411" t="s">
        <v>2090</v>
      </c>
      <c r="B1411" s="1" t="str">
        <f>HYPERLINK("https://asmlis.vasa.lt/Dashboard/Served?ServiceDateFrom=2025-11-24&amp;ServiceDateTo=2025-11-24&amp;DumpsterInvNr=13-L-317636", "13-L-317636")</f>
        <v>13-L-317636</v>
      </c>
      <c r="C1411">
        <v>1.1000000000000001</v>
      </c>
      <c r="D1411" t="s">
        <v>2092</v>
      </c>
      <c r="E1411" t="s">
        <v>11</v>
      </c>
      <c r="G1411" t="s">
        <v>9</v>
      </c>
      <c r="H1411" t="s">
        <v>14</v>
      </c>
    </row>
    <row r="1412" spans="1:8" hidden="1" x14ac:dyDescent="0.25">
      <c r="A1412" t="s">
        <v>2090</v>
      </c>
      <c r="B1412" s="1" t="str">
        <f>HYPERLINK("https://asmlis.vasa.lt/Dashboard/Served?ServiceDateFrom=2025-11-24&amp;ServiceDateTo=2025-11-24&amp;DumpsterInvNr=13-L-318703", "13-L-318703")</f>
        <v>13-L-318703</v>
      </c>
      <c r="C1412">
        <v>1.1000000000000001</v>
      </c>
      <c r="D1412" t="s">
        <v>2092</v>
      </c>
      <c r="E1412" t="s">
        <v>11</v>
      </c>
      <c r="G1412" t="s">
        <v>9</v>
      </c>
      <c r="H1412" t="s">
        <v>14</v>
      </c>
    </row>
    <row r="1413" spans="1:8" hidden="1" x14ac:dyDescent="0.25">
      <c r="A1413" t="s">
        <v>2093</v>
      </c>
      <c r="B1413" s="1" t="str">
        <f>HYPERLINK("https://asmlis.vasa.lt/Dashboard/Served?ServiceDateFrom=2025-11-24&amp;ServiceDateTo=2025-11-24&amp;DumpsterInvNr=13-L-139771", "13-L-139771")</f>
        <v>13-L-139771</v>
      </c>
      <c r="C1413">
        <v>5</v>
      </c>
      <c r="D1413" t="s">
        <v>2094</v>
      </c>
      <c r="E1413" t="s">
        <v>11</v>
      </c>
      <c r="F1413" t="s">
        <v>13</v>
      </c>
      <c r="G1413" t="s">
        <v>430</v>
      </c>
      <c r="H1413" t="s">
        <v>432</v>
      </c>
    </row>
    <row r="1414" spans="1:8" hidden="1" x14ac:dyDescent="0.25">
      <c r="A1414" t="s">
        <v>2093</v>
      </c>
      <c r="B1414" s="1" t="str">
        <f>HYPERLINK("https://asmlis.vasa.lt/Dashboard/Served?ServiceDateFrom=2025-11-24&amp;ServiceDateTo=2025-11-24&amp;DumpsterInvNr=13-P-212785", "13-P-212785")</f>
        <v>13-P-212785</v>
      </c>
      <c r="C1414">
        <v>2.5</v>
      </c>
      <c r="D1414" t="s">
        <v>1061</v>
      </c>
      <c r="E1414" t="s">
        <v>11</v>
      </c>
      <c r="G1414" t="s">
        <v>234</v>
      </c>
      <c r="H1414" t="s">
        <v>14</v>
      </c>
    </row>
    <row r="1415" spans="1:8" hidden="1" x14ac:dyDescent="0.25">
      <c r="A1415" t="s">
        <v>2095</v>
      </c>
      <c r="B1415" s="1" t="str">
        <f>HYPERLINK("https://asmlis.vasa.lt/Dashboard/Served?ServiceDateFrom=2025-11-24&amp;ServiceDateTo=2025-11-24&amp;DumpsterInvNr=13-P-405430", "13-P-405430")</f>
        <v>13-P-405430</v>
      </c>
      <c r="C1415">
        <v>5</v>
      </c>
      <c r="D1415" t="s">
        <v>1696</v>
      </c>
      <c r="E1415" t="s">
        <v>11</v>
      </c>
      <c r="F1415" t="s">
        <v>13</v>
      </c>
      <c r="G1415" t="s">
        <v>264</v>
      </c>
      <c r="H1415" t="s">
        <v>14</v>
      </c>
    </row>
    <row r="1416" spans="1:8" hidden="1" x14ac:dyDescent="0.25">
      <c r="A1416" t="s">
        <v>2096</v>
      </c>
      <c r="B1416" s="1" t="str">
        <f>HYPERLINK("https://asmlis.vasa.lt/Dashboard/Served?ServiceDateFrom=2025-11-24&amp;ServiceDateTo=2025-11-24&amp;DumpsterInvNr=13-L-424804", "13-L-424804")</f>
        <v>13-L-424804</v>
      </c>
      <c r="C1416">
        <v>5</v>
      </c>
      <c r="D1416" t="s">
        <v>1746</v>
      </c>
      <c r="E1416" t="s">
        <v>11</v>
      </c>
      <c r="F1416" t="s">
        <v>13</v>
      </c>
      <c r="G1416" t="s">
        <v>74</v>
      </c>
      <c r="H1416" t="s">
        <v>14</v>
      </c>
    </row>
    <row r="1417" spans="1:8" hidden="1" x14ac:dyDescent="0.25">
      <c r="A1417" t="s">
        <v>2097</v>
      </c>
      <c r="B1417" s="1" t="str">
        <f>HYPERLINK("https://asmlis.vasa.lt/Dashboard/Served?ServiceDateFrom=2025-11-24&amp;ServiceDateTo=2025-11-24&amp;DumpsterInvNr=13-L-139847", "13-L-139847")</f>
        <v>13-L-139847</v>
      </c>
      <c r="C1417">
        <v>5</v>
      </c>
      <c r="D1417" t="s">
        <v>2098</v>
      </c>
      <c r="E1417" t="s">
        <v>11</v>
      </c>
      <c r="F1417" t="s">
        <v>13</v>
      </c>
      <c r="G1417" t="s">
        <v>430</v>
      </c>
      <c r="H1417" t="s">
        <v>432</v>
      </c>
    </row>
    <row r="1418" spans="1:8" hidden="1" x14ac:dyDescent="0.25">
      <c r="A1418" t="s">
        <v>2099</v>
      </c>
      <c r="B1418" s="1" t="str">
        <f>HYPERLINK("https://asmlis.vasa.lt/Dashboard/Served?ServiceDateFrom=2025-11-24&amp;ServiceDateTo=2025-11-24&amp;DumpsterInvNr=13-L-136121", "13-L-136121")</f>
        <v>13-L-136121</v>
      </c>
      <c r="C1418">
        <v>5</v>
      </c>
      <c r="D1418" t="s">
        <v>2100</v>
      </c>
      <c r="E1418" t="s">
        <v>11</v>
      </c>
      <c r="F1418" t="s">
        <v>13</v>
      </c>
      <c r="G1418" t="s">
        <v>430</v>
      </c>
      <c r="H1418" t="s">
        <v>432</v>
      </c>
    </row>
    <row r="1419" spans="1:8" hidden="1" x14ac:dyDescent="0.25">
      <c r="A1419" t="s">
        <v>2102</v>
      </c>
      <c r="B1419" s="1" t="str">
        <f>HYPERLINK("https://asmlis.vasa.lt/Dashboard/Served?ServiceDateFrom=2025-11-24&amp;ServiceDateTo=2025-11-24&amp;DumpsterInvNr=13-L-413475", "13-L-413475")</f>
        <v>13-L-413475</v>
      </c>
      <c r="C1419">
        <v>0.24</v>
      </c>
      <c r="D1419" t="s">
        <v>2103</v>
      </c>
      <c r="E1419" t="s">
        <v>11</v>
      </c>
      <c r="G1419" t="s">
        <v>74</v>
      </c>
      <c r="H1419" t="s">
        <v>14</v>
      </c>
    </row>
    <row r="1420" spans="1:8" hidden="1" x14ac:dyDescent="0.25">
      <c r="A1420" t="s">
        <v>2104</v>
      </c>
      <c r="B1420" s="1" t="str">
        <f>HYPERLINK("https://asmlis.vasa.lt/Dashboard/Served?ServiceDateFrom=2025-11-24&amp;ServiceDateTo=2025-11-24&amp;DumpsterInvNr=13-L-316088", "13-L-316088")</f>
        <v>13-L-316088</v>
      </c>
      <c r="C1420">
        <v>1.1000000000000001</v>
      </c>
      <c r="D1420" t="s">
        <v>2092</v>
      </c>
      <c r="E1420" t="s">
        <v>11</v>
      </c>
      <c r="G1420" t="s">
        <v>9</v>
      </c>
      <c r="H1420" t="s">
        <v>14</v>
      </c>
    </row>
    <row r="1421" spans="1:8" hidden="1" x14ac:dyDescent="0.25">
      <c r="A1421" t="s">
        <v>2105</v>
      </c>
      <c r="B1421" s="1" t="str">
        <f>HYPERLINK("https://asmlis.vasa.lt/Dashboard/Served?ServiceDateFrom=2025-11-24&amp;ServiceDateTo=2025-11-24&amp;DumpsterInvNr=13-L-135457", "13-L-135457")</f>
        <v>13-L-135457</v>
      </c>
      <c r="C1421">
        <v>5</v>
      </c>
      <c r="D1421" t="s">
        <v>2106</v>
      </c>
      <c r="E1421" t="s">
        <v>11</v>
      </c>
      <c r="F1421" t="s">
        <v>13</v>
      </c>
      <c r="G1421" t="s">
        <v>430</v>
      </c>
      <c r="H1421" t="s">
        <v>432</v>
      </c>
    </row>
    <row r="1422" spans="1:8" hidden="1" x14ac:dyDescent="0.25">
      <c r="A1422" t="s">
        <v>2108</v>
      </c>
      <c r="B1422" s="1" t="str">
        <f>HYPERLINK("https://asmlis.vasa.lt/Dashboard/Served?ServiceDateFrom=2025-11-24&amp;ServiceDateTo=2025-11-24&amp;DumpsterInvNr=13-L-316090", "13-L-316090")</f>
        <v>13-L-316090</v>
      </c>
      <c r="C1422">
        <v>1.1000000000000001</v>
      </c>
      <c r="D1422" t="s">
        <v>2092</v>
      </c>
      <c r="E1422" t="s">
        <v>11</v>
      </c>
      <c r="G1422" t="s">
        <v>9</v>
      </c>
      <c r="H1422" t="s">
        <v>14</v>
      </c>
    </row>
    <row r="1423" spans="1:8" hidden="1" x14ac:dyDescent="0.25">
      <c r="A1423" t="s">
        <v>2109</v>
      </c>
      <c r="B1423" s="1" t="str">
        <f>HYPERLINK("https://asmlis.vasa.lt/Dashboard/Served?ServiceDateFrom=2025-11-24&amp;ServiceDateTo=2025-11-24&amp;DumpsterInvNr=13-L-417402", "13-L-417402")</f>
        <v>13-L-417402</v>
      </c>
      <c r="C1423">
        <v>0.24</v>
      </c>
      <c r="D1423" t="s">
        <v>2110</v>
      </c>
      <c r="E1423" t="s">
        <v>11</v>
      </c>
      <c r="G1423" t="s">
        <v>74</v>
      </c>
      <c r="H1423" t="s">
        <v>14</v>
      </c>
    </row>
    <row r="1424" spans="1:8" hidden="1" x14ac:dyDescent="0.25">
      <c r="A1424" t="s">
        <v>2111</v>
      </c>
      <c r="B1424" s="1" t="str">
        <f>HYPERLINK("https://asmlis.vasa.lt/Dashboard/Served?ServiceDateFrom=2025-11-24&amp;ServiceDateTo=2025-11-24&amp;DumpsterInvNr=13-L-208441", "13-L-208441")</f>
        <v>13-L-208441</v>
      </c>
      <c r="C1424">
        <v>0.12</v>
      </c>
      <c r="D1424" t="s">
        <v>1655</v>
      </c>
      <c r="E1424" t="s">
        <v>11</v>
      </c>
      <c r="F1424" t="s">
        <v>13</v>
      </c>
      <c r="G1424" t="s">
        <v>936</v>
      </c>
      <c r="H1424" t="s">
        <v>938</v>
      </c>
    </row>
    <row r="1425" spans="1:8" hidden="1" x14ac:dyDescent="0.25">
      <c r="A1425" t="s">
        <v>2112</v>
      </c>
      <c r="B1425" s="1" t="str">
        <f>HYPERLINK("https://asmlis.vasa.lt/Dashboard/Served?ServiceDateFrom=2025-11-24&amp;ServiceDateTo=2025-11-24&amp;DumpsterInvNr=13-L-423252", "13-L-423252")</f>
        <v>13-L-423252</v>
      </c>
      <c r="C1425">
        <v>5</v>
      </c>
      <c r="D1425" t="s">
        <v>2113</v>
      </c>
      <c r="E1425" t="s">
        <v>11</v>
      </c>
      <c r="F1425" t="s">
        <v>13</v>
      </c>
      <c r="G1425" t="s">
        <v>74</v>
      </c>
      <c r="H1425" t="s">
        <v>14</v>
      </c>
    </row>
    <row r="1426" spans="1:8" hidden="1" x14ac:dyDescent="0.25">
      <c r="A1426" t="s">
        <v>2114</v>
      </c>
      <c r="B1426" s="1" t="str">
        <f>HYPERLINK("https://asmlis.vasa.lt/Dashboard/Served?ServiceDateFrom=2025-11-24&amp;ServiceDateTo=2025-11-24&amp;DumpsterInvNr=13-L-208442", "13-L-208442")</f>
        <v>13-L-208442</v>
      </c>
      <c r="C1426">
        <v>1.1000000000000001</v>
      </c>
      <c r="D1426" t="s">
        <v>1655</v>
      </c>
      <c r="E1426" t="s">
        <v>11</v>
      </c>
      <c r="F1426" t="s">
        <v>1209</v>
      </c>
      <c r="G1426" t="s">
        <v>936</v>
      </c>
      <c r="H1426" t="s">
        <v>938</v>
      </c>
    </row>
    <row r="1427" spans="1:8" hidden="1" x14ac:dyDescent="0.25">
      <c r="A1427" t="s">
        <v>2115</v>
      </c>
      <c r="B1427" s="1" t="str">
        <f>HYPERLINK("https://asmlis.vasa.lt/Dashboard/Served?ServiceDateFrom=2025-11-24&amp;ServiceDateTo=2025-11-24&amp;DumpsterInvNr=13-P-115427", "13-P-115427")</f>
        <v>13-P-115427</v>
      </c>
      <c r="C1427">
        <v>1.1000000000000001</v>
      </c>
      <c r="D1427" t="s">
        <v>2116</v>
      </c>
      <c r="E1427" t="s">
        <v>11</v>
      </c>
      <c r="G1427" t="s">
        <v>1917</v>
      </c>
      <c r="H1427" t="s">
        <v>432</v>
      </c>
    </row>
    <row r="1428" spans="1:8" hidden="1" x14ac:dyDescent="0.25">
      <c r="A1428" t="s">
        <v>2117</v>
      </c>
      <c r="B1428" s="1" t="str">
        <f>HYPERLINK("https://asmlis.vasa.lt/Dashboard/Served?ServiceDateFrom=2025-11-24&amp;ServiceDateTo=2025-11-24&amp;DumpsterInvNr=13-L-140129", "13-L-140129")</f>
        <v>13-L-140129</v>
      </c>
      <c r="C1428">
        <v>1.1000000000000001</v>
      </c>
      <c r="D1428" t="s">
        <v>2118</v>
      </c>
      <c r="E1428" t="s">
        <v>11</v>
      </c>
      <c r="G1428" t="s">
        <v>1912</v>
      </c>
      <c r="H1428" t="s">
        <v>432</v>
      </c>
    </row>
    <row r="1429" spans="1:8" hidden="1" x14ac:dyDescent="0.25">
      <c r="A1429" t="s">
        <v>2119</v>
      </c>
      <c r="B1429" s="1" t="str">
        <f>HYPERLINK("https://asmlis.vasa.lt/Dashboard/Served?ServiceDateFrom=2025-11-24&amp;ServiceDateTo=2025-11-24&amp;DumpsterInvNr=13-L-423674", "13-L-423674")</f>
        <v>13-L-423674</v>
      </c>
      <c r="C1429">
        <v>1.1000000000000001</v>
      </c>
      <c r="D1429" t="s">
        <v>2120</v>
      </c>
      <c r="E1429" t="s">
        <v>11</v>
      </c>
      <c r="G1429" t="s">
        <v>74</v>
      </c>
      <c r="H1429" t="s">
        <v>14</v>
      </c>
    </row>
    <row r="1430" spans="1:8" hidden="1" x14ac:dyDescent="0.25">
      <c r="A1430" t="s">
        <v>2121</v>
      </c>
      <c r="B1430" s="1" t="str">
        <f>HYPERLINK("https://asmlis.vasa.lt/Dashboard/Served?ServiceDateFrom=2025-11-24&amp;ServiceDateTo=2025-11-24&amp;DumpsterInvNr=13-L-219450", "13-L-219450")</f>
        <v>13-L-219450</v>
      </c>
      <c r="C1430">
        <v>1.1000000000000001</v>
      </c>
      <c r="D1430" t="s">
        <v>2091</v>
      </c>
      <c r="E1430" t="s">
        <v>11</v>
      </c>
      <c r="G1430" t="s">
        <v>936</v>
      </c>
      <c r="H1430" t="s">
        <v>938</v>
      </c>
    </row>
    <row r="1431" spans="1:8" hidden="1" x14ac:dyDescent="0.25">
      <c r="A1431" t="s">
        <v>2122</v>
      </c>
      <c r="B1431" s="1" t="str">
        <f>HYPERLINK("https://asmlis.vasa.lt/Dashboard/Served?ServiceDateFrom=2025-11-24&amp;ServiceDateTo=2025-11-24&amp;DumpsterInvNr=13-L-420354", "13-L-420354")</f>
        <v>13-L-420354</v>
      </c>
      <c r="C1431">
        <v>5</v>
      </c>
      <c r="D1431" t="s">
        <v>1710</v>
      </c>
      <c r="E1431" t="s">
        <v>11</v>
      </c>
      <c r="F1431" t="s">
        <v>13</v>
      </c>
      <c r="G1431" t="s">
        <v>74</v>
      </c>
      <c r="H1431" t="s">
        <v>14</v>
      </c>
    </row>
    <row r="1432" spans="1:8" hidden="1" x14ac:dyDescent="0.25">
      <c r="A1432" t="s">
        <v>2123</v>
      </c>
      <c r="B1432" s="1" t="str">
        <f>HYPERLINK("https://asmlis.vasa.lt/Dashboard/Served?ServiceDateFrom=2025-11-24&amp;ServiceDateTo=2025-11-24&amp;DumpsterInvNr=13-L-224140", "13-L-224140")</f>
        <v>13-L-224140</v>
      </c>
      <c r="C1432">
        <v>1.1000000000000001</v>
      </c>
      <c r="D1432" t="s">
        <v>1655</v>
      </c>
      <c r="E1432" t="s">
        <v>11</v>
      </c>
      <c r="G1432" t="s">
        <v>936</v>
      </c>
      <c r="H1432" t="s">
        <v>938</v>
      </c>
    </row>
    <row r="1433" spans="1:8" hidden="1" x14ac:dyDescent="0.25">
      <c r="A1433" t="s">
        <v>2124</v>
      </c>
      <c r="B1433" s="1" t="str">
        <f>HYPERLINK("https://asmlis.vasa.lt/Dashboard/Served?ServiceDateFrom=2025-11-24&amp;ServiceDateTo=2025-11-24&amp;DumpsterInvNr=13-L-318292", "13-L-318292")</f>
        <v>13-L-318292</v>
      </c>
      <c r="C1433">
        <v>1.1000000000000001</v>
      </c>
      <c r="D1433" t="s">
        <v>2085</v>
      </c>
      <c r="E1433" t="s">
        <v>11</v>
      </c>
      <c r="F1433" t="s">
        <v>13</v>
      </c>
      <c r="G1433" t="s">
        <v>9</v>
      </c>
      <c r="H1433" t="s">
        <v>14</v>
      </c>
    </row>
    <row r="1434" spans="1:8" hidden="1" x14ac:dyDescent="0.25">
      <c r="A1434" t="s">
        <v>2126</v>
      </c>
      <c r="B1434" s="1" t="str">
        <f>HYPERLINK("https://asmlis.vasa.lt/Dashboard/Served?ServiceDateFrom=2025-11-24&amp;ServiceDateTo=2025-11-24&amp;DumpsterInvNr=13-P-400665", "13-P-400665")</f>
        <v>13-P-400665</v>
      </c>
      <c r="C1434">
        <v>5</v>
      </c>
      <c r="D1434" t="s">
        <v>1714</v>
      </c>
      <c r="E1434" t="s">
        <v>11</v>
      </c>
      <c r="G1434" t="s">
        <v>264</v>
      </c>
      <c r="H1434" t="s">
        <v>14</v>
      </c>
    </row>
    <row r="1435" spans="1:8" hidden="1" x14ac:dyDescent="0.25">
      <c r="A1435" t="s">
        <v>2127</v>
      </c>
      <c r="B1435" s="1" t="str">
        <f>HYPERLINK("https://asmlis.vasa.lt/Dashboard/Served?ServiceDateFrom=2025-11-24&amp;ServiceDateTo=2025-11-24&amp;DumpsterInvNr=13-L-317228", "13-L-317228")</f>
        <v>13-L-317228</v>
      </c>
      <c r="C1435">
        <v>1.1000000000000001</v>
      </c>
      <c r="D1435" t="s">
        <v>2085</v>
      </c>
      <c r="E1435" t="s">
        <v>11</v>
      </c>
      <c r="F1435" t="s">
        <v>13</v>
      </c>
      <c r="G1435" t="s">
        <v>9</v>
      </c>
      <c r="H1435" t="s">
        <v>14</v>
      </c>
    </row>
    <row r="1436" spans="1:8" hidden="1" x14ac:dyDescent="0.25">
      <c r="A1436" t="s">
        <v>2128</v>
      </c>
      <c r="B1436" s="1" t="str">
        <f>HYPERLINK("https://asmlis.vasa.lt/Dashboard/Served?ServiceDateFrom=2025-11-24&amp;ServiceDateTo=2025-11-24&amp;DumpsterInvNr=13-L-315302", "13-L-315302")</f>
        <v>13-L-315302</v>
      </c>
      <c r="C1436">
        <v>5</v>
      </c>
      <c r="D1436" t="s">
        <v>2076</v>
      </c>
      <c r="E1436" t="s">
        <v>11</v>
      </c>
      <c r="F1436" t="s">
        <v>13</v>
      </c>
      <c r="G1436" t="s">
        <v>9</v>
      </c>
      <c r="H1436" t="s">
        <v>14</v>
      </c>
    </row>
    <row r="1437" spans="1:8" hidden="1" x14ac:dyDescent="0.25">
      <c r="A1437" t="s">
        <v>2129</v>
      </c>
      <c r="B1437" s="1" t="str">
        <f>HYPERLINK("https://asmlis.vasa.lt/Dashboard/Served?ServiceDateFrom=2025-11-24&amp;ServiceDateTo=2025-11-24&amp;DumpsterInvNr=13-P-306954", "13-P-306954")</f>
        <v>13-P-306954</v>
      </c>
      <c r="C1437">
        <v>1.1000000000000001</v>
      </c>
      <c r="D1437" t="s">
        <v>2130</v>
      </c>
      <c r="E1437" t="s">
        <v>11</v>
      </c>
      <c r="F1437" t="s">
        <v>13</v>
      </c>
      <c r="G1437" t="s">
        <v>412</v>
      </c>
      <c r="H1437" t="s">
        <v>14</v>
      </c>
    </row>
    <row r="1438" spans="1:8" hidden="1" x14ac:dyDescent="0.25">
      <c r="A1438" t="s">
        <v>2129</v>
      </c>
      <c r="B1438" s="1" t="str">
        <f>HYPERLINK("https://asmlis.vasa.lt/Dashboard/Served?ServiceDateFrom=2025-11-24&amp;ServiceDateTo=2025-11-24&amp;DumpsterInvNr=13-P-108894", "13-P-108894")</f>
        <v>13-P-108894</v>
      </c>
      <c r="C1438">
        <v>5</v>
      </c>
      <c r="D1438" t="s">
        <v>2131</v>
      </c>
      <c r="E1438" t="s">
        <v>11</v>
      </c>
      <c r="F1438" t="s">
        <v>13</v>
      </c>
      <c r="G1438" t="s">
        <v>1917</v>
      </c>
      <c r="H1438" t="s">
        <v>432</v>
      </c>
    </row>
    <row r="1439" spans="1:8" hidden="1" x14ac:dyDescent="0.25">
      <c r="A1439" t="s">
        <v>2132</v>
      </c>
      <c r="B1439" s="1" t="str">
        <f>HYPERLINK("https://asmlis.vasa.lt/Dashboard/Served?ServiceDateFrom=2025-11-24&amp;ServiceDateTo=2025-11-24&amp;DumpsterInvNr=13-L-426520", "13-L-426520")</f>
        <v>13-L-426520</v>
      </c>
      <c r="C1439">
        <v>1.1000000000000001</v>
      </c>
      <c r="D1439" t="s">
        <v>2120</v>
      </c>
      <c r="E1439" t="s">
        <v>11</v>
      </c>
      <c r="G1439" t="s">
        <v>74</v>
      </c>
      <c r="H1439" t="s">
        <v>14</v>
      </c>
    </row>
    <row r="1440" spans="1:8" hidden="1" x14ac:dyDescent="0.25">
      <c r="A1440" t="s">
        <v>2133</v>
      </c>
      <c r="B1440" s="1" t="str">
        <f>HYPERLINK("https://asmlis.vasa.lt/Dashboard/Served?ServiceDateFrom=2025-11-24&amp;ServiceDateTo=2025-11-24&amp;DumpsterInvNr=13-P-300586", "13-P-300586")</f>
        <v>13-P-300586</v>
      </c>
      <c r="C1440">
        <v>1.1000000000000001</v>
      </c>
      <c r="D1440" t="s">
        <v>2134</v>
      </c>
      <c r="E1440" t="s">
        <v>11</v>
      </c>
      <c r="F1440" t="s">
        <v>13</v>
      </c>
      <c r="G1440" t="s">
        <v>412</v>
      </c>
      <c r="H1440" t="s">
        <v>14</v>
      </c>
    </row>
    <row r="1441" spans="1:8" hidden="1" x14ac:dyDescent="0.25">
      <c r="A1441" t="s">
        <v>2135</v>
      </c>
      <c r="B1441" s="1" t="str">
        <f>HYPERLINK("https://asmlis.vasa.lt/Dashboard/Served?ServiceDateFrom=2025-11-24&amp;ServiceDateTo=2025-11-24&amp;DumpsterInvNr=13-L-318503", "13-L-318503")</f>
        <v>13-L-318503</v>
      </c>
      <c r="C1441">
        <v>1.1000000000000001</v>
      </c>
      <c r="D1441" t="s">
        <v>2136</v>
      </c>
      <c r="E1441" t="s">
        <v>11</v>
      </c>
      <c r="G1441" t="s">
        <v>9</v>
      </c>
      <c r="H1441" t="s">
        <v>14</v>
      </c>
    </row>
    <row r="1442" spans="1:8" hidden="1" x14ac:dyDescent="0.25">
      <c r="A1442" t="s">
        <v>2137</v>
      </c>
      <c r="B1442" s="1" t="str">
        <f>HYPERLINK("https://asmlis.vasa.lt/Dashboard/Served?ServiceDateFrom=2025-11-24&amp;ServiceDateTo=2025-11-24&amp;DumpsterInvNr=13-P-306719", "13-P-306719")</f>
        <v>13-P-306719</v>
      </c>
      <c r="C1442">
        <v>1.1000000000000001</v>
      </c>
      <c r="D1442" t="s">
        <v>2138</v>
      </c>
      <c r="E1442" t="s">
        <v>11</v>
      </c>
      <c r="F1442" t="s">
        <v>13</v>
      </c>
      <c r="G1442" t="s">
        <v>412</v>
      </c>
      <c r="H1442" t="s">
        <v>14</v>
      </c>
    </row>
    <row r="1443" spans="1:8" hidden="1" x14ac:dyDescent="0.25">
      <c r="A1443" t="s">
        <v>2139</v>
      </c>
      <c r="B1443" s="1" t="str">
        <f>HYPERLINK("https://asmlis.vasa.lt/Dashboard/Served?ServiceDateFrom=2025-11-24&amp;ServiceDateTo=2025-11-24&amp;DumpsterInvNr=13-L-135458", "13-L-135458")</f>
        <v>13-L-135458</v>
      </c>
      <c r="C1443">
        <v>5</v>
      </c>
      <c r="D1443" t="s">
        <v>2140</v>
      </c>
      <c r="E1443" t="s">
        <v>11</v>
      </c>
      <c r="F1443" t="s">
        <v>13</v>
      </c>
      <c r="G1443" t="s">
        <v>430</v>
      </c>
      <c r="H1443" t="s">
        <v>432</v>
      </c>
    </row>
    <row r="1444" spans="1:8" hidden="1" x14ac:dyDescent="0.25">
      <c r="A1444" t="s">
        <v>2142</v>
      </c>
      <c r="B1444" s="1" t="str">
        <f>HYPERLINK("https://asmlis.vasa.lt/Dashboard/Served?ServiceDateFrom=2025-11-24&amp;ServiceDateTo=2025-11-24&amp;DumpsterInvNr=13-L-206471", "13-L-206471")</f>
        <v>13-L-206471</v>
      </c>
      <c r="C1444">
        <v>1.1000000000000001</v>
      </c>
      <c r="D1444" t="s">
        <v>1655</v>
      </c>
      <c r="E1444" t="s">
        <v>11</v>
      </c>
      <c r="F1444" t="s">
        <v>13</v>
      </c>
      <c r="G1444" t="s">
        <v>936</v>
      </c>
      <c r="H1444" t="s">
        <v>938</v>
      </c>
    </row>
    <row r="1445" spans="1:8" hidden="1" x14ac:dyDescent="0.25">
      <c r="A1445" t="s">
        <v>2144</v>
      </c>
      <c r="B1445" s="1" t="str">
        <f>HYPERLINK("https://asmlis.vasa.lt/Dashboard/Served?ServiceDateFrom=2025-11-24&amp;ServiceDateTo=2025-11-24&amp;DumpsterInvNr=13-L-426477", "13-L-426477")</f>
        <v>13-L-426477</v>
      </c>
      <c r="C1445">
        <v>0.12</v>
      </c>
      <c r="D1445" t="s">
        <v>2145</v>
      </c>
      <c r="E1445" t="s">
        <v>11</v>
      </c>
      <c r="G1445" t="s">
        <v>74</v>
      </c>
      <c r="H1445" t="s">
        <v>14</v>
      </c>
    </row>
    <row r="1446" spans="1:8" hidden="1" x14ac:dyDescent="0.25">
      <c r="A1446" t="s">
        <v>2146</v>
      </c>
      <c r="B1446" s="1" t="str">
        <f>HYPERLINK("https://asmlis.vasa.lt/Dashboard/Served?ServiceDateFrom=2025-11-24&amp;ServiceDateTo=2025-11-24&amp;DumpsterInvNr=13-P-300417", "13-P-300417")</f>
        <v>13-P-300417</v>
      </c>
      <c r="C1446">
        <v>1.1000000000000001</v>
      </c>
      <c r="D1446" t="s">
        <v>2147</v>
      </c>
      <c r="E1446" t="s">
        <v>11</v>
      </c>
      <c r="F1446" t="s">
        <v>13</v>
      </c>
      <c r="G1446" t="s">
        <v>412</v>
      </c>
      <c r="H1446" t="s">
        <v>14</v>
      </c>
    </row>
    <row r="1447" spans="1:8" hidden="1" x14ac:dyDescent="0.25">
      <c r="A1447" t="s">
        <v>2148</v>
      </c>
      <c r="B1447" s="1" t="str">
        <f>HYPERLINK("https://asmlis.vasa.lt/Dashboard/Served?ServiceDateFrom=2025-11-24&amp;ServiceDateTo=2025-11-24&amp;DumpsterInvNr=13-P-300535", "13-P-300535")</f>
        <v>13-P-300535</v>
      </c>
      <c r="C1447">
        <v>1.1000000000000001</v>
      </c>
      <c r="D1447" t="s">
        <v>2147</v>
      </c>
      <c r="E1447" t="s">
        <v>11</v>
      </c>
      <c r="F1447" t="s">
        <v>13</v>
      </c>
      <c r="G1447" t="s">
        <v>412</v>
      </c>
      <c r="H1447" t="s">
        <v>14</v>
      </c>
    </row>
    <row r="1448" spans="1:8" hidden="1" x14ac:dyDescent="0.25">
      <c r="A1448" t="s">
        <v>2149</v>
      </c>
      <c r="B1448" s="1" t="str">
        <f>HYPERLINK("https://asmlis.vasa.lt/Dashboard/Served?ServiceDateFrom=2025-11-24&amp;ServiceDateTo=2025-11-24&amp;DumpsterInvNr=13-L-318339", "13-L-318339")</f>
        <v>13-L-318339</v>
      </c>
      <c r="C1448">
        <v>1.1000000000000001</v>
      </c>
      <c r="D1448" t="s">
        <v>2136</v>
      </c>
      <c r="E1448" t="s">
        <v>11</v>
      </c>
      <c r="G1448" t="s">
        <v>9</v>
      </c>
      <c r="H1448" t="s">
        <v>14</v>
      </c>
    </row>
    <row r="1449" spans="1:8" hidden="1" x14ac:dyDescent="0.25">
      <c r="A1449" t="s">
        <v>2150</v>
      </c>
      <c r="B1449" s="1" t="str">
        <f>HYPERLINK("https://asmlis.vasa.lt/Dashboard/Served?ServiceDateFrom=2025-11-24&amp;ServiceDateTo=2025-11-24&amp;DumpsterInvNr=13-P-408831", "13-P-408831")</f>
        <v>13-P-408831</v>
      </c>
      <c r="C1449">
        <v>1.1000000000000001</v>
      </c>
      <c r="D1449" t="s">
        <v>2152</v>
      </c>
      <c r="E1449" t="s">
        <v>11</v>
      </c>
      <c r="G1449" t="s">
        <v>264</v>
      </c>
      <c r="H1449" t="s">
        <v>14</v>
      </c>
    </row>
    <row r="1450" spans="1:8" hidden="1" x14ac:dyDescent="0.25">
      <c r="A1450" t="s">
        <v>2153</v>
      </c>
      <c r="B1450" s="1" t="str">
        <f>HYPERLINK("https://asmlis.vasa.lt/Dashboard/Served?ServiceDateFrom=2025-11-24&amp;ServiceDateTo=2025-11-24&amp;DumpsterInvNr=13-P-307036", "13-P-307036")</f>
        <v>13-P-307036</v>
      </c>
      <c r="C1450">
        <v>1.1000000000000001</v>
      </c>
      <c r="D1450" t="s">
        <v>2154</v>
      </c>
      <c r="E1450" t="s">
        <v>11</v>
      </c>
      <c r="F1450" t="s">
        <v>13</v>
      </c>
      <c r="G1450" t="s">
        <v>412</v>
      </c>
      <c r="H1450" t="s">
        <v>14</v>
      </c>
    </row>
    <row r="1451" spans="1:8" hidden="1" x14ac:dyDescent="0.25">
      <c r="A1451" t="s">
        <v>2155</v>
      </c>
      <c r="B1451" s="1" t="str">
        <f>HYPERLINK("https://asmlis.vasa.lt/Dashboard/Served?ServiceDateFrom=2025-11-24&amp;ServiceDateTo=2025-11-24&amp;DumpsterInvNr=13-P-302317", "13-P-302317")</f>
        <v>13-P-302317</v>
      </c>
      <c r="C1451">
        <v>3</v>
      </c>
      <c r="D1451" t="s">
        <v>819</v>
      </c>
      <c r="E1451" t="s">
        <v>11</v>
      </c>
      <c r="F1451" t="s">
        <v>13</v>
      </c>
      <c r="G1451" t="s">
        <v>412</v>
      </c>
      <c r="H1451" t="s">
        <v>14</v>
      </c>
    </row>
    <row r="1452" spans="1:8" hidden="1" x14ac:dyDescent="0.25">
      <c r="A1452" t="s">
        <v>2156</v>
      </c>
      <c r="B1452" s="1" t="str">
        <f>HYPERLINK("https://asmlis.vasa.lt/Dashboard/Served?ServiceDateFrom=2025-11-24&amp;ServiceDateTo=2025-11-24&amp;DumpsterInvNr=13-L-314631", "13-L-314631")</f>
        <v>13-L-314631</v>
      </c>
      <c r="C1452">
        <v>1.1000000000000001</v>
      </c>
      <c r="D1452" t="s">
        <v>2157</v>
      </c>
      <c r="E1452" t="s">
        <v>11</v>
      </c>
      <c r="F1452" t="s">
        <v>13</v>
      </c>
      <c r="G1452" t="s">
        <v>9</v>
      </c>
      <c r="H1452" t="s">
        <v>14</v>
      </c>
    </row>
    <row r="1453" spans="1:8" hidden="1" x14ac:dyDescent="0.25">
      <c r="A1453" t="s">
        <v>2158</v>
      </c>
      <c r="B1453" s="1" t="str">
        <f>HYPERLINK("https://asmlis.vasa.lt/Dashboard/Served?ServiceDateFrom=2025-11-24&amp;ServiceDateTo=2025-11-24&amp;DumpsterInvNr=13-P-302405", "13-P-302405")</f>
        <v>13-P-302405</v>
      </c>
      <c r="C1453">
        <v>3</v>
      </c>
      <c r="D1453" t="s">
        <v>819</v>
      </c>
      <c r="E1453" t="s">
        <v>11</v>
      </c>
      <c r="F1453" t="s">
        <v>13</v>
      </c>
      <c r="G1453" t="s">
        <v>412</v>
      </c>
      <c r="H1453" t="s">
        <v>14</v>
      </c>
    </row>
    <row r="1454" spans="1:8" hidden="1" x14ac:dyDescent="0.25">
      <c r="A1454" t="s">
        <v>2159</v>
      </c>
      <c r="B1454" s="1" t="str">
        <f>HYPERLINK("https://asmlis.vasa.lt/Dashboard/Served?ServiceDateFrom=2025-11-24&amp;ServiceDateTo=2025-11-24&amp;DumpsterInvNr=13-L-318700", "13-L-318700")</f>
        <v>13-L-318700</v>
      </c>
      <c r="C1454">
        <v>1.1000000000000001</v>
      </c>
      <c r="D1454" t="s">
        <v>2157</v>
      </c>
      <c r="E1454" t="s">
        <v>11</v>
      </c>
      <c r="F1454" t="s">
        <v>13</v>
      </c>
      <c r="G1454" t="s">
        <v>9</v>
      </c>
      <c r="H1454" t="s">
        <v>14</v>
      </c>
    </row>
    <row r="1455" spans="1:8" hidden="1" x14ac:dyDescent="0.25">
      <c r="A1455" t="s">
        <v>2160</v>
      </c>
      <c r="B1455" s="1" t="str">
        <f>HYPERLINK("https://asmlis.vasa.lt/Dashboard/Served?ServiceDateFrom=2025-11-24&amp;ServiceDateTo=2025-11-24&amp;DumpsterInvNr=13-L-304937", "13-L-304937")</f>
        <v>13-L-304937</v>
      </c>
      <c r="C1455">
        <v>1.1000000000000001</v>
      </c>
      <c r="D1455" t="s">
        <v>2161</v>
      </c>
      <c r="E1455" t="s">
        <v>11</v>
      </c>
      <c r="F1455" t="s">
        <v>13</v>
      </c>
      <c r="G1455" t="s">
        <v>9</v>
      </c>
      <c r="H1455" t="s">
        <v>14</v>
      </c>
    </row>
    <row r="1456" spans="1:8" hidden="1" x14ac:dyDescent="0.25">
      <c r="A1456" t="s">
        <v>2162</v>
      </c>
      <c r="B1456" s="1" t="str">
        <f>HYPERLINK("https://asmlis.vasa.lt/Dashboard/Served?ServiceDateFrom=2025-11-24&amp;ServiceDateTo=2025-11-24&amp;DumpsterInvNr=13-L-426780", "13-L-426780")</f>
        <v>13-L-426780</v>
      </c>
      <c r="C1456">
        <v>0.24</v>
      </c>
      <c r="D1456" t="s">
        <v>2163</v>
      </c>
      <c r="E1456" t="s">
        <v>11</v>
      </c>
      <c r="G1456" t="s">
        <v>74</v>
      </c>
      <c r="H1456" t="s">
        <v>14</v>
      </c>
    </row>
    <row r="1457" spans="1:8" hidden="1" x14ac:dyDescent="0.25">
      <c r="A1457" t="s">
        <v>2164</v>
      </c>
      <c r="B1457" s="1" t="str">
        <f>HYPERLINK("https://asmlis.vasa.lt/Dashboard/Served?ServiceDateFrom=2025-11-24&amp;ServiceDateTo=2025-11-24&amp;DumpsterInvNr=13-L-105144", "13-L-105144")</f>
        <v>13-L-105144</v>
      </c>
      <c r="C1457">
        <v>5</v>
      </c>
      <c r="D1457" t="s">
        <v>2165</v>
      </c>
      <c r="E1457" t="s">
        <v>11</v>
      </c>
      <c r="F1457" t="s">
        <v>13</v>
      </c>
      <c r="G1457" t="s">
        <v>430</v>
      </c>
      <c r="H1457" t="s">
        <v>432</v>
      </c>
    </row>
    <row r="1458" spans="1:8" hidden="1" x14ac:dyDescent="0.25">
      <c r="A1458" t="s">
        <v>2166</v>
      </c>
      <c r="B1458" s="1" t="str">
        <f>HYPERLINK("https://asmlis.vasa.lt/Dashboard/Served?ServiceDateFrom=2025-11-24&amp;ServiceDateTo=2025-11-24&amp;DumpsterInvNr=13-L-422903", "13-L-422903")</f>
        <v>13-L-422903</v>
      </c>
      <c r="C1458">
        <v>5</v>
      </c>
      <c r="D1458" t="s">
        <v>2167</v>
      </c>
      <c r="E1458" t="s">
        <v>11</v>
      </c>
      <c r="F1458" t="s">
        <v>13</v>
      </c>
      <c r="G1458" t="s">
        <v>74</v>
      </c>
      <c r="H1458" t="s">
        <v>14</v>
      </c>
    </row>
    <row r="1459" spans="1:8" hidden="1" x14ac:dyDescent="0.25">
      <c r="A1459" t="s">
        <v>2168</v>
      </c>
      <c r="B1459" s="1" t="str">
        <f>HYPERLINK("https://asmlis.vasa.lt/Dashboard/Served?ServiceDateFrom=2025-11-24&amp;ServiceDateTo=2025-11-24&amp;DumpsterInvNr=13-L-312465", "13-L-312465")</f>
        <v>13-L-312465</v>
      </c>
      <c r="C1459">
        <v>1.1000000000000001</v>
      </c>
      <c r="D1459" t="s">
        <v>2169</v>
      </c>
      <c r="E1459" t="s">
        <v>11</v>
      </c>
      <c r="G1459" t="s">
        <v>9</v>
      </c>
      <c r="H1459" t="s">
        <v>14</v>
      </c>
    </row>
    <row r="1460" spans="1:8" hidden="1" x14ac:dyDescent="0.25">
      <c r="A1460" t="s">
        <v>2170</v>
      </c>
      <c r="B1460" s="1" t="str">
        <f>HYPERLINK("https://asmlis.vasa.lt/Dashboard/Served?ServiceDateFrom=2025-11-24&amp;ServiceDateTo=2025-11-24&amp;DumpsterInvNr=13-L-424456", "13-L-424456")</f>
        <v>13-L-424456</v>
      </c>
      <c r="C1460">
        <v>0.24</v>
      </c>
      <c r="D1460" t="s">
        <v>2171</v>
      </c>
      <c r="E1460" t="s">
        <v>11</v>
      </c>
      <c r="G1460" t="s">
        <v>74</v>
      </c>
      <c r="H1460" t="s">
        <v>14</v>
      </c>
    </row>
    <row r="1461" spans="1:8" hidden="1" x14ac:dyDescent="0.25">
      <c r="A1461" t="s">
        <v>1604</v>
      </c>
      <c r="B1461" s="1" t="str">
        <f>HYPERLINK("https://asmlis.vasa.lt/Dashboard/Served?ServiceDateFrom=2025-11-24&amp;ServiceDateTo=2025-11-24&amp;DumpsterInvNr=13-L-300507", "13-L-300507")</f>
        <v>13-L-300507</v>
      </c>
      <c r="C1461">
        <v>0.77</v>
      </c>
      <c r="D1461" t="s">
        <v>1629</v>
      </c>
      <c r="E1461" t="s">
        <v>11</v>
      </c>
      <c r="F1461" t="s">
        <v>13</v>
      </c>
      <c r="G1461" t="s">
        <v>9</v>
      </c>
      <c r="H1461" t="s">
        <v>14</v>
      </c>
    </row>
    <row r="1462" spans="1:8" hidden="1" x14ac:dyDescent="0.25">
      <c r="A1462" t="s">
        <v>2172</v>
      </c>
      <c r="B1462" s="1" t="str">
        <f>HYPERLINK("https://asmlis.vasa.lt/Dashboard/Served?ServiceDateFrom=2025-11-24&amp;ServiceDateTo=2025-11-24&amp;DumpsterInvNr=13-L-317519", "13-L-317519")</f>
        <v>13-L-317519</v>
      </c>
      <c r="C1462">
        <v>1.1000000000000001</v>
      </c>
      <c r="D1462" t="s">
        <v>2174</v>
      </c>
      <c r="E1462" t="s">
        <v>11</v>
      </c>
      <c r="G1462" t="s">
        <v>9</v>
      </c>
      <c r="H1462" t="s">
        <v>14</v>
      </c>
    </row>
    <row r="1463" spans="1:8" hidden="1" x14ac:dyDescent="0.25">
      <c r="A1463" t="s">
        <v>2172</v>
      </c>
      <c r="B1463" s="1" t="str">
        <f>HYPERLINK("https://asmlis.vasa.lt/Dashboard/Served?ServiceDateFrom=2025-11-24&amp;ServiceDateTo=2025-11-24&amp;DumpsterInvNr=13-L-404986", "13-L-404986")</f>
        <v>13-L-404986</v>
      </c>
      <c r="C1463">
        <v>0.24</v>
      </c>
      <c r="D1463" t="s">
        <v>2175</v>
      </c>
      <c r="E1463" t="s">
        <v>11</v>
      </c>
      <c r="F1463" t="s">
        <v>1209</v>
      </c>
      <c r="G1463" t="s">
        <v>74</v>
      </c>
      <c r="H1463" t="s">
        <v>14</v>
      </c>
    </row>
    <row r="1464" spans="1:8" hidden="1" x14ac:dyDescent="0.25">
      <c r="A1464" t="s">
        <v>2176</v>
      </c>
      <c r="B1464" s="1" t="str">
        <f>HYPERLINK("https://asmlis.vasa.lt/Dashboard/Served?ServiceDateFrom=2025-11-24&amp;ServiceDateTo=2025-11-24&amp;DumpsterInvNr=13-P-500370", "13-P-500370")</f>
        <v>13-P-500370</v>
      </c>
      <c r="C1464">
        <v>5</v>
      </c>
      <c r="D1464" t="s">
        <v>1970</v>
      </c>
      <c r="E1464" t="s">
        <v>11</v>
      </c>
      <c r="F1464" t="s">
        <v>13</v>
      </c>
      <c r="G1464" t="s">
        <v>2178</v>
      </c>
      <c r="H1464" t="s">
        <v>432</v>
      </c>
    </row>
    <row r="1465" spans="1:8" hidden="1" x14ac:dyDescent="0.25">
      <c r="A1465" t="s">
        <v>2179</v>
      </c>
      <c r="B1465" s="1" t="str">
        <f>HYPERLINK("https://asmlis.vasa.lt/Dashboard/Served?ServiceDateFrom=2025-11-24&amp;ServiceDateTo=2025-11-24&amp;DumpsterInvNr=13-L-308769", "13-L-308769")</f>
        <v>13-L-308769</v>
      </c>
      <c r="C1465">
        <v>1.1000000000000001</v>
      </c>
      <c r="D1465" t="s">
        <v>1610</v>
      </c>
      <c r="E1465" t="s">
        <v>11</v>
      </c>
      <c r="F1465" t="s">
        <v>13</v>
      </c>
      <c r="G1465" t="s">
        <v>9</v>
      </c>
      <c r="H1465" t="s">
        <v>14</v>
      </c>
    </row>
    <row r="1466" spans="1:8" hidden="1" x14ac:dyDescent="0.25">
      <c r="A1466" t="s">
        <v>2180</v>
      </c>
      <c r="B1466" s="1" t="str">
        <f>HYPERLINK("https://asmlis.vasa.lt/Dashboard/Served?ServiceDateFrom=2025-11-24&amp;ServiceDateTo=2025-11-24&amp;DumpsterInvNr=13-L-404984", "13-L-404984")</f>
        <v>13-L-404984</v>
      </c>
      <c r="C1466">
        <v>0.24</v>
      </c>
      <c r="D1466" t="s">
        <v>2181</v>
      </c>
      <c r="E1466" t="s">
        <v>11</v>
      </c>
      <c r="F1466" t="s">
        <v>1209</v>
      </c>
      <c r="G1466" t="s">
        <v>74</v>
      </c>
      <c r="H1466" t="s">
        <v>14</v>
      </c>
    </row>
    <row r="1467" spans="1:8" hidden="1" x14ac:dyDescent="0.25">
      <c r="A1467" t="s">
        <v>1460</v>
      </c>
      <c r="B1467" s="1" t="str">
        <f>HYPERLINK("https://asmlis.vasa.lt/Dashboard/Served?ServiceDateFrom=2025-11-24&amp;ServiceDateTo=2025-11-24&amp;DumpsterInvNr=13-L-312466", "13-L-312466")</f>
        <v>13-L-312466</v>
      </c>
      <c r="C1467">
        <v>1.1000000000000001</v>
      </c>
      <c r="D1467" t="s">
        <v>2169</v>
      </c>
      <c r="E1467" t="s">
        <v>11</v>
      </c>
      <c r="F1467" t="s">
        <v>13</v>
      </c>
      <c r="G1467" t="s">
        <v>9</v>
      </c>
      <c r="H1467" t="s">
        <v>14</v>
      </c>
    </row>
    <row r="1468" spans="1:8" hidden="1" x14ac:dyDescent="0.25">
      <c r="A1468" t="s">
        <v>2182</v>
      </c>
      <c r="B1468" s="1" t="str">
        <f>HYPERLINK("https://asmlis.vasa.lt/Dashboard/Served?ServiceDateFrom=2025-11-24&amp;ServiceDateTo=2025-11-24&amp;DumpsterInvNr=13-P-400560", "13-P-400560")</f>
        <v>13-P-400560</v>
      </c>
      <c r="C1468">
        <v>5</v>
      </c>
      <c r="D1468" t="s">
        <v>2183</v>
      </c>
      <c r="E1468" t="s">
        <v>11</v>
      </c>
      <c r="F1468" t="s">
        <v>13</v>
      </c>
      <c r="G1468" t="s">
        <v>264</v>
      </c>
      <c r="H1468" t="s">
        <v>14</v>
      </c>
    </row>
    <row r="1469" spans="1:8" hidden="1" x14ac:dyDescent="0.25">
      <c r="A1469" t="s">
        <v>2184</v>
      </c>
      <c r="B1469" s="1" t="str">
        <f>HYPERLINK("https://asmlis.vasa.lt/Dashboard/Served?ServiceDateFrom=2025-11-24&amp;ServiceDateTo=2025-11-24&amp;DumpsterInvNr=13-P-300212", "13-P-300212")</f>
        <v>13-P-300212</v>
      </c>
      <c r="C1469">
        <v>1.1000000000000001</v>
      </c>
      <c r="D1469" t="s">
        <v>2185</v>
      </c>
      <c r="E1469" t="s">
        <v>11</v>
      </c>
      <c r="G1469" t="s">
        <v>412</v>
      </c>
      <c r="H1469" t="s">
        <v>14</v>
      </c>
    </row>
    <row r="1470" spans="1:8" hidden="1" x14ac:dyDescent="0.25">
      <c r="A1470" t="s">
        <v>2186</v>
      </c>
      <c r="B1470" s="1" t="str">
        <f>HYPERLINK("https://asmlis.vasa.lt/Dashboard/Served?ServiceDateFrom=2025-11-24&amp;ServiceDateTo=2025-11-24&amp;DumpsterInvNr=13-L-404680", "13-L-404680")</f>
        <v>13-L-404680</v>
      </c>
      <c r="C1470">
        <v>0.12</v>
      </c>
      <c r="D1470" t="s">
        <v>2187</v>
      </c>
      <c r="E1470" t="s">
        <v>11</v>
      </c>
      <c r="F1470" t="s">
        <v>1209</v>
      </c>
      <c r="G1470" t="s">
        <v>74</v>
      </c>
      <c r="H1470" t="s">
        <v>14</v>
      </c>
    </row>
    <row r="1471" spans="1:8" hidden="1" x14ac:dyDescent="0.25">
      <c r="A1471" t="s">
        <v>2188</v>
      </c>
      <c r="B1471" s="1" t="str">
        <f>HYPERLINK("https://asmlis.vasa.lt/Dashboard/Served?ServiceDateFrom=2025-11-24&amp;ServiceDateTo=2025-11-24&amp;DumpsterInvNr=13-P-402285", "13-P-402285")</f>
        <v>13-P-402285</v>
      </c>
      <c r="C1471">
        <v>5</v>
      </c>
      <c r="D1471" t="s">
        <v>2183</v>
      </c>
      <c r="E1471" t="s">
        <v>11</v>
      </c>
      <c r="F1471" t="s">
        <v>13</v>
      </c>
      <c r="G1471" t="s">
        <v>264</v>
      </c>
      <c r="H1471" t="s">
        <v>14</v>
      </c>
    </row>
    <row r="1472" spans="1:8" hidden="1" x14ac:dyDescent="0.25">
      <c r="A1472" t="s">
        <v>2189</v>
      </c>
      <c r="B1472" s="1" t="str">
        <f>HYPERLINK("https://asmlis.vasa.lt/Dashboard/Served?ServiceDateFrom=2025-11-24&amp;ServiceDateTo=2025-11-24&amp;DumpsterInvNr=13-L-224014", "13-L-224014")</f>
        <v>13-L-224014</v>
      </c>
      <c r="C1472">
        <v>1.1000000000000001</v>
      </c>
      <c r="D1472" t="s">
        <v>2190</v>
      </c>
      <c r="E1472" t="s">
        <v>11</v>
      </c>
      <c r="G1472" t="s">
        <v>936</v>
      </c>
      <c r="H1472" t="s">
        <v>938</v>
      </c>
    </row>
    <row r="1473" spans="1:8" hidden="1" x14ac:dyDescent="0.25">
      <c r="A1473" t="s">
        <v>2191</v>
      </c>
      <c r="B1473" s="1" t="str">
        <f>HYPERLINK("https://asmlis.vasa.lt/Dashboard/Served?ServiceDateFrom=2025-11-24&amp;ServiceDateTo=2025-11-24&amp;DumpsterInvNr=13-L-317348", "13-L-317348")</f>
        <v>13-L-317348</v>
      </c>
      <c r="C1473">
        <v>1.1000000000000001</v>
      </c>
      <c r="D1473" t="s">
        <v>2192</v>
      </c>
      <c r="E1473" t="s">
        <v>11</v>
      </c>
      <c r="G1473" t="s">
        <v>9</v>
      </c>
      <c r="H1473" t="s">
        <v>14</v>
      </c>
    </row>
    <row r="1474" spans="1:8" hidden="1" x14ac:dyDescent="0.25">
      <c r="A1474" t="s">
        <v>2193</v>
      </c>
      <c r="B1474" s="1" t="str">
        <f>HYPERLINK("https://asmlis.vasa.lt/Dashboard/Served?ServiceDateFrom=2025-11-24&amp;ServiceDateTo=2025-11-24&amp;DumpsterInvNr=13-L-138832", "13-L-138832")</f>
        <v>13-L-138832</v>
      </c>
      <c r="C1474">
        <v>5</v>
      </c>
      <c r="D1474" t="s">
        <v>2194</v>
      </c>
      <c r="E1474" t="s">
        <v>11</v>
      </c>
      <c r="F1474" t="s">
        <v>13</v>
      </c>
      <c r="G1474" t="s">
        <v>1912</v>
      </c>
      <c r="H1474" t="s">
        <v>432</v>
      </c>
    </row>
    <row r="1475" spans="1:8" hidden="1" x14ac:dyDescent="0.25">
      <c r="A1475" t="s">
        <v>2195</v>
      </c>
      <c r="B1475" s="1" t="str">
        <f>HYPERLINK("https://asmlis.vasa.lt/Dashboard/Served?ServiceDateFrom=2025-11-24&amp;ServiceDateTo=2025-11-24&amp;DumpsterInvNr=13-P-413796", "13-P-413796")</f>
        <v>13-P-413796</v>
      </c>
      <c r="C1475">
        <v>2.5</v>
      </c>
      <c r="D1475" t="s">
        <v>2196</v>
      </c>
      <c r="E1475" t="s">
        <v>11</v>
      </c>
      <c r="G1475" t="s">
        <v>264</v>
      </c>
      <c r="H1475" t="s">
        <v>14</v>
      </c>
    </row>
    <row r="1476" spans="1:8" hidden="1" x14ac:dyDescent="0.25">
      <c r="A1476" t="s">
        <v>2197</v>
      </c>
      <c r="B1476" s="1" t="str">
        <f>HYPERLINK("https://asmlis.vasa.lt/Dashboard/Served?ServiceDateFrom=2025-11-24&amp;ServiceDateTo=2025-11-24&amp;DumpsterInvNr=13-P-306983", "13-P-306983")</f>
        <v>13-P-306983</v>
      </c>
      <c r="C1476">
        <v>1.1000000000000001</v>
      </c>
      <c r="D1476" t="s">
        <v>2185</v>
      </c>
      <c r="E1476" t="s">
        <v>11</v>
      </c>
      <c r="F1476" t="s">
        <v>13</v>
      </c>
      <c r="G1476" t="s">
        <v>412</v>
      </c>
      <c r="H1476" t="s">
        <v>14</v>
      </c>
    </row>
    <row r="1477" spans="1:8" hidden="1" x14ac:dyDescent="0.25">
      <c r="A1477" t="s">
        <v>2198</v>
      </c>
      <c r="B1477" s="1" t="str">
        <f>HYPERLINK("https://asmlis.vasa.lt/Dashboard/Served?ServiceDateFrom=2025-11-24&amp;ServiceDateTo=2025-11-24&amp;DumpsterInvNr=13-L-225096", "13-L-225096")</f>
        <v>13-L-225096</v>
      </c>
      <c r="C1477">
        <v>1.1000000000000001</v>
      </c>
      <c r="D1477" t="s">
        <v>2190</v>
      </c>
      <c r="E1477" t="s">
        <v>11</v>
      </c>
      <c r="G1477" t="s">
        <v>936</v>
      </c>
      <c r="H1477" t="s">
        <v>938</v>
      </c>
    </row>
    <row r="1478" spans="1:8" hidden="1" x14ac:dyDescent="0.25">
      <c r="A1478" t="s">
        <v>2199</v>
      </c>
      <c r="B1478" s="1" t="str">
        <f>HYPERLINK("https://asmlis.vasa.lt/Dashboard/Served?ServiceDateFrom=2025-11-24&amp;ServiceDateTo=2025-11-24&amp;DumpsterInvNr=13-L-421833", "13-L-421833")</f>
        <v>13-L-421833</v>
      </c>
      <c r="C1478">
        <v>5</v>
      </c>
      <c r="D1478" t="s">
        <v>1471</v>
      </c>
      <c r="E1478" t="s">
        <v>11</v>
      </c>
      <c r="G1478" t="s">
        <v>74</v>
      </c>
      <c r="H1478" t="s">
        <v>14</v>
      </c>
    </row>
    <row r="1479" spans="1:8" hidden="1" x14ac:dyDescent="0.25">
      <c r="A1479" t="s">
        <v>2200</v>
      </c>
      <c r="B1479" s="1" t="str">
        <f>HYPERLINK("https://asmlis.vasa.lt/Dashboard/Served?ServiceDateFrom=2025-11-24&amp;ServiceDateTo=2025-11-24&amp;DumpsterInvNr=13-L-317347", "13-L-317347")</f>
        <v>13-L-317347</v>
      </c>
      <c r="C1479">
        <v>1.1000000000000001</v>
      </c>
      <c r="D1479" t="s">
        <v>2192</v>
      </c>
      <c r="E1479" t="s">
        <v>11</v>
      </c>
      <c r="G1479" t="s">
        <v>9</v>
      </c>
      <c r="H1479" t="s">
        <v>14</v>
      </c>
    </row>
    <row r="1480" spans="1:8" hidden="1" x14ac:dyDescent="0.25">
      <c r="A1480" t="s">
        <v>2201</v>
      </c>
      <c r="B1480" s="1" t="str">
        <f>HYPERLINK("https://asmlis.vasa.lt/Dashboard/Served?ServiceDateFrom=2025-11-24&amp;ServiceDateTo=2025-11-24&amp;DumpsterInvNr=13-L-318726", "13-L-318726")</f>
        <v>13-L-318726</v>
      </c>
      <c r="C1480">
        <v>1.1000000000000001</v>
      </c>
      <c r="D1480" t="s">
        <v>2174</v>
      </c>
      <c r="E1480" t="s">
        <v>11</v>
      </c>
      <c r="G1480" t="s">
        <v>9</v>
      </c>
      <c r="H1480" t="s">
        <v>14</v>
      </c>
    </row>
    <row r="1481" spans="1:8" hidden="1" x14ac:dyDescent="0.25">
      <c r="A1481" t="s">
        <v>2202</v>
      </c>
      <c r="B1481" s="1" t="str">
        <f>HYPERLINK("https://asmlis.vasa.lt/Dashboard/Served?ServiceDateFrom=2025-11-24&amp;ServiceDateTo=2025-11-24&amp;DumpsterInvNr=13-L-224015", "13-L-224015")</f>
        <v>13-L-224015</v>
      </c>
      <c r="C1481">
        <v>1.1000000000000001</v>
      </c>
      <c r="D1481" t="s">
        <v>2190</v>
      </c>
      <c r="E1481" t="s">
        <v>11</v>
      </c>
      <c r="G1481" t="s">
        <v>936</v>
      </c>
      <c r="H1481" t="s">
        <v>938</v>
      </c>
    </row>
    <row r="1482" spans="1:8" hidden="1" x14ac:dyDescent="0.25">
      <c r="A1482" t="s">
        <v>2203</v>
      </c>
      <c r="B1482" s="1" t="str">
        <f>HYPERLINK("https://asmlis.vasa.lt/Dashboard/Served?ServiceDateFrom=2025-11-24&amp;ServiceDateTo=2025-11-24&amp;DumpsterInvNr=13-L-227631", "13-L-227631")</f>
        <v>13-L-227631</v>
      </c>
      <c r="C1482">
        <v>1.1000000000000001</v>
      </c>
      <c r="D1482" t="s">
        <v>2204</v>
      </c>
      <c r="E1482" t="s">
        <v>11</v>
      </c>
      <c r="G1482" t="s">
        <v>936</v>
      </c>
      <c r="H1482" t="s">
        <v>938</v>
      </c>
    </row>
    <row r="1483" spans="1:8" hidden="1" x14ac:dyDescent="0.25">
      <c r="A1483" t="s">
        <v>2203</v>
      </c>
      <c r="B1483" s="1" t="str">
        <f>HYPERLINK("https://asmlis.vasa.lt/Dashboard/Served?ServiceDateFrom=2025-11-24&amp;ServiceDateTo=2025-11-24&amp;DumpsterInvNr=13-T-000284", "13-T-000284")</f>
        <v>13-T-000284</v>
      </c>
      <c r="C1483">
        <v>2.5</v>
      </c>
      <c r="D1483" t="s">
        <v>2205</v>
      </c>
      <c r="E1483" t="s">
        <v>11</v>
      </c>
      <c r="F1483" t="s">
        <v>13</v>
      </c>
      <c r="G1483" t="s">
        <v>1899</v>
      </c>
      <c r="H1483" t="s">
        <v>432</v>
      </c>
    </row>
    <row r="1484" spans="1:8" hidden="1" x14ac:dyDescent="0.25">
      <c r="A1484" t="s">
        <v>2206</v>
      </c>
      <c r="B1484" s="1" t="str">
        <f>HYPERLINK("https://asmlis.vasa.lt/Dashboard/Served?ServiceDateFrom=2025-11-24&amp;ServiceDateTo=2025-11-24&amp;DumpsterInvNr=13-P-106593", "13-P-106593")</f>
        <v>13-P-106593</v>
      </c>
      <c r="C1484">
        <v>0.77</v>
      </c>
      <c r="D1484" t="s">
        <v>2207</v>
      </c>
      <c r="E1484" t="s">
        <v>11</v>
      </c>
      <c r="G1484" t="s">
        <v>1917</v>
      </c>
      <c r="H1484" t="s">
        <v>432</v>
      </c>
    </row>
    <row r="1485" spans="1:8" hidden="1" x14ac:dyDescent="0.25">
      <c r="A1485" t="s">
        <v>2208</v>
      </c>
      <c r="B1485" s="1" t="str">
        <f>HYPERLINK("https://asmlis.vasa.lt/Dashboard/Served?ServiceDateFrom=2025-11-24&amp;ServiceDateTo=2025-11-24&amp;DumpsterInvNr=13-T-000181", "13-T-000181")</f>
        <v>13-T-000181</v>
      </c>
      <c r="C1485">
        <v>2.5</v>
      </c>
      <c r="D1485" t="s">
        <v>2205</v>
      </c>
      <c r="E1485" t="s">
        <v>11</v>
      </c>
      <c r="F1485" t="s">
        <v>13</v>
      </c>
      <c r="G1485" t="s">
        <v>1899</v>
      </c>
      <c r="H1485" t="s">
        <v>432</v>
      </c>
    </row>
    <row r="1486" spans="1:8" hidden="1" x14ac:dyDescent="0.25">
      <c r="A1486" t="s">
        <v>2209</v>
      </c>
      <c r="B1486" s="1" t="str">
        <f>HYPERLINK("https://asmlis.vasa.lt/Dashboard/Served?ServiceDateFrom=2025-11-24&amp;ServiceDateTo=2025-11-24&amp;DumpsterInvNr=13-T-000182", "13-T-000182")</f>
        <v>13-T-000182</v>
      </c>
      <c r="C1486">
        <v>2.5</v>
      </c>
      <c r="D1486" t="s">
        <v>2205</v>
      </c>
      <c r="E1486" t="s">
        <v>11</v>
      </c>
      <c r="F1486" t="s">
        <v>13</v>
      </c>
      <c r="G1486" t="s">
        <v>1899</v>
      </c>
      <c r="H1486" t="s">
        <v>432</v>
      </c>
    </row>
    <row r="1487" spans="1:8" hidden="1" x14ac:dyDescent="0.25">
      <c r="A1487" t="s">
        <v>2210</v>
      </c>
      <c r="B1487" s="1" t="str">
        <f>HYPERLINK("https://asmlis.vasa.lt/Dashboard/Served?ServiceDateFrom=2025-11-24&amp;ServiceDateTo=2025-11-24&amp;DumpsterInvNr=13-L-318145", "13-L-318145")</f>
        <v>13-L-318145</v>
      </c>
      <c r="C1487">
        <v>1.1000000000000001</v>
      </c>
      <c r="D1487" t="s">
        <v>2211</v>
      </c>
      <c r="E1487" t="s">
        <v>11</v>
      </c>
      <c r="G1487" t="s">
        <v>9</v>
      </c>
      <c r="H1487" t="s">
        <v>14</v>
      </c>
    </row>
    <row r="1488" spans="1:8" hidden="1" x14ac:dyDescent="0.25">
      <c r="A1488" t="s">
        <v>2212</v>
      </c>
      <c r="B1488" s="1" t="str">
        <f>HYPERLINK("https://asmlis.vasa.lt/Dashboard/Served?ServiceDateFrom=2025-11-24&amp;ServiceDateTo=2025-11-24&amp;DumpsterInvNr=13-L-313526", "13-L-313526")</f>
        <v>13-L-313526</v>
      </c>
      <c r="C1488">
        <v>5</v>
      </c>
      <c r="D1488" t="s">
        <v>2213</v>
      </c>
      <c r="E1488" t="s">
        <v>11</v>
      </c>
      <c r="F1488" t="s">
        <v>13</v>
      </c>
      <c r="G1488" t="s">
        <v>9</v>
      </c>
      <c r="H1488" t="s">
        <v>14</v>
      </c>
    </row>
    <row r="1489" spans="1:8" hidden="1" x14ac:dyDescent="0.25">
      <c r="A1489" t="s">
        <v>2214</v>
      </c>
      <c r="B1489" s="1" t="str">
        <f>HYPERLINK("https://asmlis.vasa.lt/Dashboard/Served?ServiceDateFrom=2025-11-24&amp;ServiceDateTo=2025-11-24&amp;DumpsterInvNr=13-L-111497", "13-L-111497")</f>
        <v>13-L-111497</v>
      </c>
      <c r="C1489">
        <v>1.1000000000000001</v>
      </c>
      <c r="D1489" t="s">
        <v>2215</v>
      </c>
      <c r="E1489" t="s">
        <v>11</v>
      </c>
      <c r="G1489" t="s">
        <v>1912</v>
      </c>
      <c r="H1489" t="s">
        <v>432</v>
      </c>
    </row>
    <row r="1490" spans="1:8" hidden="1" x14ac:dyDescent="0.25">
      <c r="A1490" t="s">
        <v>2216</v>
      </c>
      <c r="B1490" s="1" t="str">
        <f>HYPERLINK("https://asmlis.vasa.lt/Dashboard/Served?ServiceDateFrom=2025-11-24&amp;ServiceDateTo=2025-11-24&amp;DumpsterInvNr=13-P-405489", "13-P-405489")</f>
        <v>13-P-405489</v>
      </c>
      <c r="C1490">
        <v>2.5</v>
      </c>
      <c r="D1490" t="s">
        <v>2196</v>
      </c>
      <c r="E1490" t="s">
        <v>11</v>
      </c>
      <c r="F1490" t="s">
        <v>13</v>
      </c>
      <c r="G1490" t="s">
        <v>264</v>
      </c>
      <c r="H1490" t="s">
        <v>14</v>
      </c>
    </row>
    <row r="1491" spans="1:8" hidden="1" x14ac:dyDescent="0.25">
      <c r="A1491" t="s">
        <v>2217</v>
      </c>
      <c r="B1491" s="1" t="str">
        <f>HYPERLINK("https://asmlis.vasa.lt/Dashboard/Served?ServiceDateFrom=2025-11-24&amp;ServiceDateTo=2025-11-24&amp;DumpsterInvNr=13-L-227528", "13-L-227528")</f>
        <v>13-L-227528</v>
      </c>
      <c r="C1491">
        <v>1.1000000000000001</v>
      </c>
      <c r="D1491" t="s">
        <v>1968</v>
      </c>
      <c r="E1491" t="s">
        <v>11</v>
      </c>
      <c r="G1491" t="s">
        <v>936</v>
      </c>
      <c r="H1491" t="s">
        <v>938</v>
      </c>
    </row>
    <row r="1492" spans="1:8" hidden="1" x14ac:dyDescent="0.25">
      <c r="A1492" t="s">
        <v>2218</v>
      </c>
      <c r="B1492" s="1" t="str">
        <f>HYPERLINK("https://asmlis.vasa.lt/Dashboard/Served?ServiceDateFrom=2025-11-24&amp;ServiceDateTo=2025-11-24&amp;DumpsterInvNr=13-L-106517", "13-L-106517")</f>
        <v>13-L-106517</v>
      </c>
      <c r="C1492">
        <v>1.1000000000000001</v>
      </c>
      <c r="D1492" t="s">
        <v>2215</v>
      </c>
      <c r="E1492" t="s">
        <v>11</v>
      </c>
      <c r="G1492" t="s">
        <v>1912</v>
      </c>
      <c r="H1492" t="s">
        <v>432</v>
      </c>
    </row>
    <row r="1493" spans="1:8" hidden="1" x14ac:dyDescent="0.25">
      <c r="A1493" t="s">
        <v>2219</v>
      </c>
      <c r="B1493" s="1" t="str">
        <f>HYPERLINK("https://asmlis.vasa.lt/Dashboard/Served?ServiceDateFrom=2025-11-24&amp;ServiceDateTo=2025-11-24&amp;DumpsterInvNr=13-L-422815", "13-L-422815")</f>
        <v>13-L-422815</v>
      </c>
      <c r="C1493">
        <v>1.1000000000000001</v>
      </c>
      <c r="D1493" t="s">
        <v>2220</v>
      </c>
      <c r="E1493" t="s">
        <v>11</v>
      </c>
      <c r="G1493" t="s">
        <v>74</v>
      </c>
      <c r="H1493" t="s">
        <v>14</v>
      </c>
    </row>
    <row r="1494" spans="1:8" hidden="1" x14ac:dyDescent="0.25">
      <c r="A1494" t="s">
        <v>2221</v>
      </c>
      <c r="B1494" s="1" t="str">
        <f>HYPERLINK("https://asmlis.vasa.lt/Dashboard/Served?ServiceDateFrom=2025-11-24&amp;ServiceDateTo=2025-11-24&amp;DumpsterInvNr=13-L-133852", "13-L-133852")</f>
        <v>13-L-133852</v>
      </c>
      <c r="C1494">
        <v>5</v>
      </c>
      <c r="D1494" t="s">
        <v>2222</v>
      </c>
      <c r="E1494" t="s">
        <v>11</v>
      </c>
      <c r="F1494" t="s">
        <v>13</v>
      </c>
      <c r="G1494" t="s">
        <v>430</v>
      </c>
      <c r="H1494" t="s">
        <v>432</v>
      </c>
    </row>
    <row r="1495" spans="1:8" hidden="1" x14ac:dyDescent="0.25">
      <c r="A1495" t="s">
        <v>2221</v>
      </c>
      <c r="B1495" s="1" t="str">
        <f>HYPERLINK("https://asmlis.vasa.lt/Dashboard/Served?ServiceDateFrom=2025-11-24&amp;ServiceDateTo=2025-11-24&amp;DumpsterInvNr=13-L-111498", "13-L-111498")</f>
        <v>13-L-111498</v>
      </c>
      <c r="C1495">
        <v>1.1000000000000001</v>
      </c>
      <c r="D1495" t="s">
        <v>2215</v>
      </c>
      <c r="E1495" t="s">
        <v>11</v>
      </c>
      <c r="G1495" t="s">
        <v>1912</v>
      </c>
      <c r="H1495" t="s">
        <v>432</v>
      </c>
    </row>
    <row r="1496" spans="1:8" hidden="1" x14ac:dyDescent="0.25">
      <c r="A1496" t="s">
        <v>2223</v>
      </c>
      <c r="B1496" s="1" t="str">
        <f>HYPERLINK("https://asmlis.vasa.lt/Dashboard/Served?ServiceDateFrom=2025-11-24&amp;ServiceDateTo=2025-11-24&amp;DumpsterInvNr=13-L-404973", "13-L-404973")</f>
        <v>13-L-404973</v>
      </c>
      <c r="C1496">
        <v>0.24</v>
      </c>
      <c r="D1496" t="s">
        <v>2224</v>
      </c>
      <c r="E1496" t="s">
        <v>11</v>
      </c>
      <c r="G1496" t="s">
        <v>74</v>
      </c>
      <c r="H1496" t="s">
        <v>14</v>
      </c>
    </row>
    <row r="1497" spans="1:8" hidden="1" x14ac:dyDescent="0.25">
      <c r="A1497" t="s">
        <v>2225</v>
      </c>
      <c r="B1497" s="1" t="str">
        <f>HYPERLINK("https://asmlis.vasa.lt/Dashboard/Served?ServiceDateFrom=2025-11-24&amp;ServiceDateTo=2025-11-24&amp;DumpsterInvNr=13-P-400565", "13-P-400565")</f>
        <v>13-P-400565</v>
      </c>
      <c r="C1497">
        <v>5</v>
      </c>
      <c r="D1497" t="s">
        <v>2226</v>
      </c>
      <c r="E1497" t="s">
        <v>11</v>
      </c>
      <c r="F1497" t="s">
        <v>13</v>
      </c>
      <c r="G1497" t="s">
        <v>264</v>
      </c>
      <c r="H1497" t="s">
        <v>14</v>
      </c>
    </row>
    <row r="1498" spans="1:8" hidden="1" x14ac:dyDescent="0.25">
      <c r="A1498" t="s">
        <v>2227</v>
      </c>
      <c r="B1498" s="1" t="str">
        <f>HYPERLINK("https://asmlis.vasa.lt/Dashboard/Served?ServiceDateFrom=2025-11-24&amp;ServiceDateTo=2025-11-24&amp;DumpsterInvNr=13-L-409200", "13-L-409200")</f>
        <v>13-L-409200</v>
      </c>
      <c r="C1498">
        <v>0.12</v>
      </c>
      <c r="D1498" t="s">
        <v>2228</v>
      </c>
      <c r="E1498" t="s">
        <v>11</v>
      </c>
      <c r="G1498" t="s">
        <v>74</v>
      </c>
      <c r="H1498" t="s">
        <v>14</v>
      </c>
    </row>
    <row r="1499" spans="1:8" hidden="1" x14ac:dyDescent="0.25">
      <c r="A1499" t="s">
        <v>2229</v>
      </c>
      <c r="B1499" s="1" t="str">
        <f>HYPERLINK("https://asmlis.vasa.lt/Dashboard/Served?ServiceDateFrom=2025-11-24&amp;ServiceDateTo=2025-11-24&amp;DumpsterInvNr=13-L-425380", "13-L-425380")</f>
        <v>13-L-425380</v>
      </c>
      <c r="C1499">
        <v>1.1000000000000001</v>
      </c>
      <c r="D1499" t="s">
        <v>2220</v>
      </c>
      <c r="E1499" t="s">
        <v>11</v>
      </c>
      <c r="G1499" t="s">
        <v>74</v>
      </c>
      <c r="H1499" t="s">
        <v>14</v>
      </c>
    </row>
    <row r="1500" spans="1:8" hidden="1" x14ac:dyDescent="0.25">
      <c r="A1500" t="s">
        <v>2230</v>
      </c>
      <c r="B1500" s="1" t="str">
        <f>HYPERLINK("https://asmlis.vasa.lt/Dashboard/Served?ServiceDateFrom=2025-11-24&amp;ServiceDateTo=2025-11-24&amp;DumpsterInvNr=13-P-405443", "13-P-405443")</f>
        <v>13-P-405443</v>
      </c>
      <c r="C1500">
        <v>5</v>
      </c>
      <c r="D1500" t="s">
        <v>2231</v>
      </c>
      <c r="E1500" t="s">
        <v>11</v>
      </c>
      <c r="F1500" t="s">
        <v>13</v>
      </c>
      <c r="G1500" t="s">
        <v>264</v>
      </c>
      <c r="H1500" t="s">
        <v>14</v>
      </c>
    </row>
    <row r="1501" spans="1:8" hidden="1" x14ac:dyDescent="0.25">
      <c r="A1501" t="s">
        <v>2232</v>
      </c>
      <c r="B1501" s="1" t="str">
        <f>HYPERLINK("https://asmlis.vasa.lt/Dashboard/Served?ServiceDateFrom=2025-11-24&amp;ServiceDateTo=2025-11-24&amp;DumpsterInvNr=13-L-404970", "13-L-404970")</f>
        <v>13-L-404970</v>
      </c>
      <c r="C1501">
        <v>0.24</v>
      </c>
      <c r="D1501" t="s">
        <v>2233</v>
      </c>
      <c r="E1501" t="s">
        <v>11</v>
      </c>
      <c r="F1501" t="s">
        <v>1209</v>
      </c>
      <c r="G1501" t="s">
        <v>74</v>
      </c>
      <c r="H1501" t="s">
        <v>14</v>
      </c>
    </row>
    <row r="1502" spans="1:8" hidden="1" x14ac:dyDescent="0.25">
      <c r="A1502" t="s">
        <v>2234</v>
      </c>
      <c r="B1502" s="1" t="str">
        <f>HYPERLINK("https://asmlis.vasa.lt/Dashboard/Served?ServiceDateFrom=2025-11-24&amp;ServiceDateTo=2025-11-24&amp;DumpsterInvNr=13-L-221066", "13-L-221066")</f>
        <v>13-L-221066</v>
      </c>
      <c r="C1502">
        <v>5</v>
      </c>
      <c r="D1502" t="s">
        <v>1832</v>
      </c>
      <c r="E1502" t="s">
        <v>11</v>
      </c>
      <c r="G1502" t="s">
        <v>936</v>
      </c>
      <c r="H1502" t="s">
        <v>938</v>
      </c>
    </row>
    <row r="1503" spans="1:8" hidden="1" x14ac:dyDescent="0.25">
      <c r="A1503" t="s">
        <v>2236</v>
      </c>
      <c r="B1503" s="1" t="str">
        <f>HYPERLINK("https://asmlis.vasa.lt/Dashboard/Served?ServiceDateFrom=2025-11-24&amp;ServiceDateTo=2025-11-24&amp;DumpsterInvNr=13-P-102397", "13-P-102397")</f>
        <v>13-P-102397</v>
      </c>
      <c r="C1503">
        <v>5</v>
      </c>
      <c r="D1503" t="s">
        <v>2237</v>
      </c>
      <c r="E1503" t="s">
        <v>11</v>
      </c>
      <c r="F1503" t="s">
        <v>13</v>
      </c>
      <c r="G1503" t="s">
        <v>1917</v>
      </c>
      <c r="H1503" t="s">
        <v>432</v>
      </c>
    </row>
    <row r="1504" spans="1:8" hidden="1" x14ac:dyDescent="0.25">
      <c r="A1504" t="s">
        <v>2239</v>
      </c>
      <c r="B1504" s="1" t="str">
        <f>HYPERLINK("https://asmlis.vasa.lt/Dashboard/Served?ServiceDateFrom=2025-11-24&amp;ServiceDateTo=2025-11-24&amp;DumpsterInvNr=13-L-404324", "13-L-404324")</f>
        <v>13-L-404324</v>
      </c>
      <c r="C1504">
        <v>5</v>
      </c>
      <c r="D1504" t="s">
        <v>2240</v>
      </c>
      <c r="E1504" t="s">
        <v>11</v>
      </c>
      <c r="G1504" t="s">
        <v>74</v>
      </c>
      <c r="H1504" t="s">
        <v>14</v>
      </c>
    </row>
    <row r="1505" spans="1:10" hidden="1" x14ac:dyDescent="0.25">
      <c r="A1505" t="s">
        <v>2239</v>
      </c>
      <c r="B1505" s="1" t="str">
        <f>HYPERLINK("https://asmlis.vasa.lt/Dashboard/Served?ServiceDateFrom=2025-11-24&amp;ServiceDateTo=2025-11-24&amp;DumpsterInvNr=13-L-421573", "13-L-421573")</f>
        <v>13-L-421573</v>
      </c>
      <c r="C1505">
        <v>5</v>
      </c>
      <c r="D1505" t="s">
        <v>1430</v>
      </c>
      <c r="E1505" t="s">
        <v>11</v>
      </c>
      <c r="F1505" t="s">
        <v>13</v>
      </c>
      <c r="G1505" t="s">
        <v>74</v>
      </c>
      <c r="H1505" t="s">
        <v>14</v>
      </c>
    </row>
    <row r="1506" spans="1:10" hidden="1" x14ac:dyDescent="0.25">
      <c r="A1506" t="s">
        <v>2241</v>
      </c>
      <c r="B1506" s="1" t="str">
        <f>HYPERLINK("https://asmlis.vasa.lt/Dashboard/Served?ServiceDateFrom=2025-11-24&amp;ServiceDateTo=2025-11-24&amp;DumpsterInvNr=13-L-316221", "13-L-316221")</f>
        <v>13-L-316221</v>
      </c>
      <c r="C1506">
        <v>1.1000000000000001</v>
      </c>
      <c r="D1506" t="s">
        <v>2242</v>
      </c>
      <c r="E1506" t="s">
        <v>11</v>
      </c>
      <c r="G1506" t="s">
        <v>9</v>
      </c>
      <c r="H1506" t="s">
        <v>14</v>
      </c>
    </row>
    <row r="1507" spans="1:10" x14ac:dyDescent="0.25">
      <c r="A1507" t="s">
        <v>2243</v>
      </c>
      <c r="B1507" s="1" t="str">
        <f>HYPERLINK("https://asmlis.vasa.lt/Dashboard/Served?ServiceDateFrom=2025-11-24&amp;ServiceDateTo=2025-11-24&amp;DumpsterInvNr=13-L-315871", "13-L-315871")</f>
        <v>13-L-315871</v>
      </c>
      <c r="C1507">
        <v>0.77</v>
      </c>
      <c r="D1507" t="s">
        <v>2244</v>
      </c>
      <c r="E1507" t="s">
        <v>11</v>
      </c>
      <c r="F1507" t="s">
        <v>1215</v>
      </c>
      <c r="G1507" t="s">
        <v>9</v>
      </c>
      <c r="H1507" t="s">
        <v>14</v>
      </c>
      <c r="J1507" t="s">
        <v>17511</v>
      </c>
    </row>
    <row r="1508" spans="1:10" hidden="1" x14ac:dyDescent="0.25">
      <c r="A1508" t="s">
        <v>2245</v>
      </c>
      <c r="B1508" s="1" t="str">
        <f>HYPERLINK("https://asmlis.vasa.lt/Dashboard/Served?ServiceDateFrom=2025-11-24&amp;ServiceDateTo=2025-11-24&amp;DumpsterInvNr=13-L-316798", "13-L-316798")</f>
        <v>13-L-316798</v>
      </c>
      <c r="C1508">
        <v>1.1000000000000001</v>
      </c>
      <c r="D1508" t="s">
        <v>2246</v>
      </c>
      <c r="E1508" t="s">
        <v>11</v>
      </c>
      <c r="F1508" t="s">
        <v>13</v>
      </c>
      <c r="G1508" t="s">
        <v>9</v>
      </c>
      <c r="H1508" t="s">
        <v>14</v>
      </c>
    </row>
    <row r="1509" spans="1:10" hidden="1" x14ac:dyDescent="0.25">
      <c r="A1509" t="s">
        <v>2247</v>
      </c>
      <c r="B1509" s="1" t="str">
        <f>HYPERLINK("https://asmlis.vasa.lt/Dashboard/Served?ServiceDateFrom=2025-11-24&amp;ServiceDateTo=2025-11-24&amp;DumpsterInvNr=13-P-207625", "13-P-207625")</f>
        <v>13-P-207625</v>
      </c>
      <c r="C1509">
        <v>5</v>
      </c>
      <c r="D1509" t="s">
        <v>2248</v>
      </c>
      <c r="E1509" t="s">
        <v>11</v>
      </c>
      <c r="G1509" t="s">
        <v>234</v>
      </c>
      <c r="H1509" t="s">
        <v>14</v>
      </c>
    </row>
    <row r="1510" spans="1:10" hidden="1" x14ac:dyDescent="0.25">
      <c r="A1510" t="s">
        <v>2247</v>
      </c>
      <c r="B1510" s="1" t="str">
        <f>HYPERLINK("https://asmlis.vasa.lt/Dashboard/Served?ServiceDateFrom=2025-11-24&amp;ServiceDateTo=2025-11-24&amp;DumpsterInvNr=13-P-306728", "13-P-306728")</f>
        <v>13-P-306728</v>
      </c>
      <c r="C1510">
        <v>5</v>
      </c>
      <c r="D1510" t="s">
        <v>790</v>
      </c>
      <c r="E1510" t="s">
        <v>11</v>
      </c>
      <c r="F1510" t="s">
        <v>13</v>
      </c>
      <c r="G1510" t="s">
        <v>412</v>
      </c>
      <c r="H1510" t="s">
        <v>14</v>
      </c>
    </row>
    <row r="1511" spans="1:10" hidden="1" x14ac:dyDescent="0.25">
      <c r="A1511" t="s">
        <v>2249</v>
      </c>
      <c r="B1511" s="1" t="str">
        <f>HYPERLINK("https://asmlis.vasa.lt/Dashboard/Served?ServiceDateFrom=2025-11-24&amp;ServiceDateTo=2025-11-24&amp;DumpsterInvNr=13-P-500372", "13-P-500372")</f>
        <v>13-P-500372</v>
      </c>
      <c r="C1511">
        <v>3</v>
      </c>
      <c r="D1511" t="s">
        <v>1970</v>
      </c>
      <c r="E1511" t="s">
        <v>11</v>
      </c>
      <c r="F1511" t="s">
        <v>13</v>
      </c>
      <c r="G1511" t="s">
        <v>2178</v>
      </c>
      <c r="H1511" t="s">
        <v>432</v>
      </c>
    </row>
    <row r="1512" spans="1:10" x14ac:dyDescent="0.25">
      <c r="A1512" t="s">
        <v>2250</v>
      </c>
      <c r="B1512" s="1" t="str">
        <f>HYPERLINK("https://asmlis.vasa.lt/Dashboard/Served?ServiceDateFrom=2025-11-24&amp;ServiceDateTo=2025-11-24&amp;DumpsterInvNr=13-L-311866", "13-L-311866")</f>
        <v>13-L-311866</v>
      </c>
      <c r="C1512">
        <v>0.77</v>
      </c>
      <c r="D1512" t="s">
        <v>2244</v>
      </c>
      <c r="E1512" t="s">
        <v>11</v>
      </c>
      <c r="F1512" t="s">
        <v>1215</v>
      </c>
      <c r="G1512" t="s">
        <v>9</v>
      </c>
      <c r="H1512" t="s">
        <v>14</v>
      </c>
      <c r="J1512" t="s">
        <v>17511</v>
      </c>
    </row>
    <row r="1513" spans="1:10" hidden="1" x14ac:dyDescent="0.25">
      <c r="A1513" t="s">
        <v>2252</v>
      </c>
      <c r="B1513" s="1" t="str">
        <f>HYPERLINK("https://asmlis.vasa.lt/Dashboard/Served?ServiceDateFrom=2025-11-24&amp;ServiceDateTo=2025-11-24&amp;DumpsterInvNr=13-L-319699", "13-L-319699")</f>
        <v>13-L-319699</v>
      </c>
      <c r="C1513">
        <v>0.77</v>
      </c>
      <c r="D1513" t="s">
        <v>2253</v>
      </c>
      <c r="E1513" t="s">
        <v>11</v>
      </c>
      <c r="F1513" t="s">
        <v>712</v>
      </c>
      <c r="G1513" t="s">
        <v>9</v>
      </c>
      <c r="H1513" t="s">
        <v>14</v>
      </c>
    </row>
    <row r="1514" spans="1:10" hidden="1" x14ac:dyDescent="0.25">
      <c r="A1514" t="s">
        <v>2251</v>
      </c>
      <c r="B1514" s="1" t="str">
        <f>HYPERLINK("https://asmlis.vasa.lt/Dashboard/Served?ServiceDateFrom=2025-11-24&amp;ServiceDateTo=2025-11-24&amp;DumpsterInvNr=13-L-404974", "13-L-404974")</f>
        <v>13-L-404974</v>
      </c>
      <c r="C1514">
        <v>0.24</v>
      </c>
      <c r="D1514" t="s">
        <v>2254</v>
      </c>
      <c r="E1514" t="s">
        <v>11</v>
      </c>
      <c r="G1514" t="s">
        <v>74</v>
      </c>
      <c r="H1514" t="s">
        <v>14</v>
      </c>
    </row>
    <row r="1515" spans="1:10" hidden="1" x14ac:dyDescent="0.25">
      <c r="A1515" t="s">
        <v>2251</v>
      </c>
      <c r="B1515" s="1" t="str">
        <f>HYPERLINK("https://asmlis.vasa.lt/Dashboard/Served?ServiceDateFrom=2025-11-24&amp;ServiceDateTo=2025-11-24&amp;DumpsterInvNr=13-L-404976", "13-L-404976")</f>
        <v>13-L-404976</v>
      </c>
      <c r="C1515">
        <v>0.12</v>
      </c>
      <c r="D1515" t="s">
        <v>2255</v>
      </c>
      <c r="E1515" t="s">
        <v>11</v>
      </c>
      <c r="G1515" t="s">
        <v>74</v>
      </c>
      <c r="H1515" t="s">
        <v>14</v>
      </c>
    </row>
    <row r="1516" spans="1:10" hidden="1" x14ac:dyDescent="0.25">
      <c r="A1516" t="s">
        <v>2256</v>
      </c>
      <c r="B1516" s="1" t="str">
        <f>HYPERLINK("https://asmlis.vasa.lt/Dashboard/Served?ServiceDateFrom=2025-11-24&amp;ServiceDateTo=2025-11-24&amp;DumpsterInvNr=13-L-134239", "13-L-134239")</f>
        <v>13-L-134239</v>
      </c>
      <c r="C1516">
        <v>5</v>
      </c>
      <c r="D1516" t="s">
        <v>2257</v>
      </c>
      <c r="E1516" t="s">
        <v>11</v>
      </c>
      <c r="F1516" t="s">
        <v>13</v>
      </c>
      <c r="G1516" t="s">
        <v>1912</v>
      </c>
      <c r="H1516" t="s">
        <v>432</v>
      </c>
    </row>
    <row r="1517" spans="1:10" hidden="1" x14ac:dyDescent="0.25">
      <c r="A1517" t="s">
        <v>2256</v>
      </c>
      <c r="B1517" s="1" t="str">
        <f>HYPERLINK("https://asmlis.vasa.lt/Dashboard/Served?ServiceDateFrom=2025-11-24&amp;ServiceDateTo=2025-11-24&amp;DumpsterInvNr=13-L-404977", "13-L-404977")</f>
        <v>13-L-404977</v>
      </c>
      <c r="C1517">
        <v>0.24</v>
      </c>
      <c r="D1517" t="s">
        <v>2258</v>
      </c>
      <c r="E1517" t="s">
        <v>11</v>
      </c>
      <c r="F1517" t="s">
        <v>1209</v>
      </c>
      <c r="G1517" t="s">
        <v>74</v>
      </c>
      <c r="H1517" t="s">
        <v>14</v>
      </c>
    </row>
    <row r="1518" spans="1:10" hidden="1" x14ac:dyDescent="0.25">
      <c r="A1518" t="s">
        <v>2260</v>
      </c>
      <c r="B1518" s="1" t="str">
        <f>HYPERLINK("https://asmlis.vasa.lt/Dashboard/Served?ServiceDateFrom=2025-11-24&amp;ServiceDateTo=2025-11-24&amp;DumpsterInvNr=13-L-308539", "13-L-308539")</f>
        <v>13-L-308539</v>
      </c>
      <c r="C1518">
        <v>1.1000000000000001</v>
      </c>
      <c r="D1518" t="s">
        <v>2242</v>
      </c>
      <c r="E1518" t="s">
        <v>11</v>
      </c>
      <c r="G1518" t="s">
        <v>9</v>
      </c>
      <c r="H1518" t="s">
        <v>14</v>
      </c>
    </row>
    <row r="1519" spans="1:10" hidden="1" x14ac:dyDescent="0.25">
      <c r="A1519" t="s">
        <v>2261</v>
      </c>
      <c r="B1519" s="1" t="str">
        <f>HYPERLINK("https://asmlis.vasa.lt/Dashboard/Served?ServiceDateFrom=2025-11-24&amp;ServiceDateTo=2025-11-24&amp;DumpsterInvNr=13-P-408784", "13-P-408784")</f>
        <v>13-P-408784</v>
      </c>
      <c r="C1519">
        <v>1.1000000000000001</v>
      </c>
      <c r="D1519" t="s">
        <v>2262</v>
      </c>
      <c r="E1519" t="s">
        <v>11</v>
      </c>
      <c r="G1519" t="s">
        <v>264</v>
      </c>
      <c r="H1519" t="s">
        <v>14</v>
      </c>
    </row>
    <row r="1520" spans="1:10" x14ac:dyDescent="0.25">
      <c r="A1520" t="s">
        <v>2263</v>
      </c>
      <c r="B1520" s="1" t="str">
        <f>HYPERLINK("https://asmlis.vasa.lt/Dashboard/Served?ServiceDateFrom=2025-11-24&amp;ServiceDateTo=2025-11-24&amp;DumpsterInvNr=13-L-303112", "13-L-303112")</f>
        <v>13-L-303112</v>
      </c>
      <c r="C1520">
        <v>0.66</v>
      </c>
      <c r="D1520" t="s">
        <v>2244</v>
      </c>
      <c r="E1520" t="s">
        <v>11</v>
      </c>
      <c r="F1520" t="s">
        <v>1215</v>
      </c>
      <c r="G1520" t="s">
        <v>9</v>
      </c>
      <c r="H1520" t="s">
        <v>14</v>
      </c>
      <c r="J1520" t="s">
        <v>17511</v>
      </c>
    </row>
    <row r="1521" spans="1:8" hidden="1" x14ac:dyDescent="0.25">
      <c r="A1521" t="s">
        <v>2264</v>
      </c>
      <c r="B1521" s="1" t="str">
        <f>HYPERLINK("https://asmlis.vasa.lt/Dashboard/Served?ServiceDateFrom=2025-11-24&amp;ServiceDateTo=2025-11-24&amp;DumpsterInvNr=13-L-227630", "13-L-227630")</f>
        <v>13-L-227630</v>
      </c>
      <c r="C1521">
        <v>1.1000000000000001</v>
      </c>
      <c r="D1521" t="s">
        <v>1968</v>
      </c>
      <c r="E1521" t="s">
        <v>11</v>
      </c>
      <c r="G1521" t="s">
        <v>936</v>
      </c>
      <c r="H1521" t="s">
        <v>938</v>
      </c>
    </row>
    <row r="1522" spans="1:8" hidden="1" x14ac:dyDescent="0.25">
      <c r="A1522" t="s">
        <v>2264</v>
      </c>
      <c r="B1522" s="1" t="str">
        <f>HYPERLINK("https://asmlis.vasa.lt/Dashboard/Served?ServiceDateFrom=2025-11-24&amp;ServiceDateTo=2025-11-24&amp;DumpsterInvNr=13-P-114669", "13-P-114669")</f>
        <v>13-P-114669</v>
      </c>
      <c r="C1522">
        <v>0.24</v>
      </c>
      <c r="D1522" t="s">
        <v>2265</v>
      </c>
      <c r="E1522" t="s">
        <v>11</v>
      </c>
      <c r="G1522" t="s">
        <v>1917</v>
      </c>
      <c r="H1522" t="s">
        <v>432</v>
      </c>
    </row>
    <row r="1523" spans="1:8" hidden="1" x14ac:dyDescent="0.25">
      <c r="A1523" t="s">
        <v>2266</v>
      </c>
      <c r="B1523" s="1" t="str">
        <f>HYPERLINK("https://asmlis.vasa.lt/Dashboard/Served?ServiceDateFrom=2025-11-24&amp;ServiceDateTo=2025-11-24&amp;DumpsterInvNr=13-L-316705", "13-L-316705")</f>
        <v>13-L-316705</v>
      </c>
      <c r="C1523">
        <v>1.1000000000000001</v>
      </c>
      <c r="D1523" t="s">
        <v>2246</v>
      </c>
      <c r="E1523" t="s">
        <v>11</v>
      </c>
      <c r="F1523" t="s">
        <v>13</v>
      </c>
      <c r="G1523" t="s">
        <v>9</v>
      </c>
      <c r="H1523" t="s">
        <v>14</v>
      </c>
    </row>
    <row r="1524" spans="1:8" hidden="1" x14ac:dyDescent="0.25">
      <c r="A1524" t="s">
        <v>1524</v>
      </c>
      <c r="B1524" s="1" t="str">
        <f>HYPERLINK("https://asmlis.vasa.lt/Dashboard/Served?ServiceDateFrom=2025-11-24&amp;ServiceDateTo=2025-11-24&amp;DumpsterInvNr=13-T-000186", "13-T-000186")</f>
        <v>13-T-000186</v>
      </c>
      <c r="C1524">
        <v>2.5</v>
      </c>
      <c r="D1524" t="s">
        <v>2267</v>
      </c>
      <c r="E1524" t="s">
        <v>11</v>
      </c>
      <c r="F1524" t="s">
        <v>13</v>
      </c>
      <c r="G1524" t="s">
        <v>1899</v>
      </c>
      <c r="H1524" t="s">
        <v>432</v>
      </c>
    </row>
    <row r="1525" spans="1:8" hidden="1" x14ac:dyDescent="0.25">
      <c r="A1525" t="s">
        <v>2268</v>
      </c>
      <c r="B1525" s="1" t="str">
        <f>HYPERLINK("https://asmlis.vasa.lt/Dashboard/Served?ServiceDateFrom=2025-11-24&amp;ServiceDateTo=2025-11-24&amp;DumpsterInvNr=13-L-120393", "13-L-120393")</f>
        <v>13-L-120393</v>
      </c>
      <c r="C1525">
        <v>0.24</v>
      </c>
      <c r="D1525" t="s">
        <v>2265</v>
      </c>
      <c r="E1525" t="s">
        <v>11</v>
      </c>
      <c r="G1525" t="s">
        <v>1912</v>
      </c>
      <c r="H1525" t="s">
        <v>432</v>
      </c>
    </row>
    <row r="1526" spans="1:8" hidden="1" x14ac:dyDescent="0.25">
      <c r="A1526" t="s">
        <v>2268</v>
      </c>
      <c r="B1526" s="1" t="str">
        <f>HYPERLINK("https://asmlis.vasa.lt/Dashboard/Served?ServiceDateFrom=2025-11-24&amp;ServiceDateTo=2025-11-24&amp;DumpsterInvNr=13-P-115533", "13-P-115533")</f>
        <v>13-P-115533</v>
      </c>
      <c r="C1526">
        <v>0.24</v>
      </c>
      <c r="D1526" t="s">
        <v>2269</v>
      </c>
      <c r="E1526" t="s">
        <v>11</v>
      </c>
      <c r="G1526" t="s">
        <v>1917</v>
      </c>
      <c r="H1526" t="s">
        <v>432</v>
      </c>
    </row>
    <row r="1527" spans="1:8" hidden="1" x14ac:dyDescent="0.25">
      <c r="A1527" t="s">
        <v>2270</v>
      </c>
      <c r="B1527" s="1" t="str">
        <f>HYPERLINK("https://asmlis.vasa.lt/Dashboard/Served?ServiceDateFrom=2025-11-24&amp;ServiceDateTo=2025-11-24&amp;DumpsterInvNr=13-T-000396", "13-T-000396")</f>
        <v>13-T-000396</v>
      </c>
      <c r="C1527">
        <v>2.5</v>
      </c>
      <c r="D1527" t="s">
        <v>2267</v>
      </c>
      <c r="E1527" t="s">
        <v>11</v>
      </c>
      <c r="F1527" t="s">
        <v>13</v>
      </c>
      <c r="G1527" t="s">
        <v>1899</v>
      </c>
      <c r="H1527" t="s">
        <v>432</v>
      </c>
    </row>
    <row r="1528" spans="1:8" hidden="1" x14ac:dyDescent="0.25">
      <c r="A1528" t="s">
        <v>2271</v>
      </c>
      <c r="B1528" s="1" t="str">
        <f>HYPERLINK("https://asmlis.vasa.lt/Dashboard/Served?ServiceDateFrom=2025-11-24&amp;ServiceDateTo=2025-11-24&amp;DumpsterInvNr=13-P-300751", "13-P-300751")</f>
        <v>13-P-300751</v>
      </c>
      <c r="C1528">
        <v>1.1000000000000001</v>
      </c>
      <c r="D1528" t="s">
        <v>2272</v>
      </c>
      <c r="E1528" t="s">
        <v>11</v>
      </c>
      <c r="G1528" t="s">
        <v>412</v>
      </c>
      <c r="H1528" t="s">
        <v>14</v>
      </c>
    </row>
    <row r="1529" spans="1:8" hidden="1" x14ac:dyDescent="0.25">
      <c r="A1529" t="s">
        <v>2273</v>
      </c>
      <c r="B1529" s="1" t="str">
        <f>HYPERLINK("https://asmlis.vasa.lt/Dashboard/Served?ServiceDateFrom=2025-11-24&amp;ServiceDateTo=2025-11-24&amp;DumpsterInvNr=13-L-417931", "13-L-417931")</f>
        <v>13-L-417931</v>
      </c>
      <c r="C1529">
        <v>0.24</v>
      </c>
      <c r="D1529" t="s">
        <v>2274</v>
      </c>
      <c r="E1529" t="s">
        <v>11</v>
      </c>
      <c r="G1529" t="s">
        <v>74</v>
      </c>
      <c r="H1529" t="s">
        <v>14</v>
      </c>
    </row>
    <row r="1530" spans="1:8" hidden="1" x14ac:dyDescent="0.25">
      <c r="A1530" t="s">
        <v>2275</v>
      </c>
      <c r="B1530" s="1" t="str">
        <f>HYPERLINK("https://asmlis.vasa.lt/Dashboard/Served?ServiceDateFrom=2025-11-24&amp;ServiceDateTo=2025-11-24&amp;DumpsterInvNr=13-P-300333", "13-P-300333")</f>
        <v>13-P-300333</v>
      </c>
      <c r="C1530">
        <v>1.1000000000000001</v>
      </c>
      <c r="D1530" t="s">
        <v>2272</v>
      </c>
      <c r="E1530" t="s">
        <v>11</v>
      </c>
      <c r="G1530" t="s">
        <v>412</v>
      </c>
      <c r="H1530" t="s">
        <v>14</v>
      </c>
    </row>
    <row r="1531" spans="1:8" hidden="1" x14ac:dyDescent="0.25">
      <c r="A1531" t="s">
        <v>2275</v>
      </c>
      <c r="B1531" s="1" t="str">
        <f>HYPERLINK("https://asmlis.vasa.lt/Dashboard/Served?ServiceDateFrom=2025-11-24&amp;ServiceDateTo=2025-11-24&amp;DumpsterInvNr=13-L-148005", "13-L-148005")</f>
        <v>13-L-148005</v>
      </c>
      <c r="C1531">
        <v>0.24</v>
      </c>
      <c r="D1531" t="s">
        <v>2269</v>
      </c>
      <c r="E1531" t="s">
        <v>11</v>
      </c>
      <c r="F1531" t="s">
        <v>1209</v>
      </c>
      <c r="G1531" t="s">
        <v>1912</v>
      </c>
      <c r="H1531" t="s">
        <v>432</v>
      </c>
    </row>
    <row r="1532" spans="1:8" hidden="1" x14ac:dyDescent="0.25">
      <c r="A1532" t="s">
        <v>2276</v>
      </c>
      <c r="B1532" s="1" t="str">
        <f>HYPERLINK("https://asmlis.vasa.lt/Dashboard/Served?ServiceDateFrom=2025-11-24&amp;ServiceDateTo=2025-11-24&amp;DumpsterInvNr=13-L-414975", "13-L-414975")</f>
        <v>13-L-414975</v>
      </c>
      <c r="C1532">
        <v>0.24</v>
      </c>
      <c r="D1532" t="s">
        <v>2277</v>
      </c>
      <c r="E1532" t="s">
        <v>11</v>
      </c>
      <c r="F1532" t="s">
        <v>1209</v>
      </c>
      <c r="G1532" t="s">
        <v>74</v>
      </c>
      <c r="H1532" t="s">
        <v>14</v>
      </c>
    </row>
    <row r="1533" spans="1:8" hidden="1" x14ac:dyDescent="0.25">
      <c r="A1533" t="s">
        <v>2278</v>
      </c>
      <c r="B1533" s="1" t="str">
        <f>HYPERLINK("https://asmlis.vasa.lt/Dashboard/Served?ServiceDateFrom=2025-11-24&amp;ServiceDateTo=2025-11-24&amp;DumpsterInvNr=13-L-216018", "13-L-216018")</f>
        <v>13-L-216018</v>
      </c>
      <c r="C1533">
        <v>1.1000000000000001</v>
      </c>
      <c r="D1533" t="s">
        <v>1968</v>
      </c>
      <c r="E1533" t="s">
        <v>11</v>
      </c>
      <c r="G1533" t="s">
        <v>936</v>
      </c>
      <c r="H1533" t="s">
        <v>938</v>
      </c>
    </row>
    <row r="1534" spans="1:8" hidden="1" x14ac:dyDescent="0.25">
      <c r="A1534" t="s">
        <v>2279</v>
      </c>
      <c r="B1534" s="1" t="str">
        <f>HYPERLINK("https://asmlis.vasa.lt/Dashboard/Served?ServiceDateFrom=2025-11-24&amp;ServiceDateTo=2025-11-24&amp;DumpsterInvNr=13-P-301861", "13-P-301861")</f>
        <v>13-P-301861</v>
      </c>
      <c r="C1534">
        <v>1.1000000000000001</v>
      </c>
      <c r="D1534" t="s">
        <v>2272</v>
      </c>
      <c r="E1534" t="s">
        <v>11</v>
      </c>
      <c r="F1534" t="s">
        <v>13</v>
      </c>
      <c r="G1534" t="s">
        <v>412</v>
      </c>
      <c r="H1534" t="s">
        <v>14</v>
      </c>
    </row>
    <row r="1535" spans="1:8" hidden="1" x14ac:dyDescent="0.25">
      <c r="A1535" t="s">
        <v>2280</v>
      </c>
      <c r="B1535" s="1" t="str">
        <f>HYPERLINK("https://asmlis.vasa.lt/Dashboard/Served?ServiceDateFrom=2025-11-24&amp;ServiceDateTo=2025-11-24&amp;DumpsterInvNr=13-P-302072", "13-P-302072")</f>
        <v>13-P-302072</v>
      </c>
      <c r="C1535">
        <v>1.1000000000000001</v>
      </c>
      <c r="D1535" t="s">
        <v>2272</v>
      </c>
      <c r="E1535" t="s">
        <v>11</v>
      </c>
      <c r="F1535" t="s">
        <v>13</v>
      </c>
      <c r="G1535" t="s">
        <v>412</v>
      </c>
      <c r="H1535" t="s">
        <v>14</v>
      </c>
    </row>
    <row r="1536" spans="1:8" hidden="1" x14ac:dyDescent="0.25">
      <c r="A1536" t="s">
        <v>2281</v>
      </c>
      <c r="B1536" s="1" t="str">
        <f>HYPERLINK("https://asmlis.vasa.lt/Dashboard/Served?ServiceDateFrom=2025-11-24&amp;ServiceDateTo=2025-11-24&amp;DumpsterInvNr=13-P-302388", "13-P-302388")</f>
        <v>13-P-302388</v>
      </c>
      <c r="C1536">
        <v>2.5</v>
      </c>
      <c r="D1536" t="s">
        <v>1268</v>
      </c>
      <c r="E1536" t="s">
        <v>11</v>
      </c>
      <c r="G1536" t="s">
        <v>412</v>
      </c>
      <c r="H1536" t="s">
        <v>14</v>
      </c>
    </row>
    <row r="1537" spans="1:8" hidden="1" x14ac:dyDescent="0.25">
      <c r="A1537" t="s">
        <v>2282</v>
      </c>
      <c r="B1537" s="1" t="str">
        <f>HYPERLINK("https://asmlis.vasa.lt/Dashboard/Served?ServiceDateFrom=2025-11-24&amp;ServiceDateTo=2025-11-24&amp;DumpsterInvNr=13-L-137801", "13-L-137801")</f>
        <v>13-L-137801</v>
      </c>
      <c r="C1537">
        <v>5</v>
      </c>
      <c r="D1537" t="s">
        <v>2283</v>
      </c>
      <c r="E1537" t="s">
        <v>11</v>
      </c>
      <c r="F1537" t="s">
        <v>13</v>
      </c>
      <c r="G1537" t="s">
        <v>430</v>
      </c>
      <c r="H1537" t="s">
        <v>432</v>
      </c>
    </row>
    <row r="1538" spans="1:8" hidden="1" x14ac:dyDescent="0.25">
      <c r="A1538" t="s">
        <v>2284</v>
      </c>
      <c r="B1538" s="1" t="str">
        <f>HYPERLINK("https://asmlis.vasa.lt/Dashboard/Served?ServiceDateFrom=2025-11-24&amp;ServiceDateTo=2025-11-24&amp;DumpsterInvNr=13-P-500371", "13-P-500371")</f>
        <v>13-P-500371</v>
      </c>
      <c r="C1538">
        <v>5</v>
      </c>
      <c r="D1538" t="s">
        <v>1970</v>
      </c>
      <c r="E1538" t="s">
        <v>11</v>
      </c>
      <c r="F1538" t="s">
        <v>13</v>
      </c>
      <c r="G1538" t="s">
        <v>2178</v>
      </c>
      <c r="H1538" t="s">
        <v>432</v>
      </c>
    </row>
    <row r="1539" spans="1:8" hidden="1" x14ac:dyDescent="0.25">
      <c r="A1539" t="s">
        <v>2285</v>
      </c>
      <c r="B1539" s="1" t="str">
        <f>HYPERLINK("https://asmlis.vasa.lt/Dashboard/Served?ServiceDateFrom=2025-11-24&amp;ServiceDateTo=2025-11-24&amp;DumpsterInvNr=13-L-307564", "13-L-307564")</f>
        <v>13-L-307564</v>
      </c>
      <c r="C1539">
        <v>1.1000000000000001</v>
      </c>
      <c r="D1539" t="s">
        <v>2286</v>
      </c>
      <c r="E1539" t="s">
        <v>12</v>
      </c>
      <c r="G1539" t="s">
        <v>9</v>
      </c>
      <c r="H1539" t="s">
        <v>14</v>
      </c>
    </row>
    <row r="1540" spans="1:8" hidden="1" x14ac:dyDescent="0.25">
      <c r="A1540" t="s">
        <v>2287</v>
      </c>
      <c r="B1540" s="1" t="str">
        <f>HYPERLINK("https://asmlis.vasa.lt/Dashboard/Served?ServiceDateFrom=2025-11-24&amp;ServiceDateTo=2025-11-24&amp;DumpsterInvNr=13-L-404679", "13-L-404679")</f>
        <v>13-L-404679</v>
      </c>
      <c r="C1540">
        <v>0.24</v>
      </c>
      <c r="D1540" t="s">
        <v>2288</v>
      </c>
      <c r="E1540" t="s">
        <v>11</v>
      </c>
      <c r="G1540" t="s">
        <v>74</v>
      </c>
      <c r="H1540" t="s">
        <v>14</v>
      </c>
    </row>
    <row r="1541" spans="1:8" hidden="1" x14ac:dyDescent="0.25">
      <c r="A1541" t="s">
        <v>2289</v>
      </c>
      <c r="B1541" s="1" t="str">
        <f>HYPERLINK("https://asmlis.vasa.lt/Dashboard/Served?ServiceDateFrom=2025-11-24&amp;ServiceDateTo=2025-11-24&amp;DumpsterInvNr=13-L-314179", "13-L-314179")</f>
        <v>13-L-314179</v>
      </c>
      <c r="C1541">
        <v>5</v>
      </c>
      <c r="D1541" t="s">
        <v>2290</v>
      </c>
      <c r="E1541" t="s">
        <v>11</v>
      </c>
      <c r="F1541" t="s">
        <v>13</v>
      </c>
      <c r="G1541" t="s">
        <v>9</v>
      </c>
      <c r="H1541" t="s">
        <v>14</v>
      </c>
    </row>
    <row r="1542" spans="1:8" hidden="1" x14ac:dyDescent="0.25">
      <c r="A1542" t="s">
        <v>2291</v>
      </c>
      <c r="B1542" s="1" t="str">
        <f>HYPERLINK("https://asmlis.vasa.lt/Dashboard/Served?ServiceDateFrom=2025-11-24&amp;ServiceDateTo=2025-11-24&amp;DumpsterInvNr=13-T-000283", "13-T-000283")</f>
        <v>13-T-000283</v>
      </c>
      <c r="C1542">
        <v>2.5</v>
      </c>
      <c r="D1542" t="s">
        <v>2292</v>
      </c>
      <c r="E1542" t="s">
        <v>11</v>
      </c>
      <c r="F1542" t="s">
        <v>13</v>
      </c>
      <c r="G1542" t="s">
        <v>1899</v>
      </c>
      <c r="H1542" t="s">
        <v>432</v>
      </c>
    </row>
    <row r="1543" spans="1:8" hidden="1" x14ac:dyDescent="0.25">
      <c r="A1543" t="s">
        <v>2293</v>
      </c>
      <c r="B1543" s="1" t="str">
        <f>HYPERLINK("https://asmlis.vasa.lt/Dashboard/Served?ServiceDateFrom=2025-11-24&amp;ServiceDateTo=2025-11-24&amp;DumpsterInvNr=13-P-302447", "13-P-302447")</f>
        <v>13-P-302447</v>
      </c>
      <c r="C1543">
        <v>2.5</v>
      </c>
      <c r="D1543" t="s">
        <v>1268</v>
      </c>
      <c r="E1543" t="s">
        <v>11</v>
      </c>
      <c r="F1543" t="s">
        <v>13</v>
      </c>
      <c r="G1543" t="s">
        <v>412</v>
      </c>
      <c r="H1543" t="s">
        <v>14</v>
      </c>
    </row>
    <row r="1544" spans="1:8" hidden="1" x14ac:dyDescent="0.25">
      <c r="A1544" t="s">
        <v>2294</v>
      </c>
      <c r="B1544" s="1" t="str">
        <f>HYPERLINK("https://asmlis.vasa.lt/Dashboard/Served?ServiceDateFrom=2025-11-24&amp;ServiceDateTo=2025-11-24&amp;DumpsterInvNr=13-P-401228", "13-P-401228")</f>
        <v>13-P-401228</v>
      </c>
      <c r="C1544">
        <v>5</v>
      </c>
      <c r="D1544" t="s">
        <v>2295</v>
      </c>
      <c r="E1544" t="s">
        <v>11</v>
      </c>
      <c r="F1544" t="s">
        <v>13</v>
      </c>
      <c r="G1544" t="s">
        <v>264</v>
      </c>
      <c r="H1544" t="s">
        <v>14</v>
      </c>
    </row>
    <row r="1545" spans="1:8" hidden="1" x14ac:dyDescent="0.25">
      <c r="A1545" t="s">
        <v>2294</v>
      </c>
      <c r="B1545" s="1" t="str">
        <f>HYPERLINK("https://asmlis.vasa.lt/Dashboard/Served?ServiceDateFrom=2025-11-24&amp;ServiceDateTo=2025-11-24&amp;DumpsterInvNr=13-L-110389", "13-L-110389")</f>
        <v>13-L-110389</v>
      </c>
      <c r="C1545">
        <v>1.1000000000000001</v>
      </c>
      <c r="D1545" t="s">
        <v>2296</v>
      </c>
      <c r="E1545" t="s">
        <v>11</v>
      </c>
      <c r="G1545" t="s">
        <v>430</v>
      </c>
      <c r="H1545" t="s">
        <v>432</v>
      </c>
    </row>
    <row r="1546" spans="1:8" hidden="1" x14ac:dyDescent="0.25">
      <c r="A1546" t="s">
        <v>2297</v>
      </c>
      <c r="B1546" s="1" t="str">
        <f>HYPERLINK("https://asmlis.vasa.lt/Dashboard/Served?ServiceDateFrom=2025-11-24&amp;ServiceDateTo=2025-11-24&amp;DumpsterInvNr=13-L-139736", "13-L-139736")</f>
        <v>13-L-139736</v>
      </c>
      <c r="C1546">
        <v>5</v>
      </c>
      <c r="D1546" t="s">
        <v>2298</v>
      </c>
      <c r="E1546" t="s">
        <v>11</v>
      </c>
      <c r="F1546" t="s">
        <v>13</v>
      </c>
      <c r="G1546" t="s">
        <v>1912</v>
      </c>
      <c r="H1546" t="s">
        <v>432</v>
      </c>
    </row>
    <row r="1547" spans="1:8" hidden="1" x14ac:dyDescent="0.25">
      <c r="A1547" t="s">
        <v>2297</v>
      </c>
      <c r="B1547" s="1" t="str">
        <f>HYPERLINK("https://asmlis.vasa.lt/Dashboard/Served?ServiceDateFrom=2025-11-24&amp;ServiceDateTo=2025-11-24&amp;DumpsterInvNr=13-L-424432", "13-L-424432")</f>
        <v>13-L-424432</v>
      </c>
      <c r="C1547">
        <v>5</v>
      </c>
      <c r="D1547" t="s">
        <v>2299</v>
      </c>
      <c r="E1547" t="s">
        <v>11</v>
      </c>
      <c r="F1547" t="s">
        <v>13</v>
      </c>
      <c r="G1547" t="s">
        <v>74</v>
      </c>
      <c r="H1547" t="s">
        <v>14</v>
      </c>
    </row>
    <row r="1548" spans="1:8" hidden="1" x14ac:dyDescent="0.25">
      <c r="A1548" t="s">
        <v>2300</v>
      </c>
      <c r="B1548" s="1" t="str">
        <f>HYPERLINK("https://asmlis.vasa.lt/Dashboard/Served?ServiceDateFrom=2025-11-24&amp;ServiceDateTo=2025-11-24&amp;DumpsterInvNr=13-L-139773", "13-L-139773")</f>
        <v>13-L-139773</v>
      </c>
      <c r="C1548">
        <v>5</v>
      </c>
      <c r="D1548" t="s">
        <v>2301</v>
      </c>
      <c r="E1548" t="s">
        <v>11</v>
      </c>
      <c r="F1548" t="s">
        <v>13</v>
      </c>
      <c r="G1548" t="s">
        <v>430</v>
      </c>
      <c r="H1548" t="s">
        <v>432</v>
      </c>
    </row>
    <row r="1549" spans="1:8" hidden="1" x14ac:dyDescent="0.25">
      <c r="A1549" t="s">
        <v>2303</v>
      </c>
      <c r="B1549" s="1" t="str">
        <f>HYPERLINK("https://asmlis.vasa.lt/Dashboard/Served?ServiceDateFrom=2025-11-24&amp;ServiceDateTo=2025-11-24&amp;DumpsterInvNr=13-L-133454", "13-L-133454")</f>
        <v>13-L-133454</v>
      </c>
      <c r="C1549">
        <v>5</v>
      </c>
      <c r="D1549" t="s">
        <v>2304</v>
      </c>
      <c r="E1549" t="s">
        <v>11</v>
      </c>
      <c r="F1549" t="s">
        <v>13</v>
      </c>
      <c r="G1549" t="s">
        <v>430</v>
      </c>
      <c r="H1549" t="s">
        <v>432</v>
      </c>
    </row>
    <row r="1550" spans="1:8" hidden="1" x14ac:dyDescent="0.25">
      <c r="A1550" t="s">
        <v>2303</v>
      </c>
      <c r="B1550" s="1" t="str">
        <f>HYPERLINK("https://asmlis.vasa.lt/Dashboard/Served?ServiceDateFrom=2025-11-24&amp;ServiceDateTo=2025-11-24&amp;DumpsterInvNr=13-L-227526", "13-L-227526")</f>
        <v>13-L-227526</v>
      </c>
      <c r="C1550">
        <v>1.1000000000000001</v>
      </c>
      <c r="D1550" t="s">
        <v>1968</v>
      </c>
      <c r="E1550" t="s">
        <v>11</v>
      </c>
      <c r="G1550" t="s">
        <v>936</v>
      </c>
      <c r="H1550" t="s">
        <v>938</v>
      </c>
    </row>
    <row r="1551" spans="1:8" hidden="1" x14ac:dyDescent="0.25">
      <c r="A1551" t="s">
        <v>2305</v>
      </c>
      <c r="B1551" s="1" t="str">
        <f>HYPERLINK("https://asmlis.vasa.lt/Dashboard/Served?ServiceDateFrom=2025-11-24&amp;ServiceDateTo=2025-11-24&amp;DumpsterInvNr=13-L-226400", "13-L-226400")</f>
        <v>13-L-226400</v>
      </c>
      <c r="C1551">
        <v>1.1000000000000001</v>
      </c>
      <c r="D1551" t="s">
        <v>2306</v>
      </c>
      <c r="E1551" t="s">
        <v>11</v>
      </c>
      <c r="G1551" t="s">
        <v>936</v>
      </c>
      <c r="H1551" t="s">
        <v>938</v>
      </c>
    </row>
    <row r="1552" spans="1:8" hidden="1" x14ac:dyDescent="0.25">
      <c r="A1552" t="s">
        <v>2307</v>
      </c>
      <c r="B1552" s="1" t="str">
        <f>HYPERLINK("https://asmlis.vasa.lt/Dashboard/Served?ServiceDateFrom=2025-11-24&amp;ServiceDateTo=2025-11-24&amp;DumpsterInvNr=13-L-133456", "13-L-133456")</f>
        <v>13-L-133456</v>
      </c>
      <c r="C1552">
        <v>5</v>
      </c>
      <c r="D1552" t="s">
        <v>2308</v>
      </c>
      <c r="E1552" t="s">
        <v>11</v>
      </c>
      <c r="F1552" t="s">
        <v>13</v>
      </c>
      <c r="G1552" t="s">
        <v>430</v>
      </c>
      <c r="H1552" t="s">
        <v>432</v>
      </c>
    </row>
    <row r="1553" spans="1:8" hidden="1" x14ac:dyDescent="0.25">
      <c r="A1553" t="s">
        <v>2309</v>
      </c>
      <c r="B1553" s="1" t="str">
        <f>HYPERLINK("https://asmlis.vasa.lt/Dashboard/Served?ServiceDateFrom=2025-11-24&amp;ServiceDateTo=2025-11-24&amp;DumpsterInvNr=13-L-225247", "13-L-225247")</f>
        <v>13-L-225247</v>
      </c>
      <c r="C1553">
        <v>1.1000000000000001</v>
      </c>
      <c r="D1553" t="s">
        <v>2310</v>
      </c>
      <c r="E1553" t="s">
        <v>11</v>
      </c>
      <c r="G1553" t="s">
        <v>936</v>
      </c>
      <c r="H1553" t="s">
        <v>938</v>
      </c>
    </row>
    <row r="1554" spans="1:8" hidden="1" x14ac:dyDescent="0.25">
      <c r="A1554" t="s">
        <v>2309</v>
      </c>
      <c r="B1554" s="1" t="str">
        <f>HYPERLINK("https://asmlis.vasa.lt/Dashboard/Served?ServiceDateFrom=2025-11-24&amp;ServiceDateTo=2025-11-24&amp;DumpsterInvNr=13-L-206403", "13-L-206403")</f>
        <v>13-L-206403</v>
      </c>
      <c r="C1554">
        <v>0.12</v>
      </c>
      <c r="D1554" t="s">
        <v>2311</v>
      </c>
      <c r="E1554" t="s">
        <v>11</v>
      </c>
      <c r="F1554" t="s">
        <v>13</v>
      </c>
      <c r="G1554" t="s">
        <v>936</v>
      </c>
      <c r="H1554" t="s">
        <v>938</v>
      </c>
    </row>
    <row r="1555" spans="1:8" hidden="1" x14ac:dyDescent="0.25">
      <c r="A1555" t="s">
        <v>2312</v>
      </c>
      <c r="B1555" s="1" t="str">
        <f>HYPERLINK("https://asmlis.vasa.lt/Dashboard/Served?ServiceDateFrom=2025-11-24&amp;ServiceDateTo=2025-11-24&amp;DumpsterInvNr=13-L-222232", "13-L-222232")</f>
        <v>13-L-222232</v>
      </c>
      <c r="C1555">
        <v>1.1000000000000001</v>
      </c>
      <c r="D1555" t="s">
        <v>1968</v>
      </c>
      <c r="E1555" t="s">
        <v>11</v>
      </c>
      <c r="F1555" t="s">
        <v>13</v>
      </c>
      <c r="G1555" t="s">
        <v>936</v>
      </c>
      <c r="H1555" t="s">
        <v>938</v>
      </c>
    </row>
    <row r="1556" spans="1:8" hidden="1" x14ac:dyDescent="0.25">
      <c r="A1556" t="s">
        <v>2313</v>
      </c>
      <c r="B1556" s="1" t="str">
        <f>HYPERLINK("https://asmlis.vasa.lt/Dashboard/Served?ServiceDateFrom=2025-11-24&amp;ServiceDateTo=2025-11-24&amp;DumpsterInvNr=13-L-212614", "13-L-212614")</f>
        <v>13-L-212614</v>
      </c>
      <c r="C1556">
        <v>1.1000000000000001</v>
      </c>
      <c r="D1556" t="s">
        <v>1968</v>
      </c>
      <c r="E1556" t="s">
        <v>11</v>
      </c>
      <c r="F1556" t="s">
        <v>13</v>
      </c>
      <c r="G1556" t="s">
        <v>936</v>
      </c>
      <c r="H1556" t="s">
        <v>938</v>
      </c>
    </row>
    <row r="1557" spans="1:8" hidden="1" x14ac:dyDescent="0.25">
      <c r="A1557" t="s">
        <v>2314</v>
      </c>
      <c r="B1557" s="1" t="str">
        <f>HYPERLINK("https://asmlis.vasa.lt/Dashboard/Served?ServiceDateFrom=2025-11-24&amp;ServiceDateTo=2025-11-24&amp;DumpsterInvNr=13-L-227418", "13-L-227418")</f>
        <v>13-L-227418</v>
      </c>
      <c r="C1557">
        <v>1.1000000000000001</v>
      </c>
      <c r="D1557" t="s">
        <v>2306</v>
      </c>
      <c r="E1557" t="s">
        <v>11</v>
      </c>
      <c r="G1557" t="s">
        <v>936</v>
      </c>
      <c r="H1557" t="s">
        <v>938</v>
      </c>
    </row>
    <row r="1558" spans="1:8" hidden="1" x14ac:dyDescent="0.25">
      <c r="A1558" t="s">
        <v>2259</v>
      </c>
      <c r="B1558" s="1" t="str">
        <f>HYPERLINK("https://asmlis.vasa.lt/Dashboard/Served?ServiceDateFrom=2025-11-24&amp;ServiceDateTo=2025-11-24&amp;DumpsterInvNr=13-L-307500", "13-L-307500")</f>
        <v>13-L-307500</v>
      </c>
      <c r="C1558">
        <v>1.1000000000000001</v>
      </c>
      <c r="D1558" t="s">
        <v>2315</v>
      </c>
      <c r="E1558" t="s">
        <v>11</v>
      </c>
      <c r="G1558" t="s">
        <v>9</v>
      </c>
      <c r="H1558" t="s">
        <v>14</v>
      </c>
    </row>
    <row r="1559" spans="1:8" hidden="1" x14ac:dyDescent="0.25">
      <c r="A1559" t="s">
        <v>2316</v>
      </c>
      <c r="B1559" s="1" t="str">
        <f>HYPERLINK("https://asmlis.vasa.lt/Dashboard/Served?ServiceDateFrom=2025-11-24&amp;ServiceDateTo=2025-11-24&amp;DumpsterInvNr=13-L-208444", "13-L-208444")</f>
        <v>13-L-208444</v>
      </c>
      <c r="C1559">
        <v>1.1000000000000001</v>
      </c>
      <c r="D1559" t="s">
        <v>2317</v>
      </c>
      <c r="E1559" t="s">
        <v>11</v>
      </c>
      <c r="F1559" t="s">
        <v>13</v>
      </c>
      <c r="G1559" t="s">
        <v>936</v>
      </c>
      <c r="H1559" t="s">
        <v>938</v>
      </c>
    </row>
    <row r="1560" spans="1:8" hidden="1" x14ac:dyDescent="0.25">
      <c r="A1560" t="s">
        <v>2318</v>
      </c>
      <c r="B1560" s="1" t="str">
        <f>HYPERLINK("https://asmlis.vasa.lt/Dashboard/Served?ServiceDateFrom=2025-11-24&amp;ServiceDateTo=2025-11-24&amp;DumpsterInvNr=13-L-414976", "13-L-414976")</f>
        <v>13-L-414976</v>
      </c>
      <c r="C1560">
        <v>0.12</v>
      </c>
      <c r="D1560" t="s">
        <v>2319</v>
      </c>
      <c r="E1560" t="s">
        <v>11</v>
      </c>
      <c r="F1560" t="s">
        <v>1209</v>
      </c>
      <c r="G1560" t="s">
        <v>74</v>
      </c>
      <c r="H1560" t="s">
        <v>14</v>
      </c>
    </row>
    <row r="1561" spans="1:8" hidden="1" x14ac:dyDescent="0.25">
      <c r="A1561" t="s">
        <v>2320</v>
      </c>
      <c r="B1561" s="1" t="str">
        <f>HYPERLINK("https://asmlis.vasa.lt/Dashboard/Served?ServiceDateFrom=2025-11-24&amp;ServiceDateTo=2025-11-24&amp;DumpsterInvNr=13-P-302307", "13-P-302307")</f>
        <v>13-P-302307</v>
      </c>
      <c r="C1561">
        <v>5</v>
      </c>
      <c r="D1561" t="s">
        <v>762</v>
      </c>
      <c r="E1561" t="s">
        <v>11</v>
      </c>
      <c r="F1561" t="s">
        <v>13</v>
      </c>
      <c r="G1561" t="s">
        <v>412</v>
      </c>
      <c r="H1561" t="s">
        <v>14</v>
      </c>
    </row>
    <row r="1562" spans="1:8" hidden="1" x14ac:dyDescent="0.25">
      <c r="A1562" t="s">
        <v>2235</v>
      </c>
      <c r="B1562" s="1" t="str">
        <f>HYPERLINK("https://asmlis.vasa.lt/Dashboard/Served?ServiceDateFrom=2025-11-24&amp;ServiceDateTo=2025-11-24&amp;DumpsterInvNr=13-L-407161", "13-L-407161")</f>
        <v>13-L-407161</v>
      </c>
      <c r="C1562">
        <v>1.1000000000000001</v>
      </c>
      <c r="D1562" t="s">
        <v>2321</v>
      </c>
      <c r="E1562" t="s">
        <v>11</v>
      </c>
      <c r="G1562" t="s">
        <v>74</v>
      </c>
      <c r="H1562" t="s">
        <v>14</v>
      </c>
    </row>
    <row r="1563" spans="1:8" hidden="1" x14ac:dyDescent="0.25">
      <c r="A1563" t="s">
        <v>2235</v>
      </c>
      <c r="B1563" s="1" t="str">
        <f>HYPERLINK("https://asmlis.vasa.lt/Dashboard/Served?ServiceDateFrom=2025-11-24&amp;ServiceDateTo=2025-11-24&amp;DumpsterInvNr=13-P-302436", "13-P-302436")</f>
        <v>13-P-302436</v>
      </c>
      <c r="C1563">
        <v>5</v>
      </c>
      <c r="D1563" t="s">
        <v>762</v>
      </c>
      <c r="E1563" t="s">
        <v>11</v>
      </c>
      <c r="F1563" t="s">
        <v>13</v>
      </c>
      <c r="G1563" t="s">
        <v>412</v>
      </c>
      <c r="H1563" t="s">
        <v>14</v>
      </c>
    </row>
    <row r="1564" spans="1:8" hidden="1" x14ac:dyDescent="0.25">
      <c r="A1564" t="s">
        <v>2235</v>
      </c>
      <c r="B1564" s="1" t="str">
        <f>HYPERLINK("https://asmlis.vasa.lt/Dashboard/Served?ServiceDateFrom=2025-11-24&amp;ServiceDateTo=2025-11-24&amp;DumpsterInvNr=13-P-302237", "13-P-302237")</f>
        <v>13-P-302237</v>
      </c>
      <c r="C1564">
        <v>1.1000000000000001</v>
      </c>
      <c r="D1564" t="s">
        <v>2322</v>
      </c>
      <c r="E1564" t="s">
        <v>11</v>
      </c>
      <c r="G1564" t="s">
        <v>412</v>
      </c>
      <c r="H1564" t="s">
        <v>14</v>
      </c>
    </row>
    <row r="1565" spans="1:8" hidden="1" x14ac:dyDescent="0.25">
      <c r="A1565" t="s">
        <v>2235</v>
      </c>
      <c r="B1565" s="1" t="str">
        <f>HYPERLINK("https://asmlis.vasa.lt/Dashboard/Served?ServiceDateFrom=2025-11-24&amp;ServiceDateTo=2025-11-24&amp;DumpsterInvNr=13-P-302265", "13-P-302265")</f>
        <v>13-P-302265</v>
      </c>
      <c r="C1565">
        <v>1.1000000000000001</v>
      </c>
      <c r="D1565" t="s">
        <v>2322</v>
      </c>
      <c r="E1565" t="s">
        <v>11</v>
      </c>
      <c r="G1565" t="s">
        <v>412</v>
      </c>
      <c r="H1565" t="s">
        <v>14</v>
      </c>
    </row>
    <row r="1566" spans="1:8" hidden="1" x14ac:dyDescent="0.25">
      <c r="A1566" t="s">
        <v>2323</v>
      </c>
      <c r="B1566" s="1" t="str">
        <f>HYPERLINK("https://asmlis.vasa.lt/Dashboard/Served?ServiceDateFrom=2025-11-24&amp;ServiceDateTo=2025-11-24&amp;DumpsterInvNr=13-L-409199", "13-L-409199")</f>
        <v>13-L-409199</v>
      </c>
      <c r="C1566">
        <v>0.12</v>
      </c>
      <c r="D1566" t="s">
        <v>2288</v>
      </c>
      <c r="E1566" t="s">
        <v>11</v>
      </c>
      <c r="F1566" t="s">
        <v>1209</v>
      </c>
      <c r="G1566" t="s">
        <v>74</v>
      </c>
      <c r="H1566" t="s">
        <v>14</v>
      </c>
    </row>
    <row r="1567" spans="1:8" hidden="1" x14ac:dyDescent="0.25">
      <c r="A1567" t="s">
        <v>2324</v>
      </c>
      <c r="B1567" s="1" t="str">
        <f>HYPERLINK("https://asmlis.vasa.lt/Dashboard/Served?ServiceDateFrom=2025-11-24&amp;ServiceDateTo=2025-11-24&amp;DumpsterInvNr=13-L-227649", "13-L-227649")</f>
        <v>13-L-227649</v>
      </c>
      <c r="C1567">
        <v>1.1000000000000001</v>
      </c>
      <c r="D1567" t="s">
        <v>2306</v>
      </c>
      <c r="E1567" t="s">
        <v>11</v>
      </c>
      <c r="G1567" t="s">
        <v>936</v>
      </c>
      <c r="H1567" t="s">
        <v>938</v>
      </c>
    </row>
    <row r="1568" spans="1:8" hidden="1" x14ac:dyDescent="0.25">
      <c r="A1568" t="s">
        <v>2325</v>
      </c>
      <c r="B1568" s="1" t="str">
        <f>HYPERLINK("https://asmlis.vasa.lt/Dashboard/Served?ServiceDateFrom=2025-11-24&amp;ServiceDateTo=2025-11-24&amp;DumpsterInvNr=13-L-423225", "13-L-423225")</f>
        <v>13-L-423225</v>
      </c>
      <c r="C1568">
        <v>5</v>
      </c>
      <c r="D1568" t="s">
        <v>2326</v>
      </c>
      <c r="E1568" t="s">
        <v>11</v>
      </c>
      <c r="G1568" t="s">
        <v>74</v>
      </c>
      <c r="H1568" t="s">
        <v>14</v>
      </c>
    </row>
    <row r="1569" spans="1:8" hidden="1" x14ac:dyDescent="0.25">
      <c r="A1569" t="s">
        <v>2327</v>
      </c>
      <c r="B1569" s="1" t="str">
        <f>HYPERLINK("https://asmlis.vasa.lt/Dashboard/Served?ServiceDateFrom=2025-11-24&amp;ServiceDateTo=2025-11-24&amp;DumpsterInvNr=13-L-306179", "13-L-306179")</f>
        <v>13-L-306179</v>
      </c>
      <c r="C1569">
        <v>1.1000000000000001</v>
      </c>
      <c r="D1569" t="s">
        <v>2328</v>
      </c>
      <c r="E1569" t="s">
        <v>11</v>
      </c>
      <c r="G1569" t="s">
        <v>9</v>
      </c>
      <c r="H1569" t="s">
        <v>14</v>
      </c>
    </row>
    <row r="1570" spans="1:8" hidden="1" x14ac:dyDescent="0.25">
      <c r="A1570" t="s">
        <v>2107</v>
      </c>
      <c r="B1570" s="1" t="str">
        <f>HYPERLINK("https://asmlis.vasa.lt/Dashboard/Served?ServiceDateFrom=2025-11-24&amp;ServiceDateTo=2025-11-24&amp;DumpsterInvNr=13-L-407162", "13-L-407162")</f>
        <v>13-L-407162</v>
      </c>
      <c r="C1570">
        <v>1.1000000000000001</v>
      </c>
      <c r="D1570" t="s">
        <v>2321</v>
      </c>
      <c r="E1570" t="s">
        <v>11</v>
      </c>
      <c r="G1570" t="s">
        <v>74</v>
      </c>
      <c r="H1570" t="s">
        <v>14</v>
      </c>
    </row>
    <row r="1571" spans="1:8" hidden="1" x14ac:dyDescent="0.25">
      <c r="A1571" t="s">
        <v>2141</v>
      </c>
      <c r="B1571" s="1" t="str">
        <f>HYPERLINK("https://asmlis.vasa.lt/Dashboard/Served?ServiceDateFrom=2025-11-24&amp;ServiceDateTo=2025-11-24&amp;DumpsterInvNr=13-L-308892", "13-L-308892")</f>
        <v>13-L-308892</v>
      </c>
      <c r="C1571">
        <v>1.1000000000000001</v>
      </c>
      <c r="D1571" t="s">
        <v>2286</v>
      </c>
      <c r="E1571" t="s">
        <v>11</v>
      </c>
      <c r="F1571" t="s">
        <v>13</v>
      </c>
      <c r="G1571" t="s">
        <v>9</v>
      </c>
      <c r="H1571" t="s">
        <v>14</v>
      </c>
    </row>
    <row r="1572" spans="1:8" hidden="1" x14ac:dyDescent="0.25">
      <c r="A1572" t="s">
        <v>2238</v>
      </c>
      <c r="B1572" s="1" t="str">
        <f>HYPERLINK("https://asmlis.vasa.lt/Dashboard/Served?ServiceDateFrom=2025-11-24&amp;ServiceDateTo=2025-11-24&amp;DumpsterInvNr=13-L-120397", "13-L-120397")</f>
        <v>13-L-120397</v>
      </c>
      <c r="C1572">
        <v>0.24</v>
      </c>
      <c r="D1572" t="s">
        <v>2329</v>
      </c>
      <c r="E1572" t="s">
        <v>11</v>
      </c>
      <c r="G1572" t="s">
        <v>1912</v>
      </c>
      <c r="H1572" t="s">
        <v>432</v>
      </c>
    </row>
    <row r="1573" spans="1:8" hidden="1" x14ac:dyDescent="0.25">
      <c r="A1573" t="s">
        <v>2101</v>
      </c>
      <c r="B1573" s="1" t="str">
        <f>HYPERLINK("https://asmlis.vasa.lt/Dashboard/Served?ServiceDateFrom=2025-11-24&amp;ServiceDateTo=2025-11-24&amp;DumpsterInvNr=13-L-426476", "13-L-426476")</f>
        <v>13-L-426476</v>
      </c>
      <c r="C1573">
        <v>0.24</v>
      </c>
      <c r="D1573" t="s">
        <v>2330</v>
      </c>
      <c r="E1573" t="s">
        <v>11</v>
      </c>
      <c r="G1573" t="s">
        <v>74</v>
      </c>
      <c r="H1573" t="s">
        <v>14</v>
      </c>
    </row>
    <row r="1574" spans="1:8" hidden="1" x14ac:dyDescent="0.25">
      <c r="A1574" t="s">
        <v>2302</v>
      </c>
      <c r="B1574" s="1" t="str">
        <f>HYPERLINK("https://asmlis.vasa.lt/Dashboard/Served?ServiceDateFrom=2025-11-24&amp;ServiceDateTo=2025-11-24&amp;DumpsterInvNr=13-P-102467", "13-P-102467")</f>
        <v>13-P-102467</v>
      </c>
      <c r="C1574">
        <v>5</v>
      </c>
      <c r="D1574" t="s">
        <v>2331</v>
      </c>
      <c r="E1574" t="s">
        <v>11</v>
      </c>
      <c r="F1574" t="s">
        <v>13</v>
      </c>
      <c r="G1574" t="s">
        <v>1917</v>
      </c>
      <c r="H1574" t="s">
        <v>432</v>
      </c>
    </row>
    <row r="1575" spans="1:8" hidden="1" x14ac:dyDescent="0.25">
      <c r="A1575" t="s">
        <v>2333</v>
      </c>
      <c r="B1575" s="1" t="str">
        <f>HYPERLINK("https://asmlis.vasa.lt/Dashboard/Served?ServiceDateFrom=2025-11-24&amp;ServiceDateTo=2025-11-24&amp;DumpsterInvNr=13-L-120398", "13-L-120398")</f>
        <v>13-L-120398</v>
      </c>
      <c r="C1575">
        <v>0.12</v>
      </c>
      <c r="D1575" t="s">
        <v>2334</v>
      </c>
      <c r="E1575" t="s">
        <v>11</v>
      </c>
      <c r="G1575" t="s">
        <v>1912</v>
      </c>
      <c r="H1575" t="s">
        <v>432</v>
      </c>
    </row>
    <row r="1576" spans="1:8" hidden="1" x14ac:dyDescent="0.25">
      <c r="A1576" t="s">
        <v>2335</v>
      </c>
      <c r="B1576" s="1" t="str">
        <f>HYPERLINK("https://asmlis.vasa.lt/Dashboard/Served?ServiceDateFrom=2025-11-24&amp;ServiceDateTo=2025-11-24&amp;DumpsterInvNr=13-L-227527", "13-L-227527")</f>
        <v>13-L-227527</v>
      </c>
      <c r="C1576">
        <v>1.1000000000000001</v>
      </c>
      <c r="D1576" t="s">
        <v>1968</v>
      </c>
      <c r="E1576" t="s">
        <v>11</v>
      </c>
      <c r="G1576" t="s">
        <v>936</v>
      </c>
      <c r="H1576" t="s">
        <v>938</v>
      </c>
    </row>
    <row r="1577" spans="1:8" hidden="1" x14ac:dyDescent="0.25">
      <c r="A1577" t="s">
        <v>2336</v>
      </c>
      <c r="B1577" s="1" t="str">
        <f>HYPERLINK("https://asmlis.vasa.lt/Dashboard/Served?ServiceDateFrom=2025-11-24&amp;ServiceDateTo=2025-11-24&amp;DumpsterInvNr=13-P-101112", "13-P-101112")</f>
        <v>13-P-101112</v>
      </c>
      <c r="C1577">
        <v>0.24</v>
      </c>
      <c r="D1577" t="s">
        <v>2334</v>
      </c>
      <c r="E1577" t="s">
        <v>11</v>
      </c>
      <c r="G1577" t="s">
        <v>1917</v>
      </c>
      <c r="H1577" t="s">
        <v>432</v>
      </c>
    </row>
    <row r="1578" spans="1:8" hidden="1" x14ac:dyDescent="0.25">
      <c r="A1578" t="s">
        <v>2337</v>
      </c>
      <c r="B1578" s="1" t="str">
        <f>HYPERLINK("https://asmlis.vasa.lt/Dashboard/Served?ServiceDateFrom=2025-11-24&amp;ServiceDateTo=2025-11-24&amp;DumpsterInvNr=13-L-314390", "13-L-314390")</f>
        <v>13-L-314390</v>
      </c>
      <c r="C1578">
        <v>1.1000000000000001</v>
      </c>
      <c r="D1578" t="s">
        <v>1716</v>
      </c>
      <c r="E1578" t="s">
        <v>11</v>
      </c>
      <c r="F1578" t="s">
        <v>13</v>
      </c>
      <c r="G1578" t="s">
        <v>9</v>
      </c>
      <c r="H1578" t="s">
        <v>14</v>
      </c>
    </row>
    <row r="1579" spans="1:8" hidden="1" x14ac:dyDescent="0.25">
      <c r="A1579" t="s">
        <v>2338</v>
      </c>
      <c r="B1579" s="1" t="str">
        <f>HYPERLINK("https://asmlis.vasa.lt/Dashboard/Served?ServiceDateFrom=2025-11-24&amp;ServiceDateTo=2025-11-24&amp;DumpsterInvNr=13-L-316650", "13-L-316650")</f>
        <v>13-L-316650</v>
      </c>
      <c r="C1579">
        <v>1.1000000000000001</v>
      </c>
      <c r="D1579" t="s">
        <v>2339</v>
      </c>
      <c r="E1579" t="s">
        <v>11</v>
      </c>
      <c r="F1579" t="s">
        <v>13</v>
      </c>
      <c r="G1579" t="s">
        <v>9</v>
      </c>
      <c r="H1579" t="s">
        <v>14</v>
      </c>
    </row>
    <row r="1580" spans="1:8" hidden="1" x14ac:dyDescent="0.25">
      <c r="A1580" t="s">
        <v>2340</v>
      </c>
      <c r="B1580" s="1" t="str">
        <f>HYPERLINK("https://asmlis.vasa.lt/Dashboard/Served?ServiceDateFrom=2025-11-24&amp;ServiceDateTo=2025-11-24&amp;DumpsterInvNr=13-L-315630", "13-L-315630")</f>
        <v>13-L-315630</v>
      </c>
      <c r="C1580">
        <v>5</v>
      </c>
      <c r="D1580" t="s">
        <v>2341</v>
      </c>
      <c r="E1580" t="s">
        <v>11</v>
      </c>
      <c r="G1580" t="s">
        <v>9</v>
      </c>
      <c r="H1580" t="s">
        <v>14</v>
      </c>
    </row>
    <row r="1581" spans="1:8" hidden="1" x14ac:dyDescent="0.25">
      <c r="A1581" t="s">
        <v>2342</v>
      </c>
      <c r="B1581" s="1" t="str">
        <f>HYPERLINK("https://asmlis.vasa.lt/Dashboard/Served?ServiceDateFrom=2025-11-24&amp;ServiceDateTo=2025-11-24&amp;DumpsterInvNr=13-P-400446", "13-P-400446")</f>
        <v>13-P-400446</v>
      </c>
      <c r="C1581">
        <v>5</v>
      </c>
      <c r="D1581" t="s">
        <v>2344</v>
      </c>
      <c r="E1581" t="s">
        <v>11</v>
      </c>
      <c r="F1581" t="s">
        <v>13</v>
      </c>
      <c r="G1581" t="s">
        <v>264</v>
      </c>
      <c r="H1581" t="s">
        <v>14</v>
      </c>
    </row>
    <row r="1582" spans="1:8" hidden="1" x14ac:dyDescent="0.25">
      <c r="A1582" t="s">
        <v>2345</v>
      </c>
      <c r="B1582" s="1" t="str">
        <f>HYPERLINK("https://asmlis.vasa.lt/Dashboard/Served?ServiceDateFrom=2025-11-24&amp;ServiceDateTo=2025-11-24&amp;DumpsterInvNr=13-L-308940", "13-L-308940")</f>
        <v>13-L-308940</v>
      </c>
      <c r="C1582">
        <v>0.24</v>
      </c>
      <c r="D1582" t="s">
        <v>2346</v>
      </c>
      <c r="E1582" t="s">
        <v>11</v>
      </c>
      <c r="G1582" t="s">
        <v>9</v>
      </c>
      <c r="H1582" t="s">
        <v>14</v>
      </c>
    </row>
    <row r="1583" spans="1:8" hidden="1" x14ac:dyDescent="0.25">
      <c r="A1583" t="s">
        <v>2347</v>
      </c>
      <c r="B1583" s="1" t="str">
        <f>HYPERLINK("https://asmlis.vasa.lt/Dashboard/Served?ServiceDateFrom=2025-11-24&amp;ServiceDateTo=2025-11-24&amp;DumpsterInvNr=13-P-302195", "13-P-302195")</f>
        <v>13-P-302195</v>
      </c>
      <c r="C1583">
        <v>1.1000000000000001</v>
      </c>
      <c r="D1583" t="s">
        <v>2322</v>
      </c>
      <c r="E1583" t="s">
        <v>11</v>
      </c>
      <c r="F1583" t="s">
        <v>13</v>
      </c>
      <c r="G1583" t="s">
        <v>412</v>
      </c>
      <c r="H1583" t="s">
        <v>14</v>
      </c>
    </row>
    <row r="1584" spans="1:8" hidden="1" x14ac:dyDescent="0.25">
      <c r="A1584" t="s">
        <v>2348</v>
      </c>
      <c r="B1584" s="1" t="str">
        <f>HYPERLINK("https://asmlis.vasa.lt/Dashboard/Served?ServiceDateFrom=2025-11-24&amp;ServiceDateTo=2025-11-24&amp;DumpsterInvNr=13-L-222212", "13-L-222212")</f>
        <v>13-L-222212</v>
      </c>
      <c r="C1584">
        <v>1.1000000000000001</v>
      </c>
      <c r="D1584" t="s">
        <v>2310</v>
      </c>
      <c r="E1584" t="s">
        <v>11</v>
      </c>
      <c r="G1584" t="s">
        <v>936</v>
      </c>
      <c r="H1584" t="s">
        <v>938</v>
      </c>
    </row>
    <row r="1585" spans="1:8" hidden="1" x14ac:dyDescent="0.25">
      <c r="A1585" t="s">
        <v>2349</v>
      </c>
      <c r="B1585" s="1" t="str">
        <f>HYPERLINK("https://asmlis.vasa.lt/Dashboard/Served?ServiceDateFrom=2025-11-24&amp;ServiceDateTo=2025-11-24&amp;DumpsterInvNr=13-L-315146", "13-L-315146")</f>
        <v>13-L-315146</v>
      </c>
      <c r="C1585">
        <v>0.66</v>
      </c>
      <c r="D1585" t="s">
        <v>2315</v>
      </c>
      <c r="E1585" t="s">
        <v>11</v>
      </c>
      <c r="F1585" t="s">
        <v>13</v>
      </c>
      <c r="G1585" t="s">
        <v>9</v>
      </c>
      <c r="H1585" t="s">
        <v>14</v>
      </c>
    </row>
    <row r="1586" spans="1:8" hidden="1" x14ac:dyDescent="0.25">
      <c r="A1586" t="s">
        <v>2350</v>
      </c>
      <c r="B1586" s="1" t="str">
        <f>HYPERLINK("https://asmlis.vasa.lt/Dashboard/Served?ServiceDateFrom=2025-11-24&amp;ServiceDateTo=2025-11-24&amp;DumpsterInvNr=13-L-318713", "13-L-318713")</f>
        <v>13-L-318713</v>
      </c>
      <c r="C1586">
        <v>1.1000000000000001</v>
      </c>
      <c r="D1586" t="s">
        <v>2315</v>
      </c>
      <c r="E1586" t="s">
        <v>11</v>
      </c>
      <c r="F1586" t="s">
        <v>13</v>
      </c>
      <c r="G1586" t="s">
        <v>9</v>
      </c>
      <c r="H1586" t="s">
        <v>14</v>
      </c>
    </row>
    <row r="1587" spans="1:8" hidden="1" x14ac:dyDescent="0.25">
      <c r="A1587" t="s">
        <v>2350</v>
      </c>
      <c r="B1587" s="1" t="str">
        <f>HYPERLINK("https://asmlis.vasa.lt/Dashboard/Served?ServiceDateFrom=2025-11-24&amp;ServiceDateTo=2025-11-24&amp;DumpsterInvNr=13-T-000071", "13-T-000071")</f>
        <v>13-T-000071</v>
      </c>
      <c r="C1587">
        <v>2.5</v>
      </c>
      <c r="D1587" t="s">
        <v>2351</v>
      </c>
      <c r="E1587" t="s">
        <v>11</v>
      </c>
      <c r="F1587" t="s">
        <v>13</v>
      </c>
      <c r="G1587" t="s">
        <v>1899</v>
      </c>
      <c r="H1587" t="s">
        <v>432</v>
      </c>
    </row>
    <row r="1588" spans="1:8" hidden="1" x14ac:dyDescent="0.25">
      <c r="A1588" t="s">
        <v>2352</v>
      </c>
      <c r="B1588" s="1" t="str">
        <f>HYPERLINK("https://asmlis.vasa.lt/Dashboard/Served?ServiceDateFrom=2025-11-24&amp;ServiceDateTo=2025-11-24&amp;DumpsterInvNr=13-L-137802", "13-L-137802")</f>
        <v>13-L-137802</v>
      </c>
      <c r="C1588">
        <v>5</v>
      </c>
      <c r="D1588" t="s">
        <v>2353</v>
      </c>
      <c r="E1588" t="s">
        <v>11</v>
      </c>
      <c r="F1588" t="s">
        <v>13</v>
      </c>
      <c r="G1588" t="s">
        <v>430</v>
      </c>
      <c r="H1588" t="s">
        <v>432</v>
      </c>
    </row>
    <row r="1589" spans="1:8" hidden="1" x14ac:dyDescent="0.25">
      <c r="A1589" t="s">
        <v>2355</v>
      </c>
      <c r="B1589" s="1" t="str">
        <f>HYPERLINK("https://asmlis.vasa.lt/Dashboard/Served?ServiceDateFrom=2025-11-24&amp;ServiceDateTo=2025-11-24&amp;DumpsterInvNr=13-L-314255", "13-L-314255")</f>
        <v>13-L-314255</v>
      </c>
      <c r="C1589">
        <v>1.1000000000000001</v>
      </c>
      <c r="D1589" t="s">
        <v>2356</v>
      </c>
      <c r="E1589" t="s">
        <v>11</v>
      </c>
      <c r="F1589" t="s">
        <v>13</v>
      </c>
      <c r="G1589" t="s">
        <v>9</v>
      </c>
      <c r="H1589" t="s">
        <v>14</v>
      </c>
    </row>
    <row r="1590" spans="1:8" hidden="1" x14ac:dyDescent="0.25">
      <c r="A1590" t="s">
        <v>2357</v>
      </c>
      <c r="B1590" s="1" t="str">
        <f>HYPERLINK("https://asmlis.vasa.lt/Dashboard/Served?ServiceDateFrom=2025-11-24&amp;ServiceDateTo=2025-11-24&amp;DumpsterInvNr=13-T-000072", "13-T-000072")</f>
        <v>13-T-000072</v>
      </c>
      <c r="C1590">
        <v>2.5</v>
      </c>
      <c r="D1590" t="s">
        <v>2351</v>
      </c>
      <c r="E1590" t="s">
        <v>11</v>
      </c>
      <c r="F1590" t="s">
        <v>13</v>
      </c>
      <c r="G1590" t="s">
        <v>1899</v>
      </c>
      <c r="H1590" t="s">
        <v>432</v>
      </c>
    </row>
    <row r="1591" spans="1:8" hidden="1" x14ac:dyDescent="0.25">
      <c r="A1591" t="s">
        <v>2358</v>
      </c>
      <c r="B1591" s="1" t="str">
        <f>HYPERLINK("https://asmlis.vasa.lt/Dashboard/Served?ServiceDateFrom=2025-11-24&amp;ServiceDateTo=2025-11-24&amp;DumpsterInvNr=13-P-509666", "13-P-509666")</f>
        <v>13-P-509666</v>
      </c>
      <c r="C1591">
        <v>5</v>
      </c>
      <c r="D1591" t="s">
        <v>1970</v>
      </c>
      <c r="E1591" t="s">
        <v>11</v>
      </c>
      <c r="F1591" t="s">
        <v>13</v>
      </c>
      <c r="G1591" t="s">
        <v>2178</v>
      </c>
      <c r="H1591" t="s">
        <v>432</v>
      </c>
    </row>
    <row r="1592" spans="1:8" hidden="1" x14ac:dyDescent="0.25">
      <c r="A1592" t="s">
        <v>2062</v>
      </c>
      <c r="B1592" s="1" t="str">
        <f>HYPERLINK("https://asmlis.vasa.lt/Dashboard/Served?ServiceDateFrom=2025-11-24&amp;ServiceDateTo=2025-11-24&amp;DumpsterInvNr=13-L-105295", "13-L-105295")</f>
        <v>13-L-105295</v>
      </c>
      <c r="C1592">
        <v>1.1000000000000001</v>
      </c>
      <c r="D1592" t="s">
        <v>2359</v>
      </c>
      <c r="E1592" t="s">
        <v>11</v>
      </c>
      <c r="G1592" t="s">
        <v>430</v>
      </c>
      <c r="H1592" t="s">
        <v>432</v>
      </c>
    </row>
    <row r="1593" spans="1:8" hidden="1" x14ac:dyDescent="0.25">
      <c r="A1593" t="s">
        <v>2062</v>
      </c>
      <c r="B1593" s="1" t="str">
        <f>HYPERLINK("https://asmlis.vasa.lt/Dashboard/Served?ServiceDateFrom=2025-11-24&amp;ServiceDateTo=2025-11-24&amp;DumpsterInvNr=13-L-144540", "13-L-144540")</f>
        <v>13-L-144540</v>
      </c>
      <c r="C1593">
        <v>0.24</v>
      </c>
      <c r="D1593" t="s">
        <v>2360</v>
      </c>
      <c r="E1593" t="s">
        <v>11</v>
      </c>
      <c r="G1593" t="s">
        <v>1912</v>
      </c>
      <c r="H1593" t="s">
        <v>432</v>
      </c>
    </row>
    <row r="1594" spans="1:8" hidden="1" x14ac:dyDescent="0.25">
      <c r="A1594" t="s">
        <v>2362</v>
      </c>
      <c r="B1594" s="1" t="str">
        <f>HYPERLINK("https://asmlis.vasa.lt/Dashboard/Served?ServiceDateFrom=2025-11-24&amp;ServiceDateTo=2025-11-24&amp;DumpsterInvNr=13-L-105299", "13-L-105299")</f>
        <v>13-L-105299</v>
      </c>
      <c r="C1594">
        <v>1.1000000000000001</v>
      </c>
      <c r="D1594" t="s">
        <v>2359</v>
      </c>
      <c r="E1594" t="s">
        <v>11</v>
      </c>
      <c r="G1594" t="s">
        <v>430</v>
      </c>
      <c r="H1594" t="s">
        <v>432</v>
      </c>
    </row>
    <row r="1595" spans="1:8" hidden="1" x14ac:dyDescent="0.25">
      <c r="A1595" t="s">
        <v>2363</v>
      </c>
      <c r="B1595" s="1" t="str">
        <f>HYPERLINK("https://asmlis.vasa.lt/Dashboard/Served?ServiceDateFrom=2025-11-24&amp;ServiceDateTo=2025-11-24&amp;DumpsterInvNr=13-L-222567", "13-L-222567")</f>
        <v>13-L-222567</v>
      </c>
      <c r="C1595">
        <v>1.1000000000000001</v>
      </c>
      <c r="D1595" t="s">
        <v>1908</v>
      </c>
      <c r="E1595" t="s">
        <v>11</v>
      </c>
      <c r="G1595" t="s">
        <v>936</v>
      </c>
      <c r="H1595" t="s">
        <v>938</v>
      </c>
    </row>
    <row r="1596" spans="1:8" hidden="1" x14ac:dyDescent="0.25">
      <c r="A1596" t="s">
        <v>2364</v>
      </c>
      <c r="B1596" s="1" t="str">
        <f>HYPERLINK("https://asmlis.vasa.lt/Dashboard/Served?ServiceDateFrom=2025-11-24&amp;ServiceDateTo=2025-11-24&amp;DumpsterInvNr=13-L-404676", "13-L-404676")</f>
        <v>13-L-404676</v>
      </c>
      <c r="C1596">
        <v>0.24</v>
      </c>
      <c r="D1596" t="s">
        <v>2365</v>
      </c>
      <c r="E1596" t="s">
        <v>11</v>
      </c>
      <c r="G1596" t="s">
        <v>74</v>
      </c>
      <c r="H1596" t="s">
        <v>14</v>
      </c>
    </row>
    <row r="1597" spans="1:8" hidden="1" x14ac:dyDescent="0.25">
      <c r="A1597" t="s">
        <v>2366</v>
      </c>
      <c r="B1597" s="1" t="str">
        <f>HYPERLINK("https://asmlis.vasa.lt/Dashboard/Served?ServiceDateFrom=2025-11-24&amp;ServiceDateTo=2025-11-24&amp;DumpsterInvNr=13-S-102408", "13-S-102408")</f>
        <v>13-S-102408</v>
      </c>
      <c r="C1597">
        <v>0.12</v>
      </c>
      <c r="D1597" t="s">
        <v>2334</v>
      </c>
      <c r="E1597" t="s">
        <v>11</v>
      </c>
      <c r="F1597" t="s">
        <v>1209</v>
      </c>
      <c r="G1597" t="s">
        <v>1917</v>
      </c>
      <c r="H1597" t="s">
        <v>432</v>
      </c>
    </row>
    <row r="1598" spans="1:8" hidden="1" x14ac:dyDescent="0.25">
      <c r="A1598" t="s">
        <v>2368</v>
      </c>
      <c r="B1598" s="1" t="str">
        <f>HYPERLINK("https://asmlis.vasa.lt/Dashboard/Served?ServiceDateFrom=2025-11-24&amp;ServiceDateTo=2025-11-24&amp;DumpsterInvNr=13-L-142634", "13-L-142634")</f>
        <v>13-L-142634</v>
      </c>
      <c r="C1598">
        <v>0.24</v>
      </c>
      <c r="D1598" t="s">
        <v>2369</v>
      </c>
      <c r="E1598" t="s">
        <v>11</v>
      </c>
      <c r="G1598" t="s">
        <v>1912</v>
      </c>
      <c r="H1598" t="s">
        <v>432</v>
      </c>
    </row>
    <row r="1599" spans="1:8" hidden="1" x14ac:dyDescent="0.25">
      <c r="A1599" t="s">
        <v>2371</v>
      </c>
      <c r="B1599" s="1" t="str">
        <f>HYPERLINK("https://asmlis.vasa.lt/Dashboard/Served?ServiceDateFrom=2025-11-24&amp;ServiceDateTo=2025-11-24&amp;DumpsterInvNr=13-S-102332", "13-S-102332")</f>
        <v>13-S-102332</v>
      </c>
      <c r="C1599">
        <v>0.12</v>
      </c>
      <c r="D1599" t="s">
        <v>2329</v>
      </c>
      <c r="E1599" t="s">
        <v>11</v>
      </c>
      <c r="F1599" t="s">
        <v>1209</v>
      </c>
      <c r="G1599" t="s">
        <v>1917</v>
      </c>
      <c r="H1599" t="s">
        <v>432</v>
      </c>
    </row>
    <row r="1600" spans="1:8" hidden="1" x14ac:dyDescent="0.25">
      <c r="A1600" t="s">
        <v>2371</v>
      </c>
      <c r="B1600" s="1" t="str">
        <f>HYPERLINK("https://asmlis.vasa.lt/Dashboard/Served?ServiceDateFrom=2025-11-24&amp;ServiceDateTo=2025-11-24&amp;DumpsterInvNr=13-P-101111", "13-P-101111")</f>
        <v>13-P-101111</v>
      </c>
      <c r="C1600">
        <v>0.24</v>
      </c>
      <c r="D1600" t="s">
        <v>2369</v>
      </c>
      <c r="E1600" t="s">
        <v>11</v>
      </c>
      <c r="G1600" t="s">
        <v>1917</v>
      </c>
      <c r="H1600" t="s">
        <v>432</v>
      </c>
    </row>
    <row r="1601" spans="1:8" hidden="1" x14ac:dyDescent="0.25">
      <c r="A1601" t="s">
        <v>2373</v>
      </c>
      <c r="B1601" s="1" t="str">
        <f>HYPERLINK("https://asmlis.vasa.lt/Dashboard/Served?ServiceDateFrom=2025-11-24&amp;ServiceDateTo=2025-11-24&amp;DumpsterInvNr=13-L-105298", "13-L-105298")</f>
        <v>13-L-105298</v>
      </c>
      <c r="C1601">
        <v>1.1000000000000001</v>
      </c>
      <c r="D1601" t="s">
        <v>2359</v>
      </c>
      <c r="E1601" t="s">
        <v>11</v>
      </c>
      <c r="G1601" t="s">
        <v>430</v>
      </c>
      <c r="H1601" t="s">
        <v>432</v>
      </c>
    </row>
    <row r="1602" spans="1:8" hidden="1" x14ac:dyDescent="0.25">
      <c r="A1602" t="s">
        <v>2374</v>
      </c>
      <c r="B1602" s="1" t="str">
        <f>HYPERLINK("https://asmlis.vasa.lt/Dashboard/Served?ServiceDateFrom=2025-11-24&amp;ServiceDateTo=2025-11-24&amp;DumpsterInvNr=13-P-101124", "13-P-101124")</f>
        <v>13-P-101124</v>
      </c>
      <c r="C1602">
        <v>0.24</v>
      </c>
      <c r="D1602" t="s">
        <v>2329</v>
      </c>
      <c r="E1602" t="s">
        <v>11</v>
      </c>
      <c r="F1602" t="s">
        <v>1209</v>
      </c>
      <c r="G1602" t="s">
        <v>1917</v>
      </c>
      <c r="H1602" t="s">
        <v>432</v>
      </c>
    </row>
    <row r="1603" spans="1:8" hidden="1" x14ac:dyDescent="0.25">
      <c r="A1603" t="s">
        <v>2375</v>
      </c>
      <c r="B1603" s="1" t="str">
        <f>HYPERLINK("https://asmlis.vasa.lt/Dashboard/Served?ServiceDateFrom=2025-11-24&amp;ServiceDateTo=2025-11-24&amp;DumpsterInvNr=13-S-104150", "13-S-104150")</f>
        <v>13-S-104150</v>
      </c>
      <c r="C1603">
        <v>0.12</v>
      </c>
      <c r="D1603" t="s">
        <v>2369</v>
      </c>
      <c r="E1603" t="s">
        <v>11</v>
      </c>
      <c r="F1603" t="s">
        <v>1209</v>
      </c>
      <c r="G1603" t="s">
        <v>1917</v>
      </c>
      <c r="H1603" t="s">
        <v>432</v>
      </c>
    </row>
    <row r="1604" spans="1:8" hidden="1" x14ac:dyDescent="0.25">
      <c r="A1604" t="s">
        <v>2377</v>
      </c>
      <c r="B1604" s="1" t="str">
        <f>HYPERLINK("https://asmlis.vasa.lt/Dashboard/Served?ServiceDateFrom=2025-11-24&amp;ServiceDateTo=2025-11-24&amp;DumpsterInvNr=13-L-134238", "13-L-134238")</f>
        <v>13-L-134238</v>
      </c>
      <c r="C1604">
        <v>5</v>
      </c>
      <c r="D1604" t="s">
        <v>2378</v>
      </c>
      <c r="E1604" t="s">
        <v>11</v>
      </c>
      <c r="F1604" t="s">
        <v>13</v>
      </c>
      <c r="G1604" t="s">
        <v>1912</v>
      </c>
      <c r="H1604" t="s">
        <v>432</v>
      </c>
    </row>
    <row r="1605" spans="1:8" hidden="1" x14ac:dyDescent="0.25">
      <c r="A1605" t="s">
        <v>2380</v>
      </c>
      <c r="B1605" s="1" t="str">
        <f>HYPERLINK("https://asmlis.vasa.lt/Dashboard/Served?ServiceDateFrom=2025-11-24&amp;ServiceDateTo=2025-11-24&amp;DumpsterInvNr=13-L-105296", "13-L-105296")</f>
        <v>13-L-105296</v>
      </c>
      <c r="C1605">
        <v>1.1000000000000001</v>
      </c>
      <c r="D1605" t="s">
        <v>2359</v>
      </c>
      <c r="E1605" t="s">
        <v>11</v>
      </c>
      <c r="G1605" t="s">
        <v>430</v>
      </c>
      <c r="H1605" t="s">
        <v>432</v>
      </c>
    </row>
    <row r="1606" spans="1:8" hidden="1" x14ac:dyDescent="0.25">
      <c r="A1606" t="s">
        <v>2381</v>
      </c>
      <c r="B1606" s="1" t="str">
        <f>HYPERLINK("https://asmlis.vasa.lt/Dashboard/Served?ServiceDateFrom=2025-11-24&amp;ServiceDateTo=2025-11-24&amp;DumpsterInvNr=13-L-316902", "13-L-316902")</f>
        <v>13-L-316902</v>
      </c>
      <c r="C1606">
        <v>0.77</v>
      </c>
      <c r="D1606" t="s">
        <v>2382</v>
      </c>
      <c r="E1606" t="s">
        <v>11</v>
      </c>
      <c r="G1606" t="s">
        <v>9</v>
      </c>
      <c r="H1606" t="s">
        <v>14</v>
      </c>
    </row>
    <row r="1607" spans="1:8" hidden="1" x14ac:dyDescent="0.25">
      <c r="A1607" t="s">
        <v>2383</v>
      </c>
      <c r="B1607" s="1" t="str">
        <f>HYPERLINK("https://asmlis.vasa.lt/Dashboard/Served?ServiceDateFrom=2025-11-24&amp;ServiceDateTo=2025-11-24&amp;DumpsterInvNr=13-L-314456", "13-L-314456")</f>
        <v>13-L-314456</v>
      </c>
      <c r="C1607">
        <v>0.77</v>
      </c>
      <c r="D1607" t="s">
        <v>2384</v>
      </c>
      <c r="E1607" t="s">
        <v>12</v>
      </c>
      <c r="G1607" t="s">
        <v>9</v>
      </c>
      <c r="H1607" t="s">
        <v>14</v>
      </c>
    </row>
    <row r="1608" spans="1:8" hidden="1" x14ac:dyDescent="0.25">
      <c r="A1608" t="s">
        <v>2385</v>
      </c>
      <c r="B1608" s="1" t="str">
        <f>HYPERLINK("https://asmlis.vasa.lt/Dashboard/Served?ServiceDateFrom=2025-11-24&amp;ServiceDateTo=2025-11-24&amp;DumpsterInvNr=13-L-420683", "13-L-420683")</f>
        <v>13-L-420683</v>
      </c>
      <c r="C1608">
        <v>0.24</v>
      </c>
      <c r="D1608" t="s">
        <v>2386</v>
      </c>
      <c r="E1608" t="s">
        <v>11</v>
      </c>
      <c r="G1608" t="s">
        <v>74</v>
      </c>
      <c r="H1608" t="s">
        <v>14</v>
      </c>
    </row>
    <row r="1609" spans="1:8" hidden="1" x14ac:dyDescent="0.25">
      <c r="A1609" t="s">
        <v>2387</v>
      </c>
      <c r="B1609" s="1" t="str">
        <f>HYPERLINK("https://asmlis.vasa.lt/Dashboard/Served?ServiceDateFrom=2025-11-24&amp;ServiceDateTo=2025-11-24&amp;DumpsterInvNr=13-L-138901", "13-L-138901")</f>
        <v>13-L-138901</v>
      </c>
      <c r="C1609">
        <v>1.1000000000000001</v>
      </c>
      <c r="D1609" t="s">
        <v>2388</v>
      </c>
      <c r="E1609" t="s">
        <v>11</v>
      </c>
      <c r="G1609" t="s">
        <v>1912</v>
      </c>
      <c r="H1609" t="s">
        <v>432</v>
      </c>
    </row>
    <row r="1610" spans="1:8" hidden="1" x14ac:dyDescent="0.25">
      <c r="A1610" t="s">
        <v>2389</v>
      </c>
      <c r="B1610" s="1" t="str">
        <f>HYPERLINK("https://asmlis.vasa.lt/Dashboard/Served?ServiceDateFrom=2025-11-24&amp;ServiceDateTo=2025-11-24&amp;DumpsterInvNr=13-L-105297", "13-L-105297")</f>
        <v>13-L-105297</v>
      </c>
      <c r="C1610">
        <v>1.1000000000000001</v>
      </c>
      <c r="D1610" t="s">
        <v>2359</v>
      </c>
      <c r="E1610" t="s">
        <v>11</v>
      </c>
      <c r="G1610" t="s">
        <v>430</v>
      </c>
      <c r="H1610" t="s">
        <v>432</v>
      </c>
    </row>
    <row r="1611" spans="1:8" hidden="1" x14ac:dyDescent="0.25">
      <c r="A1611" t="s">
        <v>2390</v>
      </c>
      <c r="B1611" s="1" t="str">
        <f>HYPERLINK("https://asmlis.vasa.lt/Dashboard/Served?ServiceDateFrom=2025-11-24&amp;ServiceDateTo=2025-11-24&amp;DumpsterInvNr=13-P-301676", "13-P-301676")</f>
        <v>13-P-301676</v>
      </c>
      <c r="C1611">
        <v>1.1000000000000001</v>
      </c>
      <c r="D1611" t="s">
        <v>2391</v>
      </c>
      <c r="E1611" t="s">
        <v>11</v>
      </c>
      <c r="G1611" t="s">
        <v>412</v>
      </c>
      <c r="H1611" t="s">
        <v>14</v>
      </c>
    </row>
    <row r="1612" spans="1:8" hidden="1" x14ac:dyDescent="0.25">
      <c r="A1612" t="s">
        <v>2081</v>
      </c>
      <c r="B1612" s="1" t="str">
        <f>HYPERLINK("https://asmlis.vasa.lt/Dashboard/Served?ServiceDateFrom=2025-11-24&amp;ServiceDateTo=2025-11-24&amp;DumpsterInvNr=13-L-318124", "13-L-318124")</f>
        <v>13-L-318124</v>
      </c>
      <c r="C1612">
        <v>0.66</v>
      </c>
      <c r="D1612" t="s">
        <v>2392</v>
      </c>
      <c r="E1612" t="s">
        <v>11</v>
      </c>
      <c r="F1612" t="s">
        <v>13</v>
      </c>
      <c r="G1612" t="s">
        <v>9</v>
      </c>
      <c r="H1612" t="s">
        <v>14</v>
      </c>
    </row>
    <row r="1613" spans="1:8" hidden="1" x14ac:dyDescent="0.25">
      <c r="A1613" t="s">
        <v>2393</v>
      </c>
      <c r="B1613" s="1" t="str">
        <f>HYPERLINK("https://asmlis.vasa.lt/Dashboard/Served?ServiceDateFrom=2025-11-24&amp;ServiceDateTo=2025-11-24&amp;DumpsterInvNr=13-L-223488", "13-L-223488")</f>
        <v>13-L-223488</v>
      </c>
      <c r="C1613">
        <v>1.1000000000000001</v>
      </c>
      <c r="D1613" t="s">
        <v>1908</v>
      </c>
      <c r="E1613" t="s">
        <v>11</v>
      </c>
      <c r="G1613" t="s">
        <v>936</v>
      </c>
      <c r="H1613" t="s">
        <v>938</v>
      </c>
    </row>
    <row r="1614" spans="1:8" hidden="1" x14ac:dyDescent="0.25">
      <c r="A1614" t="s">
        <v>2394</v>
      </c>
      <c r="B1614" s="1" t="str">
        <f>HYPERLINK("https://asmlis.vasa.lt/Dashboard/Served?ServiceDateFrom=2025-11-24&amp;ServiceDateTo=2025-11-24&amp;DumpsterInvNr=13-P-207743", "13-P-207743")</f>
        <v>13-P-207743</v>
      </c>
      <c r="C1614">
        <v>5</v>
      </c>
      <c r="D1614" t="s">
        <v>2395</v>
      </c>
      <c r="E1614" t="s">
        <v>11</v>
      </c>
      <c r="G1614" t="s">
        <v>234</v>
      </c>
      <c r="H1614" t="s">
        <v>14</v>
      </c>
    </row>
    <row r="1615" spans="1:8" hidden="1" x14ac:dyDescent="0.25">
      <c r="A1615" t="s">
        <v>2396</v>
      </c>
      <c r="B1615" s="1" t="str">
        <f>HYPERLINK("https://asmlis.vasa.lt/Dashboard/Served?ServiceDateFrom=2025-11-24&amp;ServiceDateTo=2025-11-24&amp;DumpsterInvNr=13-L-425251", "13-L-425251")</f>
        <v>13-L-425251</v>
      </c>
      <c r="C1615">
        <v>1.1000000000000001</v>
      </c>
      <c r="D1615" t="s">
        <v>2397</v>
      </c>
      <c r="E1615" t="s">
        <v>11</v>
      </c>
      <c r="G1615" t="s">
        <v>74</v>
      </c>
      <c r="H1615" t="s">
        <v>14</v>
      </c>
    </row>
    <row r="1616" spans="1:8" hidden="1" x14ac:dyDescent="0.25">
      <c r="A1616" t="s">
        <v>2398</v>
      </c>
      <c r="B1616" s="1" t="str">
        <f>HYPERLINK("https://asmlis.vasa.lt/Dashboard/Served?ServiceDateFrom=2025-11-24&amp;ServiceDateTo=2025-11-24&amp;DumpsterInvNr=13-P-114670", "13-P-114670")</f>
        <v>13-P-114670</v>
      </c>
      <c r="C1616">
        <v>0.24</v>
      </c>
      <c r="D1616" t="s">
        <v>2400</v>
      </c>
      <c r="E1616" t="s">
        <v>11</v>
      </c>
      <c r="G1616" t="s">
        <v>1917</v>
      </c>
      <c r="H1616" t="s">
        <v>432</v>
      </c>
    </row>
    <row r="1617" spans="1:8" hidden="1" x14ac:dyDescent="0.25">
      <c r="A1617" t="s">
        <v>1727</v>
      </c>
      <c r="B1617" s="1" t="str">
        <f>HYPERLINK("https://asmlis.vasa.lt/Dashboard/Served?ServiceDateFrom=2025-11-24&amp;ServiceDateTo=2025-11-24&amp;DumpsterInvNr=13-L-408618", "13-L-408618")</f>
        <v>13-L-408618</v>
      </c>
      <c r="C1617">
        <v>1.1000000000000001</v>
      </c>
      <c r="D1617" t="s">
        <v>2397</v>
      </c>
      <c r="E1617" t="s">
        <v>11</v>
      </c>
      <c r="G1617" t="s">
        <v>74</v>
      </c>
      <c r="H1617" t="s">
        <v>14</v>
      </c>
    </row>
    <row r="1618" spans="1:8" hidden="1" x14ac:dyDescent="0.25">
      <c r="A1618" t="s">
        <v>2401</v>
      </c>
      <c r="B1618" s="1" t="str">
        <f>HYPERLINK("https://asmlis.vasa.lt/Dashboard/Served?ServiceDateFrom=2025-11-24&amp;ServiceDateTo=2025-11-24&amp;DumpsterInvNr=13-L-301952", "13-L-301952")</f>
        <v>13-L-301952</v>
      </c>
      <c r="C1618">
        <v>1.1000000000000001</v>
      </c>
      <c r="D1618" t="s">
        <v>2402</v>
      </c>
      <c r="E1618" t="s">
        <v>11</v>
      </c>
      <c r="G1618" t="s">
        <v>9</v>
      </c>
      <c r="H1618" t="s">
        <v>14</v>
      </c>
    </row>
    <row r="1619" spans="1:8" hidden="1" x14ac:dyDescent="0.25">
      <c r="A1619" t="s">
        <v>2401</v>
      </c>
      <c r="B1619" s="1" t="str">
        <f>HYPERLINK("https://asmlis.vasa.lt/Dashboard/Served?ServiceDateFrom=2025-11-24&amp;ServiceDateTo=2025-11-24&amp;DumpsterInvNr=13-L-421831", "13-L-421831")</f>
        <v>13-L-421831</v>
      </c>
      <c r="C1619">
        <v>5</v>
      </c>
      <c r="D1619" t="s">
        <v>1506</v>
      </c>
      <c r="E1619" t="s">
        <v>11</v>
      </c>
      <c r="F1619" t="s">
        <v>13</v>
      </c>
      <c r="G1619" t="s">
        <v>74</v>
      </c>
      <c r="H1619" t="s">
        <v>14</v>
      </c>
    </row>
    <row r="1620" spans="1:8" hidden="1" x14ac:dyDescent="0.25">
      <c r="A1620" t="s">
        <v>2403</v>
      </c>
      <c r="B1620" s="1" t="str">
        <f>HYPERLINK("https://asmlis.vasa.lt/Dashboard/Served?ServiceDateFrom=2025-11-24&amp;ServiceDateTo=2025-11-24&amp;DumpsterInvNr=13-L-404674", "13-L-404674")</f>
        <v>13-L-404674</v>
      </c>
      <c r="C1620">
        <v>0.24</v>
      </c>
      <c r="D1620" t="s">
        <v>2404</v>
      </c>
      <c r="E1620" t="s">
        <v>11</v>
      </c>
      <c r="G1620" t="s">
        <v>74</v>
      </c>
      <c r="H1620" t="s">
        <v>14</v>
      </c>
    </row>
    <row r="1621" spans="1:8" hidden="1" x14ac:dyDescent="0.25">
      <c r="A1621" t="s">
        <v>2405</v>
      </c>
      <c r="B1621" s="1" t="str">
        <f>HYPERLINK("https://asmlis.vasa.lt/Dashboard/Served?ServiceDateFrom=2025-11-24&amp;ServiceDateTo=2025-11-24&amp;DumpsterInvNr=13-L-421829", "13-L-421829")</f>
        <v>13-L-421829</v>
      </c>
      <c r="C1621">
        <v>5</v>
      </c>
      <c r="D1621" t="s">
        <v>1506</v>
      </c>
      <c r="E1621" t="s">
        <v>11</v>
      </c>
      <c r="F1621" t="s">
        <v>13</v>
      </c>
      <c r="G1621" t="s">
        <v>74</v>
      </c>
      <c r="H1621" t="s">
        <v>14</v>
      </c>
    </row>
    <row r="1622" spans="1:8" hidden="1" x14ac:dyDescent="0.25">
      <c r="A1622" t="s">
        <v>2406</v>
      </c>
      <c r="B1622" s="1" t="str">
        <f>HYPERLINK("https://asmlis.vasa.lt/Dashboard/Served?ServiceDateFrom=2025-11-24&amp;ServiceDateTo=2025-11-24&amp;DumpsterInvNr=13-L-313865", "13-L-313865")</f>
        <v>13-L-313865</v>
      </c>
      <c r="C1622">
        <v>1.1000000000000001</v>
      </c>
      <c r="D1622" t="s">
        <v>2407</v>
      </c>
      <c r="E1622" t="s">
        <v>11</v>
      </c>
      <c r="G1622" t="s">
        <v>9</v>
      </c>
      <c r="H1622" t="s">
        <v>14</v>
      </c>
    </row>
    <row r="1623" spans="1:8" hidden="1" x14ac:dyDescent="0.25">
      <c r="A1623" t="s">
        <v>2408</v>
      </c>
      <c r="B1623" s="1" t="str">
        <f>HYPERLINK("https://asmlis.vasa.lt/Dashboard/Served?ServiceDateFrom=2025-11-24&amp;ServiceDateTo=2025-11-24&amp;DumpsterInvNr=13-L-133851", "13-L-133851")</f>
        <v>13-L-133851</v>
      </c>
      <c r="C1623">
        <v>5</v>
      </c>
      <c r="D1623" t="s">
        <v>2409</v>
      </c>
      <c r="E1623" t="s">
        <v>11</v>
      </c>
      <c r="F1623" t="s">
        <v>13</v>
      </c>
      <c r="G1623" t="s">
        <v>430</v>
      </c>
      <c r="H1623" t="s">
        <v>432</v>
      </c>
    </row>
    <row r="1624" spans="1:8" hidden="1" x14ac:dyDescent="0.25">
      <c r="A1624" t="s">
        <v>2410</v>
      </c>
      <c r="B1624" s="1" t="str">
        <f>HYPERLINK("https://asmlis.vasa.lt/Dashboard/Served?ServiceDateFrom=2025-11-24&amp;ServiceDateTo=2025-11-24&amp;DumpsterInvNr=13-L-225427", "13-L-225427")</f>
        <v>13-L-225427</v>
      </c>
      <c r="C1624">
        <v>1.1000000000000001</v>
      </c>
      <c r="D1624" t="s">
        <v>1908</v>
      </c>
      <c r="E1624" t="s">
        <v>11</v>
      </c>
      <c r="F1624" t="s">
        <v>13</v>
      </c>
      <c r="G1624" t="s">
        <v>936</v>
      </c>
      <c r="H1624" t="s">
        <v>938</v>
      </c>
    </row>
    <row r="1625" spans="1:8" hidden="1" x14ac:dyDescent="0.25">
      <c r="A1625" t="s">
        <v>2411</v>
      </c>
      <c r="B1625" s="1" t="str">
        <f>HYPERLINK("https://asmlis.vasa.lt/Dashboard/Served?ServiceDateFrom=2025-11-24&amp;ServiceDateTo=2025-11-24&amp;DumpsterInvNr=13-L-221891", "13-L-221891")</f>
        <v>13-L-221891</v>
      </c>
      <c r="C1625">
        <v>1.1000000000000001</v>
      </c>
      <c r="D1625" t="s">
        <v>1908</v>
      </c>
      <c r="E1625" t="s">
        <v>11</v>
      </c>
      <c r="F1625" t="s">
        <v>13</v>
      </c>
      <c r="G1625" t="s">
        <v>936</v>
      </c>
      <c r="H1625" t="s">
        <v>938</v>
      </c>
    </row>
    <row r="1626" spans="1:8" hidden="1" x14ac:dyDescent="0.25">
      <c r="A1626" t="s">
        <v>2412</v>
      </c>
      <c r="B1626" s="1" t="str">
        <f>HYPERLINK("https://asmlis.vasa.lt/Dashboard/Served?ServiceDateFrom=2025-11-24&amp;ServiceDateTo=2025-11-24&amp;DumpsterInvNr=13-P-102402", "13-P-102402")</f>
        <v>13-P-102402</v>
      </c>
      <c r="C1626">
        <v>3</v>
      </c>
      <c r="D1626" t="s">
        <v>2413</v>
      </c>
      <c r="E1626" t="s">
        <v>11</v>
      </c>
      <c r="F1626" t="s">
        <v>13</v>
      </c>
      <c r="G1626" t="s">
        <v>1917</v>
      </c>
      <c r="H1626" t="s">
        <v>432</v>
      </c>
    </row>
    <row r="1627" spans="1:8" hidden="1" x14ac:dyDescent="0.25">
      <c r="A1627" t="s">
        <v>2414</v>
      </c>
      <c r="B1627" s="1" t="str">
        <f>HYPERLINK("https://asmlis.vasa.lt/Dashboard/Served?ServiceDateFrom=2025-11-24&amp;ServiceDateTo=2025-11-24&amp;DumpsterInvNr=13-L-124884", "13-L-124884")</f>
        <v>13-L-124884</v>
      </c>
      <c r="C1627">
        <v>1.1000000000000001</v>
      </c>
      <c r="D1627" t="s">
        <v>2415</v>
      </c>
      <c r="E1627" t="s">
        <v>11</v>
      </c>
      <c r="G1627" t="s">
        <v>430</v>
      </c>
      <c r="H1627" t="s">
        <v>432</v>
      </c>
    </row>
    <row r="1628" spans="1:8" hidden="1" x14ac:dyDescent="0.25">
      <c r="A1628" t="s">
        <v>2416</v>
      </c>
      <c r="B1628" s="1" t="str">
        <f>HYPERLINK("https://asmlis.vasa.lt/Dashboard/Served?ServiceDateFrom=2025-11-24&amp;ServiceDateTo=2025-11-24&amp;DumpsterInvNr=13-L-222301", "13-L-222301")</f>
        <v>13-L-222301</v>
      </c>
      <c r="C1628">
        <v>1.1000000000000001</v>
      </c>
      <c r="D1628" t="s">
        <v>2417</v>
      </c>
      <c r="E1628" t="s">
        <v>11</v>
      </c>
      <c r="G1628" t="s">
        <v>936</v>
      </c>
      <c r="H1628" t="s">
        <v>938</v>
      </c>
    </row>
    <row r="1629" spans="1:8" hidden="1" x14ac:dyDescent="0.25">
      <c r="A1629" t="s">
        <v>2416</v>
      </c>
      <c r="B1629" s="1" t="str">
        <f>HYPERLINK("https://asmlis.vasa.lt/Dashboard/Served?ServiceDateFrom=2025-11-24&amp;ServiceDateTo=2025-11-24&amp;DumpsterInvNr=13-P-102403", "13-P-102403")</f>
        <v>13-P-102403</v>
      </c>
      <c r="C1629">
        <v>3</v>
      </c>
      <c r="D1629" t="s">
        <v>2413</v>
      </c>
      <c r="E1629" t="s">
        <v>11</v>
      </c>
      <c r="F1629" t="s">
        <v>13</v>
      </c>
      <c r="G1629" t="s">
        <v>1917</v>
      </c>
      <c r="H1629" t="s">
        <v>432</v>
      </c>
    </row>
    <row r="1630" spans="1:8" hidden="1" x14ac:dyDescent="0.25">
      <c r="A1630" t="s">
        <v>2418</v>
      </c>
      <c r="B1630" s="1" t="str">
        <f>HYPERLINK("https://asmlis.vasa.lt/Dashboard/Served?ServiceDateFrom=2025-11-24&amp;ServiceDateTo=2025-11-24&amp;DumpsterInvNr=13-L-134753", "13-L-134753")</f>
        <v>13-L-134753</v>
      </c>
      <c r="C1630">
        <v>0.24</v>
      </c>
      <c r="D1630" t="s">
        <v>2419</v>
      </c>
      <c r="E1630" t="s">
        <v>11</v>
      </c>
      <c r="G1630" t="s">
        <v>1912</v>
      </c>
      <c r="H1630" t="s">
        <v>432</v>
      </c>
    </row>
    <row r="1631" spans="1:8" hidden="1" x14ac:dyDescent="0.25">
      <c r="A1631" t="s">
        <v>2421</v>
      </c>
      <c r="B1631" s="1" t="str">
        <f>HYPERLINK("https://asmlis.vasa.lt/Dashboard/Served?ServiceDateFrom=2025-11-24&amp;ServiceDateTo=2025-11-24&amp;DumpsterInvNr=13-L-147689", "13-L-147689")</f>
        <v>13-L-147689</v>
      </c>
      <c r="C1631">
        <v>0.24</v>
      </c>
      <c r="D1631" t="s">
        <v>2422</v>
      </c>
      <c r="E1631" t="s">
        <v>11</v>
      </c>
      <c r="F1631" t="s">
        <v>1209</v>
      </c>
      <c r="G1631" t="s">
        <v>1912</v>
      </c>
      <c r="H1631" t="s">
        <v>432</v>
      </c>
    </row>
    <row r="1632" spans="1:8" hidden="1" x14ac:dyDescent="0.25">
      <c r="A1632" t="s">
        <v>2423</v>
      </c>
      <c r="B1632" s="1" t="str">
        <f>HYPERLINK("https://asmlis.vasa.lt/Dashboard/Served?ServiceDateFrom=2025-11-24&amp;ServiceDateTo=2025-11-24&amp;DumpsterInvNr=13-L-147658", "13-L-147658")</f>
        <v>13-L-147658</v>
      </c>
      <c r="C1632">
        <v>0.24</v>
      </c>
      <c r="D1632" t="s">
        <v>2422</v>
      </c>
      <c r="E1632" t="s">
        <v>11</v>
      </c>
      <c r="F1632" t="s">
        <v>1209</v>
      </c>
      <c r="G1632" t="s">
        <v>1912</v>
      </c>
      <c r="H1632" t="s">
        <v>432</v>
      </c>
    </row>
    <row r="1633" spans="1:8" hidden="1" x14ac:dyDescent="0.25">
      <c r="A1633" t="s">
        <v>2424</v>
      </c>
      <c r="B1633" s="1" t="str">
        <f>HYPERLINK("https://asmlis.vasa.lt/Dashboard/Served?ServiceDateFrom=2025-11-24&amp;ServiceDateTo=2025-11-24&amp;DumpsterInvNr=13-L-404672", "13-L-404672")</f>
        <v>13-L-404672</v>
      </c>
      <c r="C1633">
        <v>0.24</v>
      </c>
      <c r="D1633" t="s">
        <v>2425</v>
      </c>
      <c r="E1633" t="s">
        <v>11</v>
      </c>
      <c r="F1633" t="s">
        <v>1209</v>
      </c>
      <c r="G1633" t="s">
        <v>74</v>
      </c>
      <c r="H1633" t="s">
        <v>14</v>
      </c>
    </row>
    <row r="1634" spans="1:8" hidden="1" x14ac:dyDescent="0.25">
      <c r="A1634" t="s">
        <v>2424</v>
      </c>
      <c r="B1634" s="1" t="str">
        <f>HYPERLINK("https://asmlis.vasa.lt/Dashboard/Served?ServiceDateFrom=2025-11-24&amp;ServiceDateTo=2025-11-24&amp;DumpsterInvNr=13-P-101113", "13-P-101113")</f>
        <v>13-P-101113</v>
      </c>
      <c r="C1634">
        <v>0.24</v>
      </c>
      <c r="D1634" t="s">
        <v>2419</v>
      </c>
      <c r="E1634" t="s">
        <v>11</v>
      </c>
      <c r="G1634" t="s">
        <v>1917</v>
      </c>
      <c r="H1634" t="s">
        <v>432</v>
      </c>
    </row>
    <row r="1635" spans="1:8" hidden="1" x14ac:dyDescent="0.25">
      <c r="A1635" t="s">
        <v>2427</v>
      </c>
      <c r="B1635" s="1" t="str">
        <f>HYPERLINK("https://asmlis.vasa.lt/Dashboard/Served?ServiceDateFrom=2025-11-24&amp;ServiceDateTo=2025-11-24&amp;DumpsterInvNr=13-L-404673", "13-L-404673")</f>
        <v>13-L-404673</v>
      </c>
      <c r="C1635">
        <v>0.24</v>
      </c>
      <c r="D1635" t="s">
        <v>2428</v>
      </c>
      <c r="E1635" t="s">
        <v>11</v>
      </c>
      <c r="F1635" t="s">
        <v>1209</v>
      </c>
      <c r="G1635" t="s">
        <v>74</v>
      </c>
      <c r="H1635" t="s">
        <v>14</v>
      </c>
    </row>
    <row r="1636" spans="1:8" hidden="1" x14ac:dyDescent="0.25">
      <c r="A1636" t="s">
        <v>2429</v>
      </c>
      <c r="B1636" s="1" t="str">
        <f>HYPERLINK("https://asmlis.vasa.lt/Dashboard/Served?ServiceDateFrom=2025-11-24&amp;ServiceDateTo=2025-11-24&amp;DumpsterInvNr=13-L-134240", "13-L-134240")</f>
        <v>13-L-134240</v>
      </c>
      <c r="C1636">
        <v>5</v>
      </c>
      <c r="D1636" t="s">
        <v>2430</v>
      </c>
      <c r="E1636" t="s">
        <v>11</v>
      </c>
      <c r="F1636" t="s">
        <v>13</v>
      </c>
      <c r="G1636" t="s">
        <v>1912</v>
      </c>
      <c r="H1636" t="s">
        <v>432</v>
      </c>
    </row>
    <row r="1637" spans="1:8" hidden="1" x14ac:dyDescent="0.25">
      <c r="A1637" t="s">
        <v>2431</v>
      </c>
      <c r="B1637" s="1" t="str">
        <f>HYPERLINK("https://asmlis.vasa.lt/Dashboard/Served?ServiceDateFrom=2025-11-24&amp;ServiceDateTo=2025-11-24&amp;DumpsterInvNr=13-L-136094", "13-L-136094")</f>
        <v>13-L-136094</v>
      </c>
      <c r="C1637">
        <v>1.1000000000000001</v>
      </c>
      <c r="D1637" t="s">
        <v>2415</v>
      </c>
      <c r="E1637" t="s">
        <v>11</v>
      </c>
      <c r="G1637" t="s">
        <v>430</v>
      </c>
      <c r="H1637" t="s">
        <v>432</v>
      </c>
    </row>
    <row r="1638" spans="1:8" hidden="1" x14ac:dyDescent="0.25">
      <c r="A1638" t="s">
        <v>2432</v>
      </c>
      <c r="B1638" s="1" t="str">
        <f>HYPERLINK("https://asmlis.vasa.lt/Dashboard/Served?ServiceDateFrom=2025-11-24&amp;ServiceDateTo=2025-11-24&amp;DumpsterInvNr=13-P-306826", "13-P-306826")</f>
        <v>13-P-306826</v>
      </c>
      <c r="C1638">
        <v>5</v>
      </c>
      <c r="D1638" t="s">
        <v>1142</v>
      </c>
      <c r="E1638" t="s">
        <v>11</v>
      </c>
      <c r="F1638" t="s">
        <v>13</v>
      </c>
      <c r="G1638" t="s">
        <v>412</v>
      </c>
      <c r="H1638" t="s">
        <v>14</v>
      </c>
    </row>
    <row r="1639" spans="1:8" hidden="1" x14ac:dyDescent="0.25">
      <c r="A1639" t="s">
        <v>2433</v>
      </c>
      <c r="B1639" s="1" t="str">
        <f>HYPERLINK("https://asmlis.vasa.lt/Dashboard/Served?ServiceDateFrom=2025-11-24&amp;ServiceDateTo=2025-11-24&amp;DumpsterInvNr=13-L-422086", "13-L-422086")</f>
        <v>13-L-422086</v>
      </c>
      <c r="C1639">
        <v>5</v>
      </c>
      <c r="D1639" t="s">
        <v>2434</v>
      </c>
      <c r="E1639" t="s">
        <v>11</v>
      </c>
      <c r="F1639" t="s">
        <v>13</v>
      </c>
      <c r="G1639" t="s">
        <v>74</v>
      </c>
      <c r="H1639" t="s">
        <v>14</v>
      </c>
    </row>
    <row r="1640" spans="1:8" hidden="1" x14ac:dyDescent="0.25">
      <c r="A1640" t="s">
        <v>2435</v>
      </c>
      <c r="B1640" s="1" t="str">
        <f>HYPERLINK("https://asmlis.vasa.lt/Dashboard/Served?ServiceDateFrom=2025-11-24&amp;ServiceDateTo=2025-11-24&amp;DumpsterInvNr=13-L-218434", "13-L-218434")</f>
        <v>13-L-218434</v>
      </c>
      <c r="C1640">
        <v>1.1000000000000001</v>
      </c>
      <c r="D1640" t="s">
        <v>1908</v>
      </c>
      <c r="E1640" t="s">
        <v>11</v>
      </c>
      <c r="G1640" t="s">
        <v>936</v>
      </c>
      <c r="H1640" t="s">
        <v>938</v>
      </c>
    </row>
    <row r="1641" spans="1:8" hidden="1" x14ac:dyDescent="0.25">
      <c r="A1641" t="s">
        <v>2436</v>
      </c>
      <c r="B1641" s="1" t="str">
        <f>HYPERLINK("https://asmlis.vasa.lt/Dashboard/Served?ServiceDateFrom=2025-11-24&amp;ServiceDateTo=2025-11-24&amp;DumpsterInvNr=13-P-103510", "13-P-103510")</f>
        <v>13-P-103510</v>
      </c>
      <c r="C1641">
        <v>0.24</v>
      </c>
      <c r="D1641" t="s">
        <v>2437</v>
      </c>
      <c r="E1641" t="s">
        <v>11</v>
      </c>
      <c r="F1641" t="s">
        <v>1209</v>
      </c>
      <c r="G1641" t="s">
        <v>1917</v>
      </c>
      <c r="H1641" t="s">
        <v>432</v>
      </c>
    </row>
    <row r="1642" spans="1:8" hidden="1" x14ac:dyDescent="0.25">
      <c r="A1642" t="s">
        <v>2438</v>
      </c>
      <c r="B1642" s="1" t="str">
        <f>HYPERLINK("https://asmlis.vasa.lt/Dashboard/Served?ServiceDateFrom=2025-11-24&amp;ServiceDateTo=2025-11-24&amp;DumpsterInvNr=13-L-111257", "13-L-111257")</f>
        <v>13-L-111257</v>
      </c>
      <c r="C1642">
        <v>0.24</v>
      </c>
      <c r="D1642" t="s">
        <v>2437</v>
      </c>
      <c r="E1642" t="s">
        <v>11</v>
      </c>
      <c r="F1642" t="s">
        <v>1209</v>
      </c>
      <c r="G1642" t="s">
        <v>1912</v>
      </c>
      <c r="H1642" t="s">
        <v>432</v>
      </c>
    </row>
    <row r="1643" spans="1:8" hidden="1" x14ac:dyDescent="0.25">
      <c r="A1643" t="s">
        <v>2440</v>
      </c>
      <c r="B1643" s="1" t="str">
        <f>HYPERLINK("https://asmlis.vasa.lt/Dashboard/Served?ServiceDateFrom=2025-11-24&amp;ServiceDateTo=2025-11-24&amp;DumpsterInvNr=13-L-404671", "13-L-404671")</f>
        <v>13-L-404671</v>
      </c>
      <c r="C1643">
        <v>0.12</v>
      </c>
      <c r="D1643" t="s">
        <v>2441</v>
      </c>
      <c r="E1643" t="s">
        <v>11</v>
      </c>
      <c r="G1643" t="s">
        <v>74</v>
      </c>
      <c r="H1643" t="s">
        <v>14</v>
      </c>
    </row>
    <row r="1644" spans="1:8" hidden="1" x14ac:dyDescent="0.25">
      <c r="A1644" t="s">
        <v>2442</v>
      </c>
      <c r="B1644" s="1" t="str">
        <f>HYPERLINK("https://asmlis.vasa.lt/Dashboard/Served?ServiceDateFrom=2025-11-24&amp;ServiceDateTo=2025-11-24&amp;DumpsterInvNr=13-L-224878", "13-L-224878")</f>
        <v>13-L-224878</v>
      </c>
      <c r="C1644">
        <v>5</v>
      </c>
      <c r="D1644" t="s">
        <v>2443</v>
      </c>
      <c r="E1644" t="s">
        <v>11</v>
      </c>
      <c r="G1644" t="s">
        <v>936</v>
      </c>
      <c r="H1644" t="s">
        <v>938</v>
      </c>
    </row>
    <row r="1645" spans="1:8" hidden="1" x14ac:dyDescent="0.25">
      <c r="A1645" t="s">
        <v>2444</v>
      </c>
      <c r="B1645" s="1" t="str">
        <f>HYPERLINK("https://asmlis.vasa.lt/Dashboard/Served?ServiceDateFrom=2025-11-24&amp;ServiceDateTo=2025-11-24&amp;DumpsterInvNr=13-L-120396", "13-L-120396")</f>
        <v>13-L-120396</v>
      </c>
      <c r="C1645">
        <v>0.24</v>
      </c>
      <c r="D1645" t="s">
        <v>2445</v>
      </c>
      <c r="E1645" t="s">
        <v>11</v>
      </c>
      <c r="G1645" t="s">
        <v>1912</v>
      </c>
      <c r="H1645" t="s">
        <v>432</v>
      </c>
    </row>
    <row r="1646" spans="1:8" hidden="1" x14ac:dyDescent="0.25">
      <c r="A1646" t="s">
        <v>2447</v>
      </c>
      <c r="B1646" s="1" t="str">
        <f>HYPERLINK("https://asmlis.vasa.lt/Dashboard/Served?ServiceDateFrom=2025-11-24&amp;ServiceDateTo=2025-11-24&amp;DumpsterInvNr=13-L-424268", "13-L-424268")</f>
        <v>13-L-424268</v>
      </c>
      <c r="C1646">
        <v>1.1000000000000001</v>
      </c>
      <c r="D1646" t="s">
        <v>2448</v>
      </c>
      <c r="E1646" t="s">
        <v>11</v>
      </c>
      <c r="G1646" t="s">
        <v>74</v>
      </c>
      <c r="H1646" t="s">
        <v>14</v>
      </c>
    </row>
    <row r="1647" spans="1:8" hidden="1" x14ac:dyDescent="0.25">
      <c r="A1647" t="s">
        <v>2449</v>
      </c>
      <c r="B1647" s="1" t="str">
        <f>HYPERLINK("https://asmlis.vasa.lt/Dashboard/Served?ServiceDateFrom=2025-11-24&amp;ServiceDateTo=2025-11-24&amp;DumpsterInvNr=13-P-103505", "13-P-103505")</f>
        <v>13-P-103505</v>
      </c>
      <c r="C1647">
        <v>0.24</v>
      </c>
      <c r="D1647" t="s">
        <v>2445</v>
      </c>
      <c r="E1647" t="s">
        <v>11</v>
      </c>
      <c r="F1647" t="s">
        <v>1209</v>
      </c>
      <c r="G1647" t="s">
        <v>1917</v>
      </c>
      <c r="H1647" t="s">
        <v>432</v>
      </c>
    </row>
    <row r="1648" spans="1:8" hidden="1" x14ac:dyDescent="0.25">
      <c r="A1648" t="s">
        <v>2450</v>
      </c>
      <c r="B1648" s="1" t="str">
        <f>HYPERLINK("https://asmlis.vasa.lt/Dashboard/Served?ServiceDateFrom=2025-11-24&amp;ServiceDateTo=2025-11-24&amp;DumpsterInvNr=13-L-217434", "13-L-217434")</f>
        <v>13-L-217434</v>
      </c>
      <c r="C1648">
        <v>1.1000000000000001</v>
      </c>
      <c r="D1648" t="s">
        <v>2417</v>
      </c>
      <c r="E1648" t="s">
        <v>11</v>
      </c>
      <c r="G1648" t="s">
        <v>936</v>
      </c>
      <c r="H1648" t="s">
        <v>938</v>
      </c>
    </row>
    <row r="1649" spans="1:8" hidden="1" x14ac:dyDescent="0.25">
      <c r="A1649" t="s">
        <v>2452</v>
      </c>
      <c r="B1649" s="1" t="str">
        <f>HYPERLINK("https://asmlis.vasa.lt/Dashboard/Served?ServiceDateFrom=2025-11-24&amp;ServiceDateTo=2025-11-24&amp;DumpsterInvNr=13-L-404670", "13-L-404670")</f>
        <v>13-L-404670</v>
      </c>
      <c r="C1649">
        <v>0.12</v>
      </c>
      <c r="D1649" t="s">
        <v>2453</v>
      </c>
      <c r="E1649" t="s">
        <v>11</v>
      </c>
      <c r="F1649" t="s">
        <v>1209</v>
      </c>
      <c r="G1649" t="s">
        <v>74</v>
      </c>
      <c r="H1649" t="s">
        <v>14</v>
      </c>
    </row>
    <row r="1650" spans="1:8" hidden="1" x14ac:dyDescent="0.25">
      <c r="A1650" t="s">
        <v>2454</v>
      </c>
      <c r="B1650" s="1" t="str">
        <f>HYPERLINK("https://asmlis.vasa.lt/Dashboard/Served?ServiceDateFrom=2025-11-24&amp;ServiceDateTo=2025-11-24&amp;DumpsterInvNr=13-T-000312", "13-T-000312")</f>
        <v>13-T-000312</v>
      </c>
      <c r="C1650">
        <v>2.5</v>
      </c>
      <c r="D1650" t="s">
        <v>2455</v>
      </c>
      <c r="E1650" t="s">
        <v>11</v>
      </c>
      <c r="F1650" t="s">
        <v>13</v>
      </c>
      <c r="G1650" t="s">
        <v>1899</v>
      </c>
      <c r="H1650" t="s">
        <v>432</v>
      </c>
    </row>
    <row r="1651" spans="1:8" hidden="1" x14ac:dyDescent="0.25">
      <c r="A1651" t="s">
        <v>2456</v>
      </c>
      <c r="B1651" s="1" t="str">
        <f>HYPERLINK("https://asmlis.vasa.lt/Dashboard/Served?ServiceDateFrom=2025-11-24&amp;ServiceDateTo=2025-11-24&amp;DumpsterInvNr=13-L-425363", "13-L-425363")</f>
        <v>13-L-425363</v>
      </c>
      <c r="C1651">
        <v>1.1000000000000001</v>
      </c>
      <c r="D1651" t="s">
        <v>2448</v>
      </c>
      <c r="E1651" t="s">
        <v>11</v>
      </c>
      <c r="G1651" t="s">
        <v>74</v>
      </c>
      <c r="H1651" t="s">
        <v>14</v>
      </c>
    </row>
    <row r="1652" spans="1:8" hidden="1" x14ac:dyDescent="0.25">
      <c r="A1652" t="s">
        <v>2456</v>
      </c>
      <c r="B1652" s="1" t="str">
        <f>HYPERLINK("https://asmlis.vasa.lt/Dashboard/Served?ServiceDateFrom=2025-11-24&amp;ServiceDateTo=2025-11-24&amp;DumpsterInvNr=13-L-213701", "13-L-213701")</f>
        <v>13-L-213701</v>
      </c>
      <c r="C1652">
        <v>1.1000000000000001</v>
      </c>
      <c r="D1652" t="s">
        <v>1908</v>
      </c>
      <c r="E1652" t="s">
        <v>11</v>
      </c>
      <c r="G1652" t="s">
        <v>936</v>
      </c>
      <c r="H1652" t="s">
        <v>938</v>
      </c>
    </row>
    <row r="1653" spans="1:8" hidden="1" x14ac:dyDescent="0.25">
      <c r="A1653" t="s">
        <v>2457</v>
      </c>
      <c r="B1653" s="1" t="str">
        <f>HYPERLINK("https://asmlis.vasa.lt/Dashboard/Served?ServiceDateFrom=2025-11-24&amp;ServiceDateTo=2025-11-24&amp;DumpsterInvNr=13-T-000313", "13-T-000313")</f>
        <v>13-T-000313</v>
      </c>
      <c r="C1653">
        <v>2.5</v>
      </c>
      <c r="D1653" t="s">
        <v>2455</v>
      </c>
      <c r="E1653" t="s">
        <v>11</v>
      </c>
      <c r="F1653" t="s">
        <v>13</v>
      </c>
      <c r="G1653" t="s">
        <v>1899</v>
      </c>
      <c r="H1653" t="s">
        <v>432</v>
      </c>
    </row>
    <row r="1654" spans="1:8" hidden="1" x14ac:dyDescent="0.25">
      <c r="A1654" t="s">
        <v>2458</v>
      </c>
      <c r="B1654" s="1" t="str">
        <f>HYPERLINK("https://asmlis.vasa.lt/Dashboard/Served?ServiceDateFrom=2025-11-24&amp;ServiceDateTo=2025-11-24&amp;DumpsterInvNr=13-T-000322", "13-T-000322")</f>
        <v>13-T-000322</v>
      </c>
      <c r="C1654">
        <v>2.5</v>
      </c>
      <c r="D1654" t="s">
        <v>2459</v>
      </c>
      <c r="E1654" t="s">
        <v>11</v>
      </c>
      <c r="F1654" t="s">
        <v>13</v>
      </c>
      <c r="G1654" t="s">
        <v>1899</v>
      </c>
      <c r="H1654" t="s">
        <v>432</v>
      </c>
    </row>
    <row r="1655" spans="1:8" hidden="1" x14ac:dyDescent="0.25">
      <c r="A1655" t="s">
        <v>2460</v>
      </c>
      <c r="B1655" s="1" t="str">
        <f>HYPERLINK("https://asmlis.vasa.lt/Dashboard/Served?ServiceDateFrom=2025-11-24&amp;ServiceDateTo=2025-11-24&amp;DumpsterInvNr=13-T-000323", "13-T-000323")</f>
        <v>13-T-000323</v>
      </c>
      <c r="C1655">
        <v>2.5</v>
      </c>
      <c r="D1655" t="s">
        <v>2459</v>
      </c>
      <c r="E1655" t="s">
        <v>11</v>
      </c>
      <c r="F1655" t="s">
        <v>13</v>
      </c>
      <c r="G1655" t="s">
        <v>1899</v>
      </c>
      <c r="H1655" t="s">
        <v>432</v>
      </c>
    </row>
    <row r="1656" spans="1:8" hidden="1" x14ac:dyDescent="0.25">
      <c r="A1656" t="s">
        <v>2461</v>
      </c>
      <c r="B1656" s="1" t="str">
        <f>HYPERLINK("https://asmlis.vasa.lt/Dashboard/Served?ServiceDateFrom=2025-11-24&amp;ServiceDateTo=2025-11-24&amp;DumpsterInvNr=13-L-424455", "13-L-424455")</f>
        <v>13-L-424455</v>
      </c>
      <c r="C1656">
        <v>5</v>
      </c>
      <c r="D1656" t="s">
        <v>1570</v>
      </c>
      <c r="E1656" t="s">
        <v>11</v>
      </c>
      <c r="G1656" t="s">
        <v>74</v>
      </c>
      <c r="H1656" t="s">
        <v>14</v>
      </c>
    </row>
    <row r="1657" spans="1:8" hidden="1" x14ac:dyDescent="0.25">
      <c r="A1657" t="s">
        <v>2462</v>
      </c>
      <c r="B1657" s="1" t="str">
        <f>HYPERLINK("https://asmlis.vasa.lt/Dashboard/Served?ServiceDateFrom=2025-11-24&amp;ServiceDateTo=2025-11-24&amp;DumpsterInvNr=13-L-425366", "13-L-425366")</f>
        <v>13-L-425366</v>
      </c>
      <c r="C1657">
        <v>1.1000000000000001</v>
      </c>
      <c r="D1657" t="s">
        <v>2448</v>
      </c>
      <c r="E1657" t="s">
        <v>11</v>
      </c>
      <c r="G1657" t="s">
        <v>74</v>
      </c>
      <c r="H1657" t="s">
        <v>14</v>
      </c>
    </row>
    <row r="1658" spans="1:8" hidden="1" x14ac:dyDescent="0.25">
      <c r="A1658" t="s">
        <v>2463</v>
      </c>
      <c r="B1658" s="1" t="str">
        <f>HYPERLINK("https://asmlis.vasa.lt/Dashboard/Served?ServiceDateFrom=2025-11-24&amp;ServiceDateTo=2025-11-24&amp;DumpsterInvNr=13-L-316861", "13-L-316861")</f>
        <v>13-L-316861</v>
      </c>
      <c r="C1658">
        <v>1.1000000000000001</v>
      </c>
      <c r="D1658" t="s">
        <v>2464</v>
      </c>
      <c r="E1658" t="s">
        <v>11</v>
      </c>
      <c r="G1658" t="s">
        <v>9</v>
      </c>
      <c r="H1658" t="s">
        <v>14</v>
      </c>
    </row>
    <row r="1659" spans="1:8" hidden="1" x14ac:dyDescent="0.25">
      <c r="A1659" t="s">
        <v>2465</v>
      </c>
      <c r="B1659" s="1" t="str">
        <f>HYPERLINK("https://asmlis.vasa.lt/Dashboard/Served?ServiceDateFrom=2025-11-24&amp;ServiceDateTo=2025-11-24&amp;DumpsterInvNr=13-P-204897", "13-P-204897")</f>
        <v>13-P-204897</v>
      </c>
      <c r="C1659">
        <v>5</v>
      </c>
      <c r="D1659" t="s">
        <v>2466</v>
      </c>
      <c r="E1659" t="s">
        <v>11</v>
      </c>
      <c r="G1659" t="s">
        <v>234</v>
      </c>
      <c r="H1659" t="s">
        <v>14</v>
      </c>
    </row>
    <row r="1660" spans="1:8" hidden="1" x14ac:dyDescent="0.25">
      <c r="A1660" t="s">
        <v>2467</v>
      </c>
      <c r="B1660" s="1" t="str">
        <f>HYPERLINK("https://asmlis.vasa.lt/Dashboard/Served?ServiceDateFrom=2025-11-24&amp;ServiceDateTo=2025-11-24&amp;DumpsterInvNr=13-L-304362", "13-L-304362")</f>
        <v>13-L-304362</v>
      </c>
      <c r="C1660">
        <v>5</v>
      </c>
      <c r="D1660" t="s">
        <v>2468</v>
      </c>
      <c r="E1660" t="s">
        <v>11</v>
      </c>
      <c r="F1660" t="s">
        <v>13</v>
      </c>
      <c r="G1660" t="s">
        <v>9</v>
      </c>
      <c r="H1660" t="s">
        <v>14</v>
      </c>
    </row>
    <row r="1661" spans="1:8" hidden="1" x14ac:dyDescent="0.25">
      <c r="A1661" t="s">
        <v>2469</v>
      </c>
      <c r="B1661" s="1" t="str">
        <f>HYPERLINK("https://asmlis.vasa.lt/Dashboard/Served?ServiceDateFrom=2025-11-24&amp;ServiceDateTo=2025-11-24&amp;DumpsterInvNr=13-L-210568", "13-L-210568")</f>
        <v>13-L-210568</v>
      </c>
      <c r="C1661">
        <v>1.1000000000000001</v>
      </c>
      <c r="D1661" t="s">
        <v>1908</v>
      </c>
      <c r="E1661" t="s">
        <v>11</v>
      </c>
      <c r="G1661" t="s">
        <v>936</v>
      </c>
      <c r="H1661" t="s">
        <v>938</v>
      </c>
    </row>
    <row r="1662" spans="1:8" hidden="1" x14ac:dyDescent="0.25">
      <c r="A1662" t="s">
        <v>2470</v>
      </c>
      <c r="B1662" s="1" t="str">
        <f>HYPERLINK("https://asmlis.vasa.lt/Dashboard/Served?ServiceDateFrom=2025-11-24&amp;ServiceDateTo=2025-11-24&amp;DumpsterInvNr=13-L-318020", "13-L-318020")</f>
        <v>13-L-318020</v>
      </c>
      <c r="C1662">
        <v>1.1000000000000001</v>
      </c>
      <c r="D1662" t="s">
        <v>2464</v>
      </c>
      <c r="E1662" t="s">
        <v>11</v>
      </c>
      <c r="G1662" t="s">
        <v>9</v>
      </c>
      <c r="H1662" t="s">
        <v>14</v>
      </c>
    </row>
    <row r="1663" spans="1:8" hidden="1" x14ac:dyDescent="0.25">
      <c r="A1663" t="s">
        <v>2471</v>
      </c>
      <c r="B1663" s="1" t="str">
        <f>HYPERLINK("https://asmlis.vasa.lt/Dashboard/Served?ServiceDateFrom=2025-11-24&amp;ServiceDateTo=2025-11-24&amp;DumpsterInvNr=13-P-400641", "13-P-400641")</f>
        <v>13-P-400641</v>
      </c>
      <c r="C1663">
        <v>5</v>
      </c>
      <c r="D1663" t="s">
        <v>2472</v>
      </c>
      <c r="E1663" t="s">
        <v>11</v>
      </c>
      <c r="F1663" t="s">
        <v>13</v>
      </c>
      <c r="G1663" t="s">
        <v>264</v>
      </c>
      <c r="H1663" t="s">
        <v>14</v>
      </c>
    </row>
    <row r="1664" spans="1:8" hidden="1" x14ac:dyDescent="0.25">
      <c r="A1664" t="s">
        <v>2473</v>
      </c>
      <c r="B1664" s="1" t="str">
        <f>HYPERLINK("https://asmlis.vasa.lt/Dashboard/Served?ServiceDateFrom=2025-11-24&amp;ServiceDateTo=2025-11-24&amp;DumpsterInvNr=13-L-422957", "13-L-422957")</f>
        <v>13-L-422957</v>
      </c>
      <c r="C1664">
        <v>1.1000000000000001</v>
      </c>
      <c r="D1664" t="s">
        <v>2448</v>
      </c>
      <c r="E1664" t="s">
        <v>11</v>
      </c>
      <c r="G1664" t="s">
        <v>74</v>
      </c>
      <c r="H1664" t="s">
        <v>14</v>
      </c>
    </row>
    <row r="1665" spans="1:10" hidden="1" x14ac:dyDescent="0.25">
      <c r="A1665" t="s">
        <v>2474</v>
      </c>
      <c r="B1665" s="1" t="str">
        <f>HYPERLINK("https://asmlis.vasa.lt/Dashboard/Served?ServiceDateFrom=2025-11-24&amp;ServiceDateTo=2025-11-24&amp;DumpsterInvNr=13-P-415695", "13-P-415695")</f>
        <v>13-P-415695</v>
      </c>
      <c r="C1665">
        <v>5</v>
      </c>
      <c r="D1665" t="s">
        <v>2472</v>
      </c>
      <c r="E1665" t="s">
        <v>11</v>
      </c>
      <c r="F1665" t="s">
        <v>13</v>
      </c>
      <c r="G1665" t="s">
        <v>264</v>
      </c>
      <c r="H1665" t="s">
        <v>14</v>
      </c>
    </row>
    <row r="1666" spans="1:10" hidden="1" x14ac:dyDescent="0.25">
      <c r="A1666" t="s">
        <v>2475</v>
      </c>
      <c r="B1666" s="1" t="str">
        <f>HYPERLINK("https://asmlis.vasa.lt/Dashboard/Served?ServiceDateFrom=2025-11-24&amp;ServiceDateTo=2025-11-24&amp;DumpsterInvNr=13-P-401681", "13-P-401681")</f>
        <v>13-P-401681</v>
      </c>
      <c r="C1666">
        <v>1.1000000000000001</v>
      </c>
      <c r="D1666" t="s">
        <v>134</v>
      </c>
      <c r="E1666" t="s">
        <v>11</v>
      </c>
      <c r="F1666" t="s">
        <v>13</v>
      </c>
      <c r="G1666" t="s">
        <v>264</v>
      </c>
      <c r="H1666" t="s">
        <v>14</v>
      </c>
    </row>
    <row r="1667" spans="1:10" hidden="1" x14ac:dyDescent="0.25">
      <c r="A1667" t="s">
        <v>2476</v>
      </c>
      <c r="B1667" s="1" t="str">
        <f>HYPERLINK("https://asmlis.vasa.lt/Dashboard/Served?ServiceDateFrom=2025-11-24&amp;ServiceDateTo=2025-11-24&amp;DumpsterInvNr=13-P-401568", "13-P-401568")</f>
        <v>13-P-401568</v>
      </c>
      <c r="C1667">
        <v>1.1000000000000001</v>
      </c>
      <c r="D1667" t="s">
        <v>134</v>
      </c>
      <c r="E1667" t="s">
        <v>11</v>
      </c>
      <c r="F1667" t="s">
        <v>13</v>
      </c>
      <c r="G1667" t="s">
        <v>264</v>
      </c>
      <c r="H1667" t="s">
        <v>14</v>
      </c>
    </row>
    <row r="1668" spans="1:10" hidden="1" x14ac:dyDescent="0.25">
      <c r="A1668" t="s">
        <v>2477</v>
      </c>
      <c r="B1668" s="1" t="str">
        <f>HYPERLINK("https://asmlis.vasa.lt/Dashboard/Served?ServiceDateFrom=2025-11-24&amp;ServiceDateTo=2025-11-24&amp;DumpsterInvNr=13-L-136692", "13-L-136692")</f>
        <v>13-L-136692</v>
      </c>
      <c r="C1668">
        <v>5</v>
      </c>
      <c r="D1668" t="s">
        <v>2478</v>
      </c>
      <c r="E1668" t="s">
        <v>11</v>
      </c>
      <c r="F1668" t="s">
        <v>13</v>
      </c>
      <c r="G1668" t="s">
        <v>430</v>
      </c>
      <c r="H1668" t="s">
        <v>432</v>
      </c>
    </row>
    <row r="1669" spans="1:10" hidden="1" x14ac:dyDescent="0.25">
      <c r="A1669" t="s">
        <v>2479</v>
      </c>
      <c r="B1669" s="1" t="str">
        <f>HYPERLINK("https://asmlis.vasa.lt/Dashboard/Served?ServiceDateFrom=2025-11-24&amp;ServiceDateTo=2025-11-24&amp;DumpsterInvNr=13-T-000084", "13-T-000084")</f>
        <v>13-T-000084</v>
      </c>
      <c r="C1669">
        <v>2.5</v>
      </c>
      <c r="D1669" t="s">
        <v>2480</v>
      </c>
      <c r="E1669" t="s">
        <v>11</v>
      </c>
      <c r="F1669" t="s">
        <v>13</v>
      </c>
      <c r="G1669" t="s">
        <v>1899</v>
      </c>
      <c r="H1669" t="s">
        <v>432</v>
      </c>
    </row>
    <row r="1670" spans="1:10" hidden="1" x14ac:dyDescent="0.25">
      <c r="A1670" t="s">
        <v>2481</v>
      </c>
      <c r="B1670" s="1" t="str">
        <f>HYPERLINK("https://asmlis.vasa.lt/Dashboard/Served?ServiceDateFrom=2025-11-24&amp;ServiceDateTo=2025-11-24&amp;DumpsterInvNr=13-L-135459", "13-L-135459")</f>
        <v>13-L-135459</v>
      </c>
      <c r="C1670">
        <v>5</v>
      </c>
      <c r="D1670" t="s">
        <v>2482</v>
      </c>
      <c r="E1670" t="s">
        <v>11</v>
      </c>
      <c r="F1670" t="s">
        <v>13</v>
      </c>
      <c r="G1670" t="s">
        <v>430</v>
      </c>
      <c r="H1670" t="s">
        <v>432</v>
      </c>
    </row>
    <row r="1671" spans="1:10" hidden="1" x14ac:dyDescent="0.25">
      <c r="A1671" t="s">
        <v>2426</v>
      </c>
      <c r="B1671" s="1" t="str">
        <f>HYPERLINK("https://asmlis.vasa.lt/Dashboard/Served?ServiceDateFrom=2025-11-24&amp;ServiceDateTo=2025-11-24&amp;DumpsterInvNr=13-S-103191", "13-S-103191")</f>
        <v>13-S-103191</v>
      </c>
      <c r="C1671">
        <v>0.12</v>
      </c>
      <c r="D1671" t="s">
        <v>2437</v>
      </c>
      <c r="E1671" t="s">
        <v>11</v>
      </c>
      <c r="F1671" t="s">
        <v>1209</v>
      </c>
      <c r="G1671" t="s">
        <v>1917</v>
      </c>
      <c r="H1671" t="s">
        <v>432</v>
      </c>
    </row>
    <row r="1672" spans="1:10" hidden="1" x14ac:dyDescent="0.25">
      <c r="A1672" t="s">
        <v>2483</v>
      </c>
      <c r="B1672" s="1" t="str">
        <f>HYPERLINK("https://asmlis.vasa.lt/Dashboard/Served?ServiceDateFrom=2025-11-24&amp;ServiceDateTo=2025-11-24&amp;DumpsterInvNr=13-T-000070", "13-T-000070")</f>
        <v>13-T-000070</v>
      </c>
      <c r="C1672">
        <v>2.5</v>
      </c>
      <c r="D1672" t="s">
        <v>2480</v>
      </c>
      <c r="E1672" t="s">
        <v>11</v>
      </c>
      <c r="F1672" t="s">
        <v>13</v>
      </c>
      <c r="G1672" t="s">
        <v>1899</v>
      </c>
      <c r="H1672" t="s">
        <v>432</v>
      </c>
    </row>
    <row r="1673" spans="1:10" hidden="1" x14ac:dyDescent="0.25">
      <c r="A1673" t="s">
        <v>2484</v>
      </c>
      <c r="B1673" s="1" t="str">
        <f>HYPERLINK("https://asmlis.vasa.lt/Dashboard/Served?ServiceDateFrom=2025-11-24&amp;ServiceDateTo=2025-11-24&amp;DumpsterInvNr=13-L-412880", "13-L-412880")</f>
        <v>13-L-412880</v>
      </c>
      <c r="C1673">
        <v>0.12</v>
      </c>
      <c r="D1673" t="s">
        <v>2485</v>
      </c>
      <c r="E1673" t="s">
        <v>11</v>
      </c>
      <c r="G1673" t="s">
        <v>74</v>
      </c>
      <c r="H1673" t="s">
        <v>14</v>
      </c>
    </row>
    <row r="1674" spans="1:10" hidden="1" x14ac:dyDescent="0.25">
      <c r="A1674" t="s">
        <v>2486</v>
      </c>
      <c r="B1674" s="1" t="str">
        <f>HYPERLINK("https://asmlis.vasa.lt/Dashboard/Served?ServiceDateFrom=2025-11-24&amp;ServiceDateTo=2025-11-24&amp;DumpsterInvNr=13-L-133762", "13-L-133762")</f>
        <v>13-L-133762</v>
      </c>
      <c r="C1674">
        <v>1.1000000000000001</v>
      </c>
      <c r="D1674" t="s">
        <v>2487</v>
      </c>
      <c r="E1674" t="s">
        <v>11</v>
      </c>
      <c r="G1674" t="s">
        <v>1912</v>
      </c>
      <c r="H1674" t="s">
        <v>432</v>
      </c>
    </row>
    <row r="1675" spans="1:10" hidden="1" x14ac:dyDescent="0.25">
      <c r="A1675" t="s">
        <v>2488</v>
      </c>
      <c r="B1675" s="1" t="str">
        <f>HYPERLINK("https://asmlis.vasa.lt/Dashboard/Served?ServiceDateFrom=2025-11-24&amp;ServiceDateTo=2025-11-24&amp;DumpsterInvNr=13-P-301928", "13-P-301928")</f>
        <v>13-P-301928</v>
      </c>
      <c r="C1675">
        <v>1.1000000000000001</v>
      </c>
      <c r="D1675" t="s">
        <v>448</v>
      </c>
      <c r="E1675" t="s">
        <v>11</v>
      </c>
      <c r="G1675" t="s">
        <v>412</v>
      </c>
      <c r="H1675" t="s">
        <v>14</v>
      </c>
    </row>
    <row r="1676" spans="1:10" x14ac:dyDescent="0.25">
      <c r="A1676" t="s">
        <v>2489</v>
      </c>
      <c r="B1676" s="1" t="str">
        <f>HYPERLINK("https://asmlis.vasa.lt/Dashboard/Served?ServiceDateFrom=2025-11-24&amp;ServiceDateTo=2025-11-24&amp;DumpsterInvNr=13-P-115072", "13-P-115072")</f>
        <v>13-P-115072</v>
      </c>
      <c r="C1676">
        <v>1.1000000000000001</v>
      </c>
      <c r="D1676" t="s">
        <v>2490</v>
      </c>
      <c r="E1676" t="s">
        <v>11</v>
      </c>
      <c r="F1676" t="s">
        <v>2491</v>
      </c>
      <c r="G1676" t="s">
        <v>1917</v>
      </c>
      <c r="H1676" t="s">
        <v>432</v>
      </c>
      <c r="J1676" t="s">
        <v>17511</v>
      </c>
    </row>
    <row r="1677" spans="1:10" hidden="1" x14ac:dyDescent="0.25">
      <c r="A1677" t="s">
        <v>2493</v>
      </c>
      <c r="B1677" s="1" t="str">
        <f>HYPERLINK("https://asmlis.vasa.lt/Dashboard/Served?ServiceDateFrom=2025-11-24&amp;ServiceDateTo=2025-11-24&amp;DumpsterInvNr=13-P-301672", "13-P-301672")</f>
        <v>13-P-301672</v>
      </c>
      <c r="C1677">
        <v>1.1000000000000001</v>
      </c>
      <c r="D1677" t="s">
        <v>448</v>
      </c>
      <c r="E1677" t="s">
        <v>11</v>
      </c>
      <c r="G1677" t="s">
        <v>412</v>
      </c>
      <c r="H1677" t="s">
        <v>14</v>
      </c>
    </row>
    <row r="1678" spans="1:10" hidden="1" x14ac:dyDescent="0.25">
      <c r="A1678" t="s">
        <v>2494</v>
      </c>
      <c r="B1678" s="1" t="str">
        <f>HYPERLINK("https://asmlis.vasa.lt/Dashboard/Served?ServiceDateFrom=2025-11-24&amp;ServiceDateTo=2025-11-24&amp;DumpsterInvNr=13-L-141411", "13-L-141411")</f>
        <v>13-L-141411</v>
      </c>
      <c r="C1678">
        <v>0.24</v>
      </c>
      <c r="D1678" t="s">
        <v>2495</v>
      </c>
      <c r="E1678" t="s">
        <v>11</v>
      </c>
      <c r="G1678" t="s">
        <v>1912</v>
      </c>
      <c r="H1678" t="s">
        <v>432</v>
      </c>
    </row>
    <row r="1679" spans="1:10" hidden="1" x14ac:dyDescent="0.25">
      <c r="A1679" t="s">
        <v>2492</v>
      </c>
      <c r="B1679" s="1" t="str">
        <f>HYPERLINK("https://asmlis.vasa.lt/Dashboard/Served?ServiceDateFrom=2025-11-24&amp;ServiceDateTo=2025-11-24&amp;DumpsterInvNr=13-L-121758", "13-L-121758")</f>
        <v>13-L-121758</v>
      </c>
      <c r="C1679">
        <v>1.1000000000000001</v>
      </c>
      <c r="D1679" t="s">
        <v>2487</v>
      </c>
      <c r="E1679" t="s">
        <v>11</v>
      </c>
      <c r="G1679" t="s">
        <v>1912</v>
      </c>
      <c r="H1679" t="s">
        <v>432</v>
      </c>
    </row>
    <row r="1680" spans="1:10" hidden="1" x14ac:dyDescent="0.25">
      <c r="A1680" t="s">
        <v>2496</v>
      </c>
      <c r="B1680" s="1" t="str">
        <f>HYPERLINK("https://asmlis.vasa.lt/Dashboard/Served?ServiceDateFrom=2025-11-24&amp;ServiceDateTo=2025-11-24&amp;DumpsterInvNr=13-P-114671", "13-P-114671")</f>
        <v>13-P-114671</v>
      </c>
      <c r="C1680">
        <v>0.24</v>
      </c>
      <c r="D1680" t="s">
        <v>2495</v>
      </c>
      <c r="E1680" t="s">
        <v>11</v>
      </c>
      <c r="F1680" t="s">
        <v>1209</v>
      </c>
      <c r="G1680" t="s">
        <v>1917</v>
      </c>
      <c r="H1680" t="s">
        <v>432</v>
      </c>
    </row>
    <row r="1681" spans="1:8" hidden="1" x14ac:dyDescent="0.25">
      <c r="A1681" t="s">
        <v>2497</v>
      </c>
      <c r="B1681" s="1" t="str">
        <f>HYPERLINK("https://asmlis.vasa.lt/Dashboard/Served?ServiceDateFrom=2025-11-24&amp;ServiceDateTo=2025-11-24&amp;DumpsterInvNr=13-S-104138", "13-S-104138")</f>
        <v>13-S-104138</v>
      </c>
      <c r="C1681">
        <v>0.12</v>
      </c>
      <c r="D1681" t="s">
        <v>2400</v>
      </c>
      <c r="E1681" t="s">
        <v>11</v>
      </c>
      <c r="F1681" t="s">
        <v>1209</v>
      </c>
      <c r="G1681" t="s">
        <v>1917</v>
      </c>
      <c r="H1681" t="s">
        <v>432</v>
      </c>
    </row>
    <row r="1682" spans="1:8" hidden="1" x14ac:dyDescent="0.25">
      <c r="A1682" t="s">
        <v>2497</v>
      </c>
      <c r="B1682" s="1" t="str">
        <f>HYPERLINK("https://asmlis.vasa.lt/Dashboard/Served?ServiceDateFrom=2025-11-24&amp;ServiceDateTo=2025-11-24&amp;DumpsterInvNr=13-P-500520", "13-P-500520")</f>
        <v>13-P-500520</v>
      </c>
      <c r="C1682">
        <v>5</v>
      </c>
      <c r="D1682" t="s">
        <v>2499</v>
      </c>
      <c r="E1682" t="s">
        <v>11</v>
      </c>
      <c r="F1682" t="s">
        <v>13</v>
      </c>
      <c r="G1682" t="s">
        <v>2178</v>
      </c>
      <c r="H1682" t="s">
        <v>432</v>
      </c>
    </row>
    <row r="1683" spans="1:8" hidden="1" x14ac:dyDescent="0.25">
      <c r="A1683" t="s">
        <v>2500</v>
      </c>
      <c r="B1683" s="1" t="str">
        <f>HYPERLINK("https://asmlis.vasa.lt/Dashboard/Served?ServiceDateFrom=2025-11-24&amp;ServiceDateTo=2025-11-24&amp;DumpsterInvNr=13-L-144080", "13-L-144080")</f>
        <v>13-L-144080</v>
      </c>
      <c r="C1683">
        <v>5</v>
      </c>
      <c r="D1683" t="s">
        <v>2501</v>
      </c>
      <c r="E1683" t="s">
        <v>11</v>
      </c>
      <c r="F1683" t="s">
        <v>13</v>
      </c>
      <c r="G1683" t="s">
        <v>430</v>
      </c>
      <c r="H1683" t="s">
        <v>432</v>
      </c>
    </row>
    <row r="1684" spans="1:8" hidden="1" x14ac:dyDescent="0.25">
      <c r="A1684" t="s">
        <v>2502</v>
      </c>
      <c r="B1684" s="1" t="str">
        <f>HYPERLINK("https://asmlis.vasa.lt/Dashboard/Served?ServiceDateFrom=2025-11-24&amp;ServiceDateTo=2025-11-24&amp;DumpsterInvNr=13-L-133842", "13-L-133842")</f>
        <v>13-L-133842</v>
      </c>
      <c r="C1684">
        <v>5</v>
      </c>
      <c r="D1684" t="s">
        <v>2503</v>
      </c>
      <c r="E1684" t="s">
        <v>11</v>
      </c>
      <c r="F1684" t="s">
        <v>13</v>
      </c>
      <c r="G1684" t="s">
        <v>430</v>
      </c>
      <c r="H1684" t="s">
        <v>432</v>
      </c>
    </row>
    <row r="1685" spans="1:8" hidden="1" x14ac:dyDescent="0.25">
      <c r="A1685" t="s">
        <v>2504</v>
      </c>
      <c r="B1685" s="1" t="str">
        <f>HYPERLINK("https://asmlis.vasa.lt/Dashboard/Served?ServiceDateFrom=2025-11-24&amp;ServiceDateTo=2025-11-24&amp;DumpsterInvNr=13-L-213821", "13-L-213821")</f>
        <v>13-L-213821</v>
      </c>
      <c r="C1685">
        <v>1.1000000000000001</v>
      </c>
      <c r="D1685" t="s">
        <v>1908</v>
      </c>
      <c r="E1685" t="s">
        <v>11</v>
      </c>
      <c r="G1685" t="s">
        <v>936</v>
      </c>
      <c r="H1685" t="s">
        <v>938</v>
      </c>
    </row>
    <row r="1686" spans="1:8" hidden="1" x14ac:dyDescent="0.25">
      <c r="A1686" t="s">
        <v>2505</v>
      </c>
      <c r="B1686" s="1" t="str">
        <f>HYPERLINK("https://asmlis.vasa.lt/Dashboard/Served?ServiceDateFrom=2025-11-24&amp;ServiceDateTo=2025-11-24&amp;DumpsterInvNr=13-P-301625", "13-P-301625")</f>
        <v>13-P-301625</v>
      </c>
      <c r="C1686">
        <v>1.1000000000000001</v>
      </c>
      <c r="D1686" t="s">
        <v>448</v>
      </c>
      <c r="E1686" t="s">
        <v>11</v>
      </c>
      <c r="F1686" t="s">
        <v>13</v>
      </c>
      <c r="G1686" t="s">
        <v>412</v>
      </c>
      <c r="H1686" t="s">
        <v>14</v>
      </c>
    </row>
    <row r="1687" spans="1:8" hidden="1" x14ac:dyDescent="0.25">
      <c r="A1687" t="s">
        <v>2506</v>
      </c>
      <c r="B1687" s="1" t="str">
        <f>HYPERLINK("https://asmlis.vasa.lt/Dashboard/Served?ServiceDateFrom=2025-11-24&amp;ServiceDateTo=2025-11-24&amp;DumpsterInvNr=13-L-134241", "13-L-134241")</f>
        <v>13-L-134241</v>
      </c>
      <c r="C1687">
        <v>5</v>
      </c>
      <c r="D1687" t="s">
        <v>2507</v>
      </c>
      <c r="E1687" t="s">
        <v>11</v>
      </c>
      <c r="F1687" t="s">
        <v>13</v>
      </c>
      <c r="G1687" t="s">
        <v>1912</v>
      </c>
      <c r="H1687" t="s">
        <v>432</v>
      </c>
    </row>
    <row r="1688" spans="1:8" hidden="1" x14ac:dyDescent="0.25">
      <c r="A1688" t="s">
        <v>2508</v>
      </c>
      <c r="B1688" s="1" t="str">
        <f>HYPERLINK("https://asmlis.vasa.lt/Dashboard/Served?ServiceDateFrom=2025-11-24&amp;ServiceDateTo=2025-11-24&amp;DumpsterInvNr=13-L-103747", "13-L-103747")</f>
        <v>13-L-103747</v>
      </c>
      <c r="C1688">
        <v>0.77</v>
      </c>
      <c r="D1688" t="s">
        <v>2509</v>
      </c>
      <c r="E1688" t="s">
        <v>11</v>
      </c>
      <c r="G1688" t="s">
        <v>430</v>
      </c>
      <c r="H1688" t="s">
        <v>432</v>
      </c>
    </row>
    <row r="1689" spans="1:8" hidden="1" x14ac:dyDescent="0.25">
      <c r="A1689" t="s">
        <v>2511</v>
      </c>
      <c r="B1689" s="1" t="str">
        <f>HYPERLINK("https://asmlis.vasa.lt/Dashboard/Served?ServiceDateFrom=2025-11-24&amp;ServiceDateTo=2025-11-24&amp;DumpsterInvNr=13-L-219863", "13-L-219863")</f>
        <v>13-L-219863</v>
      </c>
      <c r="C1689">
        <v>1.1000000000000001</v>
      </c>
      <c r="D1689" t="s">
        <v>1908</v>
      </c>
      <c r="E1689" t="s">
        <v>11</v>
      </c>
      <c r="G1689" t="s">
        <v>936</v>
      </c>
      <c r="H1689" t="s">
        <v>938</v>
      </c>
    </row>
    <row r="1690" spans="1:8" hidden="1" x14ac:dyDescent="0.25">
      <c r="A1690" t="s">
        <v>2512</v>
      </c>
      <c r="B1690" s="1" t="str">
        <f>HYPERLINK("https://asmlis.vasa.lt/Dashboard/Served?ServiceDateFrom=2025-11-24&amp;ServiceDateTo=2025-11-24&amp;DumpsterInvNr=13-L-223207", "13-L-223207")</f>
        <v>13-L-223207</v>
      </c>
      <c r="C1690">
        <v>5</v>
      </c>
      <c r="D1690" t="s">
        <v>2513</v>
      </c>
      <c r="E1690" t="s">
        <v>11</v>
      </c>
      <c r="F1690" t="s">
        <v>13</v>
      </c>
      <c r="G1690" t="s">
        <v>936</v>
      </c>
      <c r="H1690" t="s">
        <v>938</v>
      </c>
    </row>
    <row r="1691" spans="1:8" hidden="1" x14ac:dyDescent="0.25">
      <c r="A1691" t="s">
        <v>2514</v>
      </c>
      <c r="B1691" s="1" t="str">
        <f>HYPERLINK("https://asmlis.vasa.lt/Dashboard/Served?ServiceDateFrom=2025-11-24&amp;ServiceDateTo=2025-11-24&amp;DumpsterInvNr=13-P-302411", "13-P-302411")</f>
        <v>13-P-302411</v>
      </c>
      <c r="C1691">
        <v>5</v>
      </c>
      <c r="D1691" t="s">
        <v>1101</v>
      </c>
      <c r="E1691" t="s">
        <v>11</v>
      </c>
      <c r="F1691" t="s">
        <v>13</v>
      </c>
      <c r="G1691" t="s">
        <v>412</v>
      </c>
      <c r="H1691" t="s">
        <v>14</v>
      </c>
    </row>
    <row r="1692" spans="1:8" hidden="1" x14ac:dyDescent="0.25">
      <c r="A1692" t="s">
        <v>2515</v>
      </c>
      <c r="B1692" s="1" t="str">
        <f>HYPERLINK("https://asmlis.vasa.lt/Dashboard/Served?ServiceDateFrom=2025-11-24&amp;ServiceDateTo=2025-11-24&amp;DumpsterInvNr=13-P-302575", "13-P-302575")</f>
        <v>13-P-302575</v>
      </c>
      <c r="C1692">
        <v>5</v>
      </c>
      <c r="D1692" t="s">
        <v>1101</v>
      </c>
      <c r="E1692" t="s">
        <v>11</v>
      </c>
      <c r="F1692" t="s">
        <v>13</v>
      </c>
      <c r="G1692" t="s">
        <v>412</v>
      </c>
      <c r="H1692" t="s">
        <v>14</v>
      </c>
    </row>
    <row r="1693" spans="1:8" hidden="1" x14ac:dyDescent="0.25">
      <c r="A1693" t="s">
        <v>2516</v>
      </c>
      <c r="B1693" s="1" t="str">
        <f>HYPERLINK("https://asmlis.vasa.lt/Dashboard/Served?ServiceDateFrom=2025-11-24&amp;ServiceDateTo=2025-11-24&amp;DumpsterInvNr=13-L-316583", "13-L-316583")</f>
        <v>13-L-316583</v>
      </c>
      <c r="C1693">
        <v>0.12</v>
      </c>
      <c r="D1693" t="s">
        <v>2517</v>
      </c>
      <c r="E1693" t="s">
        <v>11</v>
      </c>
      <c r="G1693" t="s">
        <v>9</v>
      </c>
      <c r="H1693" t="s">
        <v>14</v>
      </c>
    </row>
    <row r="1694" spans="1:8" hidden="1" x14ac:dyDescent="0.25">
      <c r="A1694" t="s">
        <v>2516</v>
      </c>
      <c r="B1694" s="1" t="str">
        <f>HYPERLINK("https://asmlis.vasa.lt/Dashboard/Served?ServiceDateFrom=2025-11-24&amp;ServiceDateTo=2025-11-24&amp;DumpsterInvNr=13-L-307888", "13-L-307888")</f>
        <v>13-L-307888</v>
      </c>
      <c r="C1694">
        <v>0.12</v>
      </c>
      <c r="D1694" t="s">
        <v>2517</v>
      </c>
      <c r="E1694" t="s">
        <v>11</v>
      </c>
      <c r="G1694" t="s">
        <v>9</v>
      </c>
      <c r="H1694" t="s">
        <v>14</v>
      </c>
    </row>
    <row r="1695" spans="1:8" hidden="1" x14ac:dyDescent="0.25">
      <c r="A1695" t="s">
        <v>2518</v>
      </c>
      <c r="B1695" s="1" t="str">
        <f>HYPERLINK("https://asmlis.vasa.lt/Dashboard/Served?ServiceDateFrom=2025-11-24&amp;ServiceDateTo=2025-11-24&amp;DumpsterInvNr=13-P-415767", "13-P-415767")</f>
        <v>13-P-415767</v>
      </c>
      <c r="C1695">
        <v>0.24</v>
      </c>
      <c r="D1695" t="s">
        <v>2519</v>
      </c>
      <c r="E1695" t="s">
        <v>11</v>
      </c>
      <c r="G1695" t="s">
        <v>264</v>
      </c>
      <c r="H1695" t="s">
        <v>14</v>
      </c>
    </row>
    <row r="1696" spans="1:8" hidden="1" x14ac:dyDescent="0.25">
      <c r="A1696" t="s">
        <v>2520</v>
      </c>
      <c r="B1696" s="1" t="str">
        <f>HYPERLINK("https://asmlis.vasa.lt/Dashboard/Served?ServiceDateFrom=2025-11-24&amp;ServiceDateTo=2025-11-24&amp;DumpsterInvNr=13-L-208798", "13-L-208798")</f>
        <v>13-L-208798</v>
      </c>
      <c r="C1696">
        <v>1.1000000000000001</v>
      </c>
      <c r="D1696" t="s">
        <v>1908</v>
      </c>
      <c r="E1696" t="s">
        <v>11</v>
      </c>
      <c r="G1696" t="s">
        <v>936</v>
      </c>
      <c r="H1696" t="s">
        <v>938</v>
      </c>
    </row>
    <row r="1697" spans="1:10" hidden="1" x14ac:dyDescent="0.25">
      <c r="A1697" t="s">
        <v>2521</v>
      </c>
      <c r="B1697" s="1" t="str">
        <f>HYPERLINK("https://asmlis.vasa.lt/Dashboard/Served?ServiceDateFrom=2025-11-24&amp;ServiceDateTo=2025-11-24&amp;DumpsterInvNr=13-P-102404", "13-P-102404")</f>
        <v>13-P-102404</v>
      </c>
      <c r="C1697">
        <v>5</v>
      </c>
      <c r="D1697" t="s">
        <v>2522</v>
      </c>
      <c r="E1697" t="s">
        <v>11</v>
      </c>
      <c r="F1697" t="s">
        <v>13</v>
      </c>
      <c r="G1697" t="s">
        <v>1917</v>
      </c>
      <c r="H1697" t="s">
        <v>432</v>
      </c>
    </row>
    <row r="1698" spans="1:10" hidden="1" x14ac:dyDescent="0.25">
      <c r="A1698" t="s">
        <v>2523</v>
      </c>
      <c r="B1698" s="1" t="str">
        <f>HYPERLINK("https://asmlis.vasa.lt/Dashboard/Served?ServiceDateFrom=2025-11-24&amp;ServiceDateTo=2025-11-24&amp;DumpsterInvNr=13-S-408173", "13-S-408173")</f>
        <v>13-S-408173</v>
      </c>
      <c r="C1698">
        <v>0.12</v>
      </c>
      <c r="D1698" t="s">
        <v>2524</v>
      </c>
      <c r="E1698" t="s">
        <v>11</v>
      </c>
      <c r="G1698" t="s">
        <v>264</v>
      </c>
      <c r="H1698" t="s">
        <v>14</v>
      </c>
    </row>
    <row r="1699" spans="1:10" hidden="1" x14ac:dyDescent="0.25">
      <c r="A1699" t="s">
        <v>2525</v>
      </c>
      <c r="B1699" s="1" t="str">
        <f>HYPERLINK("https://asmlis.vasa.lt/Dashboard/Served?ServiceDateFrom=2025-11-24&amp;ServiceDateTo=2025-11-24&amp;DumpsterInvNr=13-P-207667", "13-P-207667")</f>
        <v>13-P-207667</v>
      </c>
      <c r="C1699">
        <v>5</v>
      </c>
      <c r="D1699" t="s">
        <v>2526</v>
      </c>
      <c r="E1699" t="s">
        <v>11</v>
      </c>
      <c r="G1699" t="s">
        <v>234</v>
      </c>
      <c r="H1699" t="s">
        <v>14</v>
      </c>
    </row>
    <row r="1700" spans="1:10" hidden="1" x14ac:dyDescent="0.25">
      <c r="A1700" t="s">
        <v>2527</v>
      </c>
      <c r="B1700" s="1" t="str">
        <f>HYPERLINK("https://asmlis.vasa.lt/Dashboard/Served?ServiceDateFrom=2025-11-24&amp;ServiceDateTo=2025-11-24&amp;DumpsterInvNr=13-L-424459", "13-L-424459")</f>
        <v>13-L-424459</v>
      </c>
      <c r="C1700">
        <v>5</v>
      </c>
      <c r="D1700" t="s">
        <v>2528</v>
      </c>
      <c r="E1700" t="s">
        <v>11</v>
      </c>
      <c r="G1700" t="s">
        <v>74</v>
      </c>
      <c r="H1700" t="s">
        <v>14</v>
      </c>
    </row>
    <row r="1701" spans="1:10" hidden="1" x14ac:dyDescent="0.25">
      <c r="A1701" t="s">
        <v>2529</v>
      </c>
      <c r="B1701" s="1" t="str">
        <f>HYPERLINK("https://asmlis.vasa.lt/Dashboard/Served?ServiceDateFrom=2025-11-24&amp;ServiceDateTo=2025-11-24&amp;DumpsterInvNr=13-L-210789", "13-L-210789")</f>
        <v>13-L-210789</v>
      </c>
      <c r="C1701">
        <v>1.1000000000000001</v>
      </c>
      <c r="D1701" t="s">
        <v>2530</v>
      </c>
      <c r="E1701" t="s">
        <v>11</v>
      </c>
      <c r="G1701" t="s">
        <v>936</v>
      </c>
      <c r="H1701" t="s">
        <v>938</v>
      </c>
    </row>
    <row r="1702" spans="1:10" hidden="1" x14ac:dyDescent="0.25">
      <c r="A1702" t="s">
        <v>2531</v>
      </c>
      <c r="B1702" s="1" t="str">
        <f>HYPERLINK("https://asmlis.vasa.lt/Dashboard/Served?ServiceDateFrom=2025-11-24&amp;ServiceDateTo=2025-11-24&amp;DumpsterInvNr=13-P-415847", "13-P-415847")</f>
        <v>13-P-415847</v>
      </c>
      <c r="C1702">
        <v>0.24</v>
      </c>
      <c r="D1702" t="s">
        <v>2532</v>
      </c>
      <c r="E1702" t="s">
        <v>11</v>
      </c>
      <c r="G1702" t="s">
        <v>264</v>
      </c>
      <c r="H1702" t="s">
        <v>14</v>
      </c>
    </row>
    <row r="1703" spans="1:10" x14ac:dyDescent="0.25">
      <c r="A1703" t="s">
        <v>2533</v>
      </c>
      <c r="B1703" s="1" t="str">
        <f>HYPERLINK("https://asmlis.vasa.lt/Dashboard/Served?ServiceDateFrom=2025-11-24&amp;ServiceDateTo=2025-11-24&amp;DumpsterInvNr=13-P-115016", "13-P-115016")</f>
        <v>13-P-115016</v>
      </c>
      <c r="C1703">
        <v>1.1000000000000001</v>
      </c>
      <c r="D1703" t="s">
        <v>2534</v>
      </c>
      <c r="E1703" t="s">
        <v>11</v>
      </c>
      <c r="F1703" t="s">
        <v>2491</v>
      </c>
      <c r="G1703" t="s">
        <v>1917</v>
      </c>
      <c r="H1703" t="s">
        <v>432</v>
      </c>
      <c r="J1703" t="s">
        <v>17511</v>
      </c>
    </row>
    <row r="1704" spans="1:10" hidden="1" x14ac:dyDescent="0.25">
      <c r="A1704" t="s">
        <v>2535</v>
      </c>
      <c r="B1704" s="1" t="str">
        <f>HYPERLINK("https://asmlis.vasa.lt/Dashboard/Served?ServiceDateFrom=2025-11-24&amp;ServiceDateTo=2025-11-24&amp;DumpsterInvNr=13-L-220448", "13-L-220448")</f>
        <v>13-L-220448</v>
      </c>
      <c r="C1704">
        <v>1.1000000000000001</v>
      </c>
      <c r="D1704" t="s">
        <v>2530</v>
      </c>
      <c r="E1704" t="s">
        <v>11</v>
      </c>
      <c r="G1704" t="s">
        <v>936</v>
      </c>
      <c r="H1704" t="s">
        <v>938</v>
      </c>
    </row>
    <row r="1705" spans="1:10" hidden="1" x14ac:dyDescent="0.25">
      <c r="A1705" t="s">
        <v>2536</v>
      </c>
      <c r="B1705" s="1" t="str">
        <f>HYPERLINK("https://asmlis.vasa.lt/Dashboard/Served?ServiceDateFrom=2025-11-24&amp;ServiceDateTo=2025-11-24&amp;DumpsterInvNr=13-P-400640", "13-P-400640")</f>
        <v>13-P-400640</v>
      </c>
      <c r="C1705">
        <v>5</v>
      </c>
      <c r="D1705" t="s">
        <v>2537</v>
      </c>
      <c r="E1705" t="s">
        <v>11</v>
      </c>
      <c r="F1705" t="s">
        <v>13</v>
      </c>
      <c r="G1705" t="s">
        <v>264</v>
      </c>
      <c r="H1705" t="s">
        <v>14</v>
      </c>
    </row>
    <row r="1706" spans="1:10" hidden="1" x14ac:dyDescent="0.25">
      <c r="A1706" t="s">
        <v>2538</v>
      </c>
      <c r="B1706" s="1" t="str">
        <f>HYPERLINK("https://asmlis.vasa.lt/Dashboard/Served?ServiceDateFrom=2025-11-24&amp;ServiceDateTo=2025-11-24&amp;DumpsterInvNr=13-L-316393", "13-L-316393")</f>
        <v>13-L-316393</v>
      </c>
      <c r="C1706">
        <v>1.1000000000000001</v>
      </c>
      <c r="D1706" t="s">
        <v>2539</v>
      </c>
      <c r="E1706" t="s">
        <v>11</v>
      </c>
      <c r="G1706" t="s">
        <v>9</v>
      </c>
      <c r="H1706" t="s">
        <v>14</v>
      </c>
    </row>
    <row r="1707" spans="1:10" hidden="1" x14ac:dyDescent="0.25">
      <c r="A1707" t="s">
        <v>2540</v>
      </c>
      <c r="B1707" s="1" t="str">
        <f>HYPERLINK("https://asmlis.vasa.lt/Dashboard/Served?ServiceDateFrom=2025-11-24&amp;ServiceDateTo=2025-11-24&amp;DumpsterInvNr=13-L-210788", "13-L-210788")</f>
        <v>13-L-210788</v>
      </c>
      <c r="C1707">
        <v>1.1000000000000001</v>
      </c>
      <c r="D1707" t="s">
        <v>2530</v>
      </c>
      <c r="E1707" t="s">
        <v>11</v>
      </c>
      <c r="G1707" t="s">
        <v>936</v>
      </c>
      <c r="H1707" t="s">
        <v>938</v>
      </c>
    </row>
    <row r="1708" spans="1:10" hidden="1" x14ac:dyDescent="0.25">
      <c r="A1708" t="s">
        <v>2541</v>
      </c>
      <c r="B1708" s="1" t="str">
        <f>HYPERLINK("https://asmlis.vasa.lt/Dashboard/Served?ServiceDateFrom=2025-11-24&amp;ServiceDateTo=2025-11-24&amp;DumpsterInvNr=13-L-423100", "13-L-423100")</f>
        <v>13-L-423100</v>
      </c>
      <c r="C1708">
        <v>5</v>
      </c>
      <c r="D1708" t="s">
        <v>2542</v>
      </c>
      <c r="E1708" t="s">
        <v>11</v>
      </c>
      <c r="F1708" t="s">
        <v>13</v>
      </c>
      <c r="G1708" t="s">
        <v>74</v>
      </c>
      <c r="H1708" t="s">
        <v>14</v>
      </c>
    </row>
    <row r="1709" spans="1:10" hidden="1" x14ac:dyDescent="0.25">
      <c r="A1709" t="s">
        <v>2543</v>
      </c>
      <c r="B1709" s="1" t="str">
        <f>HYPERLINK("https://asmlis.vasa.lt/Dashboard/Served?ServiceDateFrom=2025-11-24&amp;ServiceDateTo=2025-11-24&amp;DumpsterInvNr=13-L-138838", "13-L-138838")</f>
        <v>13-L-138838</v>
      </c>
      <c r="C1709">
        <v>5</v>
      </c>
      <c r="D1709" t="s">
        <v>2544</v>
      </c>
      <c r="E1709" t="s">
        <v>11</v>
      </c>
      <c r="F1709" t="s">
        <v>13</v>
      </c>
      <c r="G1709" t="s">
        <v>430</v>
      </c>
      <c r="H1709" t="s">
        <v>432</v>
      </c>
    </row>
    <row r="1710" spans="1:10" hidden="1" x14ac:dyDescent="0.25">
      <c r="A1710" t="s">
        <v>2545</v>
      </c>
      <c r="B1710" s="1" t="str">
        <f>HYPERLINK("https://asmlis.vasa.lt/Dashboard/Served?ServiceDateFrom=2025-11-24&amp;ServiceDateTo=2025-11-24&amp;DumpsterInvNr=13-L-132989", "13-L-132989")</f>
        <v>13-L-132989</v>
      </c>
      <c r="C1710">
        <v>1.1000000000000001</v>
      </c>
      <c r="D1710" t="s">
        <v>2546</v>
      </c>
      <c r="E1710" t="s">
        <v>11</v>
      </c>
      <c r="G1710" t="s">
        <v>430</v>
      </c>
      <c r="H1710" t="s">
        <v>432</v>
      </c>
    </row>
    <row r="1711" spans="1:10" hidden="1" x14ac:dyDescent="0.25">
      <c r="A1711" t="s">
        <v>2545</v>
      </c>
      <c r="B1711" s="1" t="str">
        <f>HYPERLINK("https://asmlis.vasa.lt/Dashboard/Served?ServiceDateFrom=2025-11-24&amp;ServiceDateTo=2025-11-24&amp;DumpsterInvNr=13-L-224075", "13-L-224075")</f>
        <v>13-L-224075</v>
      </c>
      <c r="C1711">
        <v>1.1000000000000001</v>
      </c>
      <c r="D1711" t="s">
        <v>2548</v>
      </c>
      <c r="E1711" t="s">
        <v>11</v>
      </c>
      <c r="G1711" t="s">
        <v>936</v>
      </c>
      <c r="H1711" t="s">
        <v>938</v>
      </c>
    </row>
    <row r="1712" spans="1:10" hidden="1" x14ac:dyDescent="0.25">
      <c r="A1712" t="s">
        <v>2549</v>
      </c>
      <c r="B1712" s="1" t="str">
        <f>HYPERLINK("https://asmlis.vasa.lt/Dashboard/Served?ServiceDateFrom=2025-11-24&amp;ServiceDateTo=2025-11-24&amp;DumpsterInvNr=13-P-401305", "13-P-401305")</f>
        <v>13-P-401305</v>
      </c>
      <c r="C1712">
        <v>0.24</v>
      </c>
      <c r="D1712" t="s">
        <v>2524</v>
      </c>
      <c r="E1712" t="s">
        <v>11</v>
      </c>
      <c r="G1712" t="s">
        <v>264</v>
      </c>
      <c r="H1712" t="s">
        <v>14</v>
      </c>
    </row>
    <row r="1713" spans="1:10" hidden="1" x14ac:dyDescent="0.25">
      <c r="A1713" t="s">
        <v>2550</v>
      </c>
      <c r="B1713" s="1" t="str">
        <f>HYPERLINK("https://asmlis.vasa.lt/Dashboard/Served?ServiceDateFrom=2025-11-24&amp;ServiceDateTo=2025-11-24&amp;DumpsterInvNr=13-P-413868", "13-P-413868")</f>
        <v>13-P-413868</v>
      </c>
      <c r="C1713">
        <v>5</v>
      </c>
      <c r="D1713" t="s">
        <v>703</v>
      </c>
      <c r="E1713" t="s">
        <v>11</v>
      </c>
      <c r="G1713" t="s">
        <v>264</v>
      </c>
      <c r="H1713" t="s">
        <v>14</v>
      </c>
    </row>
    <row r="1714" spans="1:10" hidden="1" x14ac:dyDescent="0.25">
      <c r="A1714" t="s">
        <v>2551</v>
      </c>
      <c r="B1714" s="1" t="str">
        <f>HYPERLINK("https://asmlis.vasa.lt/Dashboard/Served?ServiceDateFrom=2025-11-24&amp;ServiceDateTo=2025-11-24&amp;DumpsterInvNr=13-P-306894", "13-P-306894")</f>
        <v>13-P-306894</v>
      </c>
      <c r="C1714">
        <v>1.1000000000000001</v>
      </c>
      <c r="D1714" t="s">
        <v>528</v>
      </c>
      <c r="E1714" t="s">
        <v>11</v>
      </c>
      <c r="G1714" t="s">
        <v>412</v>
      </c>
      <c r="H1714" t="s">
        <v>14</v>
      </c>
    </row>
    <row r="1715" spans="1:10" hidden="1" x14ac:dyDescent="0.25">
      <c r="A1715" t="s">
        <v>2552</v>
      </c>
      <c r="B1715" s="1" t="str">
        <f>HYPERLINK("https://asmlis.vasa.lt/Dashboard/Served?ServiceDateFrom=2025-11-24&amp;ServiceDateTo=2025-11-24&amp;DumpsterInvNr=13-L-415878", "13-L-415878")</f>
        <v>13-L-415878</v>
      </c>
      <c r="C1715">
        <v>1.1000000000000001</v>
      </c>
      <c r="D1715" t="s">
        <v>1084</v>
      </c>
      <c r="E1715" t="s">
        <v>11</v>
      </c>
      <c r="G1715" t="s">
        <v>74</v>
      </c>
      <c r="H1715" t="s">
        <v>14</v>
      </c>
    </row>
    <row r="1716" spans="1:10" hidden="1" x14ac:dyDescent="0.25">
      <c r="A1716" t="s">
        <v>2553</v>
      </c>
      <c r="B1716" s="1" t="str">
        <f>HYPERLINK("https://asmlis.vasa.lt/Dashboard/Served?ServiceDateFrom=2025-11-24&amp;ServiceDateTo=2025-11-24&amp;DumpsterInvNr=13-L-143107", "13-L-143107")</f>
        <v>13-L-143107</v>
      </c>
      <c r="C1716">
        <v>1.1000000000000001</v>
      </c>
      <c r="D1716" t="s">
        <v>2546</v>
      </c>
      <c r="E1716" t="s">
        <v>11</v>
      </c>
      <c r="G1716" t="s">
        <v>430</v>
      </c>
      <c r="H1716" t="s">
        <v>432</v>
      </c>
    </row>
    <row r="1717" spans="1:10" x14ac:dyDescent="0.25">
      <c r="A1717" t="s">
        <v>2554</v>
      </c>
      <c r="B1717" s="1" t="str">
        <f>HYPERLINK("https://asmlis.vasa.lt/Dashboard/Served?ServiceDateFrom=2025-11-24&amp;ServiceDateTo=2025-11-24&amp;DumpsterInvNr=13-L-120119", "13-L-120119")</f>
        <v>13-L-120119</v>
      </c>
      <c r="C1717">
        <v>0.24</v>
      </c>
      <c r="D1717" t="s">
        <v>2555</v>
      </c>
      <c r="E1717" t="s">
        <v>11</v>
      </c>
      <c r="F1717" t="s">
        <v>2556</v>
      </c>
      <c r="G1717" t="s">
        <v>1912</v>
      </c>
      <c r="H1717" t="s">
        <v>432</v>
      </c>
      <c r="J1717" t="s">
        <v>17511</v>
      </c>
    </row>
    <row r="1718" spans="1:10" hidden="1" x14ac:dyDescent="0.25">
      <c r="A1718" t="s">
        <v>2557</v>
      </c>
      <c r="B1718" s="1" t="str">
        <f>HYPERLINK("https://asmlis.vasa.lt/Dashboard/Served?ServiceDateFrom=2025-11-24&amp;ServiceDateTo=2025-11-24&amp;DumpsterInvNr=13-S-401609", "13-S-401609")</f>
        <v>13-S-401609</v>
      </c>
      <c r="C1718">
        <v>0.12</v>
      </c>
      <c r="D1718" t="s">
        <v>2532</v>
      </c>
      <c r="E1718" t="s">
        <v>11</v>
      </c>
      <c r="F1718" t="s">
        <v>13</v>
      </c>
      <c r="G1718" t="s">
        <v>264</v>
      </c>
      <c r="H1718" t="s">
        <v>14</v>
      </c>
    </row>
    <row r="1719" spans="1:10" hidden="1" x14ac:dyDescent="0.25">
      <c r="A1719" t="s">
        <v>2558</v>
      </c>
      <c r="B1719" s="1" t="str">
        <f>HYPERLINK("https://asmlis.vasa.lt/Dashboard/Served?ServiceDateFrom=2025-11-24&amp;ServiceDateTo=2025-11-24&amp;DumpsterInvNr=13-L-318146", "13-L-318146")</f>
        <v>13-L-318146</v>
      </c>
      <c r="C1719">
        <v>1.1000000000000001</v>
      </c>
      <c r="D1719" t="s">
        <v>2559</v>
      </c>
      <c r="E1719" t="s">
        <v>11</v>
      </c>
      <c r="G1719" t="s">
        <v>9</v>
      </c>
      <c r="H1719" t="s">
        <v>14</v>
      </c>
    </row>
    <row r="1720" spans="1:10" hidden="1" x14ac:dyDescent="0.25">
      <c r="A1720" t="s">
        <v>2560</v>
      </c>
      <c r="B1720" s="1" t="str">
        <f>HYPERLINK("https://asmlis.vasa.lt/Dashboard/Served?ServiceDateFrom=2025-11-24&amp;ServiceDateTo=2025-11-24&amp;DumpsterInvNr=13-L-224076", "13-L-224076")</f>
        <v>13-L-224076</v>
      </c>
      <c r="C1720">
        <v>1.1000000000000001</v>
      </c>
      <c r="D1720" t="s">
        <v>2548</v>
      </c>
      <c r="E1720" t="s">
        <v>11</v>
      </c>
      <c r="G1720" t="s">
        <v>936</v>
      </c>
      <c r="H1720" t="s">
        <v>938</v>
      </c>
    </row>
    <row r="1721" spans="1:10" hidden="1" x14ac:dyDescent="0.25">
      <c r="A1721" t="s">
        <v>2561</v>
      </c>
      <c r="B1721" s="1" t="str">
        <f>HYPERLINK("https://asmlis.vasa.lt/Dashboard/Served?ServiceDateFrom=2025-11-24&amp;ServiceDateTo=2025-11-24&amp;DumpsterInvNr=13-P-204988", "13-P-204988")</f>
        <v>13-P-204988</v>
      </c>
      <c r="C1721">
        <v>5</v>
      </c>
      <c r="D1721" t="s">
        <v>2562</v>
      </c>
      <c r="E1721" t="s">
        <v>11</v>
      </c>
      <c r="F1721" t="s">
        <v>13</v>
      </c>
      <c r="G1721" t="s">
        <v>234</v>
      </c>
      <c r="H1721" t="s">
        <v>14</v>
      </c>
    </row>
    <row r="1722" spans="1:10" x14ac:dyDescent="0.25">
      <c r="A1722" t="s">
        <v>2563</v>
      </c>
      <c r="B1722" s="1" t="str">
        <f>HYPERLINK("https://asmlis.vasa.lt/Dashboard/Served?ServiceDateFrom=2025-11-24&amp;ServiceDateTo=2025-11-24&amp;DumpsterInvNr=13-S-103224", "13-S-103224")</f>
        <v>13-S-103224</v>
      </c>
      <c r="C1722">
        <v>0.12</v>
      </c>
      <c r="D1722" t="s">
        <v>2555</v>
      </c>
      <c r="E1722" t="s">
        <v>11</v>
      </c>
      <c r="F1722" t="s">
        <v>2556</v>
      </c>
      <c r="G1722" t="s">
        <v>1917</v>
      </c>
      <c r="H1722" t="s">
        <v>432</v>
      </c>
      <c r="J1722" t="s">
        <v>17511</v>
      </c>
    </row>
    <row r="1723" spans="1:10" hidden="1" x14ac:dyDescent="0.25">
      <c r="A1723" t="s">
        <v>2564</v>
      </c>
      <c r="B1723" s="1" t="str">
        <f>HYPERLINK("https://asmlis.vasa.lt/Dashboard/Served?ServiceDateFrom=2025-11-24&amp;ServiceDateTo=2025-11-24&amp;DumpsterInvNr=13-L-134242", "13-L-134242")</f>
        <v>13-L-134242</v>
      </c>
      <c r="C1723">
        <v>5</v>
      </c>
      <c r="D1723" t="s">
        <v>2565</v>
      </c>
      <c r="E1723" t="s">
        <v>11</v>
      </c>
      <c r="F1723" t="s">
        <v>13</v>
      </c>
      <c r="G1723" t="s">
        <v>1912</v>
      </c>
      <c r="H1723" t="s">
        <v>432</v>
      </c>
    </row>
    <row r="1724" spans="1:10" hidden="1" x14ac:dyDescent="0.25">
      <c r="A1724" t="s">
        <v>2564</v>
      </c>
      <c r="B1724" s="1" t="str">
        <f>HYPERLINK("https://asmlis.vasa.lt/Dashboard/Served?ServiceDateFrom=2025-11-24&amp;ServiceDateTo=2025-11-24&amp;DumpsterInvNr=13-L-317667", "13-L-317667")</f>
        <v>13-L-317667</v>
      </c>
      <c r="C1724">
        <v>1.1000000000000001</v>
      </c>
      <c r="D1724" t="s">
        <v>2566</v>
      </c>
      <c r="E1724" t="s">
        <v>11</v>
      </c>
      <c r="G1724" t="s">
        <v>9</v>
      </c>
      <c r="H1724" t="s">
        <v>14</v>
      </c>
    </row>
    <row r="1725" spans="1:10" x14ac:dyDescent="0.25">
      <c r="A1725" t="s">
        <v>2567</v>
      </c>
      <c r="B1725" s="1" t="str">
        <f>HYPERLINK("https://asmlis.vasa.lt/Dashboard/Served?ServiceDateFrom=2025-11-24&amp;ServiceDateTo=2025-11-24&amp;DumpsterInvNr=13-P-103438", "13-P-103438")</f>
        <v>13-P-103438</v>
      </c>
      <c r="C1725">
        <v>0.24</v>
      </c>
      <c r="D1725" t="s">
        <v>2555</v>
      </c>
      <c r="E1725" t="s">
        <v>11</v>
      </c>
      <c r="F1725" t="s">
        <v>2556</v>
      </c>
      <c r="G1725" t="s">
        <v>1917</v>
      </c>
      <c r="H1725" t="s">
        <v>432</v>
      </c>
      <c r="J1725" t="s">
        <v>17511</v>
      </c>
    </row>
    <row r="1726" spans="1:10" hidden="1" x14ac:dyDescent="0.25">
      <c r="A1726" t="s">
        <v>2567</v>
      </c>
      <c r="B1726" s="1" t="str">
        <f>HYPERLINK("https://asmlis.vasa.lt/Dashboard/Served?ServiceDateFrom=2025-11-24&amp;ServiceDateTo=2025-11-24&amp;DumpsterInvNr=13-P-509700", "13-P-509700")</f>
        <v>13-P-509700</v>
      </c>
      <c r="C1726">
        <v>0.24</v>
      </c>
      <c r="D1726" t="s">
        <v>2568</v>
      </c>
      <c r="E1726" t="s">
        <v>11</v>
      </c>
      <c r="G1726" t="s">
        <v>2178</v>
      </c>
      <c r="H1726" t="s">
        <v>432</v>
      </c>
    </row>
    <row r="1727" spans="1:10" hidden="1" x14ac:dyDescent="0.25">
      <c r="A1727" t="s">
        <v>2569</v>
      </c>
      <c r="B1727" s="1" t="str">
        <f>HYPERLINK("https://asmlis.vasa.lt/Dashboard/Served?ServiceDateFrom=2025-11-24&amp;ServiceDateTo=2025-11-24&amp;DumpsterInvNr=13-P-306816", "13-P-306816")</f>
        <v>13-P-306816</v>
      </c>
      <c r="C1727">
        <v>1.1000000000000001</v>
      </c>
      <c r="D1727" t="s">
        <v>528</v>
      </c>
      <c r="E1727" t="s">
        <v>11</v>
      </c>
      <c r="F1727" t="s">
        <v>13</v>
      </c>
      <c r="G1727" t="s">
        <v>412</v>
      </c>
      <c r="H1727" t="s">
        <v>14</v>
      </c>
    </row>
    <row r="1728" spans="1:10" hidden="1" x14ac:dyDescent="0.25">
      <c r="A1728" t="s">
        <v>2570</v>
      </c>
      <c r="B1728" s="1" t="str">
        <f>HYPERLINK("https://asmlis.vasa.lt/Dashboard/Served?ServiceDateFrom=2025-11-24&amp;ServiceDateTo=2025-11-24&amp;DumpsterInvNr=13-L-427014", "13-L-427014")</f>
        <v>13-L-427014</v>
      </c>
      <c r="C1728">
        <v>1.1000000000000001</v>
      </c>
      <c r="D1728" t="s">
        <v>2571</v>
      </c>
      <c r="E1728" t="s">
        <v>11</v>
      </c>
      <c r="G1728" t="s">
        <v>74</v>
      </c>
      <c r="H1728" t="s">
        <v>14</v>
      </c>
    </row>
    <row r="1729" spans="1:10" hidden="1" x14ac:dyDescent="0.25">
      <c r="A1729" t="s">
        <v>2572</v>
      </c>
      <c r="B1729" s="1" t="str">
        <f>HYPERLINK("https://asmlis.vasa.lt/Dashboard/Served?ServiceDateFrom=2025-11-24&amp;ServiceDateTo=2025-11-24&amp;DumpsterInvNr=13-L-113892", "13-L-113892")</f>
        <v>13-L-113892</v>
      </c>
      <c r="C1729">
        <v>0.12</v>
      </c>
      <c r="D1729" t="s">
        <v>2400</v>
      </c>
      <c r="E1729" t="s">
        <v>11</v>
      </c>
      <c r="F1729" t="s">
        <v>1209</v>
      </c>
      <c r="G1729" t="s">
        <v>1912</v>
      </c>
      <c r="H1729" t="s">
        <v>432</v>
      </c>
    </row>
    <row r="1730" spans="1:10" hidden="1" x14ac:dyDescent="0.25">
      <c r="A1730" t="s">
        <v>2573</v>
      </c>
      <c r="B1730" s="1" t="str">
        <f>HYPERLINK("https://asmlis.vasa.lt/Dashboard/Served?ServiceDateFrom=2025-11-24&amp;ServiceDateTo=2025-11-24&amp;DumpsterInvNr=13-L-408807", "13-L-408807")</f>
        <v>13-L-408807</v>
      </c>
      <c r="C1730">
        <v>0.24</v>
      </c>
      <c r="D1730" t="s">
        <v>2574</v>
      </c>
      <c r="E1730" t="s">
        <v>11</v>
      </c>
      <c r="G1730" t="s">
        <v>74</v>
      </c>
      <c r="H1730" t="s">
        <v>14</v>
      </c>
    </row>
    <row r="1731" spans="1:10" hidden="1" x14ac:dyDescent="0.25">
      <c r="A1731" t="s">
        <v>2575</v>
      </c>
      <c r="B1731" s="1" t="str">
        <f>HYPERLINK("https://asmlis.vasa.lt/Dashboard/Served?ServiceDateFrom=2025-11-24&amp;ServiceDateTo=2025-11-24&amp;DumpsterInvNr=13-L-220852", "13-L-220852")</f>
        <v>13-L-220852</v>
      </c>
      <c r="C1731">
        <v>1.1000000000000001</v>
      </c>
      <c r="D1731" t="s">
        <v>2548</v>
      </c>
      <c r="E1731" t="s">
        <v>11</v>
      </c>
      <c r="G1731" t="s">
        <v>936</v>
      </c>
      <c r="H1731" t="s">
        <v>938</v>
      </c>
    </row>
    <row r="1732" spans="1:10" hidden="1" x14ac:dyDescent="0.25">
      <c r="A1732" t="s">
        <v>2576</v>
      </c>
      <c r="B1732" s="1" t="str">
        <f>HYPERLINK("https://asmlis.vasa.lt/Dashboard/Served?ServiceDateFrom=2025-11-24&amp;ServiceDateTo=2025-11-24&amp;DumpsterInvNr=13-L-319652", "13-L-319652")</f>
        <v>13-L-319652</v>
      </c>
      <c r="C1732">
        <v>5</v>
      </c>
      <c r="D1732" t="s">
        <v>2578</v>
      </c>
      <c r="E1732" t="s">
        <v>11</v>
      </c>
      <c r="F1732" t="s">
        <v>13</v>
      </c>
      <c r="G1732" t="s">
        <v>9</v>
      </c>
      <c r="H1732" t="s">
        <v>14</v>
      </c>
    </row>
    <row r="1733" spans="1:10" x14ac:dyDescent="0.25">
      <c r="A1733" t="s">
        <v>2579</v>
      </c>
      <c r="B1733" s="1" t="str">
        <f>HYPERLINK("https://asmlis.vasa.lt/Dashboard/Served?ServiceDateFrom=2025-11-24&amp;ServiceDateTo=2025-11-24&amp;DumpsterInvNr=13-L-120394", "13-L-120394")</f>
        <v>13-L-120394</v>
      </c>
      <c r="C1733">
        <v>0.24</v>
      </c>
      <c r="D1733" t="s">
        <v>2580</v>
      </c>
      <c r="E1733" t="s">
        <v>11</v>
      </c>
      <c r="F1733" t="s">
        <v>2556</v>
      </c>
      <c r="G1733" t="s">
        <v>1912</v>
      </c>
      <c r="H1733" t="s">
        <v>432</v>
      </c>
      <c r="J1733" t="s">
        <v>17511</v>
      </c>
    </row>
    <row r="1734" spans="1:10" hidden="1" x14ac:dyDescent="0.25">
      <c r="A1734" t="s">
        <v>2579</v>
      </c>
      <c r="B1734" s="1" t="str">
        <f>HYPERLINK("https://asmlis.vasa.lt/Dashboard/Served?ServiceDateFrom=2025-11-24&amp;ServiceDateTo=2025-11-24&amp;DumpsterInvNr=13-L-314258", "13-L-314258")</f>
        <v>13-L-314258</v>
      </c>
      <c r="C1734">
        <v>0.77</v>
      </c>
      <c r="D1734" t="s">
        <v>2582</v>
      </c>
      <c r="E1734" t="s">
        <v>11</v>
      </c>
      <c r="G1734" t="s">
        <v>9</v>
      </c>
      <c r="H1734" t="s">
        <v>14</v>
      </c>
    </row>
    <row r="1735" spans="1:10" hidden="1" x14ac:dyDescent="0.25">
      <c r="A1735" t="s">
        <v>2583</v>
      </c>
      <c r="B1735" s="1" t="str">
        <f>HYPERLINK("https://asmlis.vasa.lt/Dashboard/Served?ServiceDateFrom=2025-11-24&amp;ServiceDateTo=2025-11-24&amp;DumpsterInvNr=13-P-400631", "13-P-400631")</f>
        <v>13-P-400631</v>
      </c>
      <c r="C1735">
        <v>5</v>
      </c>
      <c r="D1735" t="s">
        <v>2584</v>
      </c>
      <c r="E1735" t="s">
        <v>11</v>
      </c>
      <c r="G1735" t="s">
        <v>264</v>
      </c>
      <c r="H1735" t="s">
        <v>14</v>
      </c>
    </row>
    <row r="1736" spans="1:10" hidden="1" x14ac:dyDescent="0.25">
      <c r="A1736" t="s">
        <v>2583</v>
      </c>
      <c r="B1736" s="1" t="str">
        <f>HYPERLINK("https://asmlis.vasa.lt/Dashboard/Served?ServiceDateFrom=2025-11-24&amp;ServiceDateTo=2025-11-24&amp;DumpsterInvNr=13-S-408915", "13-S-408915")</f>
        <v>13-S-408915</v>
      </c>
      <c r="C1736">
        <v>0.12</v>
      </c>
      <c r="D1736" t="s">
        <v>2585</v>
      </c>
      <c r="E1736" t="s">
        <v>11</v>
      </c>
      <c r="G1736" t="s">
        <v>264</v>
      </c>
      <c r="H1736" t="s">
        <v>14</v>
      </c>
    </row>
    <row r="1737" spans="1:10" hidden="1" x14ac:dyDescent="0.25">
      <c r="A1737" t="s">
        <v>2583</v>
      </c>
      <c r="B1737" s="1" t="str">
        <f>HYPERLINK("https://asmlis.vasa.lt/Dashboard/Served?ServiceDateFrom=2025-11-24&amp;ServiceDateTo=2025-11-24&amp;DumpsterInvNr=13-P-306094", "13-P-306094")</f>
        <v>13-P-306094</v>
      </c>
      <c r="C1737">
        <v>2.5</v>
      </c>
      <c r="D1737" t="s">
        <v>1057</v>
      </c>
      <c r="E1737" t="s">
        <v>11</v>
      </c>
      <c r="G1737" t="s">
        <v>412</v>
      </c>
      <c r="H1737" t="s">
        <v>14</v>
      </c>
    </row>
    <row r="1738" spans="1:10" hidden="1" x14ac:dyDescent="0.25">
      <c r="A1738" t="s">
        <v>2586</v>
      </c>
      <c r="B1738" s="1" t="str">
        <f>HYPERLINK("https://asmlis.vasa.lt/Dashboard/Served?ServiceDateFrom=2025-11-24&amp;ServiceDateTo=2025-11-24&amp;DumpsterInvNr=13-L-426742", "13-L-426742")</f>
        <v>13-L-426742</v>
      </c>
      <c r="C1738">
        <v>1.1000000000000001</v>
      </c>
      <c r="D1738" t="s">
        <v>2571</v>
      </c>
      <c r="E1738" t="s">
        <v>11</v>
      </c>
      <c r="G1738" t="s">
        <v>74</v>
      </c>
      <c r="H1738" t="s">
        <v>14</v>
      </c>
    </row>
    <row r="1739" spans="1:10" hidden="1" x14ac:dyDescent="0.25">
      <c r="A1739" t="s">
        <v>2586</v>
      </c>
      <c r="B1739" s="1" t="str">
        <f>HYPERLINK("https://asmlis.vasa.lt/Dashboard/Served?ServiceDateFrom=2025-11-24&amp;ServiceDateTo=2025-11-24&amp;DumpsterInvNr=13-L-228438", "13-L-228438")</f>
        <v>13-L-228438</v>
      </c>
      <c r="C1739">
        <v>5</v>
      </c>
      <c r="D1739" t="s">
        <v>2587</v>
      </c>
      <c r="E1739" t="s">
        <v>11</v>
      </c>
      <c r="F1739" t="s">
        <v>13</v>
      </c>
      <c r="G1739" t="s">
        <v>936</v>
      </c>
      <c r="H1739" t="s">
        <v>938</v>
      </c>
    </row>
    <row r="1740" spans="1:10" hidden="1" x14ac:dyDescent="0.25">
      <c r="A1740" t="s">
        <v>2588</v>
      </c>
      <c r="B1740" s="1" t="str">
        <f>HYPERLINK("https://asmlis.vasa.lt/Dashboard/Served?ServiceDateFrom=2025-11-24&amp;ServiceDateTo=2025-11-24&amp;DumpsterInvNr=13-L-224052", "13-L-224052")</f>
        <v>13-L-224052</v>
      </c>
      <c r="C1740">
        <v>1.1000000000000001</v>
      </c>
      <c r="D1740" t="s">
        <v>2548</v>
      </c>
      <c r="E1740" t="s">
        <v>11</v>
      </c>
      <c r="F1740" t="s">
        <v>13</v>
      </c>
      <c r="G1740" t="s">
        <v>936</v>
      </c>
      <c r="H1740" t="s">
        <v>938</v>
      </c>
    </row>
    <row r="1741" spans="1:10" hidden="1" x14ac:dyDescent="0.25">
      <c r="A1741" t="s">
        <v>2589</v>
      </c>
      <c r="B1741" s="1" t="str">
        <f>HYPERLINK("https://asmlis.vasa.lt/Dashboard/Served?ServiceDateFrom=2025-11-24&amp;ServiceDateTo=2025-11-24&amp;DumpsterInvNr=13-P-401249", "13-P-401249")</f>
        <v>13-P-401249</v>
      </c>
      <c r="C1741">
        <v>0.24</v>
      </c>
      <c r="D1741" t="s">
        <v>2585</v>
      </c>
      <c r="E1741" t="s">
        <v>11</v>
      </c>
      <c r="G1741" t="s">
        <v>264</v>
      </c>
      <c r="H1741" t="s">
        <v>14</v>
      </c>
    </row>
    <row r="1742" spans="1:10" hidden="1" x14ac:dyDescent="0.25">
      <c r="A1742" t="s">
        <v>2590</v>
      </c>
      <c r="B1742" s="1" t="str">
        <f>HYPERLINK("https://asmlis.vasa.lt/Dashboard/Served?ServiceDateFrom=2025-11-24&amp;ServiceDateTo=2025-11-24&amp;DumpsterInvNr=13-P-500552", "13-P-500552")</f>
        <v>13-P-500552</v>
      </c>
      <c r="C1742">
        <v>5</v>
      </c>
      <c r="D1742" t="s">
        <v>2591</v>
      </c>
      <c r="E1742" t="s">
        <v>11</v>
      </c>
      <c r="F1742" t="s">
        <v>13</v>
      </c>
      <c r="G1742" t="s">
        <v>2178</v>
      </c>
      <c r="H1742" t="s">
        <v>432</v>
      </c>
    </row>
    <row r="1743" spans="1:10" x14ac:dyDescent="0.25">
      <c r="A1743" t="s">
        <v>2592</v>
      </c>
      <c r="B1743" s="1" t="str">
        <f>HYPERLINK("https://asmlis.vasa.lt/Dashboard/Served?ServiceDateFrom=2025-11-24&amp;ServiceDateTo=2025-11-24&amp;DumpsterInvNr=13-P-103437", "13-P-103437")</f>
        <v>13-P-103437</v>
      </c>
      <c r="C1743">
        <v>0.24</v>
      </c>
      <c r="D1743" t="s">
        <v>2593</v>
      </c>
      <c r="E1743" t="s">
        <v>11</v>
      </c>
      <c r="F1743" t="s">
        <v>2556</v>
      </c>
      <c r="G1743" t="s">
        <v>1917</v>
      </c>
      <c r="H1743" t="s">
        <v>432</v>
      </c>
      <c r="J1743" t="s">
        <v>17511</v>
      </c>
    </row>
    <row r="1744" spans="1:10" hidden="1" x14ac:dyDescent="0.25">
      <c r="A1744" t="s">
        <v>2594</v>
      </c>
      <c r="B1744" s="1" t="str">
        <f>HYPERLINK("https://asmlis.vasa.lt/Dashboard/Served?ServiceDateFrom=2025-11-24&amp;ServiceDateTo=2025-11-24&amp;DumpsterInvNr=13-L-317668", "13-L-317668")</f>
        <v>13-L-317668</v>
      </c>
      <c r="C1744">
        <v>1.1000000000000001</v>
      </c>
      <c r="D1744" t="s">
        <v>2566</v>
      </c>
      <c r="E1744" t="s">
        <v>11</v>
      </c>
      <c r="F1744" t="s">
        <v>13</v>
      </c>
      <c r="G1744" t="s">
        <v>9</v>
      </c>
      <c r="H1744" t="s">
        <v>14</v>
      </c>
    </row>
    <row r="1745" spans="1:10" hidden="1" x14ac:dyDescent="0.25">
      <c r="A1745" t="s">
        <v>2595</v>
      </c>
      <c r="B1745" s="1" t="str">
        <f>HYPERLINK("https://asmlis.vasa.lt/Dashboard/Served?ServiceDateFrom=2025-11-24&amp;ServiceDateTo=2025-11-24&amp;DumpsterInvNr=13-L-317669", "13-L-317669")</f>
        <v>13-L-317669</v>
      </c>
      <c r="C1745">
        <v>1.1000000000000001</v>
      </c>
      <c r="D1745" t="s">
        <v>2566</v>
      </c>
      <c r="E1745" t="s">
        <v>11</v>
      </c>
      <c r="F1745" t="s">
        <v>13</v>
      </c>
      <c r="G1745" t="s">
        <v>9</v>
      </c>
      <c r="H1745" t="s">
        <v>14</v>
      </c>
    </row>
    <row r="1746" spans="1:10" x14ac:dyDescent="0.25">
      <c r="A1746" t="s">
        <v>2354</v>
      </c>
      <c r="B1746" s="1" t="str">
        <f>HYPERLINK("https://asmlis.vasa.lt/Dashboard/Served?ServiceDateFrom=2025-11-24&amp;ServiceDateTo=2025-11-24&amp;DumpsterInvNr=13-S-103241", "13-S-103241")</f>
        <v>13-S-103241</v>
      </c>
      <c r="C1746">
        <v>0.12</v>
      </c>
      <c r="D1746" t="s">
        <v>2593</v>
      </c>
      <c r="E1746" t="s">
        <v>11</v>
      </c>
      <c r="F1746" t="s">
        <v>2556</v>
      </c>
      <c r="G1746" t="s">
        <v>1917</v>
      </c>
      <c r="H1746" t="s">
        <v>432</v>
      </c>
      <c r="J1746" t="s">
        <v>17511</v>
      </c>
    </row>
    <row r="1747" spans="1:10" hidden="1" x14ac:dyDescent="0.25">
      <c r="A1747" t="s">
        <v>2596</v>
      </c>
      <c r="B1747" s="1" t="str">
        <f>HYPERLINK("https://asmlis.vasa.lt/Dashboard/Served?ServiceDateFrom=2025-11-24&amp;ServiceDateTo=2025-11-24&amp;DumpsterInvNr=13-L-224906", "13-L-224906")</f>
        <v>13-L-224906</v>
      </c>
      <c r="C1747">
        <v>1.1000000000000001</v>
      </c>
      <c r="D1747" t="s">
        <v>1908</v>
      </c>
      <c r="E1747" t="s">
        <v>11</v>
      </c>
      <c r="F1747" t="s">
        <v>13</v>
      </c>
      <c r="G1747" t="s">
        <v>936</v>
      </c>
      <c r="H1747" t="s">
        <v>938</v>
      </c>
    </row>
    <row r="1748" spans="1:10" hidden="1" x14ac:dyDescent="0.25">
      <c r="A1748" t="s">
        <v>2596</v>
      </c>
      <c r="B1748" s="1" t="str">
        <f>HYPERLINK("https://asmlis.vasa.lt/Dashboard/Served?ServiceDateFrom=2025-11-24&amp;ServiceDateTo=2025-11-24&amp;DumpsterInvNr=13-L-147467", "13-L-147467")</f>
        <v>13-L-147467</v>
      </c>
      <c r="C1748">
        <v>5</v>
      </c>
      <c r="D1748" t="s">
        <v>2597</v>
      </c>
      <c r="E1748" t="s">
        <v>11</v>
      </c>
      <c r="F1748" t="s">
        <v>13</v>
      </c>
      <c r="G1748" t="s">
        <v>430</v>
      </c>
      <c r="H1748" t="s">
        <v>432</v>
      </c>
    </row>
    <row r="1749" spans="1:10" hidden="1" x14ac:dyDescent="0.25">
      <c r="A1749" t="s">
        <v>2599</v>
      </c>
      <c r="B1749" s="1" t="str">
        <f>HYPERLINK("https://asmlis.vasa.lt/Dashboard/Served?ServiceDateFrom=2025-11-24&amp;ServiceDateTo=2025-11-24&amp;DumpsterInvNr=13-L-224141", "13-L-224141")</f>
        <v>13-L-224141</v>
      </c>
      <c r="C1749">
        <v>1.1000000000000001</v>
      </c>
      <c r="D1749" t="s">
        <v>1908</v>
      </c>
      <c r="E1749" t="s">
        <v>11</v>
      </c>
      <c r="G1749" t="s">
        <v>936</v>
      </c>
      <c r="H1749" t="s">
        <v>938</v>
      </c>
    </row>
    <row r="1750" spans="1:10" hidden="1" x14ac:dyDescent="0.25">
      <c r="A1750" t="s">
        <v>2599</v>
      </c>
      <c r="B1750" s="1" t="str">
        <f>HYPERLINK("https://asmlis.vasa.lt/Dashboard/Served?ServiceDateFrom=2025-11-24&amp;ServiceDateTo=2025-11-24&amp;DumpsterInvNr=13-L-317670", "13-L-317670")</f>
        <v>13-L-317670</v>
      </c>
      <c r="C1750">
        <v>1.1000000000000001</v>
      </c>
      <c r="D1750" t="s">
        <v>2566</v>
      </c>
      <c r="E1750" t="s">
        <v>11</v>
      </c>
      <c r="F1750" t="s">
        <v>13</v>
      </c>
      <c r="G1750" t="s">
        <v>9</v>
      </c>
      <c r="H1750" t="s">
        <v>14</v>
      </c>
    </row>
    <row r="1751" spans="1:10" hidden="1" x14ac:dyDescent="0.25">
      <c r="A1751" t="s">
        <v>2600</v>
      </c>
      <c r="B1751" s="1" t="str">
        <f>HYPERLINK("https://asmlis.vasa.lt/Dashboard/Served?ServiceDateFrom=2025-11-24&amp;ServiceDateTo=2025-11-24&amp;DumpsterInvNr=13-L-139319", "13-L-139319")</f>
        <v>13-L-139319</v>
      </c>
      <c r="C1751">
        <v>5</v>
      </c>
      <c r="D1751" t="s">
        <v>2601</v>
      </c>
      <c r="E1751" t="s">
        <v>11</v>
      </c>
      <c r="F1751" t="s">
        <v>13</v>
      </c>
      <c r="G1751" t="s">
        <v>430</v>
      </c>
      <c r="H1751" t="s">
        <v>432</v>
      </c>
    </row>
    <row r="1752" spans="1:10" hidden="1" x14ac:dyDescent="0.25">
      <c r="A1752" t="s">
        <v>2600</v>
      </c>
      <c r="B1752" s="1" t="str">
        <f>HYPERLINK("https://asmlis.vasa.lt/Dashboard/Served?ServiceDateFrom=2025-11-24&amp;ServiceDateTo=2025-11-24&amp;DumpsterInvNr=13-L-415929", "13-L-415929")</f>
        <v>13-L-415929</v>
      </c>
      <c r="C1752">
        <v>0.24</v>
      </c>
      <c r="D1752" t="s">
        <v>2602</v>
      </c>
      <c r="E1752" t="s">
        <v>11</v>
      </c>
      <c r="G1752" t="s">
        <v>74</v>
      </c>
      <c r="H1752" t="s">
        <v>14</v>
      </c>
    </row>
    <row r="1753" spans="1:10" hidden="1" x14ac:dyDescent="0.25">
      <c r="A1753" t="s">
        <v>2600</v>
      </c>
      <c r="B1753" s="1" t="str">
        <f>HYPERLINK("https://asmlis.vasa.lt/Dashboard/Served?ServiceDateFrom=2025-11-24&amp;ServiceDateTo=2025-11-24&amp;DumpsterInvNr=13-L-408808", "13-L-408808")</f>
        <v>13-L-408808</v>
      </c>
      <c r="C1753">
        <v>0.24</v>
      </c>
      <c r="D1753" t="s">
        <v>2603</v>
      </c>
      <c r="E1753" t="s">
        <v>11</v>
      </c>
      <c r="G1753" t="s">
        <v>74</v>
      </c>
      <c r="H1753" t="s">
        <v>14</v>
      </c>
    </row>
    <row r="1754" spans="1:10" x14ac:dyDescent="0.25">
      <c r="A1754" t="s">
        <v>2604</v>
      </c>
      <c r="B1754" s="1" t="str">
        <f>HYPERLINK("https://asmlis.vasa.lt/Dashboard/Served?ServiceDateFrom=2025-11-24&amp;ServiceDateTo=2025-11-24&amp;DumpsterInvNr=13-P-101110", "13-P-101110")</f>
        <v>13-P-101110</v>
      </c>
      <c r="C1754">
        <v>0.24</v>
      </c>
      <c r="D1754" t="s">
        <v>2580</v>
      </c>
      <c r="E1754" t="s">
        <v>11</v>
      </c>
      <c r="F1754" t="s">
        <v>2556</v>
      </c>
      <c r="G1754" t="s">
        <v>1917</v>
      </c>
      <c r="H1754" t="s">
        <v>432</v>
      </c>
      <c r="J1754" t="s">
        <v>17511</v>
      </c>
    </row>
    <row r="1755" spans="1:10" hidden="1" x14ac:dyDescent="0.25">
      <c r="A1755" t="s">
        <v>2605</v>
      </c>
      <c r="B1755" s="1" t="str">
        <f>HYPERLINK("https://asmlis.vasa.lt/Dashboard/Served?ServiceDateFrom=2025-11-24&amp;ServiceDateTo=2025-11-24&amp;DumpsterInvNr=13-L-317671", "13-L-317671")</f>
        <v>13-L-317671</v>
      </c>
      <c r="C1755">
        <v>1.1000000000000001</v>
      </c>
      <c r="D1755" t="s">
        <v>2566</v>
      </c>
      <c r="E1755" t="s">
        <v>11</v>
      </c>
      <c r="F1755" t="s">
        <v>13</v>
      </c>
      <c r="G1755" t="s">
        <v>9</v>
      </c>
      <c r="H1755" t="s">
        <v>14</v>
      </c>
    </row>
    <row r="1756" spans="1:10" hidden="1" x14ac:dyDescent="0.25">
      <c r="A1756" t="s">
        <v>2605</v>
      </c>
      <c r="B1756" s="1" t="str">
        <f>HYPERLINK("https://asmlis.vasa.lt/Dashboard/Served?ServiceDateFrom=2025-11-24&amp;ServiceDateTo=2025-11-24&amp;DumpsterInvNr=13-L-213923", "13-L-213923")</f>
        <v>13-L-213923</v>
      </c>
      <c r="C1756">
        <v>1.1000000000000001</v>
      </c>
      <c r="D1756" t="s">
        <v>1908</v>
      </c>
      <c r="E1756" t="s">
        <v>11</v>
      </c>
      <c r="F1756" t="s">
        <v>13</v>
      </c>
      <c r="G1756" t="s">
        <v>936</v>
      </c>
      <c r="H1756" t="s">
        <v>938</v>
      </c>
    </row>
    <row r="1757" spans="1:10" hidden="1" x14ac:dyDescent="0.25">
      <c r="A1757" t="s">
        <v>2332</v>
      </c>
      <c r="B1757" s="1" t="str">
        <f>HYPERLINK("https://asmlis.vasa.lt/Dashboard/Served?ServiceDateFrom=2025-11-24&amp;ServiceDateTo=2025-11-24&amp;DumpsterInvNr=13-L-221626", "13-L-221626")</f>
        <v>13-L-221626</v>
      </c>
      <c r="C1757">
        <v>1.1000000000000001</v>
      </c>
      <c r="D1757" t="s">
        <v>2548</v>
      </c>
      <c r="E1757" t="s">
        <v>11</v>
      </c>
      <c r="F1757" t="s">
        <v>13</v>
      </c>
      <c r="G1757" t="s">
        <v>936</v>
      </c>
      <c r="H1757" t="s">
        <v>938</v>
      </c>
    </row>
    <row r="1758" spans="1:10" hidden="1" x14ac:dyDescent="0.25">
      <c r="A1758" t="s">
        <v>2379</v>
      </c>
      <c r="B1758" s="1" t="str">
        <f>HYPERLINK("https://asmlis.vasa.lt/Dashboard/Served?ServiceDateFrom=2025-11-24&amp;ServiceDateTo=2025-11-24&amp;DumpsterInvNr=13-P-207782", "13-P-207782")</f>
        <v>13-P-207782</v>
      </c>
      <c r="C1758">
        <v>5</v>
      </c>
      <c r="D1758" t="s">
        <v>2606</v>
      </c>
      <c r="E1758" t="s">
        <v>11</v>
      </c>
      <c r="G1758" t="s">
        <v>234</v>
      </c>
      <c r="H1758" t="s">
        <v>14</v>
      </c>
    </row>
    <row r="1759" spans="1:10" hidden="1" x14ac:dyDescent="0.25">
      <c r="A1759" t="s">
        <v>2607</v>
      </c>
      <c r="B1759" s="1" t="str">
        <f>HYPERLINK("https://asmlis.vasa.lt/Dashboard/Served?ServiceDateFrom=2025-11-24&amp;ServiceDateTo=2025-11-24&amp;DumpsterInvNr=13-L-224051", "13-L-224051")</f>
        <v>13-L-224051</v>
      </c>
      <c r="C1759">
        <v>1.1000000000000001</v>
      </c>
      <c r="D1759" t="s">
        <v>2608</v>
      </c>
      <c r="E1759" t="s">
        <v>11</v>
      </c>
      <c r="F1759" t="s">
        <v>13</v>
      </c>
      <c r="G1759" t="s">
        <v>936</v>
      </c>
      <c r="H1759" t="s">
        <v>938</v>
      </c>
    </row>
    <row r="1760" spans="1:10" hidden="1" x14ac:dyDescent="0.25">
      <c r="A1760" t="s">
        <v>2609</v>
      </c>
      <c r="B1760" s="1" t="str">
        <f>HYPERLINK("https://asmlis.vasa.lt/Dashboard/Served?ServiceDateFrom=2025-11-24&amp;ServiceDateTo=2025-11-24&amp;DumpsterInvNr=13-L-302681", "13-L-302681")</f>
        <v>13-L-302681</v>
      </c>
      <c r="C1760">
        <v>1.1000000000000001</v>
      </c>
      <c r="D1760" t="s">
        <v>2610</v>
      </c>
      <c r="E1760" t="s">
        <v>11</v>
      </c>
      <c r="F1760" t="s">
        <v>13</v>
      </c>
      <c r="G1760" t="s">
        <v>9</v>
      </c>
      <c r="H1760" t="s">
        <v>14</v>
      </c>
    </row>
    <row r="1761" spans="1:10" hidden="1" x14ac:dyDescent="0.25">
      <c r="A1761" t="s">
        <v>2611</v>
      </c>
      <c r="B1761" s="1" t="str">
        <f>HYPERLINK("https://asmlis.vasa.lt/Dashboard/Served?ServiceDateFrom=2025-11-24&amp;ServiceDateTo=2025-11-24&amp;DumpsterInvNr=13-P-102405", "13-P-102405")</f>
        <v>13-P-102405</v>
      </c>
      <c r="C1761">
        <v>5</v>
      </c>
      <c r="D1761" t="s">
        <v>2612</v>
      </c>
      <c r="E1761" t="s">
        <v>11</v>
      </c>
      <c r="F1761" t="s">
        <v>13</v>
      </c>
      <c r="G1761" t="s">
        <v>1917</v>
      </c>
      <c r="H1761" t="s">
        <v>432</v>
      </c>
    </row>
    <row r="1762" spans="1:10" hidden="1" x14ac:dyDescent="0.25">
      <c r="A1762" t="s">
        <v>2611</v>
      </c>
      <c r="B1762" s="1" t="str">
        <f>HYPERLINK("https://asmlis.vasa.lt/Dashboard/Served?ServiceDateFrom=2025-11-24&amp;ServiceDateTo=2025-11-24&amp;DumpsterInvNr=13-P-402444", "13-P-402444")</f>
        <v>13-P-402444</v>
      </c>
      <c r="C1762">
        <v>1.1000000000000001</v>
      </c>
      <c r="D1762" t="s">
        <v>2613</v>
      </c>
      <c r="E1762" t="s">
        <v>11</v>
      </c>
      <c r="G1762" t="s">
        <v>264</v>
      </c>
      <c r="H1762" t="s">
        <v>14</v>
      </c>
    </row>
    <row r="1763" spans="1:10" hidden="1" x14ac:dyDescent="0.25">
      <c r="A1763" t="s">
        <v>2614</v>
      </c>
      <c r="B1763" s="1" t="str">
        <f>HYPERLINK("https://asmlis.vasa.lt/Dashboard/Served?ServiceDateFrom=2025-11-24&amp;ServiceDateTo=2025-11-24&amp;DumpsterInvNr=13-L-224053", "13-L-224053")</f>
        <v>13-L-224053</v>
      </c>
      <c r="C1763">
        <v>1.1000000000000001</v>
      </c>
      <c r="D1763" t="s">
        <v>2548</v>
      </c>
      <c r="E1763" t="s">
        <v>11</v>
      </c>
      <c r="F1763" t="s">
        <v>13</v>
      </c>
      <c r="G1763" t="s">
        <v>936</v>
      </c>
      <c r="H1763" t="s">
        <v>938</v>
      </c>
    </row>
    <row r="1764" spans="1:10" x14ac:dyDescent="0.25">
      <c r="A1764" t="s">
        <v>2615</v>
      </c>
      <c r="B1764" s="1" t="str">
        <f>HYPERLINK("https://asmlis.vasa.lt/Dashboard/Served?ServiceDateFrom=2025-11-24&amp;ServiceDateTo=2025-11-24&amp;DumpsterInvNr=13-L-120395", "13-L-120395")</f>
        <v>13-L-120395</v>
      </c>
      <c r="C1764">
        <v>0.12</v>
      </c>
      <c r="D1764" t="s">
        <v>2616</v>
      </c>
      <c r="E1764" t="s">
        <v>11</v>
      </c>
      <c r="F1764" t="s">
        <v>2556</v>
      </c>
      <c r="G1764" t="s">
        <v>1912</v>
      </c>
      <c r="H1764" t="s">
        <v>432</v>
      </c>
      <c r="J1764" t="s">
        <v>17511</v>
      </c>
    </row>
    <row r="1765" spans="1:10" hidden="1" x14ac:dyDescent="0.25">
      <c r="A1765" t="s">
        <v>2617</v>
      </c>
      <c r="B1765" s="1" t="str">
        <f>HYPERLINK("https://asmlis.vasa.lt/Dashboard/Served?ServiceDateFrom=2025-11-24&amp;ServiceDateTo=2025-11-24&amp;DumpsterInvNr=13-L-302682", "13-L-302682")</f>
        <v>13-L-302682</v>
      </c>
      <c r="C1765">
        <v>1.1000000000000001</v>
      </c>
      <c r="D1765" t="s">
        <v>2610</v>
      </c>
      <c r="E1765" t="s">
        <v>11</v>
      </c>
      <c r="F1765" t="s">
        <v>13</v>
      </c>
      <c r="G1765" t="s">
        <v>9</v>
      </c>
      <c r="H1765" t="s">
        <v>14</v>
      </c>
    </row>
    <row r="1766" spans="1:10" hidden="1" x14ac:dyDescent="0.25">
      <c r="A1766" t="s">
        <v>2618</v>
      </c>
      <c r="B1766" s="1" t="str">
        <f>HYPERLINK("https://asmlis.vasa.lt/Dashboard/Served?ServiceDateFrom=2025-11-24&amp;ServiceDateTo=2025-11-24&amp;DumpsterInvNr=13-L-220851", "13-L-220851")</f>
        <v>13-L-220851</v>
      </c>
      <c r="C1766">
        <v>1.1000000000000001</v>
      </c>
      <c r="D1766" t="s">
        <v>2548</v>
      </c>
      <c r="E1766" t="s">
        <v>11</v>
      </c>
      <c r="F1766" t="s">
        <v>13</v>
      </c>
      <c r="G1766" t="s">
        <v>936</v>
      </c>
      <c r="H1766" t="s">
        <v>938</v>
      </c>
    </row>
    <row r="1767" spans="1:10" hidden="1" x14ac:dyDescent="0.25">
      <c r="A1767" t="s">
        <v>2619</v>
      </c>
      <c r="B1767" s="1" t="str">
        <f>HYPERLINK("https://asmlis.vasa.lt/Dashboard/Served?ServiceDateFrom=2025-11-24&amp;ServiceDateTo=2025-11-24&amp;DumpsterInvNr=13-L-426797", "13-L-426797")</f>
        <v>13-L-426797</v>
      </c>
      <c r="C1767">
        <v>1.1000000000000001</v>
      </c>
      <c r="D1767" t="s">
        <v>2571</v>
      </c>
      <c r="E1767" t="s">
        <v>11</v>
      </c>
      <c r="G1767" t="s">
        <v>74</v>
      </c>
      <c r="H1767" t="s">
        <v>14</v>
      </c>
    </row>
    <row r="1768" spans="1:10" hidden="1" x14ac:dyDescent="0.25">
      <c r="A1768" t="s">
        <v>2620</v>
      </c>
      <c r="B1768" s="1" t="str">
        <f>HYPERLINK("https://asmlis.vasa.lt/Dashboard/Served?ServiceDateFrom=2025-11-24&amp;ServiceDateTo=2025-11-24&amp;DumpsterInvNr=13-L-221627", "13-L-221627")</f>
        <v>13-L-221627</v>
      </c>
      <c r="C1768">
        <v>1.1000000000000001</v>
      </c>
      <c r="D1768" t="s">
        <v>2548</v>
      </c>
      <c r="E1768" t="s">
        <v>11</v>
      </c>
      <c r="F1768" t="s">
        <v>13</v>
      </c>
      <c r="G1768" t="s">
        <v>936</v>
      </c>
      <c r="H1768" t="s">
        <v>938</v>
      </c>
    </row>
    <row r="1769" spans="1:10" hidden="1" x14ac:dyDescent="0.25">
      <c r="A1769" t="s">
        <v>2620</v>
      </c>
      <c r="B1769" s="1" t="str">
        <f>HYPERLINK("https://asmlis.vasa.lt/Dashboard/Served?ServiceDateFrom=2025-11-24&amp;ServiceDateTo=2025-11-24&amp;DumpsterInvNr=13-S-402219", "13-S-402219")</f>
        <v>13-S-402219</v>
      </c>
      <c r="C1769">
        <v>0.12</v>
      </c>
      <c r="D1769" t="s">
        <v>2621</v>
      </c>
      <c r="E1769" t="s">
        <v>11</v>
      </c>
      <c r="G1769" t="s">
        <v>264</v>
      </c>
      <c r="H1769" t="s">
        <v>14</v>
      </c>
    </row>
    <row r="1770" spans="1:10" hidden="1" x14ac:dyDescent="0.25">
      <c r="A1770" t="s">
        <v>2622</v>
      </c>
      <c r="B1770" s="1" t="str">
        <f>HYPERLINK("https://asmlis.vasa.lt/Dashboard/Served?ServiceDateFrom=2025-11-24&amp;ServiceDateTo=2025-11-24&amp;DumpsterInvNr=13-L-138840", "13-L-138840")</f>
        <v>13-L-138840</v>
      </c>
      <c r="C1770">
        <v>5</v>
      </c>
      <c r="D1770" t="s">
        <v>2623</v>
      </c>
      <c r="E1770" t="s">
        <v>11</v>
      </c>
      <c r="F1770" t="s">
        <v>13</v>
      </c>
      <c r="G1770" t="s">
        <v>430</v>
      </c>
      <c r="H1770" t="s">
        <v>432</v>
      </c>
    </row>
    <row r="1771" spans="1:10" x14ac:dyDescent="0.25">
      <c r="A1771" t="s">
        <v>2624</v>
      </c>
      <c r="B1771" s="1" t="str">
        <f>HYPERLINK("https://asmlis.vasa.lt/Dashboard/Served?ServiceDateFrom=2025-11-24&amp;ServiceDateTo=2025-11-24&amp;DumpsterInvNr=13-P-101114", "13-P-101114")</f>
        <v>13-P-101114</v>
      </c>
      <c r="C1771">
        <v>0.24</v>
      </c>
      <c r="D1771" t="s">
        <v>2616</v>
      </c>
      <c r="E1771" t="s">
        <v>11</v>
      </c>
      <c r="F1771" t="s">
        <v>2556</v>
      </c>
      <c r="G1771" t="s">
        <v>1917</v>
      </c>
      <c r="H1771" t="s">
        <v>432</v>
      </c>
      <c r="J1771" t="s">
        <v>17511</v>
      </c>
    </row>
    <row r="1772" spans="1:10" hidden="1" x14ac:dyDescent="0.25">
      <c r="A1772" t="s">
        <v>1795</v>
      </c>
      <c r="B1772" s="1" t="str">
        <f>HYPERLINK("https://asmlis.vasa.lt/Dashboard/Served?ServiceDateFrom=2025-11-24&amp;ServiceDateTo=2025-11-24&amp;DumpsterInvNr=13-L-221625", "13-L-221625")</f>
        <v>13-L-221625</v>
      </c>
      <c r="C1772">
        <v>1.1000000000000001</v>
      </c>
      <c r="D1772" t="s">
        <v>2548</v>
      </c>
      <c r="E1772" t="s">
        <v>11</v>
      </c>
      <c r="F1772" t="s">
        <v>13</v>
      </c>
      <c r="G1772" t="s">
        <v>936</v>
      </c>
      <c r="H1772" t="s">
        <v>938</v>
      </c>
    </row>
    <row r="1773" spans="1:10" hidden="1" x14ac:dyDescent="0.25">
      <c r="A1773" t="s">
        <v>1795</v>
      </c>
      <c r="B1773" s="1" t="str">
        <f>HYPERLINK("https://asmlis.vasa.lt/Dashboard/Served?ServiceDateFrom=2025-11-24&amp;ServiceDateTo=2025-11-24&amp;DumpsterInvNr=13-T-000270", "13-T-000270")</f>
        <v>13-T-000270</v>
      </c>
      <c r="C1773">
        <v>2.5</v>
      </c>
      <c r="D1773" t="s">
        <v>2625</v>
      </c>
      <c r="E1773" t="s">
        <v>11</v>
      </c>
      <c r="F1773" t="s">
        <v>13</v>
      </c>
      <c r="G1773" t="s">
        <v>1899</v>
      </c>
      <c r="H1773" t="s">
        <v>432</v>
      </c>
    </row>
    <row r="1774" spans="1:10" hidden="1" x14ac:dyDescent="0.25">
      <c r="A1774" t="s">
        <v>2626</v>
      </c>
      <c r="B1774" s="1" t="str">
        <f>HYPERLINK("https://asmlis.vasa.lt/Dashboard/Served?ServiceDateFrom=2025-11-24&amp;ServiceDateTo=2025-11-24&amp;DumpsterInvNr=13-L-318566", "13-L-318566")</f>
        <v>13-L-318566</v>
      </c>
      <c r="C1774">
        <v>0.77</v>
      </c>
      <c r="D1774" t="s">
        <v>2559</v>
      </c>
      <c r="E1774" t="s">
        <v>11</v>
      </c>
      <c r="G1774" t="s">
        <v>9</v>
      </c>
      <c r="H1774" t="s">
        <v>14</v>
      </c>
    </row>
    <row r="1775" spans="1:10" hidden="1" x14ac:dyDescent="0.25">
      <c r="A1775" t="s">
        <v>2627</v>
      </c>
      <c r="B1775" s="1" t="str">
        <f>HYPERLINK("https://asmlis.vasa.lt/Dashboard/Served?ServiceDateFrom=2025-11-24&amp;ServiceDateTo=2025-11-24&amp;DumpsterInvNr=13-T-000275", "13-T-000275")</f>
        <v>13-T-000275</v>
      </c>
      <c r="C1775">
        <v>2.5</v>
      </c>
      <c r="D1775" t="s">
        <v>2628</v>
      </c>
      <c r="E1775" t="s">
        <v>11</v>
      </c>
      <c r="F1775" t="s">
        <v>13</v>
      </c>
      <c r="G1775" t="s">
        <v>1899</v>
      </c>
      <c r="H1775" t="s">
        <v>432</v>
      </c>
    </row>
    <row r="1776" spans="1:10" x14ac:dyDescent="0.25">
      <c r="A1776" t="s">
        <v>2629</v>
      </c>
      <c r="B1776" s="1" t="str">
        <f>HYPERLINK("https://asmlis.vasa.lt/Dashboard/Served?ServiceDateFrom=2025-11-24&amp;ServiceDateTo=2025-11-24&amp;DumpsterInvNr=13-S-102396", "13-S-102396")</f>
        <v>13-S-102396</v>
      </c>
      <c r="C1776">
        <v>0.12</v>
      </c>
      <c r="D1776" t="s">
        <v>2616</v>
      </c>
      <c r="E1776" t="s">
        <v>11</v>
      </c>
      <c r="F1776" t="s">
        <v>2556</v>
      </c>
      <c r="G1776" t="s">
        <v>1917</v>
      </c>
      <c r="H1776" t="s">
        <v>432</v>
      </c>
      <c r="J1776" t="s">
        <v>17511</v>
      </c>
    </row>
    <row r="1777" spans="1:10" hidden="1" x14ac:dyDescent="0.25">
      <c r="A1777" t="s">
        <v>2630</v>
      </c>
      <c r="B1777" s="1" t="str">
        <f>HYPERLINK("https://asmlis.vasa.lt/Dashboard/Served?ServiceDateFrom=2025-11-24&amp;ServiceDateTo=2025-11-24&amp;DumpsterInvNr=13-L-426597", "13-L-426597")</f>
        <v>13-L-426597</v>
      </c>
      <c r="C1777">
        <v>0.24</v>
      </c>
      <c r="D1777" t="s">
        <v>2631</v>
      </c>
      <c r="E1777" t="s">
        <v>11</v>
      </c>
      <c r="G1777" t="s">
        <v>74</v>
      </c>
      <c r="H1777" t="s">
        <v>14</v>
      </c>
    </row>
    <row r="1778" spans="1:10" hidden="1" x14ac:dyDescent="0.25">
      <c r="A1778" t="s">
        <v>1787</v>
      </c>
      <c r="B1778" s="1" t="str">
        <f>HYPERLINK("https://asmlis.vasa.lt/Dashboard/Served?ServiceDateFrom=2025-11-24&amp;ServiceDateTo=2025-11-24&amp;DumpsterInvNr=13-T-000276", "13-T-000276")</f>
        <v>13-T-000276</v>
      </c>
      <c r="C1778">
        <v>2.5</v>
      </c>
      <c r="D1778" t="s">
        <v>2628</v>
      </c>
      <c r="E1778" t="s">
        <v>11</v>
      </c>
      <c r="F1778" t="s">
        <v>13</v>
      </c>
      <c r="G1778" t="s">
        <v>1899</v>
      </c>
      <c r="H1778" t="s">
        <v>432</v>
      </c>
    </row>
    <row r="1779" spans="1:10" hidden="1" x14ac:dyDescent="0.25">
      <c r="A1779" t="s">
        <v>1894</v>
      </c>
      <c r="B1779" s="1" t="str">
        <f>HYPERLINK("https://asmlis.vasa.lt/Dashboard/Served?ServiceDateFrom=2025-11-24&amp;ServiceDateTo=2025-11-24&amp;DumpsterInvNr=13-T-000297", "13-T-000297")</f>
        <v>13-T-000297</v>
      </c>
      <c r="C1779">
        <v>2.5</v>
      </c>
      <c r="D1779" t="s">
        <v>2625</v>
      </c>
      <c r="E1779" t="s">
        <v>11</v>
      </c>
      <c r="F1779" t="s">
        <v>13</v>
      </c>
      <c r="G1779" t="s">
        <v>1899</v>
      </c>
      <c r="H1779" t="s">
        <v>432</v>
      </c>
    </row>
    <row r="1780" spans="1:10" hidden="1" x14ac:dyDescent="0.25">
      <c r="A1780" t="s">
        <v>2632</v>
      </c>
      <c r="B1780" s="1" t="str">
        <f>HYPERLINK("https://asmlis.vasa.lt/Dashboard/Served?ServiceDateFrom=2025-11-24&amp;ServiceDateTo=2025-11-24&amp;DumpsterInvNr=13-L-223153", "13-L-223153")</f>
        <v>13-L-223153</v>
      </c>
      <c r="C1780">
        <v>1.1000000000000001</v>
      </c>
      <c r="D1780" t="s">
        <v>2633</v>
      </c>
      <c r="E1780" t="s">
        <v>11</v>
      </c>
      <c r="G1780" t="s">
        <v>936</v>
      </c>
      <c r="H1780" t="s">
        <v>938</v>
      </c>
    </row>
    <row r="1781" spans="1:10" hidden="1" x14ac:dyDescent="0.25">
      <c r="A1781" t="s">
        <v>2634</v>
      </c>
      <c r="B1781" s="1" t="str">
        <f>HYPERLINK("https://asmlis.vasa.lt/Dashboard/Served?ServiceDateFrom=2025-11-24&amp;ServiceDateTo=2025-11-24&amp;DumpsterInvNr=13-P-402453", "13-P-402453")</f>
        <v>13-P-402453</v>
      </c>
      <c r="C1781">
        <v>1.1000000000000001</v>
      </c>
      <c r="D1781" t="s">
        <v>2613</v>
      </c>
      <c r="E1781" t="s">
        <v>11</v>
      </c>
      <c r="F1781" t="s">
        <v>13</v>
      </c>
      <c r="G1781" t="s">
        <v>264</v>
      </c>
      <c r="H1781" t="s">
        <v>14</v>
      </c>
    </row>
    <row r="1782" spans="1:10" hidden="1" x14ac:dyDescent="0.25">
      <c r="A1782" t="s">
        <v>2635</v>
      </c>
      <c r="B1782" s="1" t="str">
        <f>HYPERLINK("https://asmlis.vasa.lt/Dashboard/Served?ServiceDateFrom=2025-11-24&amp;ServiceDateTo=2025-11-24&amp;DumpsterInvNr=13-L-103779", "13-L-103779")</f>
        <v>13-L-103779</v>
      </c>
      <c r="C1782">
        <v>1.1000000000000001</v>
      </c>
      <c r="D1782" t="s">
        <v>2636</v>
      </c>
      <c r="E1782" t="s">
        <v>11</v>
      </c>
      <c r="G1782" t="s">
        <v>430</v>
      </c>
      <c r="H1782" t="s">
        <v>432</v>
      </c>
    </row>
    <row r="1783" spans="1:10" hidden="1" x14ac:dyDescent="0.25">
      <c r="A1783" t="s">
        <v>2637</v>
      </c>
      <c r="B1783" s="1" t="str">
        <f>HYPERLINK("https://asmlis.vasa.lt/Dashboard/Served?ServiceDateFrom=2025-11-24&amp;ServiceDateTo=2025-11-24&amp;DumpsterInvNr=13-L-315989", "13-L-315989")</f>
        <v>13-L-315989</v>
      </c>
      <c r="C1783">
        <v>0.77</v>
      </c>
      <c r="D1783" t="s">
        <v>2582</v>
      </c>
      <c r="E1783" t="s">
        <v>11</v>
      </c>
      <c r="F1783" t="s">
        <v>13</v>
      </c>
      <c r="G1783" t="s">
        <v>9</v>
      </c>
      <c r="H1783" t="s">
        <v>14</v>
      </c>
    </row>
    <row r="1784" spans="1:10" hidden="1" x14ac:dyDescent="0.25">
      <c r="A1784" t="s">
        <v>2638</v>
      </c>
      <c r="B1784" s="1" t="str">
        <f>HYPERLINK("https://asmlis.vasa.lt/Dashboard/Served?ServiceDateFrom=2025-11-24&amp;ServiceDateTo=2025-11-24&amp;DumpsterInvNr=13-L-103781", "13-L-103781")</f>
        <v>13-L-103781</v>
      </c>
      <c r="C1784">
        <v>1.1000000000000001</v>
      </c>
      <c r="D1784" t="s">
        <v>2636</v>
      </c>
      <c r="E1784" t="s">
        <v>11</v>
      </c>
      <c r="G1784" t="s">
        <v>430</v>
      </c>
      <c r="H1784" t="s">
        <v>432</v>
      </c>
    </row>
    <row r="1785" spans="1:10" hidden="1" x14ac:dyDescent="0.25">
      <c r="A1785" t="s">
        <v>2639</v>
      </c>
      <c r="B1785" s="1" t="str">
        <f>HYPERLINK("https://asmlis.vasa.lt/Dashboard/Served?ServiceDateFrom=2025-11-24&amp;ServiceDateTo=2025-11-24&amp;DumpsterInvNr=13-P-209100", "13-P-209100")</f>
        <v>13-P-209100</v>
      </c>
      <c r="C1785">
        <v>0.24</v>
      </c>
      <c r="D1785" t="s">
        <v>2640</v>
      </c>
      <c r="E1785" t="s">
        <v>11</v>
      </c>
      <c r="G1785" t="s">
        <v>234</v>
      </c>
      <c r="H1785" t="s">
        <v>14</v>
      </c>
    </row>
    <row r="1786" spans="1:10" hidden="1" x14ac:dyDescent="0.25">
      <c r="A1786" t="s">
        <v>2639</v>
      </c>
      <c r="B1786" s="1" t="str">
        <f>HYPERLINK("https://asmlis.vasa.lt/Dashboard/Served?ServiceDateFrom=2025-11-24&amp;ServiceDateTo=2025-11-24&amp;DumpsterInvNr=13-P-402345", "13-P-402345")</f>
        <v>13-P-402345</v>
      </c>
      <c r="C1786">
        <v>1.1000000000000001</v>
      </c>
      <c r="D1786" t="s">
        <v>672</v>
      </c>
      <c r="E1786" t="s">
        <v>11</v>
      </c>
      <c r="F1786" t="s">
        <v>13</v>
      </c>
      <c r="G1786" t="s">
        <v>264</v>
      </c>
      <c r="H1786" t="s">
        <v>14</v>
      </c>
    </row>
    <row r="1787" spans="1:10" hidden="1" x14ac:dyDescent="0.25">
      <c r="A1787" t="s">
        <v>2361</v>
      </c>
      <c r="B1787" s="1" t="str">
        <f>HYPERLINK("https://asmlis.vasa.lt/Dashboard/Served?ServiceDateFrom=2025-11-24&amp;ServiceDateTo=2025-11-24&amp;DumpsterInvNr=13-L-410596", "13-L-410596")</f>
        <v>13-L-410596</v>
      </c>
      <c r="C1787">
        <v>0.77</v>
      </c>
      <c r="D1787" t="s">
        <v>2641</v>
      </c>
      <c r="E1787" t="s">
        <v>11</v>
      </c>
      <c r="G1787" t="s">
        <v>74</v>
      </c>
      <c r="H1787" t="s">
        <v>14</v>
      </c>
    </row>
    <row r="1788" spans="1:10" x14ac:dyDescent="0.25">
      <c r="A1788" t="s">
        <v>2642</v>
      </c>
      <c r="B1788" s="1" t="str">
        <f>HYPERLINK("https://asmlis.vasa.lt/Dashboard/Served?ServiceDateFrom=2025-11-24&amp;ServiceDateTo=2025-11-24&amp;DumpsterInvNr=13-L-133197", "13-L-133197")</f>
        <v>13-L-133197</v>
      </c>
      <c r="C1788">
        <v>0.24</v>
      </c>
      <c r="D1788" t="s">
        <v>2593</v>
      </c>
      <c r="E1788" t="s">
        <v>11</v>
      </c>
      <c r="F1788" t="s">
        <v>2556</v>
      </c>
      <c r="G1788" t="s">
        <v>1912</v>
      </c>
      <c r="H1788" t="s">
        <v>432</v>
      </c>
      <c r="J1788" t="s">
        <v>17511</v>
      </c>
    </row>
    <row r="1789" spans="1:10" hidden="1" x14ac:dyDescent="0.25">
      <c r="A1789" t="s">
        <v>2643</v>
      </c>
      <c r="B1789" s="1" t="str">
        <f>HYPERLINK("https://asmlis.vasa.lt/Dashboard/Served?ServiceDateFrom=2025-11-24&amp;ServiceDateTo=2025-11-24&amp;DumpsterInvNr=13-L-103780", "13-L-103780")</f>
        <v>13-L-103780</v>
      </c>
      <c r="C1789">
        <v>1.1000000000000001</v>
      </c>
      <c r="D1789" t="s">
        <v>2636</v>
      </c>
      <c r="E1789" t="s">
        <v>11</v>
      </c>
      <c r="F1789" t="s">
        <v>13</v>
      </c>
      <c r="G1789" t="s">
        <v>430</v>
      </c>
      <c r="H1789" t="s">
        <v>432</v>
      </c>
    </row>
    <row r="1790" spans="1:10" hidden="1" x14ac:dyDescent="0.25">
      <c r="A1790" t="s">
        <v>2645</v>
      </c>
      <c r="B1790" s="1" t="str">
        <f>HYPERLINK("https://asmlis.vasa.lt/Dashboard/Served?ServiceDateFrom=2025-11-24&amp;ServiceDateTo=2025-11-24&amp;DumpsterInvNr=13-L-408810", "13-L-408810")</f>
        <v>13-L-408810</v>
      </c>
      <c r="C1790">
        <v>0.24</v>
      </c>
      <c r="D1790" t="s">
        <v>2646</v>
      </c>
      <c r="E1790" t="s">
        <v>11</v>
      </c>
      <c r="G1790" t="s">
        <v>74</v>
      </c>
      <c r="H1790" t="s">
        <v>14</v>
      </c>
    </row>
    <row r="1791" spans="1:10" hidden="1" x14ac:dyDescent="0.25">
      <c r="A1791" t="s">
        <v>2645</v>
      </c>
      <c r="B1791" s="1" t="str">
        <f>HYPERLINK("https://asmlis.vasa.lt/Dashboard/Served?ServiceDateFrom=2025-11-24&amp;ServiceDateTo=2025-11-24&amp;DumpsterInvNr=13-L-420456", "13-L-420456")</f>
        <v>13-L-420456</v>
      </c>
      <c r="C1791">
        <v>0.24</v>
      </c>
      <c r="D1791" t="s">
        <v>2647</v>
      </c>
      <c r="E1791" t="s">
        <v>11</v>
      </c>
      <c r="G1791" t="s">
        <v>74</v>
      </c>
      <c r="H1791" t="s">
        <v>14</v>
      </c>
    </row>
    <row r="1792" spans="1:10" hidden="1" x14ac:dyDescent="0.25">
      <c r="A1792" t="s">
        <v>2645</v>
      </c>
      <c r="B1792" s="1" t="str">
        <f>HYPERLINK("https://asmlis.vasa.lt/Dashboard/Served?ServiceDateFrom=2025-11-24&amp;ServiceDateTo=2025-11-24&amp;DumpsterInvNr=13-P-500079", "13-P-500079")</f>
        <v>13-P-500079</v>
      </c>
      <c r="C1792">
        <v>5</v>
      </c>
      <c r="D1792" t="s">
        <v>1190</v>
      </c>
      <c r="E1792" t="s">
        <v>11</v>
      </c>
      <c r="F1792" t="s">
        <v>13</v>
      </c>
      <c r="G1792" t="s">
        <v>2178</v>
      </c>
      <c r="H1792" t="s">
        <v>432</v>
      </c>
    </row>
    <row r="1793" spans="1:8" hidden="1" x14ac:dyDescent="0.25">
      <c r="A1793" t="s">
        <v>2649</v>
      </c>
      <c r="B1793" s="1" t="str">
        <f>HYPERLINK("https://asmlis.vasa.lt/Dashboard/Served?ServiceDateFrom=2025-11-24&amp;ServiceDateTo=2025-11-24&amp;DumpsterInvNr=13-L-307354", "13-L-307354")</f>
        <v>13-L-307354</v>
      </c>
      <c r="C1793">
        <v>0.66</v>
      </c>
      <c r="D1793" t="s">
        <v>2559</v>
      </c>
      <c r="E1793" t="s">
        <v>11</v>
      </c>
      <c r="G1793" t="s">
        <v>9</v>
      </c>
      <c r="H1793" t="s">
        <v>14</v>
      </c>
    </row>
    <row r="1794" spans="1:8" hidden="1" x14ac:dyDescent="0.25">
      <c r="A1794" t="s">
        <v>2649</v>
      </c>
      <c r="B1794" s="1" t="str">
        <f>HYPERLINK("https://asmlis.vasa.lt/Dashboard/Served?ServiceDateFrom=2025-11-24&amp;ServiceDateTo=2025-11-24&amp;DumpsterInvNr=13-P-302568", "13-P-302568")</f>
        <v>13-P-302568</v>
      </c>
      <c r="C1794">
        <v>5</v>
      </c>
      <c r="D1794" t="s">
        <v>1162</v>
      </c>
      <c r="E1794" t="s">
        <v>11</v>
      </c>
      <c r="F1794" t="s">
        <v>13</v>
      </c>
      <c r="G1794" t="s">
        <v>412</v>
      </c>
      <c r="H1794" t="s">
        <v>14</v>
      </c>
    </row>
    <row r="1795" spans="1:8" hidden="1" x14ac:dyDescent="0.25">
      <c r="A1795" t="s">
        <v>2650</v>
      </c>
      <c r="B1795" s="1" t="str">
        <f>HYPERLINK("https://asmlis.vasa.lt/Dashboard/Served?ServiceDateFrom=2025-11-24&amp;ServiceDateTo=2025-11-24&amp;DumpsterInvNr=13-L-125577", "13-L-125577")</f>
        <v>13-L-125577</v>
      </c>
      <c r="C1795">
        <v>0.24</v>
      </c>
      <c r="D1795" t="s">
        <v>2651</v>
      </c>
      <c r="E1795" t="s">
        <v>11</v>
      </c>
      <c r="G1795" t="s">
        <v>430</v>
      </c>
      <c r="H1795" t="s">
        <v>432</v>
      </c>
    </row>
    <row r="1796" spans="1:8" hidden="1" x14ac:dyDescent="0.25">
      <c r="A1796" t="s">
        <v>2652</v>
      </c>
      <c r="B1796" s="1" t="str">
        <f>HYPERLINK("https://asmlis.vasa.lt/Dashboard/Served?ServiceDateFrom=2025-11-24&amp;ServiceDateTo=2025-11-24&amp;DumpsterInvNr=13-L-409198", "13-L-409198")</f>
        <v>13-L-409198</v>
      </c>
      <c r="C1796">
        <v>0.12</v>
      </c>
      <c r="D1796" t="s">
        <v>2653</v>
      </c>
      <c r="E1796" t="s">
        <v>11</v>
      </c>
      <c r="F1796" t="s">
        <v>1209</v>
      </c>
      <c r="G1796" t="s">
        <v>74</v>
      </c>
      <c r="H1796" t="s">
        <v>14</v>
      </c>
    </row>
    <row r="1797" spans="1:8" hidden="1" x14ac:dyDescent="0.25">
      <c r="A1797" t="s">
        <v>2654</v>
      </c>
      <c r="B1797" s="1" t="str">
        <f>HYPERLINK("https://asmlis.vasa.lt/Dashboard/Served?ServiceDateFrom=2025-11-24&amp;ServiceDateTo=2025-11-24&amp;DumpsterInvNr=13-L-221606", "13-L-221606")</f>
        <v>13-L-221606</v>
      </c>
      <c r="C1797">
        <v>1.1000000000000001</v>
      </c>
      <c r="D1797" t="s">
        <v>2633</v>
      </c>
      <c r="E1797" t="s">
        <v>11</v>
      </c>
      <c r="G1797" t="s">
        <v>936</v>
      </c>
      <c r="H1797" t="s">
        <v>938</v>
      </c>
    </row>
    <row r="1798" spans="1:8" hidden="1" x14ac:dyDescent="0.25">
      <c r="A1798" t="s">
        <v>2655</v>
      </c>
      <c r="B1798" s="1" t="str">
        <f>HYPERLINK("https://asmlis.vasa.lt/Dashboard/Served?ServiceDateFrom=2025-11-24&amp;ServiceDateTo=2025-11-24&amp;DumpsterInvNr=13-P-304045", "13-P-304045")</f>
        <v>13-P-304045</v>
      </c>
      <c r="C1798">
        <v>5</v>
      </c>
      <c r="D1798" t="s">
        <v>1162</v>
      </c>
      <c r="E1798" t="s">
        <v>11</v>
      </c>
      <c r="F1798" t="s">
        <v>13</v>
      </c>
      <c r="G1798" t="s">
        <v>412</v>
      </c>
      <c r="H1798" t="s">
        <v>14</v>
      </c>
    </row>
    <row r="1799" spans="1:8" hidden="1" x14ac:dyDescent="0.25">
      <c r="A1799" t="s">
        <v>2656</v>
      </c>
      <c r="B1799" s="1" t="str">
        <f>HYPERLINK("https://asmlis.vasa.lt/Dashboard/Served?ServiceDateFrom=2025-11-24&amp;ServiceDateTo=2025-11-24&amp;DumpsterInvNr=13-L-134233", "13-L-134233")</f>
        <v>13-L-134233</v>
      </c>
      <c r="C1799">
        <v>5</v>
      </c>
      <c r="D1799" t="s">
        <v>2657</v>
      </c>
      <c r="E1799" t="s">
        <v>11</v>
      </c>
      <c r="F1799" t="s">
        <v>13</v>
      </c>
      <c r="G1799" t="s">
        <v>1912</v>
      </c>
      <c r="H1799" t="s">
        <v>432</v>
      </c>
    </row>
    <row r="1800" spans="1:8" hidden="1" x14ac:dyDescent="0.25">
      <c r="A1800" t="s">
        <v>2658</v>
      </c>
      <c r="B1800" s="1" t="str">
        <f>HYPERLINK("https://asmlis.vasa.lt/Dashboard/Served?ServiceDateFrom=2025-11-24&amp;ServiceDateTo=2025-11-24&amp;DumpsterInvNr=13-L-421185", "13-L-421185")</f>
        <v>13-L-421185</v>
      </c>
      <c r="C1800">
        <v>5</v>
      </c>
      <c r="D1800" t="s">
        <v>2659</v>
      </c>
      <c r="E1800" t="s">
        <v>11</v>
      </c>
      <c r="F1800" t="s">
        <v>13</v>
      </c>
      <c r="G1800" t="s">
        <v>74</v>
      </c>
      <c r="H1800" t="s">
        <v>14</v>
      </c>
    </row>
    <row r="1801" spans="1:8" hidden="1" x14ac:dyDescent="0.25">
      <c r="A1801" t="s">
        <v>2367</v>
      </c>
      <c r="B1801" s="1" t="str">
        <f>HYPERLINK("https://asmlis.vasa.lt/Dashboard/Served?ServiceDateFrom=2025-11-24&amp;ServiceDateTo=2025-11-24&amp;DumpsterInvNr=13-L-223778", "13-L-223778")</f>
        <v>13-L-223778</v>
      </c>
      <c r="C1801">
        <v>1.1000000000000001</v>
      </c>
      <c r="D1801" t="s">
        <v>2633</v>
      </c>
      <c r="E1801" t="s">
        <v>11</v>
      </c>
      <c r="G1801" t="s">
        <v>936</v>
      </c>
      <c r="H1801" t="s">
        <v>938</v>
      </c>
    </row>
    <row r="1802" spans="1:8" hidden="1" x14ac:dyDescent="0.25">
      <c r="A1802" t="s">
        <v>2370</v>
      </c>
      <c r="B1802" s="1" t="str">
        <f>HYPERLINK("https://asmlis.vasa.lt/Dashboard/Served?ServiceDateFrom=2025-11-24&amp;ServiceDateTo=2025-11-24&amp;DumpsterInvNr=13-L-223489", "13-L-223489")</f>
        <v>13-L-223489</v>
      </c>
      <c r="C1802">
        <v>1.1000000000000001</v>
      </c>
      <c r="D1802" t="s">
        <v>1908</v>
      </c>
      <c r="E1802" t="s">
        <v>11</v>
      </c>
      <c r="G1802" t="s">
        <v>936</v>
      </c>
      <c r="H1802" t="s">
        <v>938</v>
      </c>
    </row>
    <row r="1803" spans="1:8" hidden="1" x14ac:dyDescent="0.25">
      <c r="A1803" t="s">
        <v>2660</v>
      </c>
      <c r="B1803" s="1" t="str">
        <f>HYPERLINK("https://asmlis.vasa.lt/Dashboard/Served?ServiceDateFrom=2025-11-24&amp;ServiceDateTo=2025-11-24&amp;DumpsterInvNr=13-L-316865", "13-L-316865")</f>
        <v>13-L-316865</v>
      </c>
      <c r="C1803">
        <v>1.1000000000000001</v>
      </c>
      <c r="D1803" t="s">
        <v>2559</v>
      </c>
      <c r="E1803" t="s">
        <v>11</v>
      </c>
      <c r="F1803" t="s">
        <v>13</v>
      </c>
      <c r="G1803" t="s">
        <v>9</v>
      </c>
      <c r="H1803" t="s">
        <v>14</v>
      </c>
    </row>
    <row r="1804" spans="1:8" hidden="1" x14ac:dyDescent="0.25">
      <c r="A1804" t="s">
        <v>2661</v>
      </c>
      <c r="B1804" s="1" t="str">
        <f>HYPERLINK("https://asmlis.vasa.lt/Dashboard/Served?ServiceDateFrom=2025-11-24&amp;ServiceDateTo=2025-11-24&amp;DumpsterInvNr=13-L-218846", "13-L-218846")</f>
        <v>13-L-218846</v>
      </c>
      <c r="C1804">
        <v>1.1000000000000001</v>
      </c>
      <c r="D1804" t="s">
        <v>1908</v>
      </c>
      <c r="E1804" t="s">
        <v>11</v>
      </c>
      <c r="F1804" t="s">
        <v>13</v>
      </c>
      <c r="G1804" t="s">
        <v>936</v>
      </c>
      <c r="H1804" t="s">
        <v>938</v>
      </c>
    </row>
    <row r="1805" spans="1:8" hidden="1" x14ac:dyDescent="0.25">
      <c r="A1805" t="s">
        <v>2372</v>
      </c>
      <c r="B1805" s="1" t="str">
        <f>HYPERLINK("https://asmlis.vasa.lt/Dashboard/Served?ServiceDateFrom=2025-11-24&amp;ServiceDateTo=2025-11-24&amp;DumpsterInvNr=13-L-314987", "13-L-314987")</f>
        <v>13-L-314987</v>
      </c>
      <c r="C1805">
        <v>1.1000000000000001</v>
      </c>
      <c r="D1805" t="s">
        <v>2539</v>
      </c>
      <c r="E1805" t="s">
        <v>11</v>
      </c>
      <c r="F1805" t="s">
        <v>13</v>
      </c>
      <c r="G1805" t="s">
        <v>9</v>
      </c>
      <c r="H1805" t="s">
        <v>14</v>
      </c>
    </row>
    <row r="1806" spans="1:8" hidden="1" x14ac:dyDescent="0.25">
      <c r="A1806" t="s">
        <v>2510</v>
      </c>
      <c r="B1806" s="1" t="str">
        <f>HYPERLINK("https://asmlis.vasa.lt/Dashboard/Served?ServiceDateFrom=2025-11-24&amp;ServiceDateTo=2025-11-24&amp;DumpsterInvNr=13-L-218845", "13-L-218845")</f>
        <v>13-L-218845</v>
      </c>
      <c r="C1806">
        <v>1.1000000000000001</v>
      </c>
      <c r="D1806" t="s">
        <v>1908</v>
      </c>
      <c r="E1806" t="s">
        <v>11</v>
      </c>
      <c r="F1806" t="s">
        <v>13</v>
      </c>
      <c r="G1806" t="s">
        <v>936</v>
      </c>
      <c r="H1806" t="s">
        <v>938</v>
      </c>
    </row>
    <row r="1807" spans="1:8" hidden="1" x14ac:dyDescent="0.25">
      <c r="A1807" t="s">
        <v>2662</v>
      </c>
      <c r="B1807" s="1" t="str">
        <f>HYPERLINK("https://asmlis.vasa.lt/Dashboard/Served?ServiceDateFrom=2025-11-24&amp;ServiceDateTo=2025-11-24&amp;DumpsterInvNr=13-L-305552", "13-L-305552")</f>
        <v>13-L-305552</v>
      </c>
      <c r="C1807">
        <v>5</v>
      </c>
      <c r="D1807" t="s">
        <v>262</v>
      </c>
      <c r="E1807" t="s">
        <v>11</v>
      </c>
      <c r="F1807" t="s">
        <v>13</v>
      </c>
      <c r="G1807" t="s">
        <v>9</v>
      </c>
      <c r="H1807" t="s">
        <v>14</v>
      </c>
    </row>
    <row r="1808" spans="1:8" hidden="1" x14ac:dyDescent="0.25">
      <c r="A1808" t="s">
        <v>2662</v>
      </c>
      <c r="B1808" s="1" t="str">
        <f>HYPERLINK("https://asmlis.vasa.lt/Dashboard/Served?ServiceDateFrom=2025-11-24&amp;ServiceDateTo=2025-11-24&amp;DumpsterInvNr=13-P-413852", "13-P-413852")</f>
        <v>13-P-413852</v>
      </c>
      <c r="C1808">
        <v>3</v>
      </c>
      <c r="D1808" t="s">
        <v>733</v>
      </c>
      <c r="E1808" t="s">
        <v>11</v>
      </c>
      <c r="F1808" t="s">
        <v>13</v>
      </c>
      <c r="G1808" t="s">
        <v>264</v>
      </c>
      <c r="H1808" t="s">
        <v>14</v>
      </c>
    </row>
    <row r="1809" spans="1:8" hidden="1" x14ac:dyDescent="0.25">
      <c r="A1809" t="s">
        <v>2547</v>
      </c>
      <c r="B1809" s="1" t="str">
        <f>HYPERLINK("https://asmlis.vasa.lt/Dashboard/Served?ServiceDateFrom=2025-11-24&amp;ServiceDateTo=2025-11-24&amp;DumpsterInvNr=13-L-212120", "13-L-212120")</f>
        <v>13-L-212120</v>
      </c>
      <c r="C1809">
        <v>1.1000000000000001</v>
      </c>
      <c r="D1809" t="s">
        <v>2633</v>
      </c>
      <c r="E1809" t="s">
        <v>11</v>
      </c>
      <c r="G1809" t="s">
        <v>936</v>
      </c>
      <c r="H1809" t="s">
        <v>938</v>
      </c>
    </row>
    <row r="1810" spans="1:8" hidden="1" x14ac:dyDescent="0.25">
      <c r="A1810" t="s">
        <v>2376</v>
      </c>
      <c r="B1810" s="1" t="str">
        <f>HYPERLINK("https://asmlis.vasa.lt/Dashboard/Served?ServiceDateFrom=2025-11-24&amp;ServiceDateTo=2025-11-24&amp;DumpsterInvNr=13-P-413929", "13-P-413929")</f>
        <v>13-P-413929</v>
      </c>
      <c r="C1810">
        <v>3</v>
      </c>
      <c r="D1810" t="s">
        <v>733</v>
      </c>
      <c r="E1810" t="s">
        <v>11</v>
      </c>
      <c r="F1810" t="s">
        <v>13</v>
      </c>
      <c r="G1810" t="s">
        <v>264</v>
      </c>
      <c r="H1810" t="s">
        <v>14</v>
      </c>
    </row>
    <row r="1811" spans="1:8" hidden="1" x14ac:dyDescent="0.25">
      <c r="A1811" t="s">
        <v>2664</v>
      </c>
      <c r="B1811" s="1" t="str">
        <f>HYPERLINK("https://asmlis.vasa.lt/Dashboard/Served?ServiceDateFrom=2025-11-24&amp;ServiceDateTo=2025-11-24&amp;DumpsterInvNr=13-P-301930", "13-P-301930")</f>
        <v>13-P-301930</v>
      </c>
      <c r="C1811">
        <v>0.24</v>
      </c>
      <c r="D1811" t="s">
        <v>588</v>
      </c>
      <c r="E1811" t="s">
        <v>11</v>
      </c>
      <c r="G1811" t="s">
        <v>412</v>
      </c>
      <c r="H1811" t="s">
        <v>14</v>
      </c>
    </row>
    <row r="1812" spans="1:8" hidden="1" x14ac:dyDescent="0.25">
      <c r="A1812" t="s">
        <v>2420</v>
      </c>
      <c r="B1812" s="1" t="str">
        <f>HYPERLINK("https://asmlis.vasa.lt/Dashboard/Served?ServiceDateFrom=2025-11-24&amp;ServiceDateTo=2025-11-24&amp;DumpsterInvNr=13-P-209167", "13-P-209167")</f>
        <v>13-P-209167</v>
      </c>
      <c r="C1812">
        <v>0.24</v>
      </c>
      <c r="D1812" t="s">
        <v>2665</v>
      </c>
      <c r="E1812" t="s">
        <v>11</v>
      </c>
      <c r="G1812" t="s">
        <v>234</v>
      </c>
      <c r="H1812" t="s">
        <v>14</v>
      </c>
    </row>
    <row r="1813" spans="1:8" hidden="1" x14ac:dyDescent="0.25">
      <c r="A1813" t="s">
        <v>2666</v>
      </c>
      <c r="B1813" s="1" t="str">
        <f>HYPERLINK("https://asmlis.vasa.lt/Dashboard/Served?ServiceDateFrom=2025-11-24&amp;ServiceDateTo=2025-11-24&amp;DumpsterInvNr=13-L-408811", "13-L-408811")</f>
        <v>13-L-408811</v>
      </c>
      <c r="C1813">
        <v>0.24</v>
      </c>
      <c r="D1813" t="s">
        <v>2667</v>
      </c>
      <c r="E1813" t="s">
        <v>11</v>
      </c>
      <c r="F1813" t="s">
        <v>1209</v>
      </c>
      <c r="G1813" t="s">
        <v>74</v>
      </c>
      <c r="H1813" t="s">
        <v>14</v>
      </c>
    </row>
    <row r="1814" spans="1:8" hidden="1" x14ac:dyDescent="0.25">
      <c r="A1814" t="s">
        <v>2581</v>
      </c>
      <c r="B1814" s="1" t="str">
        <f>HYPERLINK("https://asmlis.vasa.lt/Dashboard/Served?ServiceDateFrom=2025-11-24&amp;ServiceDateTo=2025-11-24&amp;DumpsterInvNr=13-L-422812", "13-L-422812")</f>
        <v>13-L-422812</v>
      </c>
      <c r="C1814">
        <v>1.1000000000000001</v>
      </c>
      <c r="D1814" t="s">
        <v>2669</v>
      </c>
      <c r="E1814" t="s">
        <v>11</v>
      </c>
      <c r="G1814" t="s">
        <v>74</v>
      </c>
      <c r="H1814" t="s">
        <v>14</v>
      </c>
    </row>
    <row r="1815" spans="1:8" hidden="1" x14ac:dyDescent="0.25">
      <c r="A1815" t="s">
        <v>2670</v>
      </c>
      <c r="B1815" s="1" t="str">
        <f>HYPERLINK("https://asmlis.vasa.lt/Dashboard/Served?ServiceDateFrom=2025-11-24&amp;ServiceDateTo=2025-11-24&amp;DumpsterInvNr=13-L-146876", "13-L-146876")</f>
        <v>13-L-146876</v>
      </c>
      <c r="C1815">
        <v>5</v>
      </c>
      <c r="D1815" t="s">
        <v>2671</v>
      </c>
      <c r="E1815" t="s">
        <v>11</v>
      </c>
      <c r="F1815" t="s">
        <v>13</v>
      </c>
      <c r="G1815" t="s">
        <v>430</v>
      </c>
      <c r="H1815" t="s">
        <v>432</v>
      </c>
    </row>
    <row r="1816" spans="1:8" hidden="1" x14ac:dyDescent="0.25">
      <c r="A1816" t="s">
        <v>2673</v>
      </c>
      <c r="B1816" s="1" t="str">
        <f>HYPERLINK("https://asmlis.vasa.lt/Dashboard/Served?ServiceDateFrom=2025-11-24&amp;ServiceDateTo=2025-11-24&amp;DumpsterInvNr=13-P-414603", "13-P-414603")</f>
        <v>13-P-414603</v>
      </c>
      <c r="C1816">
        <v>0.24</v>
      </c>
      <c r="D1816" t="s">
        <v>2674</v>
      </c>
      <c r="E1816" t="s">
        <v>11</v>
      </c>
      <c r="G1816" t="s">
        <v>264</v>
      </c>
      <c r="H1816" t="s">
        <v>14</v>
      </c>
    </row>
    <row r="1817" spans="1:8" hidden="1" x14ac:dyDescent="0.25">
      <c r="A1817" t="s">
        <v>2446</v>
      </c>
      <c r="B1817" s="1" t="str">
        <f>HYPERLINK("https://asmlis.vasa.lt/Dashboard/Served?ServiceDateFrom=2025-11-24&amp;ServiceDateTo=2025-11-24&amp;DumpsterInvNr=13-L-102621", "13-L-102621")</f>
        <v>13-L-102621</v>
      </c>
      <c r="C1817">
        <v>0.77</v>
      </c>
      <c r="D1817" t="s">
        <v>2675</v>
      </c>
      <c r="E1817" t="s">
        <v>11</v>
      </c>
      <c r="G1817" t="s">
        <v>1912</v>
      </c>
      <c r="H1817" t="s">
        <v>432</v>
      </c>
    </row>
    <row r="1818" spans="1:8" hidden="1" x14ac:dyDescent="0.25">
      <c r="A1818" t="s">
        <v>2677</v>
      </c>
      <c r="B1818" s="1" t="str">
        <f>HYPERLINK("https://asmlis.vasa.lt/Dashboard/Served?ServiceDateFrom=2025-11-24&amp;ServiceDateTo=2025-11-24&amp;DumpsterInvNr=13-P-413856", "13-P-413856")</f>
        <v>13-P-413856</v>
      </c>
      <c r="C1818">
        <v>5</v>
      </c>
      <c r="D1818" t="s">
        <v>2678</v>
      </c>
      <c r="E1818" t="s">
        <v>11</v>
      </c>
      <c r="G1818" t="s">
        <v>264</v>
      </c>
      <c r="H1818" t="s">
        <v>14</v>
      </c>
    </row>
    <row r="1819" spans="1:8" hidden="1" x14ac:dyDescent="0.25">
      <c r="A1819" t="s">
        <v>2679</v>
      </c>
      <c r="B1819" s="1" t="str">
        <f>HYPERLINK("https://asmlis.vasa.lt/Dashboard/Served?ServiceDateFrom=2025-11-24&amp;ServiceDateTo=2025-11-24&amp;DumpsterInvNr=13-L-421623", "13-L-421623")</f>
        <v>13-L-421623</v>
      </c>
      <c r="C1819">
        <v>1.1000000000000001</v>
      </c>
      <c r="D1819" t="s">
        <v>2571</v>
      </c>
      <c r="E1819" t="s">
        <v>11</v>
      </c>
      <c r="G1819" t="s">
        <v>74</v>
      </c>
      <c r="H1819" t="s">
        <v>14</v>
      </c>
    </row>
    <row r="1820" spans="1:8" hidden="1" x14ac:dyDescent="0.25">
      <c r="A1820" t="s">
        <v>2451</v>
      </c>
      <c r="B1820" s="1" t="str">
        <f>HYPERLINK("https://asmlis.vasa.lt/Dashboard/Served?ServiceDateFrom=2025-11-24&amp;ServiceDateTo=2025-11-24&amp;DumpsterInvNr=13-L-222790", "13-L-222790")</f>
        <v>13-L-222790</v>
      </c>
      <c r="C1820">
        <v>5</v>
      </c>
      <c r="D1820" t="s">
        <v>2680</v>
      </c>
      <c r="E1820" t="s">
        <v>11</v>
      </c>
      <c r="G1820" t="s">
        <v>936</v>
      </c>
      <c r="H1820" t="s">
        <v>938</v>
      </c>
    </row>
    <row r="1821" spans="1:8" hidden="1" x14ac:dyDescent="0.25">
      <c r="A1821" t="s">
        <v>2682</v>
      </c>
      <c r="B1821" s="1" t="str">
        <f>HYPERLINK("https://asmlis.vasa.lt/Dashboard/Served?ServiceDateFrom=2025-11-24&amp;ServiceDateTo=2025-11-24&amp;DumpsterInvNr=13-L-138582", "13-L-138582")</f>
        <v>13-L-138582</v>
      </c>
      <c r="C1821">
        <v>0.66</v>
      </c>
      <c r="D1821" t="s">
        <v>2683</v>
      </c>
      <c r="E1821" t="s">
        <v>11</v>
      </c>
      <c r="G1821" t="s">
        <v>1912</v>
      </c>
      <c r="H1821" t="s">
        <v>432</v>
      </c>
    </row>
    <row r="1822" spans="1:8" hidden="1" x14ac:dyDescent="0.25">
      <c r="A1822" t="s">
        <v>2682</v>
      </c>
      <c r="B1822" s="1" t="str">
        <f>HYPERLINK("https://asmlis.vasa.lt/Dashboard/Served?ServiceDateFrom=2025-11-24&amp;ServiceDateTo=2025-11-24&amp;DumpsterInvNr=13-P-207693", "13-P-207693")</f>
        <v>13-P-207693</v>
      </c>
      <c r="C1822">
        <v>5</v>
      </c>
      <c r="D1822" t="s">
        <v>2684</v>
      </c>
      <c r="E1822" t="s">
        <v>11</v>
      </c>
      <c r="G1822" t="s">
        <v>234</v>
      </c>
      <c r="H1822" t="s">
        <v>14</v>
      </c>
    </row>
    <row r="1823" spans="1:8" hidden="1" x14ac:dyDescent="0.25">
      <c r="A1823" t="s">
        <v>2685</v>
      </c>
      <c r="B1823" s="1" t="str">
        <f>HYPERLINK("https://asmlis.vasa.lt/Dashboard/Served?ServiceDateFrom=2025-11-24&amp;ServiceDateTo=2025-11-24&amp;DumpsterInvNr=13-L-128379", "13-L-128379")</f>
        <v>13-L-128379</v>
      </c>
      <c r="C1823">
        <v>0.12</v>
      </c>
      <c r="D1823" t="s">
        <v>2686</v>
      </c>
      <c r="E1823" t="s">
        <v>11</v>
      </c>
      <c r="G1823" t="s">
        <v>1912</v>
      </c>
      <c r="H1823" t="s">
        <v>432</v>
      </c>
    </row>
    <row r="1824" spans="1:8" hidden="1" x14ac:dyDescent="0.25">
      <c r="A1824" t="s">
        <v>2688</v>
      </c>
      <c r="B1824" s="1" t="str">
        <f>HYPERLINK("https://asmlis.vasa.lt/Dashboard/Served?ServiceDateFrom=2025-11-24&amp;ServiceDateTo=2025-11-24&amp;DumpsterInvNr=13-P-416910", "13-P-416910")</f>
        <v>13-P-416910</v>
      </c>
      <c r="C1824">
        <v>0.24</v>
      </c>
      <c r="D1824" t="s">
        <v>2689</v>
      </c>
      <c r="E1824" t="s">
        <v>11</v>
      </c>
      <c r="G1824" t="s">
        <v>264</v>
      </c>
      <c r="H1824" t="s">
        <v>14</v>
      </c>
    </row>
    <row r="1825" spans="1:8" hidden="1" x14ac:dyDescent="0.25">
      <c r="A1825" t="s">
        <v>2690</v>
      </c>
      <c r="B1825" s="1" t="str">
        <f>HYPERLINK("https://asmlis.vasa.lt/Dashboard/Served?ServiceDateFrom=2025-11-24&amp;ServiceDateTo=2025-11-24&amp;DumpsterInvNr=13-L-120118", "13-L-120118")</f>
        <v>13-L-120118</v>
      </c>
      <c r="C1825">
        <v>0.24</v>
      </c>
      <c r="D1825" t="s">
        <v>2686</v>
      </c>
      <c r="E1825" t="s">
        <v>11</v>
      </c>
      <c r="G1825" t="s">
        <v>1912</v>
      </c>
      <c r="H1825" t="s">
        <v>432</v>
      </c>
    </row>
    <row r="1826" spans="1:8" hidden="1" x14ac:dyDescent="0.25">
      <c r="A1826" t="s">
        <v>2691</v>
      </c>
      <c r="B1826" s="1" t="str">
        <f>HYPERLINK("https://asmlis.vasa.lt/Dashboard/Served?ServiceDateFrom=2025-11-24&amp;ServiceDateTo=2025-11-24&amp;DumpsterInvNr=13-L-144443", "13-L-144443")</f>
        <v>13-L-144443</v>
      </c>
      <c r="C1826">
        <v>1.1000000000000001</v>
      </c>
      <c r="D1826" t="s">
        <v>2692</v>
      </c>
      <c r="E1826" t="s">
        <v>11</v>
      </c>
      <c r="G1826" t="s">
        <v>430</v>
      </c>
      <c r="H1826" t="s">
        <v>432</v>
      </c>
    </row>
    <row r="1827" spans="1:8" hidden="1" x14ac:dyDescent="0.25">
      <c r="A1827" t="s">
        <v>2681</v>
      </c>
      <c r="B1827" s="1" t="str">
        <f>HYPERLINK("https://asmlis.vasa.lt/Dashboard/Served?ServiceDateFrom=2025-11-24&amp;ServiceDateTo=2025-11-24&amp;DumpsterInvNr=13-P-102406", "13-P-102406")</f>
        <v>13-P-102406</v>
      </c>
      <c r="C1827">
        <v>5</v>
      </c>
      <c r="D1827" t="s">
        <v>2693</v>
      </c>
      <c r="E1827" t="s">
        <v>11</v>
      </c>
      <c r="F1827" t="s">
        <v>13</v>
      </c>
      <c r="G1827" t="s">
        <v>1917</v>
      </c>
      <c r="H1827" t="s">
        <v>432</v>
      </c>
    </row>
    <row r="1828" spans="1:8" hidden="1" x14ac:dyDescent="0.25">
      <c r="A1828" t="s">
        <v>2694</v>
      </c>
      <c r="B1828" s="1" t="str">
        <f>HYPERLINK("https://asmlis.vasa.lt/Dashboard/Served?ServiceDateFrom=2025-11-24&amp;ServiceDateTo=2025-11-24&amp;DumpsterInvNr=13-P-103439", "13-P-103439")</f>
        <v>13-P-103439</v>
      </c>
      <c r="C1828">
        <v>0.24</v>
      </c>
      <c r="D1828" t="s">
        <v>2686</v>
      </c>
      <c r="E1828" t="s">
        <v>11</v>
      </c>
      <c r="G1828" t="s">
        <v>1917</v>
      </c>
      <c r="H1828" t="s">
        <v>432</v>
      </c>
    </row>
    <row r="1829" spans="1:8" hidden="1" x14ac:dyDescent="0.25">
      <c r="A1829" t="s">
        <v>2695</v>
      </c>
      <c r="B1829" s="1" t="str">
        <f>HYPERLINK("https://asmlis.vasa.lt/Dashboard/Served?ServiceDateFrom=2025-11-24&amp;ServiceDateTo=2025-11-24&amp;DumpsterInvNr=13-P-401314", "13-P-401314")</f>
        <v>13-P-401314</v>
      </c>
      <c r="C1829">
        <v>0.24</v>
      </c>
      <c r="D1829" t="s">
        <v>2696</v>
      </c>
      <c r="E1829" t="s">
        <v>11</v>
      </c>
      <c r="F1829" t="s">
        <v>1209</v>
      </c>
      <c r="G1829" t="s">
        <v>264</v>
      </c>
      <c r="H1829" t="s">
        <v>14</v>
      </c>
    </row>
    <row r="1830" spans="1:8" hidden="1" x14ac:dyDescent="0.25">
      <c r="A1830" t="s">
        <v>2697</v>
      </c>
      <c r="B1830" s="1" t="str">
        <f>HYPERLINK("https://asmlis.vasa.lt/Dashboard/Served?ServiceDateFrom=2025-11-24&amp;ServiceDateTo=2025-11-24&amp;DumpsterInvNr=13-L-144441", "13-L-144441")</f>
        <v>13-L-144441</v>
      </c>
      <c r="C1830">
        <v>1.1000000000000001</v>
      </c>
      <c r="D1830" t="s">
        <v>2692</v>
      </c>
      <c r="E1830" t="s">
        <v>11</v>
      </c>
      <c r="G1830" t="s">
        <v>430</v>
      </c>
      <c r="H1830" t="s">
        <v>432</v>
      </c>
    </row>
    <row r="1831" spans="1:8" hidden="1" x14ac:dyDescent="0.25">
      <c r="A1831" t="s">
        <v>2697</v>
      </c>
      <c r="B1831" s="1" t="str">
        <f>HYPERLINK("https://asmlis.vasa.lt/Dashboard/Served?ServiceDateFrom=2025-11-24&amp;ServiceDateTo=2025-11-24&amp;DumpsterInvNr=13-L-224050", "13-L-224050")</f>
        <v>13-L-224050</v>
      </c>
      <c r="C1831">
        <v>1.1000000000000001</v>
      </c>
      <c r="D1831" t="s">
        <v>2608</v>
      </c>
      <c r="E1831" t="s">
        <v>11</v>
      </c>
      <c r="G1831" t="s">
        <v>936</v>
      </c>
      <c r="H1831" t="s">
        <v>938</v>
      </c>
    </row>
    <row r="1832" spans="1:8" hidden="1" x14ac:dyDescent="0.25">
      <c r="A1832" t="s">
        <v>2698</v>
      </c>
      <c r="B1832" s="1" t="str">
        <f>HYPERLINK("https://asmlis.vasa.lt/Dashboard/Served?ServiceDateFrom=2025-11-24&amp;ServiceDateTo=2025-11-24&amp;DumpsterInvNr=13-P-416601", "13-P-416601")</f>
        <v>13-P-416601</v>
      </c>
      <c r="C1832">
        <v>0.24</v>
      </c>
      <c r="D1832" t="s">
        <v>2689</v>
      </c>
      <c r="E1832" t="s">
        <v>11</v>
      </c>
      <c r="G1832" t="s">
        <v>264</v>
      </c>
      <c r="H1832" t="s">
        <v>14</v>
      </c>
    </row>
    <row r="1833" spans="1:8" hidden="1" x14ac:dyDescent="0.25">
      <c r="A1833" t="s">
        <v>2699</v>
      </c>
      <c r="B1833" s="1" t="str">
        <f>HYPERLINK("https://asmlis.vasa.lt/Dashboard/Served?ServiceDateFrom=2025-11-24&amp;ServiceDateTo=2025-11-24&amp;DumpsterInvNr=13-P-401668", "13-P-401668")</f>
        <v>13-P-401668</v>
      </c>
      <c r="C1833">
        <v>0.24</v>
      </c>
      <c r="D1833" t="s">
        <v>2700</v>
      </c>
      <c r="E1833" t="s">
        <v>11</v>
      </c>
      <c r="F1833" t="s">
        <v>1209</v>
      </c>
      <c r="G1833" t="s">
        <v>264</v>
      </c>
      <c r="H1833" t="s">
        <v>14</v>
      </c>
    </row>
    <row r="1834" spans="1:8" hidden="1" x14ac:dyDescent="0.25">
      <c r="A1834" t="s">
        <v>2702</v>
      </c>
      <c r="B1834" s="1" t="str">
        <f>HYPERLINK("https://asmlis.vasa.lt/Dashboard/Served?ServiceDateFrom=2025-11-24&amp;ServiceDateTo=2025-11-24&amp;DumpsterInvNr=13-S-407937", "13-S-407937")</f>
        <v>13-S-407937</v>
      </c>
      <c r="C1834">
        <v>0.12</v>
      </c>
      <c r="D1834" t="s">
        <v>2700</v>
      </c>
      <c r="E1834" t="s">
        <v>11</v>
      </c>
      <c r="F1834" t="s">
        <v>1209</v>
      </c>
      <c r="G1834" t="s">
        <v>264</v>
      </c>
      <c r="H1834" t="s">
        <v>14</v>
      </c>
    </row>
    <row r="1835" spans="1:8" hidden="1" x14ac:dyDescent="0.25">
      <c r="A1835" t="s">
        <v>2703</v>
      </c>
      <c r="B1835" s="1" t="str">
        <f>HYPERLINK("https://asmlis.vasa.lt/Dashboard/Served?ServiceDateFrom=2025-11-24&amp;ServiceDateTo=2025-11-24&amp;DumpsterInvNr=13-L-421953", "13-L-421953")</f>
        <v>13-L-421953</v>
      </c>
      <c r="C1835">
        <v>1.1000000000000001</v>
      </c>
      <c r="D1835" t="s">
        <v>2571</v>
      </c>
      <c r="E1835" t="s">
        <v>11</v>
      </c>
      <c r="F1835" t="s">
        <v>13</v>
      </c>
      <c r="G1835" t="s">
        <v>74</v>
      </c>
      <c r="H1835" t="s">
        <v>14</v>
      </c>
    </row>
    <row r="1836" spans="1:8" hidden="1" x14ac:dyDescent="0.25">
      <c r="A1836" t="s">
        <v>2704</v>
      </c>
      <c r="B1836" s="1" t="str">
        <f>HYPERLINK("https://asmlis.vasa.lt/Dashboard/Served?ServiceDateFrom=2025-11-24&amp;ServiceDateTo=2025-11-24&amp;DumpsterInvNr=13-L-120117", "13-L-120117")</f>
        <v>13-L-120117</v>
      </c>
      <c r="C1836">
        <v>0.24</v>
      </c>
      <c r="D1836" t="s">
        <v>2705</v>
      </c>
      <c r="E1836" t="s">
        <v>11</v>
      </c>
      <c r="G1836" t="s">
        <v>1912</v>
      </c>
      <c r="H1836" t="s">
        <v>432</v>
      </c>
    </row>
    <row r="1837" spans="1:8" hidden="1" x14ac:dyDescent="0.25">
      <c r="A1837" t="s">
        <v>2707</v>
      </c>
      <c r="B1837" s="1" t="str">
        <f>HYPERLINK("https://asmlis.vasa.lt/Dashboard/Served?ServiceDateFrom=2025-11-24&amp;ServiceDateTo=2025-11-24&amp;DumpsterInvNr=13-P-401357", "13-P-401357")</f>
        <v>13-P-401357</v>
      </c>
      <c r="C1837">
        <v>1.1000000000000001</v>
      </c>
      <c r="D1837" t="s">
        <v>839</v>
      </c>
      <c r="E1837" t="s">
        <v>11</v>
      </c>
      <c r="G1837" t="s">
        <v>264</v>
      </c>
      <c r="H1837" t="s">
        <v>14</v>
      </c>
    </row>
    <row r="1838" spans="1:8" hidden="1" x14ac:dyDescent="0.25">
      <c r="A1838" t="s">
        <v>2708</v>
      </c>
      <c r="B1838" s="1" t="str">
        <f>HYPERLINK("https://asmlis.vasa.lt/Dashboard/Served?ServiceDateFrom=2025-11-24&amp;ServiceDateTo=2025-11-24&amp;DumpsterInvNr=13-L-144442", "13-L-144442")</f>
        <v>13-L-144442</v>
      </c>
      <c r="C1838">
        <v>1.1000000000000001</v>
      </c>
      <c r="D1838" t="s">
        <v>2692</v>
      </c>
      <c r="E1838" t="s">
        <v>11</v>
      </c>
      <c r="G1838" t="s">
        <v>430</v>
      </c>
      <c r="H1838" t="s">
        <v>432</v>
      </c>
    </row>
    <row r="1839" spans="1:8" hidden="1" x14ac:dyDescent="0.25">
      <c r="A1839" t="s">
        <v>2708</v>
      </c>
      <c r="B1839" s="1" t="str">
        <f>HYPERLINK("https://asmlis.vasa.lt/Dashboard/Served?ServiceDateFrom=2025-11-24&amp;ServiceDateTo=2025-11-24&amp;DumpsterInvNr=13-L-423070", "13-L-423070")</f>
        <v>13-L-423070</v>
      </c>
      <c r="C1839">
        <v>1.1000000000000001</v>
      </c>
      <c r="D1839" t="s">
        <v>2571</v>
      </c>
      <c r="E1839" t="s">
        <v>11</v>
      </c>
      <c r="F1839" t="s">
        <v>13</v>
      </c>
      <c r="G1839" t="s">
        <v>74</v>
      </c>
      <c r="H1839" t="s">
        <v>14</v>
      </c>
    </row>
    <row r="1840" spans="1:8" hidden="1" x14ac:dyDescent="0.25">
      <c r="A1840" t="s">
        <v>2709</v>
      </c>
      <c r="B1840" s="1" t="str">
        <f>HYPERLINK("https://asmlis.vasa.lt/Dashboard/Served?ServiceDateFrom=2025-11-24&amp;ServiceDateTo=2025-11-24&amp;DumpsterInvNr=13-P-103507", "13-P-103507")</f>
        <v>13-P-103507</v>
      </c>
      <c r="C1840">
        <v>0.24</v>
      </c>
      <c r="D1840" t="s">
        <v>2705</v>
      </c>
      <c r="E1840" t="s">
        <v>11</v>
      </c>
      <c r="G1840" t="s">
        <v>1917</v>
      </c>
      <c r="H1840" t="s">
        <v>432</v>
      </c>
    </row>
    <row r="1841" spans="1:8" hidden="1" x14ac:dyDescent="0.25">
      <c r="A1841" t="s">
        <v>2711</v>
      </c>
      <c r="B1841" s="1" t="str">
        <f>HYPERLINK("https://asmlis.vasa.lt/Dashboard/Served?ServiceDateFrom=2025-11-24&amp;ServiceDateTo=2025-11-24&amp;DumpsterInvNr=13-L-424434", "13-L-424434")</f>
        <v>13-L-424434</v>
      </c>
      <c r="C1841">
        <v>5</v>
      </c>
      <c r="D1841" t="s">
        <v>2712</v>
      </c>
      <c r="E1841" t="s">
        <v>11</v>
      </c>
      <c r="G1841" t="s">
        <v>74</v>
      </c>
      <c r="H1841" t="s">
        <v>14</v>
      </c>
    </row>
    <row r="1842" spans="1:8" hidden="1" x14ac:dyDescent="0.25">
      <c r="A1842" t="s">
        <v>2713</v>
      </c>
      <c r="B1842" s="1" t="str">
        <f>HYPERLINK("https://asmlis.vasa.lt/Dashboard/Served?ServiceDateFrom=2025-11-24&amp;ServiceDateTo=2025-11-24&amp;DumpsterInvNr=13-L-142233", "13-L-142233")</f>
        <v>13-L-142233</v>
      </c>
      <c r="C1842">
        <v>1.1000000000000001</v>
      </c>
      <c r="D1842" t="s">
        <v>2692</v>
      </c>
      <c r="E1842" t="s">
        <v>11</v>
      </c>
      <c r="G1842" t="s">
        <v>430</v>
      </c>
      <c r="H1842" t="s">
        <v>432</v>
      </c>
    </row>
    <row r="1843" spans="1:8" hidden="1" x14ac:dyDescent="0.25">
      <c r="A1843" t="s">
        <v>2714</v>
      </c>
      <c r="B1843" s="1" t="str">
        <f>HYPERLINK("https://asmlis.vasa.lt/Dashboard/Served?ServiceDateFrom=2025-11-24&amp;ServiceDateTo=2025-11-24&amp;DumpsterInvNr=13-L-308648", "13-L-308648")</f>
        <v>13-L-308648</v>
      </c>
      <c r="C1843">
        <v>0.77</v>
      </c>
      <c r="D1843" t="s">
        <v>2715</v>
      </c>
      <c r="E1843" t="s">
        <v>11</v>
      </c>
      <c r="G1843" t="s">
        <v>9</v>
      </c>
      <c r="H1843" t="s">
        <v>14</v>
      </c>
    </row>
    <row r="1844" spans="1:8" hidden="1" x14ac:dyDescent="0.25">
      <c r="A1844" t="s">
        <v>2716</v>
      </c>
      <c r="B1844" s="1" t="str">
        <f>HYPERLINK("https://asmlis.vasa.lt/Dashboard/Served?ServiceDateFrom=2025-11-24&amp;ServiceDateTo=2025-11-24&amp;DumpsterInvNr=13-L-221699", "13-L-221699")</f>
        <v>13-L-221699</v>
      </c>
      <c r="C1844">
        <v>0.24</v>
      </c>
      <c r="D1844" t="s">
        <v>1908</v>
      </c>
      <c r="E1844" t="s">
        <v>11</v>
      </c>
      <c r="G1844" t="s">
        <v>936</v>
      </c>
      <c r="H1844" t="s">
        <v>938</v>
      </c>
    </row>
    <row r="1845" spans="1:8" hidden="1" x14ac:dyDescent="0.25">
      <c r="A1845" t="s">
        <v>2717</v>
      </c>
      <c r="B1845" s="1" t="str">
        <f>HYPERLINK("https://asmlis.vasa.lt/Dashboard/Served?ServiceDateFrom=2025-11-24&amp;ServiceDateTo=2025-11-24&amp;DumpsterInvNr=13-L-142234", "13-L-142234")</f>
        <v>13-L-142234</v>
      </c>
      <c r="C1845">
        <v>1.1000000000000001</v>
      </c>
      <c r="D1845" t="s">
        <v>2692</v>
      </c>
      <c r="E1845" t="s">
        <v>11</v>
      </c>
      <c r="G1845" t="s">
        <v>430</v>
      </c>
      <c r="H1845" t="s">
        <v>432</v>
      </c>
    </row>
    <row r="1846" spans="1:8" hidden="1" x14ac:dyDescent="0.25">
      <c r="A1846" t="s">
        <v>2718</v>
      </c>
      <c r="B1846" s="1" t="str">
        <f>HYPERLINK("https://asmlis.vasa.lt/Dashboard/Served?ServiceDateFrom=2025-11-24&amp;ServiceDateTo=2025-11-24&amp;DumpsterInvNr=13-L-134234", "13-L-134234")</f>
        <v>13-L-134234</v>
      </c>
      <c r="C1846">
        <v>5</v>
      </c>
      <c r="D1846" t="s">
        <v>2719</v>
      </c>
      <c r="E1846" t="s">
        <v>11</v>
      </c>
      <c r="F1846" t="s">
        <v>13</v>
      </c>
      <c r="G1846" t="s">
        <v>1912</v>
      </c>
      <c r="H1846" t="s">
        <v>432</v>
      </c>
    </row>
    <row r="1847" spans="1:8" hidden="1" x14ac:dyDescent="0.25">
      <c r="A1847" t="s">
        <v>2672</v>
      </c>
      <c r="B1847" s="1" t="str">
        <f>HYPERLINK("https://asmlis.vasa.lt/Dashboard/Served?ServiceDateFrom=2025-11-24&amp;ServiceDateTo=2025-11-24&amp;DumpsterInvNr=13-P-415619", "13-P-415619")</f>
        <v>13-P-415619</v>
      </c>
      <c r="C1847">
        <v>0.24</v>
      </c>
      <c r="D1847" t="s">
        <v>2720</v>
      </c>
      <c r="E1847" t="s">
        <v>11</v>
      </c>
      <c r="G1847" t="s">
        <v>264</v>
      </c>
      <c r="H1847" t="s">
        <v>14</v>
      </c>
    </row>
    <row r="1848" spans="1:8" hidden="1" x14ac:dyDescent="0.25">
      <c r="A1848" t="s">
        <v>2721</v>
      </c>
      <c r="B1848" s="1" t="str">
        <f>HYPERLINK("https://asmlis.vasa.lt/Dashboard/Served?ServiceDateFrom=2025-11-24&amp;ServiceDateTo=2025-11-24&amp;DumpsterInvNr=13-L-424390", "13-L-424390")</f>
        <v>13-L-424390</v>
      </c>
      <c r="C1848">
        <v>1.1000000000000001</v>
      </c>
      <c r="D1848" t="s">
        <v>2722</v>
      </c>
      <c r="E1848" t="s">
        <v>11</v>
      </c>
      <c r="G1848" t="s">
        <v>74</v>
      </c>
      <c r="H1848" t="s">
        <v>14</v>
      </c>
    </row>
    <row r="1849" spans="1:8" hidden="1" x14ac:dyDescent="0.25">
      <c r="A1849" t="s">
        <v>2721</v>
      </c>
      <c r="B1849" s="1" t="str">
        <f>HYPERLINK("https://asmlis.vasa.lt/Dashboard/Served?ServiceDateFrom=2025-11-24&amp;ServiceDateTo=2025-11-24&amp;DumpsterInvNr=13-L-314985", "13-L-314985")</f>
        <v>13-L-314985</v>
      </c>
      <c r="C1849">
        <v>1.1000000000000001</v>
      </c>
      <c r="D1849" t="s">
        <v>2723</v>
      </c>
      <c r="E1849" t="s">
        <v>11</v>
      </c>
      <c r="G1849" t="s">
        <v>9</v>
      </c>
      <c r="H1849" t="s">
        <v>14</v>
      </c>
    </row>
    <row r="1850" spans="1:8" hidden="1" x14ac:dyDescent="0.25">
      <c r="A1850" t="s">
        <v>2724</v>
      </c>
      <c r="B1850" s="1" t="str">
        <f>HYPERLINK("https://asmlis.vasa.lt/Dashboard/Served?ServiceDateFrom=2025-11-24&amp;ServiceDateTo=2025-11-24&amp;DumpsterInvNr=13-S-103225", "13-S-103225")</f>
        <v>13-S-103225</v>
      </c>
      <c r="C1850">
        <v>0.12</v>
      </c>
      <c r="D1850" t="s">
        <v>2686</v>
      </c>
      <c r="E1850" t="s">
        <v>11</v>
      </c>
      <c r="F1850" t="s">
        <v>1209</v>
      </c>
      <c r="G1850" t="s">
        <v>1917</v>
      </c>
      <c r="H1850" t="s">
        <v>432</v>
      </c>
    </row>
    <row r="1851" spans="1:8" hidden="1" x14ac:dyDescent="0.25">
      <c r="A1851" t="s">
        <v>2725</v>
      </c>
      <c r="B1851" s="1" t="str">
        <f>HYPERLINK("https://asmlis.vasa.lt/Dashboard/Served?ServiceDateFrom=2025-11-24&amp;ServiceDateTo=2025-11-24&amp;DumpsterInvNr=13-L-301559", "13-L-301559")</f>
        <v>13-L-301559</v>
      </c>
      <c r="C1851">
        <v>1.1000000000000001</v>
      </c>
      <c r="D1851" t="s">
        <v>2723</v>
      </c>
      <c r="E1851" t="s">
        <v>11</v>
      </c>
      <c r="G1851" t="s">
        <v>9</v>
      </c>
      <c r="H1851" t="s">
        <v>14</v>
      </c>
    </row>
    <row r="1852" spans="1:8" hidden="1" x14ac:dyDescent="0.25">
      <c r="A1852" t="s">
        <v>2725</v>
      </c>
      <c r="B1852" s="1" t="str">
        <f>HYPERLINK("https://asmlis.vasa.lt/Dashboard/Served?ServiceDateFrom=2025-11-24&amp;ServiceDateTo=2025-11-24&amp;DumpsterInvNr=13-S-103189", "13-S-103189")</f>
        <v>13-S-103189</v>
      </c>
      <c r="C1852">
        <v>0.12</v>
      </c>
      <c r="D1852" t="s">
        <v>2705</v>
      </c>
      <c r="E1852" t="s">
        <v>11</v>
      </c>
      <c r="F1852" t="s">
        <v>1209</v>
      </c>
      <c r="G1852" t="s">
        <v>1917</v>
      </c>
      <c r="H1852" t="s">
        <v>432</v>
      </c>
    </row>
    <row r="1853" spans="1:8" hidden="1" x14ac:dyDescent="0.25">
      <c r="A1853" t="s">
        <v>2727</v>
      </c>
      <c r="B1853" s="1" t="str">
        <f>HYPERLINK("https://asmlis.vasa.lt/Dashboard/Served?ServiceDateFrom=2025-11-24&amp;ServiceDateTo=2025-11-24&amp;DumpsterInvNr=13-P-105927", "13-P-105927")</f>
        <v>13-P-105927</v>
      </c>
      <c r="C1853">
        <v>0.12</v>
      </c>
      <c r="D1853" t="s">
        <v>2705</v>
      </c>
      <c r="E1853" t="s">
        <v>11</v>
      </c>
      <c r="F1853" t="s">
        <v>1209</v>
      </c>
      <c r="G1853" t="s">
        <v>1917</v>
      </c>
      <c r="H1853" t="s">
        <v>432</v>
      </c>
    </row>
    <row r="1854" spans="1:8" hidden="1" x14ac:dyDescent="0.25">
      <c r="A1854" t="s">
        <v>2728</v>
      </c>
      <c r="B1854" s="1" t="str">
        <f>HYPERLINK("https://asmlis.vasa.lt/Dashboard/Served?ServiceDateFrom=2025-11-24&amp;ServiceDateTo=2025-11-24&amp;DumpsterInvNr=13-S-104152", "13-S-104152")</f>
        <v>13-S-104152</v>
      </c>
      <c r="C1854">
        <v>0.12</v>
      </c>
      <c r="D1854" t="s">
        <v>2705</v>
      </c>
      <c r="E1854" t="s">
        <v>11</v>
      </c>
      <c r="F1854" t="s">
        <v>1209</v>
      </c>
      <c r="G1854" t="s">
        <v>1917</v>
      </c>
      <c r="H1854" t="s">
        <v>432</v>
      </c>
    </row>
    <row r="1855" spans="1:8" hidden="1" x14ac:dyDescent="0.25">
      <c r="A1855" t="s">
        <v>2730</v>
      </c>
      <c r="B1855" s="1" t="str">
        <f>HYPERLINK("https://asmlis.vasa.lt/Dashboard/Served?ServiceDateFrom=2025-11-24&amp;ServiceDateTo=2025-11-24&amp;DumpsterInvNr=13-L-111256", "13-L-111256")</f>
        <v>13-L-111256</v>
      </c>
      <c r="C1855">
        <v>0.12</v>
      </c>
      <c r="D1855" t="s">
        <v>2705</v>
      </c>
      <c r="E1855" t="s">
        <v>11</v>
      </c>
      <c r="F1855" t="s">
        <v>1209</v>
      </c>
      <c r="G1855" t="s">
        <v>1912</v>
      </c>
      <c r="H1855" t="s">
        <v>432</v>
      </c>
    </row>
    <row r="1856" spans="1:8" hidden="1" x14ac:dyDescent="0.25">
      <c r="A1856" t="s">
        <v>2730</v>
      </c>
      <c r="B1856" s="1" t="str">
        <f>HYPERLINK("https://asmlis.vasa.lt/Dashboard/Served?ServiceDateFrom=2025-11-24&amp;ServiceDateTo=2025-11-24&amp;DumpsterInvNr=13-L-221622", "13-L-221622")</f>
        <v>13-L-221622</v>
      </c>
      <c r="C1856">
        <v>1.1000000000000001</v>
      </c>
      <c r="D1856" t="s">
        <v>2608</v>
      </c>
      <c r="E1856" t="s">
        <v>11</v>
      </c>
      <c r="G1856" t="s">
        <v>936</v>
      </c>
      <c r="H1856" t="s">
        <v>938</v>
      </c>
    </row>
    <row r="1857" spans="1:8" hidden="1" x14ac:dyDescent="0.25">
      <c r="A1857" t="s">
        <v>2732</v>
      </c>
      <c r="B1857" s="1" t="str">
        <f>HYPERLINK("https://asmlis.vasa.lt/Dashboard/Served?ServiceDateFrom=2025-11-24&amp;ServiceDateTo=2025-11-24&amp;DumpsterInvNr=13-L-125193", "13-L-125193")</f>
        <v>13-L-125193</v>
      </c>
      <c r="C1857">
        <v>0.24</v>
      </c>
      <c r="D1857" t="s">
        <v>2733</v>
      </c>
      <c r="E1857" t="s">
        <v>11</v>
      </c>
      <c r="F1857" t="s">
        <v>1209</v>
      </c>
      <c r="G1857" t="s">
        <v>1912</v>
      </c>
      <c r="H1857" t="s">
        <v>432</v>
      </c>
    </row>
    <row r="1858" spans="1:8" hidden="1" x14ac:dyDescent="0.25">
      <c r="A1858" t="s">
        <v>2732</v>
      </c>
      <c r="B1858" s="1" t="str">
        <f>HYPERLINK("https://asmlis.vasa.lt/Dashboard/Served?ServiceDateFrom=2025-11-24&amp;ServiceDateTo=2025-11-24&amp;DumpsterInvNr=13-L-415362", "13-L-415362")</f>
        <v>13-L-415362</v>
      </c>
      <c r="C1858">
        <v>1.1000000000000001</v>
      </c>
      <c r="D1858" t="s">
        <v>2722</v>
      </c>
      <c r="E1858" t="s">
        <v>11</v>
      </c>
      <c r="G1858" t="s">
        <v>74</v>
      </c>
      <c r="H1858" t="s">
        <v>14</v>
      </c>
    </row>
    <row r="1859" spans="1:8" hidden="1" x14ac:dyDescent="0.25">
      <c r="A1859" t="s">
        <v>2735</v>
      </c>
      <c r="B1859" s="1" t="str">
        <f>HYPERLINK("https://asmlis.vasa.lt/Dashboard/Served?ServiceDateFrom=2025-11-24&amp;ServiceDateTo=2025-11-24&amp;DumpsterInvNr=13-P-103436", "13-P-103436")</f>
        <v>13-P-103436</v>
      </c>
      <c r="C1859">
        <v>0.24</v>
      </c>
      <c r="D1859" t="s">
        <v>2733</v>
      </c>
      <c r="E1859" t="s">
        <v>11</v>
      </c>
      <c r="F1859" t="s">
        <v>1209</v>
      </c>
      <c r="G1859" t="s">
        <v>1917</v>
      </c>
      <c r="H1859" t="s">
        <v>432</v>
      </c>
    </row>
    <row r="1860" spans="1:8" hidden="1" x14ac:dyDescent="0.25">
      <c r="A1860" t="s">
        <v>2736</v>
      </c>
      <c r="B1860" s="1" t="str">
        <f>HYPERLINK("https://asmlis.vasa.lt/Dashboard/Served?ServiceDateFrom=2025-11-24&amp;ServiceDateTo=2025-11-24&amp;DumpsterInvNr=13-P-103503", "13-P-103503")</f>
        <v>13-P-103503</v>
      </c>
      <c r="C1860">
        <v>0.24</v>
      </c>
      <c r="D1860" t="s">
        <v>2686</v>
      </c>
      <c r="E1860" t="s">
        <v>11</v>
      </c>
      <c r="F1860" t="s">
        <v>1209</v>
      </c>
      <c r="G1860" t="s">
        <v>1917</v>
      </c>
      <c r="H1860" t="s">
        <v>432</v>
      </c>
    </row>
    <row r="1861" spans="1:8" hidden="1" x14ac:dyDescent="0.25">
      <c r="A1861" t="s">
        <v>2738</v>
      </c>
      <c r="B1861" s="1" t="str">
        <f>HYPERLINK("https://asmlis.vasa.lt/Dashboard/Served?ServiceDateFrom=2025-11-24&amp;ServiceDateTo=2025-11-24&amp;DumpsterInvNr=13-L-317097", "13-L-317097")</f>
        <v>13-L-317097</v>
      </c>
      <c r="C1861">
        <v>0.77</v>
      </c>
      <c r="D1861" t="s">
        <v>2739</v>
      </c>
      <c r="E1861" t="s">
        <v>11</v>
      </c>
      <c r="G1861" t="s">
        <v>9</v>
      </c>
      <c r="H1861" t="s">
        <v>14</v>
      </c>
    </row>
    <row r="1862" spans="1:8" hidden="1" x14ac:dyDescent="0.25">
      <c r="A1862" t="s">
        <v>2738</v>
      </c>
      <c r="B1862" s="1" t="str">
        <f>HYPERLINK("https://asmlis.vasa.lt/Dashboard/Served?ServiceDateFrom=2025-11-24&amp;ServiceDateTo=2025-11-24&amp;DumpsterInvNr=13-P-401020", "13-P-401020")</f>
        <v>13-P-401020</v>
      </c>
      <c r="C1862">
        <v>0.24</v>
      </c>
      <c r="D1862" t="s">
        <v>2621</v>
      </c>
      <c r="E1862" t="s">
        <v>11</v>
      </c>
      <c r="G1862" t="s">
        <v>264</v>
      </c>
      <c r="H1862" t="s">
        <v>14</v>
      </c>
    </row>
    <row r="1863" spans="1:8" hidden="1" x14ac:dyDescent="0.25">
      <c r="A1863" t="s">
        <v>2740</v>
      </c>
      <c r="B1863" s="1" t="str">
        <f>HYPERLINK("https://asmlis.vasa.lt/Dashboard/Served?ServiceDateFrom=2025-11-24&amp;ServiceDateTo=2025-11-24&amp;DumpsterInvNr=13-P-103172", "13-P-103172")</f>
        <v>13-P-103172</v>
      </c>
      <c r="C1863">
        <v>0.24</v>
      </c>
      <c r="D1863" t="s">
        <v>2733</v>
      </c>
      <c r="E1863" t="s">
        <v>11</v>
      </c>
      <c r="F1863" t="s">
        <v>1209</v>
      </c>
      <c r="G1863" t="s">
        <v>1917</v>
      </c>
      <c r="H1863" t="s">
        <v>432</v>
      </c>
    </row>
    <row r="1864" spans="1:8" hidden="1" x14ac:dyDescent="0.25">
      <c r="A1864" t="s">
        <v>2741</v>
      </c>
      <c r="B1864" s="1" t="str">
        <f>HYPERLINK("https://asmlis.vasa.lt/Dashboard/Served?ServiceDateFrom=2025-11-24&amp;ServiceDateTo=2025-11-24&amp;DumpsterInvNr=13-L-318743", "13-L-318743")</f>
        <v>13-L-318743</v>
      </c>
      <c r="C1864">
        <v>0.77</v>
      </c>
      <c r="D1864" t="s">
        <v>2715</v>
      </c>
      <c r="E1864" t="s">
        <v>11</v>
      </c>
      <c r="F1864" t="s">
        <v>13</v>
      </c>
      <c r="G1864" t="s">
        <v>9</v>
      </c>
      <c r="H1864" t="s">
        <v>14</v>
      </c>
    </row>
    <row r="1865" spans="1:8" hidden="1" x14ac:dyDescent="0.25">
      <c r="A1865" t="s">
        <v>2742</v>
      </c>
      <c r="B1865" s="1" t="str">
        <f>HYPERLINK("https://asmlis.vasa.lt/Dashboard/Served?ServiceDateFrom=2025-11-24&amp;ServiceDateTo=2025-11-24&amp;DumpsterInvNr=13-L-137986", "13-L-137986")</f>
        <v>13-L-137986</v>
      </c>
      <c r="C1865">
        <v>5</v>
      </c>
      <c r="D1865" t="s">
        <v>2743</v>
      </c>
      <c r="E1865" t="s">
        <v>11</v>
      </c>
      <c r="F1865" t="s">
        <v>13</v>
      </c>
      <c r="G1865" t="s">
        <v>430</v>
      </c>
      <c r="H1865" t="s">
        <v>432</v>
      </c>
    </row>
    <row r="1866" spans="1:8" hidden="1" x14ac:dyDescent="0.25">
      <c r="A1866" t="s">
        <v>2744</v>
      </c>
      <c r="B1866" s="1" t="str">
        <f>HYPERLINK("https://asmlis.vasa.lt/Dashboard/Served?ServiceDateFrom=2025-11-24&amp;ServiceDateTo=2025-11-24&amp;DumpsterInvNr=13-L-144731", "13-L-144731")</f>
        <v>13-L-144731</v>
      </c>
      <c r="C1866">
        <v>0.24</v>
      </c>
      <c r="D1866" t="s">
        <v>2745</v>
      </c>
      <c r="E1866" t="s">
        <v>11</v>
      </c>
      <c r="G1866" t="s">
        <v>430</v>
      </c>
      <c r="H1866" t="s">
        <v>432</v>
      </c>
    </row>
    <row r="1867" spans="1:8" hidden="1" x14ac:dyDescent="0.25">
      <c r="A1867" t="s">
        <v>2746</v>
      </c>
      <c r="B1867" s="1" t="str">
        <f>HYPERLINK("https://asmlis.vasa.lt/Dashboard/Served?ServiceDateFrom=2025-11-24&amp;ServiceDateTo=2025-11-24&amp;DumpsterInvNr=13-L-309760", "13-L-309760")</f>
        <v>13-L-309760</v>
      </c>
      <c r="C1867">
        <v>0.77</v>
      </c>
      <c r="D1867" t="s">
        <v>2715</v>
      </c>
      <c r="E1867" t="s">
        <v>11</v>
      </c>
      <c r="F1867" t="s">
        <v>13</v>
      </c>
      <c r="G1867" t="s">
        <v>9</v>
      </c>
      <c r="H1867" t="s">
        <v>14</v>
      </c>
    </row>
    <row r="1868" spans="1:8" hidden="1" x14ac:dyDescent="0.25">
      <c r="A1868" t="s">
        <v>2747</v>
      </c>
      <c r="B1868" s="1" t="str">
        <f>HYPERLINK("https://asmlis.vasa.lt/Dashboard/Served?ServiceDateFrom=2025-11-24&amp;ServiceDateTo=2025-11-24&amp;DumpsterInvNr=13-L-132863", "13-L-132863")</f>
        <v>13-L-132863</v>
      </c>
      <c r="C1868">
        <v>0.12</v>
      </c>
      <c r="D1868" t="s">
        <v>2733</v>
      </c>
      <c r="E1868" t="s">
        <v>11</v>
      </c>
      <c r="G1868" t="s">
        <v>1912</v>
      </c>
      <c r="H1868" t="s">
        <v>432</v>
      </c>
    </row>
    <row r="1869" spans="1:8" hidden="1" x14ac:dyDescent="0.25">
      <c r="A1869" t="s">
        <v>2747</v>
      </c>
      <c r="B1869" s="1" t="str">
        <f>HYPERLINK("https://asmlis.vasa.lt/Dashboard/Served?ServiceDateFrom=2025-11-24&amp;ServiceDateTo=2025-11-24&amp;DumpsterInvNr=13-P-109454", "13-P-109454")</f>
        <v>13-P-109454</v>
      </c>
      <c r="C1869">
        <v>1.1000000000000001</v>
      </c>
      <c r="D1869" t="s">
        <v>2749</v>
      </c>
      <c r="E1869" t="s">
        <v>11</v>
      </c>
      <c r="G1869" t="s">
        <v>1917</v>
      </c>
      <c r="H1869" t="s">
        <v>432</v>
      </c>
    </row>
    <row r="1870" spans="1:8" hidden="1" x14ac:dyDescent="0.25">
      <c r="A1870" t="s">
        <v>2751</v>
      </c>
      <c r="B1870" s="1" t="str">
        <f>HYPERLINK("https://asmlis.vasa.lt/Dashboard/Served?ServiceDateFrom=2025-11-24&amp;ServiceDateTo=2025-11-24&amp;DumpsterInvNr=13-P-500551", "13-P-500551")</f>
        <v>13-P-500551</v>
      </c>
      <c r="C1870">
        <v>5</v>
      </c>
      <c r="D1870" t="s">
        <v>2752</v>
      </c>
      <c r="E1870" t="s">
        <v>11</v>
      </c>
      <c r="F1870" t="s">
        <v>13</v>
      </c>
      <c r="G1870" t="s">
        <v>2178</v>
      </c>
      <c r="H1870" t="s">
        <v>432</v>
      </c>
    </row>
    <row r="1871" spans="1:8" hidden="1" x14ac:dyDescent="0.25">
      <c r="A1871" t="s">
        <v>2753</v>
      </c>
      <c r="B1871" s="1" t="str">
        <f>HYPERLINK("https://asmlis.vasa.lt/Dashboard/Served?ServiceDateFrom=2025-11-24&amp;ServiceDateTo=2025-11-24&amp;DumpsterInvNr=13-P-415873", "13-P-415873")</f>
        <v>13-P-415873</v>
      </c>
      <c r="C1871">
        <v>0.24</v>
      </c>
      <c r="D1871" t="s">
        <v>2754</v>
      </c>
      <c r="E1871" t="s">
        <v>11</v>
      </c>
      <c r="F1871" t="s">
        <v>1209</v>
      </c>
      <c r="G1871" t="s">
        <v>264</v>
      </c>
      <c r="H1871" t="s">
        <v>14</v>
      </c>
    </row>
    <row r="1872" spans="1:8" hidden="1" x14ac:dyDescent="0.25">
      <c r="A1872" t="s">
        <v>2755</v>
      </c>
      <c r="B1872" s="1" t="str">
        <f>HYPERLINK("https://asmlis.vasa.lt/Dashboard/Served?ServiceDateFrom=2025-11-24&amp;ServiceDateTo=2025-11-24&amp;DumpsterInvNr=13-S-409270", "13-S-409270")</f>
        <v>13-S-409270</v>
      </c>
      <c r="C1872">
        <v>0.12</v>
      </c>
      <c r="D1872" t="s">
        <v>2754</v>
      </c>
      <c r="E1872" t="s">
        <v>11</v>
      </c>
      <c r="F1872" t="s">
        <v>1209</v>
      </c>
      <c r="G1872" t="s">
        <v>264</v>
      </c>
      <c r="H1872" t="s">
        <v>14</v>
      </c>
    </row>
    <row r="1873" spans="1:8" hidden="1" x14ac:dyDescent="0.25">
      <c r="A1873" t="s">
        <v>2756</v>
      </c>
      <c r="B1873" s="1" t="str">
        <f>HYPERLINK("https://asmlis.vasa.lt/Dashboard/Served?ServiceDateFrom=2025-11-24&amp;ServiceDateTo=2025-11-24&amp;DumpsterInvNr=13-L-408818", "13-L-408818")</f>
        <v>13-L-408818</v>
      </c>
      <c r="C1873">
        <v>0.24</v>
      </c>
      <c r="D1873" t="s">
        <v>2757</v>
      </c>
      <c r="E1873" t="s">
        <v>11</v>
      </c>
      <c r="G1873" t="s">
        <v>74</v>
      </c>
      <c r="H1873" t="s">
        <v>14</v>
      </c>
    </row>
    <row r="1874" spans="1:8" hidden="1" x14ac:dyDescent="0.25">
      <c r="A1874" t="s">
        <v>2756</v>
      </c>
      <c r="B1874" s="1" t="str">
        <f>HYPERLINK("https://asmlis.vasa.lt/Dashboard/Served?ServiceDateFrom=2025-11-24&amp;ServiceDateTo=2025-11-24&amp;DumpsterInvNr=13-L-408820", "13-L-408820")</f>
        <v>13-L-408820</v>
      </c>
      <c r="C1874">
        <v>0.24</v>
      </c>
      <c r="D1874" t="s">
        <v>2758</v>
      </c>
      <c r="E1874" t="s">
        <v>11</v>
      </c>
      <c r="G1874" t="s">
        <v>74</v>
      </c>
      <c r="H1874" t="s">
        <v>14</v>
      </c>
    </row>
    <row r="1875" spans="1:8" hidden="1" x14ac:dyDescent="0.25">
      <c r="A1875" t="s">
        <v>2759</v>
      </c>
      <c r="B1875" s="1" t="str">
        <f>HYPERLINK("https://asmlis.vasa.lt/Dashboard/Served?ServiceDateFrom=2025-11-24&amp;ServiceDateTo=2025-11-24&amp;DumpsterInvNr=13-L-145326", "13-L-145326")</f>
        <v>13-L-145326</v>
      </c>
      <c r="C1875">
        <v>0.24</v>
      </c>
      <c r="D1875" t="s">
        <v>2760</v>
      </c>
      <c r="E1875" t="s">
        <v>11</v>
      </c>
      <c r="G1875" t="s">
        <v>430</v>
      </c>
      <c r="H1875" t="s">
        <v>432</v>
      </c>
    </row>
    <row r="1876" spans="1:8" hidden="1" x14ac:dyDescent="0.25">
      <c r="A1876" t="s">
        <v>2761</v>
      </c>
      <c r="B1876" s="1" t="str">
        <f>HYPERLINK("https://asmlis.vasa.lt/Dashboard/Served?ServiceDateFrom=2025-11-24&amp;ServiceDateTo=2025-11-24&amp;DumpsterInvNr=13-L-311900", "13-L-311900")</f>
        <v>13-L-311900</v>
      </c>
      <c r="C1876">
        <v>0.77</v>
      </c>
      <c r="D1876" t="s">
        <v>2739</v>
      </c>
      <c r="E1876" t="s">
        <v>11</v>
      </c>
      <c r="G1876" t="s">
        <v>9</v>
      </c>
      <c r="H1876" t="s">
        <v>14</v>
      </c>
    </row>
    <row r="1877" spans="1:8" hidden="1" x14ac:dyDescent="0.25">
      <c r="A1877" t="s">
        <v>2761</v>
      </c>
      <c r="B1877" s="1" t="str">
        <f>HYPERLINK("https://asmlis.vasa.lt/Dashboard/Served?ServiceDateFrom=2025-11-24&amp;ServiceDateTo=2025-11-24&amp;DumpsterInvNr=13-L-221621", "13-L-221621")</f>
        <v>13-L-221621</v>
      </c>
      <c r="C1877">
        <v>1.1000000000000001</v>
      </c>
      <c r="D1877" t="s">
        <v>2608</v>
      </c>
      <c r="E1877" t="s">
        <v>11</v>
      </c>
      <c r="G1877" t="s">
        <v>936</v>
      </c>
      <c r="H1877" t="s">
        <v>938</v>
      </c>
    </row>
    <row r="1878" spans="1:8" hidden="1" x14ac:dyDescent="0.25">
      <c r="A1878" t="s">
        <v>2762</v>
      </c>
      <c r="B1878" s="1" t="str">
        <f>HYPERLINK("https://asmlis.vasa.lt/Dashboard/Served?ServiceDateFrom=2025-11-24&amp;ServiceDateTo=2025-11-24&amp;DumpsterInvNr=13-L-408817", "13-L-408817")</f>
        <v>13-L-408817</v>
      </c>
      <c r="C1878">
        <v>0.24</v>
      </c>
      <c r="D1878" t="s">
        <v>2763</v>
      </c>
      <c r="E1878" t="s">
        <v>11</v>
      </c>
      <c r="F1878" t="s">
        <v>1209</v>
      </c>
      <c r="G1878" t="s">
        <v>74</v>
      </c>
      <c r="H1878" t="s">
        <v>14</v>
      </c>
    </row>
    <row r="1879" spans="1:8" hidden="1" x14ac:dyDescent="0.25">
      <c r="A1879" t="s">
        <v>2764</v>
      </c>
      <c r="B1879" s="1" t="str">
        <f>HYPERLINK("https://asmlis.vasa.lt/Dashboard/Served?ServiceDateFrom=2025-11-24&amp;ServiceDateTo=2025-11-24&amp;DumpsterInvNr=13-P-413945", "13-P-413945")</f>
        <v>13-P-413945</v>
      </c>
      <c r="C1879">
        <v>5</v>
      </c>
      <c r="D1879" t="s">
        <v>554</v>
      </c>
      <c r="E1879" t="s">
        <v>11</v>
      </c>
      <c r="F1879" t="s">
        <v>13</v>
      </c>
      <c r="G1879" t="s">
        <v>264</v>
      </c>
      <c r="H1879" t="s">
        <v>14</v>
      </c>
    </row>
    <row r="1880" spans="1:8" hidden="1" x14ac:dyDescent="0.25">
      <c r="A1880" t="s">
        <v>2765</v>
      </c>
      <c r="B1880" s="1" t="str">
        <f>HYPERLINK("https://asmlis.vasa.lt/Dashboard/Served?ServiceDateFrom=2025-11-24&amp;ServiceDateTo=2025-11-24&amp;DumpsterInvNr=13-P-109455", "13-P-109455")</f>
        <v>13-P-109455</v>
      </c>
      <c r="C1880">
        <v>1.1000000000000001</v>
      </c>
      <c r="D1880" t="s">
        <v>2749</v>
      </c>
      <c r="E1880" t="s">
        <v>11</v>
      </c>
      <c r="G1880" t="s">
        <v>1917</v>
      </c>
      <c r="H1880" t="s">
        <v>432</v>
      </c>
    </row>
    <row r="1881" spans="1:8" hidden="1" x14ac:dyDescent="0.25">
      <c r="A1881" t="s">
        <v>2766</v>
      </c>
      <c r="B1881" s="1" t="str">
        <f>HYPERLINK("https://asmlis.vasa.lt/Dashboard/Served?ServiceDateFrom=2025-11-24&amp;ServiceDateTo=2025-11-24&amp;DumpsterInvNr=13-L-304402", "13-L-304402")</f>
        <v>13-L-304402</v>
      </c>
      <c r="C1881">
        <v>5</v>
      </c>
      <c r="D1881" t="s">
        <v>2767</v>
      </c>
      <c r="E1881" t="s">
        <v>11</v>
      </c>
      <c r="F1881" t="s">
        <v>13</v>
      </c>
      <c r="G1881" t="s">
        <v>9</v>
      </c>
      <c r="H1881" t="s">
        <v>14</v>
      </c>
    </row>
    <row r="1882" spans="1:8" hidden="1" x14ac:dyDescent="0.25">
      <c r="A1882" t="s">
        <v>2766</v>
      </c>
      <c r="B1882" s="1" t="str">
        <f>HYPERLINK("https://asmlis.vasa.lt/Dashboard/Served?ServiceDateFrom=2025-11-24&amp;ServiceDateTo=2025-11-24&amp;DumpsterInvNr=13-T-000272", "13-T-000272")</f>
        <v>13-T-000272</v>
      </c>
      <c r="C1882">
        <v>2.5</v>
      </c>
      <c r="D1882" t="s">
        <v>2768</v>
      </c>
      <c r="E1882" t="s">
        <v>11</v>
      </c>
      <c r="F1882" t="s">
        <v>13</v>
      </c>
      <c r="G1882" t="s">
        <v>1899</v>
      </c>
      <c r="H1882" t="s">
        <v>432</v>
      </c>
    </row>
    <row r="1883" spans="1:8" hidden="1" x14ac:dyDescent="0.25">
      <c r="A1883" t="s">
        <v>2766</v>
      </c>
      <c r="B1883" s="1" t="str">
        <f>HYPERLINK("https://asmlis.vasa.lt/Dashboard/Served?ServiceDateFrom=2025-11-24&amp;ServiceDateTo=2025-11-24&amp;DumpsterInvNr=13-P-300503", "13-P-300503")</f>
        <v>13-P-300503</v>
      </c>
      <c r="C1883">
        <v>1.1000000000000001</v>
      </c>
      <c r="D1883" t="s">
        <v>2769</v>
      </c>
      <c r="E1883" t="s">
        <v>11</v>
      </c>
      <c r="G1883" t="s">
        <v>412</v>
      </c>
      <c r="H1883" t="s">
        <v>14</v>
      </c>
    </row>
    <row r="1884" spans="1:8" hidden="1" x14ac:dyDescent="0.25">
      <c r="A1884" t="s">
        <v>2770</v>
      </c>
      <c r="B1884" s="1" t="str">
        <f>HYPERLINK("https://asmlis.vasa.lt/Dashboard/Served?ServiceDateFrom=2025-11-24&amp;ServiceDateTo=2025-11-24&amp;DumpsterInvNr=13-L-224048", "13-L-224048")</f>
        <v>13-L-224048</v>
      </c>
      <c r="C1884">
        <v>1.1000000000000001</v>
      </c>
      <c r="D1884" t="s">
        <v>2608</v>
      </c>
      <c r="E1884" t="s">
        <v>11</v>
      </c>
      <c r="G1884" t="s">
        <v>936</v>
      </c>
      <c r="H1884" t="s">
        <v>938</v>
      </c>
    </row>
    <row r="1885" spans="1:8" hidden="1" x14ac:dyDescent="0.25">
      <c r="A1885" t="s">
        <v>2771</v>
      </c>
      <c r="B1885" s="1" t="str">
        <f>HYPERLINK("https://asmlis.vasa.lt/Dashboard/Served?ServiceDateFrom=2025-11-24&amp;ServiceDateTo=2025-11-24&amp;DumpsterInvNr=13-L-309234", "13-L-309234")</f>
        <v>13-L-309234</v>
      </c>
      <c r="C1885">
        <v>0.77</v>
      </c>
      <c r="D1885" t="s">
        <v>2772</v>
      </c>
      <c r="E1885" t="s">
        <v>11</v>
      </c>
      <c r="G1885" t="s">
        <v>9</v>
      </c>
      <c r="H1885" t="s">
        <v>14</v>
      </c>
    </row>
    <row r="1886" spans="1:8" hidden="1" x14ac:dyDescent="0.25">
      <c r="A1886" t="s">
        <v>2771</v>
      </c>
      <c r="B1886" s="1" t="str">
        <f>HYPERLINK("https://asmlis.vasa.lt/Dashboard/Served?ServiceDateFrom=2025-11-24&amp;ServiceDateTo=2025-11-24&amp;DumpsterInvNr=13-P-401215", "13-P-401215")</f>
        <v>13-P-401215</v>
      </c>
      <c r="C1886">
        <v>2.5</v>
      </c>
      <c r="D1886" t="s">
        <v>2773</v>
      </c>
      <c r="E1886" t="s">
        <v>11</v>
      </c>
      <c r="G1886" t="s">
        <v>264</v>
      </c>
      <c r="H1886" t="s">
        <v>14</v>
      </c>
    </row>
    <row r="1887" spans="1:8" hidden="1" x14ac:dyDescent="0.25">
      <c r="A1887" t="s">
        <v>2774</v>
      </c>
      <c r="B1887" s="1" t="str">
        <f>HYPERLINK("https://asmlis.vasa.lt/Dashboard/Served?ServiceDateFrom=2025-11-24&amp;ServiceDateTo=2025-11-24&amp;DumpsterInvNr=13-L-317840", "13-L-317840")</f>
        <v>13-L-317840</v>
      </c>
      <c r="C1887">
        <v>0.77</v>
      </c>
      <c r="D1887" t="s">
        <v>2739</v>
      </c>
      <c r="E1887" t="s">
        <v>11</v>
      </c>
      <c r="G1887" t="s">
        <v>9</v>
      </c>
      <c r="H1887" t="s">
        <v>14</v>
      </c>
    </row>
    <row r="1888" spans="1:8" hidden="1" x14ac:dyDescent="0.25">
      <c r="A1888" t="s">
        <v>2775</v>
      </c>
      <c r="B1888" s="1" t="str">
        <f>HYPERLINK("https://asmlis.vasa.lt/Dashboard/Served?ServiceDateFrom=2025-11-24&amp;ServiceDateTo=2025-11-24&amp;DumpsterInvNr=13-P-109453", "13-P-109453")</f>
        <v>13-P-109453</v>
      </c>
      <c r="C1888">
        <v>1.1000000000000001</v>
      </c>
      <c r="D1888" t="s">
        <v>2749</v>
      </c>
      <c r="E1888" t="s">
        <v>11</v>
      </c>
      <c r="G1888" t="s">
        <v>1917</v>
      </c>
      <c r="H1888" t="s">
        <v>432</v>
      </c>
    </row>
    <row r="1889" spans="1:8" hidden="1" x14ac:dyDescent="0.25">
      <c r="A1889" t="s">
        <v>2777</v>
      </c>
      <c r="B1889" s="1" t="str">
        <f>HYPERLINK("https://asmlis.vasa.lt/Dashboard/Served?ServiceDateFrom=2025-11-24&amp;ServiceDateTo=2025-11-24&amp;DumpsterInvNr=13-T-000179", "13-T-000179")</f>
        <v>13-T-000179</v>
      </c>
      <c r="C1889">
        <v>2.5</v>
      </c>
      <c r="D1889" t="s">
        <v>2768</v>
      </c>
      <c r="E1889" t="s">
        <v>11</v>
      </c>
      <c r="F1889" t="s">
        <v>13</v>
      </c>
      <c r="G1889" t="s">
        <v>1899</v>
      </c>
      <c r="H1889" t="s">
        <v>432</v>
      </c>
    </row>
    <row r="1890" spans="1:8" hidden="1" x14ac:dyDescent="0.25">
      <c r="A1890" t="s">
        <v>2778</v>
      </c>
      <c r="B1890" s="1" t="str">
        <f>HYPERLINK("https://asmlis.vasa.lt/Dashboard/Served?ServiceDateFrom=2025-11-24&amp;ServiceDateTo=2025-11-24&amp;DumpsterInvNr=13-L-408816", "13-L-408816")</f>
        <v>13-L-408816</v>
      </c>
      <c r="C1890">
        <v>0.12</v>
      </c>
      <c r="D1890" t="s">
        <v>2779</v>
      </c>
      <c r="E1890" t="s">
        <v>11</v>
      </c>
      <c r="G1890" t="s">
        <v>74</v>
      </c>
      <c r="H1890" t="s">
        <v>14</v>
      </c>
    </row>
    <row r="1891" spans="1:8" hidden="1" x14ac:dyDescent="0.25">
      <c r="A1891" t="s">
        <v>2778</v>
      </c>
      <c r="B1891" s="1" t="str">
        <f>HYPERLINK("https://asmlis.vasa.lt/Dashboard/Served?ServiceDateFrom=2025-11-24&amp;ServiceDateTo=2025-11-24&amp;DumpsterInvNr=13-L-425632", "13-L-425632")</f>
        <v>13-L-425632</v>
      </c>
      <c r="C1891">
        <v>0.24</v>
      </c>
      <c r="D1891" t="s">
        <v>2780</v>
      </c>
      <c r="E1891" t="s">
        <v>11</v>
      </c>
      <c r="G1891" t="s">
        <v>74</v>
      </c>
      <c r="H1891" t="s">
        <v>14</v>
      </c>
    </row>
    <row r="1892" spans="1:8" hidden="1" x14ac:dyDescent="0.25">
      <c r="A1892" t="s">
        <v>2781</v>
      </c>
      <c r="B1892" s="1" t="str">
        <f>HYPERLINK("https://asmlis.vasa.lt/Dashboard/Served?ServiceDateFrom=2025-11-24&amp;ServiceDateTo=2025-11-24&amp;DumpsterInvNr=13-L-227407", "13-L-227407")</f>
        <v>13-L-227407</v>
      </c>
      <c r="C1892">
        <v>0.77</v>
      </c>
      <c r="D1892" t="s">
        <v>2782</v>
      </c>
      <c r="E1892" t="s">
        <v>11</v>
      </c>
      <c r="G1892" t="s">
        <v>936</v>
      </c>
      <c r="H1892" t="s">
        <v>938</v>
      </c>
    </row>
    <row r="1893" spans="1:8" hidden="1" x14ac:dyDescent="0.25">
      <c r="A1893" t="s">
        <v>2783</v>
      </c>
      <c r="B1893" s="1" t="str">
        <f>HYPERLINK("https://asmlis.vasa.lt/Dashboard/Served?ServiceDateFrom=2025-11-24&amp;ServiceDateTo=2025-11-24&amp;DumpsterInvNr=13-L-124879", "13-L-124879")</f>
        <v>13-L-124879</v>
      </c>
      <c r="C1893">
        <v>1.1000000000000001</v>
      </c>
      <c r="D1893" t="s">
        <v>2784</v>
      </c>
      <c r="E1893" t="s">
        <v>11</v>
      </c>
      <c r="G1893" t="s">
        <v>430</v>
      </c>
      <c r="H1893" t="s">
        <v>432</v>
      </c>
    </row>
    <row r="1894" spans="1:8" hidden="1" x14ac:dyDescent="0.25">
      <c r="A1894" t="s">
        <v>2786</v>
      </c>
      <c r="B1894" s="1" t="str">
        <f>HYPERLINK("https://asmlis.vasa.lt/Dashboard/Served?ServiceDateFrom=2025-11-24&amp;ServiceDateTo=2025-11-24&amp;DumpsterInvNr=13-L-218714", "13-L-218714")</f>
        <v>13-L-218714</v>
      </c>
      <c r="C1894">
        <v>1.1000000000000001</v>
      </c>
      <c r="D1894" t="s">
        <v>2782</v>
      </c>
      <c r="E1894" t="s">
        <v>11</v>
      </c>
      <c r="F1894" t="s">
        <v>13</v>
      </c>
      <c r="G1894" t="s">
        <v>936</v>
      </c>
      <c r="H1894" t="s">
        <v>938</v>
      </c>
    </row>
    <row r="1895" spans="1:8" hidden="1" x14ac:dyDescent="0.25">
      <c r="A1895" t="s">
        <v>2786</v>
      </c>
      <c r="B1895" s="1" t="str">
        <f>HYPERLINK("https://asmlis.vasa.lt/Dashboard/Served?ServiceDateFrom=2025-11-24&amp;ServiceDateTo=2025-11-24&amp;DumpsterInvNr=13-L-315547", "13-L-315547")</f>
        <v>13-L-315547</v>
      </c>
      <c r="C1895">
        <v>0.24</v>
      </c>
      <c r="D1895" t="s">
        <v>2739</v>
      </c>
      <c r="E1895" t="s">
        <v>11</v>
      </c>
      <c r="G1895" t="s">
        <v>9</v>
      </c>
      <c r="H1895" t="s">
        <v>14</v>
      </c>
    </row>
    <row r="1896" spans="1:8" hidden="1" x14ac:dyDescent="0.25">
      <c r="A1896" t="s">
        <v>2787</v>
      </c>
      <c r="B1896" s="1" t="str">
        <f>HYPERLINK("https://asmlis.vasa.lt/Dashboard/Served?ServiceDateFrom=2025-11-24&amp;ServiceDateTo=2025-11-24&amp;DumpsterInvNr=13-P-300486", "13-P-300486")</f>
        <v>13-P-300486</v>
      </c>
      <c r="C1896">
        <v>1.1000000000000001</v>
      </c>
      <c r="D1896" t="s">
        <v>2769</v>
      </c>
      <c r="E1896" t="s">
        <v>11</v>
      </c>
      <c r="F1896" t="s">
        <v>13</v>
      </c>
      <c r="G1896" t="s">
        <v>412</v>
      </c>
      <c r="H1896" t="s">
        <v>14</v>
      </c>
    </row>
    <row r="1897" spans="1:8" hidden="1" x14ac:dyDescent="0.25">
      <c r="A1897" t="s">
        <v>2788</v>
      </c>
      <c r="B1897" s="1" t="str">
        <f>HYPERLINK("https://asmlis.vasa.lt/Dashboard/Served?ServiceDateFrom=2025-11-24&amp;ServiceDateTo=2025-11-24&amp;DumpsterInvNr=13-L-133792", "13-L-133792")</f>
        <v>13-L-133792</v>
      </c>
      <c r="C1897">
        <v>5</v>
      </c>
      <c r="D1897" t="s">
        <v>2789</v>
      </c>
      <c r="E1897" t="s">
        <v>11</v>
      </c>
      <c r="F1897" t="s">
        <v>13</v>
      </c>
      <c r="G1897" t="s">
        <v>1912</v>
      </c>
      <c r="H1897" t="s">
        <v>432</v>
      </c>
    </row>
    <row r="1898" spans="1:8" hidden="1" x14ac:dyDescent="0.25">
      <c r="A1898" t="s">
        <v>2790</v>
      </c>
      <c r="B1898" s="1" t="str">
        <f>HYPERLINK("https://asmlis.vasa.lt/Dashboard/Served?ServiceDateFrom=2025-11-24&amp;ServiceDateTo=2025-11-24&amp;DumpsterInvNr=13-L-221623", "13-L-221623")</f>
        <v>13-L-221623</v>
      </c>
      <c r="C1898">
        <v>1.1000000000000001</v>
      </c>
      <c r="D1898" t="s">
        <v>2608</v>
      </c>
      <c r="E1898" t="s">
        <v>11</v>
      </c>
      <c r="G1898" t="s">
        <v>936</v>
      </c>
      <c r="H1898" t="s">
        <v>938</v>
      </c>
    </row>
    <row r="1899" spans="1:8" hidden="1" x14ac:dyDescent="0.25">
      <c r="A1899" t="s">
        <v>2791</v>
      </c>
      <c r="B1899" s="1" t="str">
        <f>HYPERLINK("https://asmlis.vasa.lt/Dashboard/Served?ServiceDateFrom=2025-11-24&amp;ServiceDateTo=2025-11-24&amp;DumpsterInvNr=13-L-315406", "13-L-315406")</f>
        <v>13-L-315406</v>
      </c>
      <c r="C1899">
        <v>0.77</v>
      </c>
      <c r="D1899" t="s">
        <v>2792</v>
      </c>
      <c r="E1899" t="s">
        <v>11</v>
      </c>
      <c r="F1899" t="s">
        <v>13</v>
      </c>
      <c r="G1899" t="s">
        <v>9</v>
      </c>
      <c r="H1899" t="s">
        <v>14</v>
      </c>
    </row>
    <row r="1900" spans="1:8" hidden="1" x14ac:dyDescent="0.25">
      <c r="A1900" t="s">
        <v>2793</v>
      </c>
      <c r="B1900" s="1" t="str">
        <f>HYPERLINK("https://asmlis.vasa.lt/Dashboard/Served?ServiceDateFrom=2025-11-24&amp;ServiceDateTo=2025-11-24&amp;DumpsterInvNr=13-L-424178", "13-L-424178")</f>
        <v>13-L-424178</v>
      </c>
      <c r="C1900">
        <v>0.24</v>
      </c>
      <c r="D1900" t="s">
        <v>2794</v>
      </c>
      <c r="E1900" t="s">
        <v>11</v>
      </c>
      <c r="F1900" t="s">
        <v>13</v>
      </c>
      <c r="G1900" t="s">
        <v>74</v>
      </c>
      <c r="H1900" t="s">
        <v>14</v>
      </c>
    </row>
    <row r="1901" spans="1:8" hidden="1" x14ac:dyDescent="0.25">
      <c r="A1901" t="s">
        <v>2795</v>
      </c>
      <c r="B1901" s="1" t="str">
        <f>HYPERLINK("https://asmlis.vasa.lt/Dashboard/Served?ServiceDateFrom=2025-11-24&amp;ServiceDateTo=2025-11-24&amp;DumpsterInvNr=13-P-412936", "13-P-412936")</f>
        <v>13-P-412936</v>
      </c>
      <c r="C1901">
        <v>0.24</v>
      </c>
      <c r="D1901" t="s">
        <v>2796</v>
      </c>
      <c r="E1901" t="s">
        <v>11</v>
      </c>
      <c r="G1901" t="s">
        <v>264</v>
      </c>
      <c r="H1901" t="s">
        <v>14</v>
      </c>
    </row>
    <row r="1902" spans="1:8" hidden="1" x14ac:dyDescent="0.25">
      <c r="A1902" t="s">
        <v>2797</v>
      </c>
      <c r="B1902" s="1" t="str">
        <f>HYPERLINK("https://asmlis.vasa.lt/Dashboard/Served?ServiceDateFrom=2025-11-24&amp;ServiceDateTo=2025-11-24&amp;DumpsterInvNr=13-L-315407", "13-L-315407")</f>
        <v>13-L-315407</v>
      </c>
      <c r="C1902">
        <v>0.77</v>
      </c>
      <c r="D1902" t="s">
        <v>2792</v>
      </c>
      <c r="E1902" t="s">
        <v>11</v>
      </c>
      <c r="F1902" t="s">
        <v>13</v>
      </c>
      <c r="G1902" t="s">
        <v>9</v>
      </c>
      <c r="H1902" t="s">
        <v>14</v>
      </c>
    </row>
    <row r="1903" spans="1:8" hidden="1" x14ac:dyDescent="0.25">
      <c r="A1903" t="s">
        <v>2798</v>
      </c>
      <c r="B1903" s="1" t="str">
        <f>HYPERLINK("https://asmlis.vasa.lt/Dashboard/Served?ServiceDateFrom=2025-11-24&amp;ServiceDateTo=2025-11-24&amp;DumpsterInvNr=13-L-140914", "13-L-140914")</f>
        <v>13-L-140914</v>
      </c>
      <c r="C1903">
        <v>5</v>
      </c>
      <c r="D1903" t="s">
        <v>2799</v>
      </c>
      <c r="E1903" t="s">
        <v>11</v>
      </c>
      <c r="F1903" t="s">
        <v>13</v>
      </c>
      <c r="G1903" t="s">
        <v>430</v>
      </c>
      <c r="H1903" t="s">
        <v>432</v>
      </c>
    </row>
    <row r="1904" spans="1:8" hidden="1" x14ac:dyDescent="0.25">
      <c r="A1904" t="s">
        <v>2800</v>
      </c>
      <c r="B1904" s="1" t="str">
        <f>HYPERLINK("https://asmlis.vasa.lt/Dashboard/Served?ServiceDateFrom=2025-11-24&amp;ServiceDateTo=2025-11-24&amp;DumpsterInvNr=13-L-148201", "13-L-148201")</f>
        <v>13-L-148201</v>
      </c>
      <c r="C1904">
        <v>1.1000000000000001</v>
      </c>
      <c r="D1904" t="s">
        <v>2801</v>
      </c>
      <c r="E1904" t="s">
        <v>11</v>
      </c>
      <c r="G1904" t="s">
        <v>1912</v>
      </c>
      <c r="H1904" t="s">
        <v>432</v>
      </c>
    </row>
    <row r="1905" spans="1:10" hidden="1" x14ac:dyDescent="0.25">
      <c r="A1905" t="s">
        <v>2802</v>
      </c>
      <c r="B1905" s="1" t="str">
        <f>HYPERLINK("https://asmlis.vasa.lt/Dashboard/Served?ServiceDateFrom=2025-11-24&amp;ServiceDateTo=2025-11-24&amp;DumpsterInvNr=13-L-424179", "13-L-424179")</f>
        <v>13-L-424179</v>
      </c>
      <c r="C1905">
        <v>0.24</v>
      </c>
      <c r="D1905" t="s">
        <v>2794</v>
      </c>
      <c r="E1905" t="s">
        <v>11</v>
      </c>
      <c r="F1905" t="s">
        <v>13</v>
      </c>
      <c r="G1905" t="s">
        <v>74</v>
      </c>
      <c r="H1905" t="s">
        <v>14</v>
      </c>
    </row>
    <row r="1906" spans="1:10" hidden="1" x14ac:dyDescent="0.25">
      <c r="A1906" t="s">
        <v>2803</v>
      </c>
      <c r="B1906" s="1" t="str">
        <f>HYPERLINK("https://asmlis.vasa.lt/Dashboard/Served?ServiceDateFrom=2025-11-24&amp;ServiceDateTo=2025-11-24&amp;DumpsterInvNr=13-P-213058", "13-P-213058")</f>
        <v>13-P-213058</v>
      </c>
      <c r="C1906">
        <v>0.24</v>
      </c>
      <c r="D1906" t="s">
        <v>2804</v>
      </c>
      <c r="E1906" t="s">
        <v>11</v>
      </c>
      <c r="G1906" t="s">
        <v>234</v>
      </c>
      <c r="H1906" t="s">
        <v>14</v>
      </c>
    </row>
    <row r="1907" spans="1:10" hidden="1" x14ac:dyDescent="0.25">
      <c r="A1907" t="s">
        <v>2805</v>
      </c>
      <c r="B1907" s="1" t="str">
        <f>HYPERLINK("https://asmlis.vasa.lt/Dashboard/Served?ServiceDateFrom=2025-11-24&amp;ServiceDateTo=2025-11-24&amp;DumpsterInvNr=13-L-408821", "13-L-408821")</f>
        <v>13-L-408821</v>
      </c>
      <c r="C1907">
        <v>0.24</v>
      </c>
      <c r="D1907" t="s">
        <v>2806</v>
      </c>
      <c r="E1907" t="s">
        <v>11</v>
      </c>
      <c r="G1907" t="s">
        <v>74</v>
      </c>
      <c r="H1907" t="s">
        <v>14</v>
      </c>
    </row>
    <row r="1908" spans="1:10" hidden="1" x14ac:dyDescent="0.25">
      <c r="A1908" t="s">
        <v>2807</v>
      </c>
      <c r="B1908" s="1" t="str">
        <f>HYPERLINK("https://asmlis.vasa.lt/Dashboard/Served?ServiceDateFrom=2025-11-24&amp;ServiceDateTo=2025-11-24&amp;DumpsterInvNr=13-L-145034", "13-L-145034")</f>
        <v>13-L-145034</v>
      </c>
      <c r="C1908">
        <v>1.1000000000000001</v>
      </c>
      <c r="D1908" t="s">
        <v>2784</v>
      </c>
      <c r="E1908" t="s">
        <v>11</v>
      </c>
      <c r="G1908" t="s">
        <v>430</v>
      </c>
      <c r="H1908" t="s">
        <v>432</v>
      </c>
    </row>
    <row r="1909" spans="1:10" hidden="1" x14ac:dyDescent="0.25">
      <c r="A1909" t="s">
        <v>2808</v>
      </c>
      <c r="B1909" s="1" t="str">
        <f>HYPERLINK("https://asmlis.vasa.lt/Dashboard/Served?ServiceDateFrom=2025-11-24&amp;ServiceDateTo=2025-11-24&amp;DumpsterInvNr=13-L-303786", "13-L-303786")</f>
        <v>13-L-303786</v>
      </c>
      <c r="C1909">
        <v>1.1000000000000001</v>
      </c>
      <c r="D1909" t="s">
        <v>2739</v>
      </c>
      <c r="E1909" t="s">
        <v>11</v>
      </c>
      <c r="G1909" t="s">
        <v>9</v>
      </c>
      <c r="H1909" t="s">
        <v>14</v>
      </c>
    </row>
    <row r="1910" spans="1:10" hidden="1" x14ac:dyDescent="0.25">
      <c r="A1910" t="s">
        <v>2809</v>
      </c>
      <c r="B1910" s="1" t="str">
        <f>HYPERLINK("https://asmlis.vasa.lt/Dashboard/Served?ServiceDateFrom=2025-11-24&amp;ServiceDateTo=2025-11-24&amp;DumpsterInvNr=13-L-424066", "13-L-424066")</f>
        <v>13-L-424066</v>
      </c>
      <c r="C1910">
        <v>0.24</v>
      </c>
      <c r="D1910" t="s">
        <v>2794</v>
      </c>
      <c r="E1910" t="s">
        <v>11</v>
      </c>
      <c r="F1910" t="s">
        <v>13</v>
      </c>
      <c r="G1910" t="s">
        <v>74</v>
      </c>
      <c r="H1910" t="s">
        <v>14</v>
      </c>
    </row>
    <row r="1911" spans="1:10" x14ac:dyDescent="0.25">
      <c r="A1911" t="s">
        <v>2809</v>
      </c>
      <c r="B1911" s="1" t="str">
        <f>HYPERLINK("https://asmlis.vasa.lt/Dashboard/Served?ServiceDateFrom=2025-11-24&amp;ServiceDateTo=2025-11-24&amp;DumpsterInvNr=13-P-401354", "13-P-401354")</f>
        <v>13-P-401354</v>
      </c>
      <c r="C1911">
        <v>0.24</v>
      </c>
      <c r="D1911" t="s">
        <v>2810</v>
      </c>
      <c r="E1911" t="s">
        <v>11</v>
      </c>
      <c r="F1911" t="s">
        <v>1215</v>
      </c>
      <c r="G1911" t="s">
        <v>264</v>
      </c>
      <c r="H1911" t="s">
        <v>14</v>
      </c>
      <c r="J1911" t="s">
        <v>17511</v>
      </c>
    </row>
    <row r="1912" spans="1:10" hidden="1" x14ac:dyDescent="0.25">
      <c r="A1912" t="s">
        <v>2811</v>
      </c>
      <c r="B1912" s="1" t="str">
        <f>HYPERLINK("https://asmlis.vasa.lt/Dashboard/Served?ServiceDateFrom=2025-11-24&amp;ServiceDateTo=2025-11-24&amp;DumpsterInvNr=13-L-224049", "13-L-224049")</f>
        <v>13-L-224049</v>
      </c>
      <c r="C1912">
        <v>1.1000000000000001</v>
      </c>
      <c r="D1912" t="s">
        <v>2608</v>
      </c>
      <c r="E1912" t="s">
        <v>11</v>
      </c>
      <c r="F1912" t="s">
        <v>13</v>
      </c>
      <c r="G1912" t="s">
        <v>936</v>
      </c>
      <c r="H1912" t="s">
        <v>938</v>
      </c>
    </row>
    <row r="1913" spans="1:10" hidden="1" x14ac:dyDescent="0.25">
      <c r="A1913" t="s">
        <v>2812</v>
      </c>
      <c r="B1913" s="1" t="str">
        <f>HYPERLINK("https://asmlis.vasa.lt/Dashboard/Served?ServiceDateFrom=2025-11-24&amp;ServiceDateTo=2025-11-24&amp;DumpsterInvNr=13-L-307472", "13-L-307472")</f>
        <v>13-L-307472</v>
      </c>
      <c r="C1913">
        <v>0.24</v>
      </c>
      <c r="D1913" t="s">
        <v>2813</v>
      </c>
      <c r="E1913" t="s">
        <v>11</v>
      </c>
      <c r="F1913" t="s">
        <v>1209</v>
      </c>
      <c r="G1913" t="s">
        <v>9</v>
      </c>
      <c r="H1913" t="s">
        <v>14</v>
      </c>
    </row>
    <row r="1914" spans="1:10" hidden="1" x14ac:dyDescent="0.25">
      <c r="A1914" t="s">
        <v>2812</v>
      </c>
      <c r="B1914" s="1" t="str">
        <f>HYPERLINK("https://asmlis.vasa.lt/Dashboard/Served?ServiceDateFrom=2025-11-24&amp;ServiceDateTo=2025-11-24&amp;DumpsterInvNr=13-L-213136", "13-L-213136")</f>
        <v>13-L-213136</v>
      </c>
      <c r="C1914">
        <v>1.1000000000000001</v>
      </c>
      <c r="D1914" t="s">
        <v>2548</v>
      </c>
      <c r="E1914" t="s">
        <v>11</v>
      </c>
      <c r="F1914" t="s">
        <v>13</v>
      </c>
      <c r="G1914" t="s">
        <v>936</v>
      </c>
      <c r="H1914" t="s">
        <v>938</v>
      </c>
    </row>
    <row r="1915" spans="1:10" hidden="1" x14ac:dyDescent="0.25">
      <c r="A1915" t="s">
        <v>2814</v>
      </c>
      <c r="B1915" s="1" t="str">
        <f>HYPERLINK("https://asmlis.vasa.lt/Dashboard/Served?ServiceDateFrom=2025-11-24&amp;ServiceDateTo=2025-11-24&amp;DumpsterInvNr=13-L-214223", "13-L-214223")</f>
        <v>13-L-214223</v>
      </c>
      <c r="C1915">
        <v>1.1000000000000001</v>
      </c>
      <c r="D1915" t="s">
        <v>2608</v>
      </c>
      <c r="E1915" t="s">
        <v>11</v>
      </c>
      <c r="F1915" t="s">
        <v>13</v>
      </c>
      <c r="G1915" t="s">
        <v>936</v>
      </c>
      <c r="H1915" t="s">
        <v>938</v>
      </c>
    </row>
    <row r="1916" spans="1:10" hidden="1" x14ac:dyDescent="0.25">
      <c r="A1916" t="s">
        <v>2816</v>
      </c>
      <c r="B1916" s="1" t="str">
        <f>HYPERLINK("https://asmlis.vasa.lt/Dashboard/Served?ServiceDateFrom=2025-11-24&amp;ServiceDateTo=2025-11-24&amp;DumpsterInvNr=13-L-208703", "13-L-208703")</f>
        <v>13-L-208703</v>
      </c>
      <c r="C1916">
        <v>1.1000000000000001</v>
      </c>
      <c r="D1916" t="s">
        <v>2548</v>
      </c>
      <c r="E1916" t="s">
        <v>11</v>
      </c>
      <c r="F1916" t="s">
        <v>13</v>
      </c>
      <c r="G1916" t="s">
        <v>936</v>
      </c>
      <c r="H1916" t="s">
        <v>938</v>
      </c>
    </row>
    <row r="1917" spans="1:10" x14ac:dyDescent="0.25">
      <c r="A1917" t="s">
        <v>2817</v>
      </c>
      <c r="B1917" s="1" t="str">
        <f>HYPERLINK("https://asmlis.vasa.lt/Dashboard/Served?ServiceDateFrom=2025-11-24&amp;ServiceDateTo=2025-11-24&amp;DumpsterInvNr=13-S-401570", "13-S-401570")</f>
        <v>13-S-401570</v>
      </c>
      <c r="C1917">
        <v>0.12</v>
      </c>
      <c r="D1917" t="s">
        <v>2810</v>
      </c>
      <c r="E1917" t="s">
        <v>11</v>
      </c>
      <c r="F1917" t="s">
        <v>1215</v>
      </c>
      <c r="G1917" t="s">
        <v>264</v>
      </c>
      <c r="H1917" t="s">
        <v>14</v>
      </c>
      <c r="J1917" t="s">
        <v>17511</v>
      </c>
    </row>
    <row r="1918" spans="1:10" hidden="1" x14ac:dyDescent="0.25">
      <c r="A1918" t="s">
        <v>2818</v>
      </c>
      <c r="B1918" s="1" t="str">
        <f>HYPERLINK("https://asmlis.vasa.lt/Dashboard/Served?ServiceDateFrom=2025-11-24&amp;ServiceDateTo=2025-11-24&amp;DumpsterInvNr=13-P-207788", "13-P-207788")</f>
        <v>13-P-207788</v>
      </c>
      <c r="C1918">
        <v>5</v>
      </c>
      <c r="D1918" t="s">
        <v>2819</v>
      </c>
      <c r="E1918" t="s">
        <v>11</v>
      </c>
      <c r="G1918" t="s">
        <v>234</v>
      </c>
      <c r="H1918" t="s">
        <v>14</v>
      </c>
    </row>
    <row r="1919" spans="1:10" hidden="1" x14ac:dyDescent="0.25">
      <c r="A1919" t="s">
        <v>2820</v>
      </c>
      <c r="B1919" s="1" t="str">
        <f>HYPERLINK("https://asmlis.vasa.lt/Dashboard/Served?ServiceDateFrom=2025-11-24&amp;ServiceDateTo=2025-11-24&amp;DumpsterInvNr=13-L-408819", "13-L-408819")</f>
        <v>13-L-408819</v>
      </c>
      <c r="C1919">
        <v>0.12</v>
      </c>
      <c r="D1919" t="s">
        <v>2821</v>
      </c>
      <c r="E1919" t="s">
        <v>11</v>
      </c>
      <c r="F1919" t="s">
        <v>1209</v>
      </c>
      <c r="G1919" t="s">
        <v>74</v>
      </c>
      <c r="H1919" t="s">
        <v>14</v>
      </c>
    </row>
    <row r="1920" spans="1:10" hidden="1" x14ac:dyDescent="0.25">
      <c r="A1920" t="s">
        <v>2820</v>
      </c>
      <c r="B1920" s="1" t="str">
        <f>HYPERLINK("https://asmlis.vasa.lt/Dashboard/Served?ServiceDateFrom=2025-11-24&amp;ServiceDateTo=2025-11-24&amp;DumpsterInvNr=13-L-420554", "13-L-420554")</f>
        <v>13-L-420554</v>
      </c>
      <c r="C1920">
        <v>0.24</v>
      </c>
      <c r="D1920" t="s">
        <v>2822</v>
      </c>
      <c r="E1920" t="s">
        <v>11</v>
      </c>
      <c r="G1920" t="s">
        <v>74</v>
      </c>
      <c r="H1920" t="s">
        <v>14</v>
      </c>
    </row>
    <row r="1921" spans="1:10" hidden="1" x14ac:dyDescent="0.25">
      <c r="A1921" t="s">
        <v>2823</v>
      </c>
      <c r="B1921" s="1" t="str">
        <f>HYPERLINK("https://asmlis.vasa.lt/Dashboard/Served?ServiceDateFrom=2025-11-24&amp;ServiceDateTo=2025-11-24&amp;DumpsterInvNr=13-L-306092", "13-L-306092")</f>
        <v>13-L-306092</v>
      </c>
      <c r="C1921">
        <v>0.24</v>
      </c>
      <c r="D1921" t="s">
        <v>2824</v>
      </c>
      <c r="E1921" t="s">
        <v>11</v>
      </c>
      <c r="F1921" t="s">
        <v>13</v>
      </c>
      <c r="G1921" t="s">
        <v>9</v>
      </c>
      <c r="H1921" t="s">
        <v>14</v>
      </c>
    </row>
    <row r="1922" spans="1:10" hidden="1" x14ac:dyDescent="0.25">
      <c r="A1922" t="s">
        <v>2825</v>
      </c>
      <c r="B1922" s="1" t="str">
        <f>HYPERLINK("https://asmlis.vasa.lt/Dashboard/Served?ServiceDateFrom=2025-11-24&amp;ServiceDateTo=2025-11-24&amp;DumpsterInvNr=13-L-424435", "13-L-424435")</f>
        <v>13-L-424435</v>
      </c>
      <c r="C1922">
        <v>5</v>
      </c>
      <c r="D1922" t="s">
        <v>2344</v>
      </c>
      <c r="E1922" t="s">
        <v>11</v>
      </c>
      <c r="F1922" t="s">
        <v>13</v>
      </c>
      <c r="G1922" t="s">
        <v>74</v>
      </c>
      <c r="H1922" t="s">
        <v>14</v>
      </c>
    </row>
    <row r="1923" spans="1:10" x14ac:dyDescent="0.25">
      <c r="A1923" t="s">
        <v>2825</v>
      </c>
      <c r="B1923" s="1" t="str">
        <f>HYPERLINK("https://asmlis.vasa.lt/Dashboard/Served?ServiceDateFrom=2025-11-24&amp;ServiceDateTo=2025-11-24&amp;DumpsterInvNr=13-P-415749", "13-P-415749")</f>
        <v>13-P-415749</v>
      </c>
      <c r="C1923">
        <v>0.24</v>
      </c>
      <c r="D1923" t="s">
        <v>2826</v>
      </c>
      <c r="E1923" t="s">
        <v>11</v>
      </c>
      <c r="F1923" t="s">
        <v>1215</v>
      </c>
      <c r="G1923" t="s">
        <v>264</v>
      </c>
      <c r="H1923" t="s">
        <v>14</v>
      </c>
      <c r="J1923" t="s">
        <v>17511</v>
      </c>
    </row>
    <row r="1924" spans="1:10" hidden="1" x14ac:dyDescent="0.25">
      <c r="A1924" t="s">
        <v>2827</v>
      </c>
      <c r="B1924" s="1" t="str">
        <f>HYPERLINK("https://asmlis.vasa.lt/Dashboard/Served?ServiceDateFrom=2025-11-24&amp;ServiceDateTo=2025-11-24&amp;DumpsterInvNr=13-L-318431", "13-L-318431")</f>
        <v>13-L-318431</v>
      </c>
      <c r="C1924">
        <v>0.24</v>
      </c>
      <c r="D1924" t="s">
        <v>2828</v>
      </c>
      <c r="E1924" t="s">
        <v>11</v>
      </c>
      <c r="F1924" t="s">
        <v>13</v>
      </c>
      <c r="G1924" t="s">
        <v>9</v>
      </c>
      <c r="H1924" t="s">
        <v>14</v>
      </c>
    </row>
    <row r="1925" spans="1:10" hidden="1" x14ac:dyDescent="0.25">
      <c r="A1925" t="s">
        <v>2829</v>
      </c>
      <c r="B1925" s="1" t="str">
        <f>HYPERLINK("https://asmlis.vasa.lt/Dashboard/Served?ServiceDateFrom=2025-11-24&amp;ServiceDateTo=2025-11-24&amp;DumpsterInvNr=13-L-416018", "13-L-416018")</f>
        <v>13-L-416018</v>
      </c>
      <c r="C1925">
        <v>0.24</v>
      </c>
      <c r="D1925" t="s">
        <v>2831</v>
      </c>
      <c r="E1925" t="s">
        <v>11</v>
      </c>
      <c r="F1925" t="s">
        <v>1209</v>
      </c>
      <c r="G1925" t="s">
        <v>74</v>
      </c>
      <c r="H1925" t="s">
        <v>14</v>
      </c>
    </row>
    <row r="1926" spans="1:10" hidden="1" x14ac:dyDescent="0.25">
      <c r="A1926" t="s">
        <v>2832</v>
      </c>
      <c r="B1926" s="1" t="str">
        <f>HYPERLINK("https://asmlis.vasa.lt/Dashboard/Served?ServiceDateFrom=2025-11-24&amp;ServiceDateTo=2025-11-24&amp;DumpsterInvNr=13-L-220273", "13-L-220273")</f>
        <v>13-L-220273</v>
      </c>
      <c r="C1926">
        <v>1.1000000000000001</v>
      </c>
      <c r="D1926" t="s">
        <v>2833</v>
      </c>
      <c r="E1926" t="s">
        <v>11</v>
      </c>
      <c r="F1926" t="s">
        <v>13</v>
      </c>
      <c r="G1926" t="s">
        <v>936</v>
      </c>
      <c r="H1926" t="s">
        <v>938</v>
      </c>
    </row>
    <row r="1927" spans="1:10" hidden="1" x14ac:dyDescent="0.25">
      <c r="A1927" t="s">
        <v>2834</v>
      </c>
      <c r="B1927" s="1" t="str">
        <f>HYPERLINK("https://asmlis.vasa.lt/Dashboard/Served?ServiceDateFrom=2025-11-24&amp;ServiceDateTo=2025-11-24&amp;DumpsterInvNr=13-L-140145", "13-L-140145")</f>
        <v>13-L-140145</v>
      </c>
      <c r="C1927">
        <v>0.24</v>
      </c>
      <c r="D1927" t="s">
        <v>2835</v>
      </c>
      <c r="E1927" t="s">
        <v>11</v>
      </c>
      <c r="G1927" t="s">
        <v>430</v>
      </c>
      <c r="H1927" t="s">
        <v>432</v>
      </c>
    </row>
    <row r="1928" spans="1:10" hidden="1" x14ac:dyDescent="0.25">
      <c r="A1928" t="s">
        <v>2836</v>
      </c>
      <c r="B1928" s="1" t="str">
        <f>HYPERLINK("https://asmlis.vasa.lt/Dashboard/Served?ServiceDateFrom=2025-11-24&amp;ServiceDateTo=2025-11-24&amp;DumpsterInvNr=13-S-404794", "13-S-404794")</f>
        <v>13-S-404794</v>
      </c>
      <c r="C1928">
        <v>0.12</v>
      </c>
      <c r="D1928" t="s">
        <v>2796</v>
      </c>
      <c r="E1928" t="s">
        <v>11</v>
      </c>
      <c r="F1928" t="s">
        <v>1209</v>
      </c>
      <c r="G1928" t="s">
        <v>264</v>
      </c>
      <c r="H1928" t="s">
        <v>14</v>
      </c>
    </row>
    <row r="1929" spans="1:10" hidden="1" x14ac:dyDescent="0.25">
      <c r="A1929" t="s">
        <v>2837</v>
      </c>
      <c r="B1929" s="1" t="str">
        <f>HYPERLINK("https://asmlis.vasa.lt/Dashboard/Served?ServiceDateFrom=2025-11-24&amp;ServiceDateTo=2025-11-24&amp;DumpsterInvNr=13-P-500278", "13-P-500278")</f>
        <v>13-P-500278</v>
      </c>
      <c r="C1929">
        <v>5</v>
      </c>
      <c r="D1929" t="s">
        <v>2222</v>
      </c>
      <c r="E1929" t="s">
        <v>11</v>
      </c>
      <c r="F1929" t="s">
        <v>13</v>
      </c>
      <c r="G1929" t="s">
        <v>2178</v>
      </c>
      <c r="H1929" t="s">
        <v>432</v>
      </c>
    </row>
    <row r="1930" spans="1:10" hidden="1" x14ac:dyDescent="0.25">
      <c r="A1930" t="s">
        <v>2838</v>
      </c>
      <c r="B1930" s="1" t="str">
        <f>HYPERLINK("https://asmlis.vasa.lt/Dashboard/Served?ServiceDateFrom=2025-11-24&amp;ServiceDateTo=2025-11-24&amp;DumpsterInvNr=13-T-000074", "13-T-000074")</f>
        <v>13-T-000074</v>
      </c>
      <c r="C1930">
        <v>2.5</v>
      </c>
      <c r="D1930" t="s">
        <v>2839</v>
      </c>
      <c r="E1930" t="s">
        <v>11</v>
      </c>
      <c r="F1930" t="s">
        <v>13</v>
      </c>
      <c r="G1930" t="s">
        <v>1899</v>
      </c>
      <c r="H1930" t="s">
        <v>432</v>
      </c>
    </row>
    <row r="1931" spans="1:10" hidden="1" x14ac:dyDescent="0.25">
      <c r="A1931" t="s">
        <v>2840</v>
      </c>
      <c r="B1931" s="1" t="str">
        <f>HYPERLINK("https://asmlis.vasa.lt/Dashboard/Served?ServiceDateFrom=2025-11-24&amp;ServiceDateTo=2025-11-24&amp;DumpsterInvNr=13-L-310701", "13-L-310701")</f>
        <v>13-L-310701</v>
      </c>
      <c r="C1931">
        <v>0.24</v>
      </c>
      <c r="D1931" t="s">
        <v>2841</v>
      </c>
      <c r="E1931" t="s">
        <v>11</v>
      </c>
      <c r="G1931" t="s">
        <v>9</v>
      </c>
      <c r="H1931" t="s">
        <v>14</v>
      </c>
    </row>
    <row r="1932" spans="1:10" hidden="1" x14ac:dyDescent="0.25">
      <c r="A1932" t="s">
        <v>2842</v>
      </c>
      <c r="B1932" s="1" t="str">
        <f>HYPERLINK("https://asmlis.vasa.lt/Dashboard/Served?ServiceDateFrom=2025-11-24&amp;ServiceDateTo=2025-11-24&amp;DumpsterInvNr=13-P-102407", "13-P-102407")</f>
        <v>13-P-102407</v>
      </c>
      <c r="C1932">
        <v>5</v>
      </c>
      <c r="D1932" t="s">
        <v>2843</v>
      </c>
      <c r="E1932" t="s">
        <v>11</v>
      </c>
      <c r="F1932" t="s">
        <v>13</v>
      </c>
      <c r="G1932" t="s">
        <v>1917</v>
      </c>
      <c r="H1932" t="s">
        <v>432</v>
      </c>
    </row>
    <row r="1933" spans="1:10" hidden="1" x14ac:dyDescent="0.25">
      <c r="A1933" t="s">
        <v>2842</v>
      </c>
      <c r="B1933" s="1" t="str">
        <f>HYPERLINK("https://asmlis.vasa.lt/Dashboard/Served?ServiceDateFrom=2025-11-24&amp;ServiceDateTo=2025-11-24&amp;DumpsterInvNr=13-P-401500", "13-P-401500")</f>
        <v>13-P-401500</v>
      </c>
      <c r="C1933">
        <v>1.1000000000000001</v>
      </c>
      <c r="D1933" t="s">
        <v>2844</v>
      </c>
      <c r="E1933" t="s">
        <v>11</v>
      </c>
      <c r="G1933" t="s">
        <v>264</v>
      </c>
      <c r="H1933" t="s">
        <v>14</v>
      </c>
    </row>
    <row r="1934" spans="1:10" hidden="1" x14ac:dyDescent="0.25">
      <c r="A1934" t="s">
        <v>2845</v>
      </c>
      <c r="B1934" s="1" t="str">
        <f>HYPERLINK("https://asmlis.vasa.lt/Dashboard/Served?ServiceDateFrom=2025-11-24&amp;ServiceDateTo=2025-11-24&amp;DumpsterInvNr=13-T-000073", "13-T-000073")</f>
        <v>13-T-000073</v>
      </c>
      <c r="C1934">
        <v>2.5</v>
      </c>
      <c r="D1934" t="s">
        <v>2839</v>
      </c>
      <c r="E1934" t="s">
        <v>11</v>
      </c>
      <c r="F1934" t="s">
        <v>13</v>
      </c>
      <c r="G1934" t="s">
        <v>1899</v>
      </c>
      <c r="H1934" t="s">
        <v>432</v>
      </c>
    </row>
    <row r="1935" spans="1:10" hidden="1" x14ac:dyDescent="0.25">
      <c r="A1935" t="s">
        <v>2846</v>
      </c>
      <c r="B1935" s="1" t="str">
        <f>HYPERLINK("https://asmlis.vasa.lt/Dashboard/Served?ServiceDateFrom=2025-11-24&amp;ServiceDateTo=2025-11-24&amp;DumpsterInvNr=13-P-208831", "13-P-208831")</f>
        <v>13-P-208831</v>
      </c>
      <c r="C1935">
        <v>0.12</v>
      </c>
      <c r="D1935" t="s">
        <v>2847</v>
      </c>
      <c r="E1935" t="s">
        <v>11</v>
      </c>
      <c r="G1935" t="s">
        <v>234</v>
      </c>
      <c r="H1935" t="s">
        <v>14</v>
      </c>
    </row>
    <row r="1936" spans="1:10" hidden="1" x14ac:dyDescent="0.25">
      <c r="A1936" t="s">
        <v>2848</v>
      </c>
      <c r="B1936" s="1" t="str">
        <f>HYPERLINK("https://asmlis.vasa.lt/Dashboard/Served?ServiceDateFrom=2025-11-24&amp;ServiceDateTo=2025-11-24&amp;DumpsterInvNr=13-L-224047", "13-L-224047")</f>
        <v>13-L-224047</v>
      </c>
      <c r="C1936">
        <v>1.1000000000000001</v>
      </c>
      <c r="D1936" t="s">
        <v>2608</v>
      </c>
      <c r="E1936" t="s">
        <v>11</v>
      </c>
      <c r="F1936" t="s">
        <v>13</v>
      </c>
      <c r="G1936" t="s">
        <v>936</v>
      </c>
      <c r="H1936" t="s">
        <v>938</v>
      </c>
    </row>
    <row r="1937" spans="1:8" hidden="1" x14ac:dyDescent="0.25">
      <c r="A1937" t="s">
        <v>2849</v>
      </c>
      <c r="B1937" s="1" t="str">
        <f>HYPERLINK("https://asmlis.vasa.lt/Dashboard/Served?ServiceDateFrom=2025-11-24&amp;ServiceDateTo=2025-11-24&amp;DumpsterInvNr=13-L-414979", "13-L-414979")</f>
        <v>13-L-414979</v>
      </c>
      <c r="C1937">
        <v>0.24</v>
      </c>
      <c r="D1937" t="s">
        <v>2850</v>
      </c>
      <c r="E1937" t="s">
        <v>11</v>
      </c>
      <c r="F1937" t="s">
        <v>1209</v>
      </c>
      <c r="G1937" t="s">
        <v>74</v>
      </c>
      <c r="H1937" t="s">
        <v>14</v>
      </c>
    </row>
    <row r="1938" spans="1:8" hidden="1" x14ac:dyDescent="0.25">
      <c r="A1938" t="s">
        <v>2849</v>
      </c>
      <c r="B1938" s="1" t="str">
        <f>HYPERLINK("https://asmlis.vasa.lt/Dashboard/Served?ServiceDateFrom=2025-11-24&amp;ServiceDateTo=2025-11-24&amp;DumpsterInvNr=13-L-313712", "13-L-313712")</f>
        <v>13-L-313712</v>
      </c>
      <c r="C1938">
        <v>0.24</v>
      </c>
      <c r="D1938" t="s">
        <v>2851</v>
      </c>
      <c r="E1938" t="s">
        <v>11</v>
      </c>
      <c r="F1938" t="s">
        <v>1209</v>
      </c>
      <c r="G1938" t="s">
        <v>9</v>
      </c>
      <c r="H1938" t="s">
        <v>14</v>
      </c>
    </row>
    <row r="1939" spans="1:8" hidden="1" x14ac:dyDescent="0.25">
      <c r="A1939" t="s">
        <v>2852</v>
      </c>
      <c r="B1939" s="1" t="str">
        <f>HYPERLINK("https://asmlis.vasa.lt/Dashboard/Served?ServiceDateFrom=2025-11-24&amp;ServiceDateTo=2025-11-24&amp;DumpsterInvNr=13-P-415600", "13-P-415600")</f>
        <v>13-P-415600</v>
      </c>
      <c r="C1939">
        <v>5</v>
      </c>
      <c r="D1939" t="s">
        <v>561</v>
      </c>
      <c r="E1939" t="s">
        <v>11</v>
      </c>
      <c r="F1939" t="s">
        <v>13</v>
      </c>
      <c r="G1939" t="s">
        <v>264</v>
      </c>
      <c r="H1939" t="s">
        <v>14</v>
      </c>
    </row>
    <row r="1940" spans="1:8" hidden="1" x14ac:dyDescent="0.25">
      <c r="A1940" t="s">
        <v>2853</v>
      </c>
      <c r="B1940" s="1" t="str">
        <f>HYPERLINK("https://asmlis.vasa.lt/Dashboard/Served?ServiceDateFrom=2025-11-24&amp;ServiceDateTo=2025-11-24&amp;DumpsterInvNr=13-S-408657", "13-S-408657")</f>
        <v>13-S-408657</v>
      </c>
      <c r="C1940">
        <v>0.12</v>
      </c>
      <c r="D1940" t="s">
        <v>2854</v>
      </c>
      <c r="E1940" t="s">
        <v>11</v>
      </c>
      <c r="G1940" t="s">
        <v>264</v>
      </c>
      <c r="H1940" t="s">
        <v>14</v>
      </c>
    </row>
    <row r="1941" spans="1:8" hidden="1" x14ac:dyDescent="0.25">
      <c r="A1941" t="s">
        <v>2855</v>
      </c>
      <c r="B1941" s="1" t="str">
        <f>HYPERLINK("https://asmlis.vasa.lt/Dashboard/Served?ServiceDateFrom=2025-11-24&amp;ServiceDateTo=2025-11-24&amp;DumpsterInvNr=13-L-416413", "13-L-416413")</f>
        <v>13-L-416413</v>
      </c>
      <c r="C1941">
        <v>1.1000000000000001</v>
      </c>
      <c r="D1941" t="s">
        <v>1127</v>
      </c>
      <c r="E1941" t="s">
        <v>11</v>
      </c>
      <c r="G1941" t="s">
        <v>74</v>
      </c>
      <c r="H1941" t="s">
        <v>14</v>
      </c>
    </row>
    <row r="1942" spans="1:8" hidden="1" x14ac:dyDescent="0.25">
      <c r="A1942" t="s">
        <v>2857</v>
      </c>
      <c r="B1942" s="1" t="str">
        <f>HYPERLINK("https://asmlis.vasa.lt/Dashboard/Served?ServiceDateFrom=2025-11-24&amp;ServiceDateTo=2025-11-24&amp;DumpsterInvNr=13-P-416282", "13-P-416282")</f>
        <v>13-P-416282</v>
      </c>
      <c r="C1942">
        <v>0.24</v>
      </c>
      <c r="D1942" t="s">
        <v>2854</v>
      </c>
      <c r="E1942" t="s">
        <v>11</v>
      </c>
      <c r="G1942" t="s">
        <v>264</v>
      </c>
      <c r="H1942" t="s">
        <v>14</v>
      </c>
    </row>
    <row r="1943" spans="1:8" hidden="1" x14ac:dyDescent="0.25">
      <c r="A1943" t="s">
        <v>2668</v>
      </c>
      <c r="B1943" s="1" t="str">
        <f>HYPERLINK("https://asmlis.vasa.lt/Dashboard/Served?ServiceDateFrom=2025-11-24&amp;ServiceDateTo=2025-11-24&amp;DumpsterInvNr=13-L-209611", "13-L-209611")</f>
        <v>13-L-209611</v>
      </c>
      <c r="C1943">
        <v>1.1000000000000001</v>
      </c>
      <c r="D1943" t="s">
        <v>2608</v>
      </c>
      <c r="E1943" t="s">
        <v>11</v>
      </c>
      <c r="F1943" t="s">
        <v>13</v>
      </c>
      <c r="G1943" t="s">
        <v>936</v>
      </c>
      <c r="H1943" t="s">
        <v>938</v>
      </c>
    </row>
    <row r="1944" spans="1:8" hidden="1" x14ac:dyDescent="0.25">
      <c r="A1944" t="s">
        <v>2701</v>
      </c>
      <c r="B1944" s="1" t="str">
        <f>HYPERLINK("https://asmlis.vasa.lt/Dashboard/Served?ServiceDateFrom=2025-11-24&amp;ServiceDateTo=2025-11-24&amp;DumpsterInvNr=13-L-219694", "13-L-219694")</f>
        <v>13-L-219694</v>
      </c>
      <c r="C1944">
        <v>1.1000000000000001</v>
      </c>
      <c r="D1944" t="s">
        <v>2608</v>
      </c>
      <c r="E1944" t="s">
        <v>11</v>
      </c>
      <c r="F1944" t="s">
        <v>13</v>
      </c>
      <c r="G1944" t="s">
        <v>936</v>
      </c>
      <c r="H1944" t="s">
        <v>938</v>
      </c>
    </row>
    <row r="1945" spans="1:8" hidden="1" x14ac:dyDescent="0.25">
      <c r="A1945" t="s">
        <v>2859</v>
      </c>
      <c r="B1945" s="1" t="str">
        <f>HYPERLINK("https://asmlis.vasa.lt/Dashboard/Served?ServiceDateFrom=2025-11-24&amp;ServiceDateTo=2025-11-24&amp;DumpsterInvNr=13-L-425035", "13-L-425035")</f>
        <v>13-L-425035</v>
      </c>
      <c r="C1945">
        <v>1.1000000000000001</v>
      </c>
      <c r="D1945" t="s">
        <v>2860</v>
      </c>
      <c r="E1945" t="s">
        <v>11</v>
      </c>
      <c r="F1945" t="s">
        <v>13</v>
      </c>
      <c r="G1945" t="s">
        <v>74</v>
      </c>
      <c r="H1945" t="s">
        <v>14</v>
      </c>
    </row>
    <row r="1946" spans="1:8" hidden="1" x14ac:dyDescent="0.25">
      <c r="A1946" t="s">
        <v>2861</v>
      </c>
      <c r="B1946" s="1" t="str">
        <f>HYPERLINK("https://asmlis.vasa.lt/Dashboard/Served?ServiceDateFrom=2025-11-24&amp;ServiceDateTo=2025-11-24&amp;DumpsterInvNr=13-L-219693", "13-L-219693")</f>
        <v>13-L-219693</v>
      </c>
      <c r="C1946">
        <v>1.1000000000000001</v>
      </c>
      <c r="D1946" t="s">
        <v>2608</v>
      </c>
      <c r="E1946" t="s">
        <v>11</v>
      </c>
      <c r="F1946" t="s">
        <v>13</v>
      </c>
      <c r="G1946" t="s">
        <v>936</v>
      </c>
      <c r="H1946" t="s">
        <v>938</v>
      </c>
    </row>
    <row r="1947" spans="1:8" hidden="1" x14ac:dyDescent="0.25">
      <c r="A1947" t="s">
        <v>2862</v>
      </c>
      <c r="B1947" s="1" t="str">
        <f>HYPERLINK("https://asmlis.vasa.lt/Dashboard/Served?ServiceDateFrom=2025-11-24&amp;ServiceDateTo=2025-11-24&amp;DumpsterInvNr=13-L-425036", "13-L-425036")</f>
        <v>13-L-425036</v>
      </c>
      <c r="C1947">
        <v>1.1000000000000001</v>
      </c>
      <c r="D1947" t="s">
        <v>2860</v>
      </c>
      <c r="E1947" t="s">
        <v>11</v>
      </c>
      <c r="F1947" t="s">
        <v>13</v>
      </c>
      <c r="G1947" t="s">
        <v>74</v>
      </c>
      <c r="H1947" t="s">
        <v>14</v>
      </c>
    </row>
    <row r="1948" spans="1:8" hidden="1" x14ac:dyDescent="0.25">
      <c r="A1948" t="s">
        <v>2863</v>
      </c>
      <c r="B1948" s="1" t="str">
        <f>HYPERLINK("https://asmlis.vasa.lt/Dashboard/Served?ServiceDateFrom=2025-11-24&amp;ServiceDateTo=2025-11-24&amp;DumpsterInvNr=13-L-133841", "13-L-133841")</f>
        <v>13-L-133841</v>
      </c>
      <c r="C1948">
        <v>5</v>
      </c>
      <c r="D1948" t="s">
        <v>2864</v>
      </c>
      <c r="E1948" t="s">
        <v>11</v>
      </c>
      <c r="F1948" t="s">
        <v>13</v>
      </c>
      <c r="G1948" t="s">
        <v>430</v>
      </c>
      <c r="H1948" t="s">
        <v>432</v>
      </c>
    </row>
    <row r="1949" spans="1:8" hidden="1" x14ac:dyDescent="0.25">
      <c r="A1949" t="s">
        <v>2866</v>
      </c>
      <c r="B1949" s="1" t="str">
        <f>HYPERLINK("https://asmlis.vasa.lt/Dashboard/Served?ServiceDateFrom=2025-11-24&amp;ServiceDateTo=2025-11-24&amp;DumpsterInvNr=13-L-425034", "13-L-425034")</f>
        <v>13-L-425034</v>
      </c>
      <c r="C1949">
        <v>1.1000000000000001</v>
      </c>
      <c r="D1949" t="s">
        <v>2860</v>
      </c>
      <c r="E1949" t="s">
        <v>11</v>
      </c>
      <c r="F1949" t="s">
        <v>13</v>
      </c>
      <c r="G1949" t="s">
        <v>74</v>
      </c>
      <c r="H1949" t="s">
        <v>14</v>
      </c>
    </row>
    <row r="1950" spans="1:8" hidden="1" x14ac:dyDescent="0.25">
      <c r="A1950" t="s">
        <v>2867</v>
      </c>
      <c r="B1950" s="1" t="str">
        <f>HYPERLINK("https://asmlis.vasa.lt/Dashboard/Served?ServiceDateFrom=2025-11-24&amp;ServiceDateTo=2025-11-24&amp;DumpsterInvNr=13-L-105291", "13-L-105291")</f>
        <v>13-L-105291</v>
      </c>
      <c r="C1950">
        <v>1.1000000000000001</v>
      </c>
      <c r="D1950" t="s">
        <v>2868</v>
      </c>
      <c r="E1950" t="s">
        <v>11</v>
      </c>
      <c r="G1950" t="s">
        <v>430</v>
      </c>
      <c r="H1950" t="s">
        <v>432</v>
      </c>
    </row>
    <row r="1951" spans="1:8" hidden="1" x14ac:dyDescent="0.25">
      <c r="A1951" t="s">
        <v>2870</v>
      </c>
      <c r="B1951" s="1" t="str">
        <f>HYPERLINK("https://asmlis.vasa.lt/Dashboard/Served?ServiceDateFrom=2025-11-24&amp;ServiceDateTo=2025-11-24&amp;DumpsterInvNr=13-L-221624", "13-L-221624")</f>
        <v>13-L-221624</v>
      </c>
      <c r="C1951">
        <v>1.1000000000000001</v>
      </c>
      <c r="D1951" t="s">
        <v>2608</v>
      </c>
      <c r="E1951" t="s">
        <v>11</v>
      </c>
      <c r="F1951" t="s">
        <v>13</v>
      </c>
      <c r="G1951" t="s">
        <v>936</v>
      </c>
      <c r="H1951" t="s">
        <v>938</v>
      </c>
    </row>
    <row r="1952" spans="1:8" hidden="1" x14ac:dyDescent="0.25">
      <c r="A1952" t="s">
        <v>2870</v>
      </c>
      <c r="B1952" s="1" t="str">
        <f>HYPERLINK("https://asmlis.vasa.lt/Dashboard/Served?ServiceDateFrom=2025-11-24&amp;ServiceDateTo=2025-11-24&amp;DumpsterInvNr=13-L-144803", "13-L-144803")</f>
        <v>13-L-144803</v>
      </c>
      <c r="C1952">
        <v>5</v>
      </c>
      <c r="D1952" t="s">
        <v>2871</v>
      </c>
      <c r="E1952" t="s">
        <v>11</v>
      </c>
      <c r="F1952" t="s">
        <v>13</v>
      </c>
      <c r="G1952" t="s">
        <v>430</v>
      </c>
      <c r="H1952" t="s">
        <v>432</v>
      </c>
    </row>
    <row r="1953" spans="1:8" hidden="1" x14ac:dyDescent="0.25">
      <c r="A1953" t="s">
        <v>2872</v>
      </c>
      <c r="B1953" s="1" t="str">
        <f>HYPERLINK("https://asmlis.vasa.lt/Dashboard/Served?ServiceDateFrom=2025-11-24&amp;ServiceDateTo=2025-11-24&amp;DumpsterInvNr=13-L-217308", "13-L-217308")</f>
        <v>13-L-217308</v>
      </c>
      <c r="C1953">
        <v>1.1000000000000001</v>
      </c>
      <c r="D1953" t="s">
        <v>2873</v>
      </c>
      <c r="E1953" t="s">
        <v>11</v>
      </c>
      <c r="G1953" t="s">
        <v>936</v>
      </c>
      <c r="H1953" t="s">
        <v>938</v>
      </c>
    </row>
    <row r="1954" spans="1:8" hidden="1" x14ac:dyDescent="0.25">
      <c r="A1954" t="s">
        <v>2874</v>
      </c>
      <c r="B1954" s="1" t="str">
        <f>HYPERLINK("https://asmlis.vasa.lt/Dashboard/Served?ServiceDateFrom=2025-11-24&amp;ServiceDateTo=2025-11-24&amp;DumpsterInvNr=13-L-423391", "13-L-423391")</f>
        <v>13-L-423391</v>
      </c>
      <c r="C1954">
        <v>1.1000000000000001</v>
      </c>
      <c r="D1954" t="s">
        <v>2860</v>
      </c>
      <c r="E1954" t="s">
        <v>11</v>
      </c>
      <c r="F1954" t="s">
        <v>13</v>
      </c>
      <c r="G1954" t="s">
        <v>74</v>
      </c>
      <c r="H1954" t="s">
        <v>14</v>
      </c>
    </row>
    <row r="1955" spans="1:8" hidden="1" x14ac:dyDescent="0.25">
      <c r="A1955" t="s">
        <v>2875</v>
      </c>
      <c r="B1955" s="1" t="str">
        <f>HYPERLINK("https://asmlis.vasa.lt/Dashboard/Served?ServiceDateFrom=2025-11-24&amp;ServiceDateTo=2025-11-24&amp;DumpsterInvNr=13-L-416612", "13-L-416612")</f>
        <v>13-L-416612</v>
      </c>
      <c r="C1955">
        <v>0.24</v>
      </c>
      <c r="D1955" t="s">
        <v>2876</v>
      </c>
      <c r="E1955" t="s">
        <v>11</v>
      </c>
      <c r="G1955" t="s">
        <v>74</v>
      </c>
      <c r="H1955" t="s">
        <v>14</v>
      </c>
    </row>
    <row r="1956" spans="1:8" hidden="1" x14ac:dyDescent="0.25">
      <c r="A1956" t="s">
        <v>2877</v>
      </c>
      <c r="B1956" s="1" t="str">
        <f>HYPERLINK("https://asmlis.vasa.lt/Dashboard/Served?ServiceDateFrom=2025-11-24&amp;ServiceDateTo=2025-11-24&amp;DumpsterInvNr=13-L-219696", "13-L-219696")</f>
        <v>13-L-219696</v>
      </c>
      <c r="C1956">
        <v>1.1000000000000001</v>
      </c>
      <c r="D1956" t="s">
        <v>2548</v>
      </c>
      <c r="E1956" t="s">
        <v>11</v>
      </c>
      <c r="F1956" t="s">
        <v>13</v>
      </c>
      <c r="G1956" t="s">
        <v>936</v>
      </c>
      <c r="H1956" t="s">
        <v>938</v>
      </c>
    </row>
    <row r="1957" spans="1:8" hidden="1" x14ac:dyDescent="0.25">
      <c r="A1957" t="s">
        <v>2877</v>
      </c>
      <c r="B1957" s="1" t="str">
        <f>HYPERLINK("https://asmlis.vasa.lt/Dashboard/Served?ServiceDateFrom=2025-11-24&amp;ServiceDateTo=2025-11-24&amp;DumpsterInvNr=13-L-221569", "13-L-221569")</f>
        <v>13-L-221569</v>
      </c>
      <c r="C1957">
        <v>1.1000000000000001</v>
      </c>
      <c r="D1957" t="s">
        <v>1906</v>
      </c>
      <c r="E1957" t="s">
        <v>11</v>
      </c>
      <c r="G1957" t="s">
        <v>936</v>
      </c>
      <c r="H1957" t="s">
        <v>938</v>
      </c>
    </row>
    <row r="1958" spans="1:8" hidden="1" x14ac:dyDescent="0.25">
      <c r="A1958" t="s">
        <v>2878</v>
      </c>
      <c r="B1958" s="1" t="str">
        <f>HYPERLINK("https://asmlis.vasa.lt/Dashboard/Served?ServiceDateFrom=2025-11-24&amp;ServiceDateTo=2025-11-24&amp;DumpsterInvNr=13-L-105290", "13-L-105290")</f>
        <v>13-L-105290</v>
      </c>
      <c r="C1958">
        <v>1.1000000000000001</v>
      </c>
      <c r="D1958" t="s">
        <v>2868</v>
      </c>
      <c r="E1958" t="s">
        <v>11</v>
      </c>
      <c r="G1958" t="s">
        <v>430</v>
      </c>
      <c r="H1958" t="s">
        <v>432</v>
      </c>
    </row>
    <row r="1959" spans="1:8" hidden="1" x14ac:dyDescent="0.25">
      <c r="A1959" t="s">
        <v>2878</v>
      </c>
      <c r="B1959" s="1" t="str">
        <f>HYPERLINK("https://asmlis.vasa.lt/Dashboard/Served?ServiceDateFrom=2025-11-24&amp;ServiceDateTo=2025-11-24&amp;DumpsterInvNr=13-L-215877", "13-L-215877")</f>
        <v>13-L-215877</v>
      </c>
      <c r="C1959">
        <v>1.1000000000000001</v>
      </c>
      <c r="D1959" t="s">
        <v>1906</v>
      </c>
      <c r="E1959" t="s">
        <v>11</v>
      </c>
      <c r="F1959" t="s">
        <v>13</v>
      </c>
      <c r="G1959" t="s">
        <v>936</v>
      </c>
      <c r="H1959" t="s">
        <v>938</v>
      </c>
    </row>
    <row r="1960" spans="1:8" hidden="1" x14ac:dyDescent="0.25">
      <c r="A1960" t="s">
        <v>2879</v>
      </c>
      <c r="B1960" s="1" t="str">
        <f>HYPERLINK("https://asmlis.vasa.lt/Dashboard/Served?ServiceDateFrom=2025-11-24&amp;ServiceDateTo=2025-11-24&amp;DumpsterInvNr=13-L-225913", "13-L-225913")</f>
        <v>13-L-225913</v>
      </c>
      <c r="C1960">
        <v>1.1000000000000001</v>
      </c>
      <c r="D1960" t="s">
        <v>2880</v>
      </c>
      <c r="E1960" t="s">
        <v>11</v>
      </c>
      <c r="F1960" t="s">
        <v>13</v>
      </c>
      <c r="G1960" t="s">
        <v>936</v>
      </c>
      <c r="H1960" t="s">
        <v>938</v>
      </c>
    </row>
    <row r="1961" spans="1:8" hidden="1" x14ac:dyDescent="0.25">
      <c r="A1961" t="s">
        <v>2881</v>
      </c>
      <c r="B1961" s="1" t="str">
        <f>HYPERLINK("https://asmlis.vasa.lt/Dashboard/Served?ServiceDateFrom=2025-11-24&amp;ServiceDateTo=2025-11-24&amp;DumpsterInvNr=13-L-134237", "13-L-134237")</f>
        <v>13-L-134237</v>
      </c>
      <c r="C1961">
        <v>5</v>
      </c>
      <c r="D1961" t="s">
        <v>2882</v>
      </c>
      <c r="E1961" t="s">
        <v>11</v>
      </c>
      <c r="F1961" t="s">
        <v>13</v>
      </c>
      <c r="G1961" t="s">
        <v>1912</v>
      </c>
      <c r="H1961" t="s">
        <v>432</v>
      </c>
    </row>
    <row r="1962" spans="1:8" hidden="1" x14ac:dyDescent="0.25">
      <c r="A1962" t="s">
        <v>2881</v>
      </c>
      <c r="B1962" s="1" t="str">
        <f>HYPERLINK("https://asmlis.vasa.lt/Dashboard/Served?ServiceDateFrom=2025-11-24&amp;ServiceDateTo=2025-11-24&amp;DumpsterInvNr=13-P-415593", "13-P-415593")</f>
        <v>13-P-415593</v>
      </c>
      <c r="C1962">
        <v>0.24</v>
      </c>
      <c r="D1962" t="s">
        <v>2883</v>
      </c>
      <c r="E1962" t="s">
        <v>11</v>
      </c>
      <c r="G1962" t="s">
        <v>264</v>
      </c>
      <c r="H1962" t="s">
        <v>14</v>
      </c>
    </row>
    <row r="1963" spans="1:8" hidden="1" x14ac:dyDescent="0.25">
      <c r="A1963" t="s">
        <v>2884</v>
      </c>
      <c r="B1963" s="1" t="str">
        <f>HYPERLINK("https://asmlis.vasa.lt/Dashboard/Served?ServiceDateFrom=2025-11-24&amp;ServiceDateTo=2025-11-24&amp;DumpsterInvNr=13-L-317004", "13-L-317004")</f>
        <v>13-L-317004</v>
      </c>
      <c r="C1963">
        <v>5</v>
      </c>
      <c r="D1963" t="s">
        <v>567</v>
      </c>
      <c r="E1963" t="s">
        <v>11</v>
      </c>
      <c r="F1963" t="s">
        <v>13</v>
      </c>
      <c r="G1963" t="s">
        <v>9</v>
      </c>
      <c r="H1963" t="s">
        <v>14</v>
      </c>
    </row>
    <row r="1964" spans="1:8" hidden="1" x14ac:dyDescent="0.25">
      <c r="A1964" t="s">
        <v>2885</v>
      </c>
      <c r="B1964" s="1" t="str">
        <f>HYPERLINK("https://asmlis.vasa.lt/Dashboard/Served?ServiceDateFrom=2025-11-24&amp;ServiceDateTo=2025-11-24&amp;DumpsterInvNr=13-P-300852", "13-P-300852")</f>
        <v>13-P-300852</v>
      </c>
      <c r="C1964">
        <v>1.1000000000000001</v>
      </c>
      <c r="D1964" t="s">
        <v>2886</v>
      </c>
      <c r="E1964" t="s">
        <v>11</v>
      </c>
      <c r="G1964" t="s">
        <v>412</v>
      </c>
      <c r="H1964" t="s">
        <v>14</v>
      </c>
    </row>
    <row r="1965" spans="1:8" hidden="1" x14ac:dyDescent="0.25">
      <c r="A1965" t="s">
        <v>2887</v>
      </c>
      <c r="B1965" s="1" t="str">
        <f>HYPERLINK("https://asmlis.vasa.lt/Dashboard/Served?ServiceDateFrom=2025-11-24&amp;ServiceDateTo=2025-11-24&amp;DumpsterInvNr=13-P-204950", "13-P-204950")</f>
        <v>13-P-204950</v>
      </c>
      <c r="C1965">
        <v>0.24</v>
      </c>
      <c r="D1965" t="s">
        <v>2888</v>
      </c>
      <c r="E1965" t="s">
        <v>11</v>
      </c>
      <c r="G1965" t="s">
        <v>234</v>
      </c>
      <c r="H1965" t="s">
        <v>14</v>
      </c>
    </row>
    <row r="1966" spans="1:8" hidden="1" x14ac:dyDescent="0.25">
      <c r="A1966" t="s">
        <v>2889</v>
      </c>
      <c r="B1966" s="1" t="str">
        <f>HYPERLINK("https://asmlis.vasa.lt/Dashboard/Served?ServiceDateFrom=2025-11-24&amp;ServiceDateTo=2025-11-24&amp;DumpsterInvNr=13-L-424387", "13-L-424387")</f>
        <v>13-L-424387</v>
      </c>
      <c r="C1966">
        <v>1.1000000000000001</v>
      </c>
      <c r="D1966" t="s">
        <v>2669</v>
      </c>
      <c r="E1966" t="s">
        <v>11</v>
      </c>
      <c r="F1966" t="s">
        <v>13</v>
      </c>
      <c r="G1966" t="s">
        <v>74</v>
      </c>
      <c r="H1966" t="s">
        <v>14</v>
      </c>
    </row>
    <row r="1967" spans="1:8" hidden="1" x14ac:dyDescent="0.25">
      <c r="A1967" t="s">
        <v>2890</v>
      </c>
      <c r="B1967" s="1" t="str">
        <f>HYPERLINK("https://asmlis.vasa.lt/Dashboard/Served?ServiceDateFrom=2025-11-24&amp;ServiceDateTo=2025-11-24&amp;DumpsterInvNr=13-S-404762", "13-S-404762")</f>
        <v>13-S-404762</v>
      </c>
      <c r="C1967">
        <v>0.12</v>
      </c>
      <c r="D1967" t="s">
        <v>2891</v>
      </c>
      <c r="E1967" t="s">
        <v>11</v>
      </c>
      <c r="G1967" t="s">
        <v>264</v>
      </c>
      <c r="H1967" t="s">
        <v>14</v>
      </c>
    </row>
    <row r="1968" spans="1:8" hidden="1" x14ac:dyDescent="0.25">
      <c r="A1968" t="s">
        <v>2890</v>
      </c>
      <c r="B1968" s="1" t="str">
        <f>HYPERLINK("https://asmlis.vasa.lt/Dashboard/Served?ServiceDateFrom=2025-11-24&amp;ServiceDateTo=2025-11-24&amp;DumpsterInvNr=13-P-413362", "13-P-413362")</f>
        <v>13-P-413362</v>
      </c>
      <c r="C1968">
        <v>0.24</v>
      </c>
      <c r="D1968" t="s">
        <v>2891</v>
      </c>
      <c r="E1968" t="s">
        <v>11</v>
      </c>
      <c r="G1968" t="s">
        <v>264</v>
      </c>
      <c r="H1968" t="s">
        <v>14</v>
      </c>
    </row>
    <row r="1969" spans="1:8" hidden="1" x14ac:dyDescent="0.25">
      <c r="A1969" t="s">
        <v>2892</v>
      </c>
      <c r="B1969" s="1" t="str">
        <f>HYPERLINK("https://asmlis.vasa.lt/Dashboard/Served?ServiceDateFrom=2025-11-24&amp;ServiceDateTo=2025-11-24&amp;DumpsterInvNr=13-L-105327", "13-L-105327")</f>
        <v>13-L-105327</v>
      </c>
      <c r="C1969">
        <v>5</v>
      </c>
      <c r="D1969" t="s">
        <v>2893</v>
      </c>
      <c r="E1969" t="s">
        <v>11</v>
      </c>
      <c r="F1969" t="s">
        <v>13</v>
      </c>
      <c r="G1969" t="s">
        <v>430</v>
      </c>
      <c r="H1969" t="s">
        <v>432</v>
      </c>
    </row>
    <row r="1970" spans="1:8" hidden="1" x14ac:dyDescent="0.25">
      <c r="A1970" t="s">
        <v>2892</v>
      </c>
      <c r="B1970" s="1" t="str">
        <f>HYPERLINK("https://asmlis.vasa.lt/Dashboard/Served?ServiceDateFrom=2025-11-24&amp;ServiceDateTo=2025-11-24&amp;DumpsterInvNr=13-L-421059", "13-L-421059")</f>
        <v>13-L-421059</v>
      </c>
      <c r="C1970">
        <v>1.1000000000000001</v>
      </c>
      <c r="D1970" t="s">
        <v>2669</v>
      </c>
      <c r="E1970" t="s">
        <v>11</v>
      </c>
      <c r="F1970" t="s">
        <v>13</v>
      </c>
      <c r="G1970" t="s">
        <v>74</v>
      </c>
      <c r="H1970" t="s">
        <v>14</v>
      </c>
    </row>
    <row r="1971" spans="1:8" hidden="1" x14ac:dyDescent="0.25">
      <c r="A1971" t="s">
        <v>2895</v>
      </c>
      <c r="B1971" s="1" t="str">
        <f>HYPERLINK("https://asmlis.vasa.lt/Dashboard/Served?ServiceDateFrom=2025-11-24&amp;ServiceDateTo=2025-11-24&amp;DumpsterInvNr=13-T-000081", "13-T-000081")</f>
        <v>13-T-000081</v>
      </c>
      <c r="C1971">
        <v>2.5</v>
      </c>
      <c r="D1971" t="s">
        <v>2896</v>
      </c>
      <c r="E1971" t="s">
        <v>11</v>
      </c>
      <c r="F1971" t="s">
        <v>13</v>
      </c>
      <c r="G1971" t="s">
        <v>1899</v>
      </c>
      <c r="H1971" t="s">
        <v>432</v>
      </c>
    </row>
    <row r="1972" spans="1:8" hidden="1" x14ac:dyDescent="0.25">
      <c r="A1972" t="s">
        <v>2897</v>
      </c>
      <c r="B1972" s="1" t="str">
        <f>HYPERLINK("https://asmlis.vasa.lt/Dashboard/Served?ServiceDateFrom=2025-11-24&amp;ServiceDateTo=2025-11-24&amp;DumpsterInvNr=13-P-300282", "13-P-300282")</f>
        <v>13-P-300282</v>
      </c>
      <c r="C1972">
        <v>1.1000000000000001</v>
      </c>
      <c r="D1972" t="s">
        <v>2886</v>
      </c>
      <c r="E1972" t="s">
        <v>11</v>
      </c>
      <c r="G1972" t="s">
        <v>412</v>
      </c>
      <c r="H1972" t="s">
        <v>14</v>
      </c>
    </row>
    <row r="1973" spans="1:8" hidden="1" x14ac:dyDescent="0.25">
      <c r="A1973" t="s">
        <v>2898</v>
      </c>
      <c r="B1973" s="1" t="str">
        <f>HYPERLINK("https://asmlis.vasa.lt/Dashboard/Served?ServiceDateFrom=2025-11-24&amp;ServiceDateTo=2025-11-24&amp;DumpsterInvNr=13-T-000153", "13-T-000153")</f>
        <v>13-T-000153</v>
      </c>
      <c r="C1973">
        <v>2.5</v>
      </c>
      <c r="D1973" t="s">
        <v>2896</v>
      </c>
      <c r="E1973" t="s">
        <v>11</v>
      </c>
      <c r="F1973" t="s">
        <v>13</v>
      </c>
      <c r="G1973" t="s">
        <v>1899</v>
      </c>
      <c r="H1973" t="s">
        <v>432</v>
      </c>
    </row>
    <row r="1974" spans="1:8" hidden="1" x14ac:dyDescent="0.25">
      <c r="A1974" t="s">
        <v>2899</v>
      </c>
      <c r="B1974" s="1" t="str">
        <f>HYPERLINK("https://asmlis.vasa.lt/Dashboard/Served?ServiceDateFrom=2025-11-24&amp;ServiceDateTo=2025-11-24&amp;DumpsterInvNr=13-P-412285", "13-P-412285")</f>
        <v>13-P-412285</v>
      </c>
      <c r="C1974">
        <v>0.24</v>
      </c>
      <c r="D1974" t="s">
        <v>2900</v>
      </c>
      <c r="E1974" t="s">
        <v>11</v>
      </c>
      <c r="G1974" t="s">
        <v>264</v>
      </c>
      <c r="H1974" t="s">
        <v>14</v>
      </c>
    </row>
    <row r="1975" spans="1:8" hidden="1" x14ac:dyDescent="0.25">
      <c r="A1975" t="s">
        <v>2901</v>
      </c>
      <c r="B1975" s="1" t="str">
        <f>HYPERLINK("https://asmlis.vasa.lt/Dashboard/Served?ServiceDateFrom=2025-11-24&amp;ServiceDateTo=2025-11-24&amp;DumpsterInvNr=13-L-208120", "13-L-208120")</f>
        <v>13-L-208120</v>
      </c>
      <c r="C1975">
        <v>0.77</v>
      </c>
      <c r="D1975" t="s">
        <v>1906</v>
      </c>
      <c r="E1975" t="s">
        <v>11</v>
      </c>
      <c r="G1975" t="s">
        <v>936</v>
      </c>
      <c r="H1975" t="s">
        <v>938</v>
      </c>
    </row>
    <row r="1976" spans="1:8" hidden="1" x14ac:dyDescent="0.25">
      <c r="A1976" t="s">
        <v>2901</v>
      </c>
      <c r="B1976" s="1" t="str">
        <f>HYPERLINK("https://asmlis.vasa.lt/Dashboard/Served?ServiceDateFrom=2025-11-24&amp;ServiceDateTo=2025-11-24&amp;DumpsterInvNr=13-P-207736", "13-P-207736")</f>
        <v>13-P-207736</v>
      </c>
      <c r="C1976">
        <v>5</v>
      </c>
      <c r="D1976" t="s">
        <v>2902</v>
      </c>
      <c r="E1976" t="s">
        <v>11</v>
      </c>
      <c r="G1976" t="s">
        <v>234</v>
      </c>
      <c r="H1976" t="s">
        <v>14</v>
      </c>
    </row>
    <row r="1977" spans="1:8" hidden="1" x14ac:dyDescent="0.25">
      <c r="A1977" t="s">
        <v>2903</v>
      </c>
      <c r="B1977" s="1" t="str">
        <f>HYPERLINK("https://asmlis.vasa.lt/Dashboard/Served?ServiceDateFrom=2025-11-24&amp;ServiceDateTo=2025-11-24&amp;DumpsterInvNr=13-P-400637", "13-P-400637")</f>
        <v>13-P-400637</v>
      </c>
      <c r="C1977">
        <v>5</v>
      </c>
      <c r="D1977" t="s">
        <v>2904</v>
      </c>
      <c r="E1977" t="s">
        <v>11</v>
      </c>
      <c r="G1977" t="s">
        <v>264</v>
      </c>
      <c r="H1977" t="s">
        <v>14</v>
      </c>
    </row>
    <row r="1978" spans="1:8" hidden="1" x14ac:dyDescent="0.25">
      <c r="A1978" t="s">
        <v>2830</v>
      </c>
      <c r="B1978" s="1" t="str">
        <f>HYPERLINK("https://asmlis.vasa.lt/Dashboard/Served?ServiceDateFrom=2025-11-24&amp;ServiceDateTo=2025-11-24&amp;DumpsterInvNr=13-P-302452", "13-P-302452")</f>
        <v>13-P-302452</v>
      </c>
      <c r="C1978">
        <v>2.5</v>
      </c>
      <c r="D1978" t="s">
        <v>2905</v>
      </c>
      <c r="E1978" t="s">
        <v>11</v>
      </c>
      <c r="F1978" t="s">
        <v>13</v>
      </c>
      <c r="G1978" t="s">
        <v>412</v>
      </c>
      <c r="H1978" t="s">
        <v>14</v>
      </c>
    </row>
    <row r="1979" spans="1:8" hidden="1" x14ac:dyDescent="0.25">
      <c r="A1979" t="s">
        <v>2906</v>
      </c>
      <c r="B1979" s="1" t="str">
        <f>HYPERLINK("https://asmlis.vasa.lt/Dashboard/Served?ServiceDateFrom=2025-11-24&amp;ServiceDateTo=2025-11-24&amp;DumpsterInvNr=13-L-139239", "13-L-139239")</f>
        <v>13-L-139239</v>
      </c>
      <c r="C1979">
        <v>5</v>
      </c>
      <c r="D1979" t="s">
        <v>2907</v>
      </c>
      <c r="E1979" t="s">
        <v>11</v>
      </c>
      <c r="F1979" t="s">
        <v>13</v>
      </c>
      <c r="G1979" t="s">
        <v>430</v>
      </c>
      <c r="H1979" t="s">
        <v>432</v>
      </c>
    </row>
    <row r="1980" spans="1:8" hidden="1" x14ac:dyDescent="0.25">
      <c r="A1980" t="s">
        <v>2908</v>
      </c>
      <c r="B1980" s="1" t="str">
        <f>HYPERLINK("https://asmlis.vasa.lt/Dashboard/Served?ServiceDateFrom=2025-11-24&amp;ServiceDateTo=2025-11-24&amp;DumpsterInvNr=13-P-302306", "13-P-302306")</f>
        <v>13-P-302306</v>
      </c>
      <c r="C1980">
        <v>2.5</v>
      </c>
      <c r="D1980" t="s">
        <v>2905</v>
      </c>
      <c r="E1980" t="s">
        <v>11</v>
      </c>
      <c r="F1980" t="s">
        <v>13</v>
      </c>
      <c r="G1980" t="s">
        <v>412</v>
      </c>
      <c r="H1980" t="s">
        <v>14</v>
      </c>
    </row>
    <row r="1981" spans="1:8" hidden="1" x14ac:dyDescent="0.25">
      <c r="A1981" t="s">
        <v>2909</v>
      </c>
      <c r="B1981" s="1" t="str">
        <f>HYPERLINK("https://asmlis.vasa.lt/Dashboard/Served?ServiceDateFrom=2025-11-24&amp;ServiceDateTo=2025-11-24&amp;DumpsterInvNr=13-P-500553", "13-P-500553")</f>
        <v>13-P-500553</v>
      </c>
      <c r="C1981">
        <v>5</v>
      </c>
      <c r="D1981" t="s">
        <v>2910</v>
      </c>
      <c r="E1981" t="s">
        <v>11</v>
      </c>
      <c r="F1981" t="s">
        <v>13</v>
      </c>
      <c r="G1981" t="s">
        <v>2178</v>
      </c>
      <c r="H1981" t="s">
        <v>432</v>
      </c>
    </row>
    <row r="1982" spans="1:8" hidden="1" x14ac:dyDescent="0.25">
      <c r="A1982" t="s">
        <v>1950</v>
      </c>
      <c r="B1982" s="1" t="str">
        <f>HYPERLINK("https://asmlis.vasa.lt/Dashboard/Served?ServiceDateFrom=2025-11-24&amp;ServiceDateTo=2025-11-24&amp;DumpsterInvNr=13-S-404792", "13-S-404792")</f>
        <v>13-S-404792</v>
      </c>
      <c r="C1982">
        <v>0.12</v>
      </c>
      <c r="D1982" t="s">
        <v>2900</v>
      </c>
      <c r="E1982" t="s">
        <v>11</v>
      </c>
      <c r="F1982" t="s">
        <v>1209</v>
      </c>
      <c r="G1982" t="s">
        <v>264</v>
      </c>
      <c r="H1982" t="s">
        <v>14</v>
      </c>
    </row>
    <row r="1983" spans="1:8" hidden="1" x14ac:dyDescent="0.25">
      <c r="A1983" t="s">
        <v>2912</v>
      </c>
      <c r="B1983" s="1" t="str">
        <f>HYPERLINK("https://asmlis.vasa.lt/Dashboard/Served?ServiceDateFrom=2025-11-24&amp;ServiceDateTo=2025-11-24&amp;DumpsterInvNr=13-L-213484", "13-L-213484")</f>
        <v>13-L-213484</v>
      </c>
      <c r="C1983">
        <v>1.1000000000000001</v>
      </c>
      <c r="D1983" t="s">
        <v>2873</v>
      </c>
      <c r="E1983" t="s">
        <v>11</v>
      </c>
      <c r="G1983" t="s">
        <v>936</v>
      </c>
      <c r="H1983" t="s">
        <v>938</v>
      </c>
    </row>
    <row r="1984" spans="1:8" hidden="1" x14ac:dyDescent="0.25">
      <c r="A1984" t="s">
        <v>2913</v>
      </c>
      <c r="B1984" s="1" t="str">
        <f>HYPERLINK("https://asmlis.vasa.lt/Dashboard/Served?ServiceDateFrom=2025-11-24&amp;ServiceDateTo=2025-11-24&amp;DumpsterInvNr=13-P-300261", "13-P-300261")</f>
        <v>13-P-300261</v>
      </c>
      <c r="C1984">
        <v>1.1000000000000001</v>
      </c>
      <c r="D1984" t="s">
        <v>2886</v>
      </c>
      <c r="E1984" t="s">
        <v>11</v>
      </c>
      <c r="G1984" t="s">
        <v>412</v>
      </c>
      <c r="H1984" t="s">
        <v>14</v>
      </c>
    </row>
    <row r="1985" spans="1:8" hidden="1" x14ac:dyDescent="0.25">
      <c r="A1985" t="s">
        <v>2914</v>
      </c>
      <c r="B1985" s="1" t="str">
        <f>HYPERLINK("https://asmlis.vasa.lt/Dashboard/Served?ServiceDateFrom=2025-11-24&amp;ServiceDateTo=2025-11-24&amp;DumpsterInvNr=13-L-316403", "13-L-316403")</f>
        <v>13-L-316403</v>
      </c>
      <c r="C1985">
        <v>1.1000000000000001</v>
      </c>
      <c r="D1985" t="s">
        <v>2915</v>
      </c>
      <c r="E1985" t="s">
        <v>11</v>
      </c>
      <c r="G1985" t="s">
        <v>9</v>
      </c>
      <c r="H1985" t="s">
        <v>14</v>
      </c>
    </row>
    <row r="1986" spans="1:8" hidden="1" x14ac:dyDescent="0.25">
      <c r="A1986" t="s">
        <v>2916</v>
      </c>
      <c r="B1986" s="1" t="str">
        <f>HYPERLINK("https://asmlis.vasa.lt/Dashboard/Served?ServiceDateFrom=2025-11-24&amp;ServiceDateTo=2025-11-24&amp;DumpsterInvNr=13-P-500279", "13-P-500279")</f>
        <v>13-P-500279</v>
      </c>
      <c r="C1986">
        <v>5</v>
      </c>
      <c r="D1986" t="s">
        <v>2283</v>
      </c>
      <c r="E1986" t="s">
        <v>11</v>
      </c>
      <c r="F1986" t="s">
        <v>13</v>
      </c>
      <c r="G1986" t="s">
        <v>2178</v>
      </c>
      <c r="H1986" t="s">
        <v>432</v>
      </c>
    </row>
    <row r="1987" spans="1:8" hidden="1" x14ac:dyDescent="0.25">
      <c r="A1987" t="s">
        <v>2917</v>
      </c>
      <c r="B1987" s="1" t="str">
        <f>HYPERLINK("https://asmlis.vasa.lt/Dashboard/Served?ServiceDateFrom=2025-11-24&amp;ServiceDateTo=2025-11-24&amp;DumpsterInvNr=13-L-214428", "13-L-214428")</f>
        <v>13-L-214428</v>
      </c>
      <c r="C1987">
        <v>0.77</v>
      </c>
      <c r="D1987" t="s">
        <v>1908</v>
      </c>
      <c r="E1987" t="s">
        <v>11</v>
      </c>
      <c r="G1987" t="s">
        <v>936</v>
      </c>
      <c r="H1987" t="s">
        <v>938</v>
      </c>
    </row>
    <row r="1988" spans="1:8" hidden="1" x14ac:dyDescent="0.25">
      <c r="A1988" t="s">
        <v>2918</v>
      </c>
      <c r="B1988" s="1" t="str">
        <f>HYPERLINK("https://asmlis.vasa.lt/Dashboard/Served?ServiceDateFrom=2025-11-24&amp;ServiceDateTo=2025-11-24&amp;DumpsterInvNr=13-S-404799", "13-S-404799")</f>
        <v>13-S-404799</v>
      </c>
      <c r="C1988">
        <v>0.12</v>
      </c>
      <c r="D1988" t="s">
        <v>2919</v>
      </c>
      <c r="E1988" t="s">
        <v>11</v>
      </c>
      <c r="F1988" t="s">
        <v>1209</v>
      </c>
      <c r="G1988" t="s">
        <v>264</v>
      </c>
      <c r="H1988" t="s">
        <v>14</v>
      </c>
    </row>
    <row r="1989" spans="1:8" hidden="1" x14ac:dyDescent="0.25">
      <c r="A1989" t="s">
        <v>2918</v>
      </c>
      <c r="B1989" s="1" t="str">
        <f>HYPERLINK("https://asmlis.vasa.lt/Dashboard/Served?ServiceDateFrom=2025-11-24&amp;ServiceDateTo=2025-11-24&amp;DumpsterInvNr=13-P-413110", "13-P-413110")</f>
        <v>13-P-413110</v>
      </c>
      <c r="C1989">
        <v>0.24</v>
      </c>
      <c r="D1989" t="s">
        <v>2919</v>
      </c>
      <c r="E1989" t="s">
        <v>11</v>
      </c>
      <c r="F1989" t="s">
        <v>1209</v>
      </c>
      <c r="G1989" t="s">
        <v>264</v>
      </c>
      <c r="H1989" t="s">
        <v>14</v>
      </c>
    </row>
    <row r="1990" spans="1:8" hidden="1" x14ac:dyDescent="0.25">
      <c r="A1990" t="s">
        <v>2920</v>
      </c>
      <c r="B1990" s="1" t="str">
        <f>HYPERLINK("https://asmlis.vasa.lt/Dashboard/Served?ServiceDateFrom=2025-11-24&amp;ServiceDateTo=2025-11-24&amp;DumpsterInvNr=13-L-213472", "13-L-213472")</f>
        <v>13-L-213472</v>
      </c>
      <c r="C1990">
        <v>0.77</v>
      </c>
      <c r="D1990" t="s">
        <v>2873</v>
      </c>
      <c r="E1990" t="s">
        <v>11</v>
      </c>
      <c r="G1990" t="s">
        <v>936</v>
      </c>
      <c r="H1990" t="s">
        <v>938</v>
      </c>
    </row>
    <row r="1991" spans="1:8" hidden="1" x14ac:dyDescent="0.25">
      <c r="A1991" t="s">
        <v>2920</v>
      </c>
      <c r="B1991" s="1" t="str">
        <f>HYPERLINK("https://asmlis.vasa.lt/Dashboard/Served?ServiceDateFrom=2025-11-24&amp;ServiceDateTo=2025-11-24&amp;DumpsterInvNr=13-P-300218", "13-P-300218")</f>
        <v>13-P-300218</v>
      </c>
      <c r="C1991">
        <v>1.1000000000000001</v>
      </c>
      <c r="D1991" t="s">
        <v>2886</v>
      </c>
      <c r="E1991" t="s">
        <v>11</v>
      </c>
      <c r="F1991" t="s">
        <v>13</v>
      </c>
      <c r="G1991" t="s">
        <v>412</v>
      </c>
      <c r="H1991" t="s">
        <v>14</v>
      </c>
    </row>
    <row r="1992" spans="1:8" hidden="1" x14ac:dyDescent="0.25">
      <c r="A1992" t="s">
        <v>2921</v>
      </c>
      <c r="B1992" s="1" t="str">
        <f>HYPERLINK("https://asmlis.vasa.lt/Dashboard/Served?ServiceDateFrom=2025-11-24&amp;ServiceDateTo=2025-11-24&amp;DumpsterInvNr=13-L-220658", "13-L-220658")</f>
        <v>13-L-220658</v>
      </c>
      <c r="C1992">
        <v>0.77</v>
      </c>
      <c r="D1992" t="s">
        <v>2873</v>
      </c>
      <c r="E1992" t="s">
        <v>11</v>
      </c>
      <c r="F1992" t="s">
        <v>13</v>
      </c>
      <c r="G1992" t="s">
        <v>936</v>
      </c>
      <c r="H1992" t="s">
        <v>938</v>
      </c>
    </row>
    <row r="1993" spans="1:8" hidden="1" x14ac:dyDescent="0.25">
      <c r="A1993" t="s">
        <v>2922</v>
      </c>
      <c r="B1993" s="1" t="str">
        <f>HYPERLINK("https://asmlis.vasa.lt/Dashboard/Served?ServiceDateFrom=2025-11-24&amp;ServiceDateTo=2025-11-24&amp;DumpsterInvNr=13-L-422568", "13-L-422568")</f>
        <v>13-L-422568</v>
      </c>
      <c r="C1993">
        <v>1.1000000000000001</v>
      </c>
      <c r="D1993" t="s">
        <v>1127</v>
      </c>
      <c r="E1993" t="s">
        <v>11</v>
      </c>
      <c r="G1993" t="s">
        <v>74</v>
      </c>
      <c r="H1993" t="s">
        <v>14</v>
      </c>
    </row>
    <row r="1994" spans="1:8" hidden="1" x14ac:dyDescent="0.25">
      <c r="A1994" t="s">
        <v>2923</v>
      </c>
      <c r="B1994" s="1" t="str">
        <f>HYPERLINK("https://asmlis.vasa.lt/Dashboard/Served?ServiceDateFrom=2025-11-24&amp;ServiceDateTo=2025-11-24&amp;DumpsterInvNr=13-L-424429", "13-L-424429")</f>
        <v>13-L-424429</v>
      </c>
      <c r="C1994">
        <v>5</v>
      </c>
      <c r="D1994" t="s">
        <v>2472</v>
      </c>
      <c r="E1994" t="s">
        <v>11</v>
      </c>
      <c r="F1994" t="s">
        <v>13</v>
      </c>
      <c r="G1994" t="s">
        <v>74</v>
      </c>
      <c r="H1994" t="s">
        <v>14</v>
      </c>
    </row>
    <row r="1995" spans="1:8" hidden="1" x14ac:dyDescent="0.25">
      <c r="A1995" t="s">
        <v>2924</v>
      </c>
      <c r="B1995" s="1" t="str">
        <f>HYPERLINK("https://asmlis.vasa.lt/Dashboard/Served?ServiceDateFrom=2025-11-24&amp;ServiceDateTo=2025-11-24&amp;DumpsterInvNr=13-L-225809", "13-L-225809")</f>
        <v>13-L-225809</v>
      </c>
      <c r="C1995">
        <v>1.1000000000000001</v>
      </c>
      <c r="D1995" t="s">
        <v>2925</v>
      </c>
      <c r="E1995" t="s">
        <v>11</v>
      </c>
      <c r="F1995" t="s">
        <v>13</v>
      </c>
      <c r="G1995" t="s">
        <v>936</v>
      </c>
      <c r="H1995" t="s">
        <v>938</v>
      </c>
    </row>
    <row r="1996" spans="1:8" hidden="1" x14ac:dyDescent="0.25">
      <c r="A1996" t="s">
        <v>2926</v>
      </c>
      <c r="B1996" s="1" t="str">
        <f>HYPERLINK("https://asmlis.vasa.lt/Dashboard/Served?ServiceDateFrom=2025-11-24&amp;ServiceDateTo=2025-11-24&amp;DumpsterInvNr=13-L-106081", "13-L-106081")</f>
        <v>13-L-106081</v>
      </c>
      <c r="C1996">
        <v>0.12</v>
      </c>
      <c r="D1996" t="s">
        <v>2927</v>
      </c>
      <c r="E1996" t="s">
        <v>11</v>
      </c>
      <c r="G1996" t="s">
        <v>1912</v>
      </c>
      <c r="H1996" t="s">
        <v>432</v>
      </c>
    </row>
    <row r="1997" spans="1:8" hidden="1" x14ac:dyDescent="0.25">
      <c r="A1997" t="s">
        <v>2928</v>
      </c>
      <c r="B1997" s="1" t="str">
        <f>HYPERLINK("https://asmlis.vasa.lt/Dashboard/Served?ServiceDateFrom=2025-11-24&amp;ServiceDateTo=2025-11-24&amp;DumpsterInvNr=13-L-222223", "13-L-222223")</f>
        <v>13-L-222223</v>
      </c>
      <c r="C1997">
        <v>1.1000000000000001</v>
      </c>
      <c r="D1997" t="s">
        <v>2925</v>
      </c>
      <c r="E1997" t="s">
        <v>11</v>
      </c>
      <c r="F1997" t="s">
        <v>13</v>
      </c>
      <c r="G1997" t="s">
        <v>936</v>
      </c>
      <c r="H1997" t="s">
        <v>938</v>
      </c>
    </row>
    <row r="1998" spans="1:8" hidden="1" x14ac:dyDescent="0.25">
      <c r="A1998" t="s">
        <v>2928</v>
      </c>
      <c r="B1998" s="1" t="str">
        <f>HYPERLINK("https://asmlis.vasa.lt/Dashboard/Served?ServiceDateFrom=2025-11-24&amp;ServiceDateTo=2025-11-24&amp;DumpsterInvNr=13-L-424439", "13-L-424439")</f>
        <v>13-L-424439</v>
      </c>
      <c r="C1998">
        <v>5</v>
      </c>
      <c r="D1998" t="s">
        <v>2472</v>
      </c>
      <c r="E1998" t="s">
        <v>11</v>
      </c>
      <c r="F1998" t="s">
        <v>13</v>
      </c>
      <c r="G1998" t="s">
        <v>74</v>
      </c>
      <c r="H1998" t="s">
        <v>14</v>
      </c>
    </row>
    <row r="1999" spans="1:8" hidden="1" x14ac:dyDescent="0.25">
      <c r="A1999" t="s">
        <v>2928</v>
      </c>
      <c r="B1999" s="1" t="str">
        <f>HYPERLINK("https://asmlis.vasa.lt/Dashboard/Served?ServiceDateFrom=2025-11-24&amp;ServiceDateTo=2025-11-24&amp;DumpsterInvNr=13-P-416954", "13-P-416954")</f>
        <v>13-P-416954</v>
      </c>
      <c r="C1999">
        <v>0.24</v>
      </c>
      <c r="D1999" t="s">
        <v>2929</v>
      </c>
      <c r="E1999" t="s">
        <v>11</v>
      </c>
      <c r="G1999" t="s">
        <v>264</v>
      </c>
      <c r="H1999" t="s">
        <v>14</v>
      </c>
    </row>
    <row r="2000" spans="1:8" hidden="1" x14ac:dyDescent="0.25">
      <c r="A2000" t="s">
        <v>2930</v>
      </c>
      <c r="B2000" s="1" t="str">
        <f>HYPERLINK("https://asmlis.vasa.lt/Dashboard/Served?ServiceDateFrom=2025-11-24&amp;ServiceDateTo=2025-11-24&amp;DumpsterInvNr=13-L-115205", "13-L-115205")</f>
        <v>13-L-115205</v>
      </c>
      <c r="C2000">
        <v>0.24</v>
      </c>
      <c r="D2000" t="s">
        <v>2931</v>
      </c>
      <c r="E2000" t="s">
        <v>11</v>
      </c>
      <c r="G2000" t="s">
        <v>430</v>
      </c>
      <c r="H2000" t="s">
        <v>432</v>
      </c>
    </row>
    <row r="2001" spans="1:8" hidden="1" x14ac:dyDescent="0.25">
      <c r="A2001" t="s">
        <v>2930</v>
      </c>
      <c r="B2001" s="1" t="str">
        <f>HYPERLINK("https://asmlis.vasa.lt/Dashboard/Served?ServiceDateFrom=2025-11-24&amp;ServiceDateTo=2025-11-24&amp;DumpsterInvNr=13-P-502000", "13-P-502000")</f>
        <v>13-P-502000</v>
      </c>
      <c r="C2001">
        <v>0.24</v>
      </c>
      <c r="D2001" t="s">
        <v>2931</v>
      </c>
      <c r="E2001" t="s">
        <v>11</v>
      </c>
      <c r="G2001" t="s">
        <v>2178</v>
      </c>
      <c r="H2001" t="s">
        <v>432</v>
      </c>
    </row>
    <row r="2002" spans="1:8" hidden="1" x14ac:dyDescent="0.25">
      <c r="A2002" t="s">
        <v>2933</v>
      </c>
      <c r="B2002" s="1" t="str">
        <f>HYPERLINK("https://asmlis.vasa.lt/Dashboard/Served?ServiceDateFrom=2025-11-24&amp;ServiceDateTo=2025-11-24&amp;DumpsterInvNr=13-L-223356", "13-L-223356")</f>
        <v>13-L-223356</v>
      </c>
      <c r="C2002">
        <v>1.1000000000000001</v>
      </c>
      <c r="D2002" t="s">
        <v>2925</v>
      </c>
      <c r="E2002" t="s">
        <v>11</v>
      </c>
      <c r="F2002" t="s">
        <v>13</v>
      </c>
      <c r="G2002" t="s">
        <v>936</v>
      </c>
      <c r="H2002" t="s">
        <v>938</v>
      </c>
    </row>
    <row r="2003" spans="1:8" hidden="1" x14ac:dyDescent="0.25">
      <c r="A2003" t="s">
        <v>2934</v>
      </c>
      <c r="B2003" s="1" t="str">
        <f>HYPERLINK("https://asmlis.vasa.lt/Dashboard/Served?ServiceDateFrom=2025-11-24&amp;ServiceDateTo=2025-11-24&amp;DumpsterInvNr=13-L-318005", "13-L-318005")</f>
        <v>13-L-318005</v>
      </c>
      <c r="C2003">
        <v>1.1000000000000001</v>
      </c>
      <c r="D2003" t="s">
        <v>2935</v>
      </c>
      <c r="E2003" t="s">
        <v>11</v>
      </c>
      <c r="G2003" t="s">
        <v>9</v>
      </c>
      <c r="H2003" t="s">
        <v>14</v>
      </c>
    </row>
    <row r="2004" spans="1:8" hidden="1" x14ac:dyDescent="0.25">
      <c r="A2004" t="s">
        <v>2936</v>
      </c>
      <c r="B2004" s="1" t="str">
        <f>HYPERLINK("https://asmlis.vasa.lt/Dashboard/Served?ServiceDateFrom=2025-11-24&amp;ServiceDateTo=2025-11-24&amp;DumpsterInvNr=13-L-225808", "13-L-225808")</f>
        <v>13-L-225808</v>
      </c>
      <c r="C2004">
        <v>1.1000000000000001</v>
      </c>
      <c r="D2004" t="s">
        <v>2925</v>
      </c>
      <c r="E2004" t="s">
        <v>11</v>
      </c>
      <c r="F2004" t="s">
        <v>13</v>
      </c>
      <c r="G2004" t="s">
        <v>936</v>
      </c>
      <c r="H2004" t="s">
        <v>938</v>
      </c>
    </row>
    <row r="2005" spans="1:8" hidden="1" x14ac:dyDescent="0.25">
      <c r="A2005" t="s">
        <v>2937</v>
      </c>
      <c r="B2005" s="1" t="str">
        <f>HYPERLINK("https://asmlis.vasa.lt/Dashboard/Served?ServiceDateFrom=2025-11-24&amp;ServiceDateTo=2025-11-24&amp;DumpsterInvNr=13-L-216785", "13-L-216785")</f>
        <v>13-L-216785</v>
      </c>
      <c r="C2005">
        <v>1.1000000000000001</v>
      </c>
      <c r="D2005" t="s">
        <v>2925</v>
      </c>
      <c r="E2005" t="s">
        <v>11</v>
      </c>
      <c r="F2005" t="s">
        <v>13</v>
      </c>
      <c r="G2005" t="s">
        <v>936</v>
      </c>
      <c r="H2005" t="s">
        <v>938</v>
      </c>
    </row>
    <row r="2006" spans="1:8" hidden="1" x14ac:dyDescent="0.25">
      <c r="A2006" t="s">
        <v>2938</v>
      </c>
      <c r="B2006" s="1" t="str">
        <f>HYPERLINK("https://asmlis.vasa.lt/Dashboard/Served?ServiceDateFrom=2025-11-24&amp;ServiceDateTo=2025-11-24&amp;DumpsterInvNr=13-S-500470", "13-S-500470")</f>
        <v>13-S-500470</v>
      </c>
      <c r="C2006">
        <v>0.12</v>
      </c>
      <c r="D2006" t="s">
        <v>2939</v>
      </c>
      <c r="E2006" t="s">
        <v>11</v>
      </c>
      <c r="G2006" t="s">
        <v>2178</v>
      </c>
      <c r="H2006" t="s">
        <v>432</v>
      </c>
    </row>
    <row r="2007" spans="1:8" hidden="1" x14ac:dyDescent="0.25">
      <c r="A2007" t="s">
        <v>2940</v>
      </c>
      <c r="B2007" s="1" t="str">
        <f>HYPERLINK("https://asmlis.vasa.lt/Dashboard/Served?ServiceDateFrom=2025-11-24&amp;ServiceDateTo=2025-11-24&amp;DumpsterInvNr=13-L-420404", "13-L-420404")</f>
        <v>13-L-420404</v>
      </c>
      <c r="C2007">
        <v>1.1000000000000001</v>
      </c>
      <c r="D2007" t="s">
        <v>1127</v>
      </c>
      <c r="E2007" t="s">
        <v>11</v>
      </c>
      <c r="F2007" t="s">
        <v>13</v>
      </c>
      <c r="G2007" t="s">
        <v>74</v>
      </c>
      <c r="H2007" t="s">
        <v>14</v>
      </c>
    </row>
    <row r="2008" spans="1:8" hidden="1" x14ac:dyDescent="0.25">
      <c r="A2008" t="s">
        <v>2941</v>
      </c>
      <c r="B2008" s="1" t="str">
        <f>HYPERLINK("https://asmlis.vasa.lt/Dashboard/Served?ServiceDateFrom=2025-11-24&amp;ServiceDateTo=2025-11-24&amp;DumpsterInvNr=13-P-413871", "13-P-413871")</f>
        <v>13-P-413871</v>
      </c>
      <c r="C2008">
        <v>5</v>
      </c>
      <c r="D2008" t="s">
        <v>626</v>
      </c>
      <c r="E2008" t="s">
        <v>11</v>
      </c>
      <c r="F2008" t="s">
        <v>13</v>
      </c>
      <c r="G2008" t="s">
        <v>264</v>
      </c>
      <c r="H2008" t="s">
        <v>14</v>
      </c>
    </row>
    <row r="2009" spans="1:8" hidden="1" x14ac:dyDescent="0.25">
      <c r="A2009" t="s">
        <v>2942</v>
      </c>
      <c r="B2009" s="1" t="str">
        <f>HYPERLINK("https://asmlis.vasa.lt/Dashboard/Served?ServiceDateFrom=2025-11-24&amp;ServiceDateTo=2025-11-24&amp;DumpsterInvNr=13-P-408979", "13-P-408979")</f>
        <v>13-P-408979</v>
      </c>
      <c r="C2009">
        <v>1.1000000000000001</v>
      </c>
      <c r="D2009" t="s">
        <v>2943</v>
      </c>
      <c r="E2009" t="s">
        <v>11</v>
      </c>
      <c r="G2009" t="s">
        <v>264</v>
      </c>
      <c r="H2009" t="s">
        <v>14</v>
      </c>
    </row>
    <row r="2010" spans="1:8" hidden="1" x14ac:dyDescent="0.25">
      <c r="A2010" t="s">
        <v>2944</v>
      </c>
      <c r="B2010" s="1" t="str">
        <f>HYPERLINK("https://asmlis.vasa.lt/Dashboard/Served?ServiceDateFrom=2025-11-24&amp;ServiceDateTo=2025-11-24&amp;DumpsterInvNr=13-P-402308", "13-P-402308")</f>
        <v>13-P-402308</v>
      </c>
      <c r="C2010">
        <v>2.5</v>
      </c>
      <c r="D2010" t="s">
        <v>1780</v>
      </c>
      <c r="E2010" t="s">
        <v>11</v>
      </c>
      <c r="F2010" t="s">
        <v>13</v>
      </c>
      <c r="G2010" t="s">
        <v>264</v>
      </c>
      <c r="H2010" t="s">
        <v>14</v>
      </c>
    </row>
    <row r="2011" spans="1:8" hidden="1" x14ac:dyDescent="0.25">
      <c r="A2011" t="s">
        <v>2945</v>
      </c>
      <c r="B2011" s="1" t="str">
        <f>HYPERLINK("https://asmlis.vasa.lt/Dashboard/Served?ServiceDateFrom=2025-11-24&amp;ServiceDateTo=2025-11-24&amp;DumpsterInvNr=13-L-424771", "13-L-424771")</f>
        <v>13-L-424771</v>
      </c>
      <c r="C2011">
        <v>1.1000000000000001</v>
      </c>
      <c r="D2011" t="s">
        <v>2946</v>
      </c>
      <c r="E2011" t="s">
        <v>11</v>
      </c>
      <c r="G2011" t="s">
        <v>74</v>
      </c>
      <c r="H2011" t="s">
        <v>14</v>
      </c>
    </row>
    <row r="2012" spans="1:8" hidden="1" x14ac:dyDescent="0.25">
      <c r="A2012" t="s">
        <v>2947</v>
      </c>
      <c r="B2012" s="1" t="str">
        <f>HYPERLINK("https://asmlis.vasa.lt/Dashboard/Served?ServiceDateFrom=2025-11-24&amp;ServiceDateTo=2025-11-24&amp;DumpsterInvNr=13-P-402310", "13-P-402310")</f>
        <v>13-P-402310</v>
      </c>
      <c r="C2012">
        <v>2.5</v>
      </c>
      <c r="D2012" t="s">
        <v>1780</v>
      </c>
      <c r="E2012" t="s">
        <v>11</v>
      </c>
      <c r="F2012" t="s">
        <v>13</v>
      </c>
      <c r="G2012" t="s">
        <v>264</v>
      </c>
      <c r="H2012" t="s">
        <v>14</v>
      </c>
    </row>
    <row r="2013" spans="1:8" hidden="1" x14ac:dyDescent="0.25">
      <c r="A2013" t="s">
        <v>2948</v>
      </c>
      <c r="B2013" s="1" t="str">
        <f>HYPERLINK("https://asmlis.vasa.lt/Dashboard/Served?ServiceDateFrom=2025-11-24&amp;ServiceDateTo=2025-11-24&amp;DumpsterInvNr=13-T-000076", "13-T-000076")</f>
        <v>13-T-000076</v>
      </c>
      <c r="C2013">
        <v>2.5</v>
      </c>
      <c r="D2013" t="s">
        <v>2949</v>
      </c>
      <c r="E2013" t="s">
        <v>11</v>
      </c>
      <c r="F2013" t="s">
        <v>13</v>
      </c>
      <c r="G2013" t="s">
        <v>1899</v>
      </c>
      <c r="H2013" t="s">
        <v>432</v>
      </c>
    </row>
    <row r="2014" spans="1:8" hidden="1" x14ac:dyDescent="0.25">
      <c r="A2014" t="s">
        <v>2948</v>
      </c>
      <c r="B2014" s="1" t="str">
        <f>HYPERLINK("https://asmlis.vasa.lt/Dashboard/Served?ServiceDateFrom=2025-11-24&amp;ServiceDateTo=2025-11-24&amp;DumpsterInvNr=13-T-000191", "13-T-000191")</f>
        <v>13-T-000191</v>
      </c>
      <c r="C2014">
        <v>2.5</v>
      </c>
      <c r="D2014" t="s">
        <v>2950</v>
      </c>
      <c r="E2014" t="s">
        <v>11</v>
      </c>
      <c r="F2014" t="s">
        <v>13</v>
      </c>
      <c r="G2014" t="s">
        <v>1899</v>
      </c>
      <c r="H2014" t="s">
        <v>432</v>
      </c>
    </row>
    <row r="2015" spans="1:8" hidden="1" x14ac:dyDescent="0.25">
      <c r="A2015" t="s">
        <v>2951</v>
      </c>
      <c r="B2015" s="1" t="str">
        <f>HYPERLINK("https://asmlis.vasa.lt/Dashboard/Served?ServiceDateFrom=2025-11-24&amp;ServiceDateTo=2025-11-24&amp;DumpsterInvNr=13-P-401340", "13-P-401340")</f>
        <v>13-P-401340</v>
      </c>
      <c r="C2015">
        <v>0.24</v>
      </c>
      <c r="D2015" t="s">
        <v>2952</v>
      </c>
      <c r="E2015" t="s">
        <v>11</v>
      </c>
      <c r="F2015" t="s">
        <v>13</v>
      </c>
      <c r="G2015" t="s">
        <v>264</v>
      </c>
      <c r="H2015" t="s">
        <v>14</v>
      </c>
    </row>
    <row r="2016" spans="1:8" hidden="1" x14ac:dyDescent="0.25">
      <c r="A2016" t="s">
        <v>2953</v>
      </c>
      <c r="B2016" s="1" t="str">
        <f>HYPERLINK("https://asmlis.vasa.lt/Dashboard/Served?ServiceDateFrom=2025-11-24&amp;ServiceDateTo=2025-11-24&amp;DumpsterInvNr=13-L-424772", "13-L-424772")</f>
        <v>13-L-424772</v>
      </c>
      <c r="C2016">
        <v>1.1000000000000001</v>
      </c>
      <c r="D2016" t="s">
        <v>2946</v>
      </c>
      <c r="E2016" t="s">
        <v>11</v>
      </c>
      <c r="G2016" t="s">
        <v>74</v>
      </c>
      <c r="H2016" t="s">
        <v>14</v>
      </c>
    </row>
    <row r="2017" spans="1:10" hidden="1" x14ac:dyDescent="0.25">
      <c r="A2017" t="s">
        <v>2954</v>
      </c>
      <c r="B2017" s="1" t="str">
        <f>HYPERLINK("https://asmlis.vasa.lt/Dashboard/Served?ServiceDateFrom=2025-11-24&amp;ServiceDateTo=2025-11-24&amp;DumpsterInvNr=13-T-000075", "13-T-000075")</f>
        <v>13-T-000075</v>
      </c>
      <c r="C2017">
        <v>2.5</v>
      </c>
      <c r="D2017" t="s">
        <v>2949</v>
      </c>
      <c r="E2017" t="s">
        <v>11</v>
      </c>
      <c r="F2017" t="s">
        <v>13</v>
      </c>
      <c r="G2017" t="s">
        <v>1899</v>
      </c>
      <c r="H2017" t="s">
        <v>432</v>
      </c>
    </row>
    <row r="2018" spans="1:10" x14ac:dyDescent="0.25">
      <c r="A2018" t="s">
        <v>2955</v>
      </c>
      <c r="B2018" s="1" t="str">
        <f>HYPERLINK("https://asmlis.vasa.lt/Dashboard/Served?ServiceDateFrom=2025-11-24&amp;ServiceDateTo=2025-11-24&amp;DumpsterInvNr=13-S-102348", "13-S-102348")</f>
        <v>13-S-102348</v>
      </c>
      <c r="C2018">
        <v>0.12</v>
      </c>
      <c r="D2018" t="s">
        <v>2956</v>
      </c>
      <c r="E2018" t="s">
        <v>11</v>
      </c>
      <c r="F2018" t="s">
        <v>2556</v>
      </c>
      <c r="G2018" t="s">
        <v>1917</v>
      </c>
      <c r="H2018" t="s">
        <v>432</v>
      </c>
      <c r="J2018" t="s">
        <v>17511</v>
      </c>
    </row>
    <row r="2019" spans="1:10" hidden="1" x14ac:dyDescent="0.25">
      <c r="A2019" t="s">
        <v>2957</v>
      </c>
      <c r="B2019" s="1" t="str">
        <f>HYPERLINK("https://asmlis.vasa.lt/Dashboard/Served?ServiceDateFrom=2025-11-24&amp;ServiceDateTo=2025-11-24&amp;DumpsterInvNr=13-T-000192", "13-T-000192")</f>
        <v>13-T-000192</v>
      </c>
      <c r="C2019">
        <v>2.5</v>
      </c>
      <c r="D2019" t="s">
        <v>2950</v>
      </c>
      <c r="E2019" t="s">
        <v>11</v>
      </c>
      <c r="F2019" t="s">
        <v>13</v>
      </c>
      <c r="G2019" t="s">
        <v>1899</v>
      </c>
      <c r="H2019" t="s">
        <v>432</v>
      </c>
    </row>
    <row r="2020" spans="1:10" hidden="1" x14ac:dyDescent="0.25">
      <c r="A2020" t="s">
        <v>2957</v>
      </c>
      <c r="B2020" s="1" t="str">
        <f>HYPERLINK("https://asmlis.vasa.lt/Dashboard/Served?ServiceDateFrom=2025-11-24&amp;ServiceDateTo=2025-11-24&amp;DumpsterInvNr=13-S-401664", "13-S-401664")</f>
        <v>13-S-401664</v>
      </c>
      <c r="C2020">
        <v>0.12</v>
      </c>
      <c r="D2020" t="s">
        <v>2929</v>
      </c>
      <c r="E2020" t="s">
        <v>11</v>
      </c>
      <c r="F2020" t="s">
        <v>1209</v>
      </c>
      <c r="G2020" t="s">
        <v>264</v>
      </c>
      <c r="H2020" t="s">
        <v>14</v>
      </c>
    </row>
    <row r="2021" spans="1:10" hidden="1" x14ac:dyDescent="0.25">
      <c r="A2021" t="s">
        <v>2957</v>
      </c>
      <c r="B2021" s="1" t="str">
        <f>HYPERLINK("https://asmlis.vasa.lt/Dashboard/Served?ServiceDateFrom=2025-11-24&amp;ServiceDateTo=2025-11-24&amp;DumpsterInvNr=13-P-505610", "13-P-505610")</f>
        <v>13-P-505610</v>
      </c>
      <c r="C2021">
        <v>0.12</v>
      </c>
      <c r="D2021" t="s">
        <v>2939</v>
      </c>
      <c r="E2021" t="s">
        <v>11</v>
      </c>
      <c r="G2021" t="s">
        <v>2178</v>
      </c>
      <c r="H2021" t="s">
        <v>432</v>
      </c>
    </row>
    <row r="2022" spans="1:10" hidden="1" x14ac:dyDescent="0.25">
      <c r="A2022" t="s">
        <v>2958</v>
      </c>
      <c r="B2022" s="1" t="str">
        <f>HYPERLINK("https://asmlis.vasa.lt/Dashboard/Served?ServiceDateFrom=2025-11-24&amp;ServiceDateTo=2025-11-24&amp;DumpsterInvNr=13-P-207714", "13-P-207714")</f>
        <v>13-P-207714</v>
      </c>
      <c r="C2022">
        <v>5</v>
      </c>
      <c r="D2022" t="s">
        <v>2959</v>
      </c>
      <c r="E2022" t="s">
        <v>11</v>
      </c>
      <c r="F2022" t="s">
        <v>2960</v>
      </c>
      <c r="G2022" t="s">
        <v>234</v>
      </c>
      <c r="H2022" t="s">
        <v>14</v>
      </c>
      <c r="J2022" t="s">
        <v>17519</v>
      </c>
    </row>
    <row r="2023" spans="1:10" hidden="1" x14ac:dyDescent="0.25">
      <c r="A2023" t="s">
        <v>2961</v>
      </c>
      <c r="B2023" s="1" t="str">
        <f>HYPERLINK("https://asmlis.vasa.lt/Dashboard/Served?ServiceDateFrom=2025-11-24&amp;ServiceDateTo=2025-11-24&amp;DumpsterInvNr=13-L-136021", "13-L-136021")</f>
        <v>13-L-136021</v>
      </c>
      <c r="C2023">
        <v>5</v>
      </c>
      <c r="D2023" t="s">
        <v>2962</v>
      </c>
      <c r="E2023" t="s">
        <v>11</v>
      </c>
      <c r="F2023" t="s">
        <v>13</v>
      </c>
      <c r="G2023" t="s">
        <v>430</v>
      </c>
      <c r="H2023" t="s">
        <v>432</v>
      </c>
    </row>
    <row r="2024" spans="1:10" hidden="1" x14ac:dyDescent="0.25">
      <c r="A2024" t="s">
        <v>2961</v>
      </c>
      <c r="B2024" s="1" t="str">
        <f>HYPERLINK("https://asmlis.vasa.lt/Dashboard/Served?ServiceDateFrom=2025-11-24&amp;ServiceDateTo=2025-11-24&amp;DumpsterInvNr=13-P-306804", "13-P-306804")</f>
        <v>13-P-306804</v>
      </c>
      <c r="C2024">
        <v>0.66</v>
      </c>
      <c r="D2024" t="s">
        <v>2963</v>
      </c>
      <c r="E2024" t="s">
        <v>11</v>
      </c>
      <c r="F2024" t="s">
        <v>13</v>
      </c>
      <c r="G2024" t="s">
        <v>412</v>
      </c>
      <c r="H2024" t="s">
        <v>14</v>
      </c>
    </row>
    <row r="2025" spans="1:10" x14ac:dyDescent="0.25">
      <c r="A2025" t="s">
        <v>2964</v>
      </c>
      <c r="B2025" s="1" t="str">
        <f>HYPERLINK("https://asmlis.vasa.lt/Dashboard/Served?ServiceDateFrom=2025-11-24&amp;ServiceDateTo=2025-11-24&amp;DumpsterInvNr=13-L-106079", "13-L-106079")</f>
        <v>13-L-106079</v>
      </c>
      <c r="C2025">
        <v>0.12</v>
      </c>
      <c r="D2025" t="s">
        <v>2956</v>
      </c>
      <c r="E2025" t="s">
        <v>11</v>
      </c>
      <c r="F2025" t="s">
        <v>2556</v>
      </c>
      <c r="G2025" t="s">
        <v>1912</v>
      </c>
      <c r="H2025" t="s">
        <v>432</v>
      </c>
      <c r="J2025" t="s">
        <v>17511</v>
      </c>
    </row>
    <row r="2026" spans="1:10" hidden="1" x14ac:dyDescent="0.25">
      <c r="A2026" t="s">
        <v>2965</v>
      </c>
      <c r="B2026" s="1" t="str">
        <f>HYPERLINK("https://asmlis.vasa.lt/Dashboard/Served?ServiceDateFrom=2025-11-24&amp;ServiceDateTo=2025-11-24&amp;DumpsterInvNr=13-P-401129", "13-P-401129")</f>
        <v>13-P-401129</v>
      </c>
      <c r="C2026">
        <v>0.24</v>
      </c>
      <c r="D2026" t="s">
        <v>2966</v>
      </c>
      <c r="E2026" t="s">
        <v>11</v>
      </c>
      <c r="G2026" t="s">
        <v>264</v>
      </c>
      <c r="H2026" t="s">
        <v>14</v>
      </c>
    </row>
    <row r="2027" spans="1:10" hidden="1" x14ac:dyDescent="0.25">
      <c r="A2027" t="s">
        <v>2967</v>
      </c>
      <c r="B2027" s="1" t="str">
        <f>HYPERLINK("https://asmlis.vasa.lt/Dashboard/Served?ServiceDateFrom=2025-11-24&amp;ServiceDateTo=2025-11-24&amp;DumpsterInvNr=13-L-318758", "13-L-318758")</f>
        <v>13-L-318758</v>
      </c>
      <c r="C2027">
        <v>1.1000000000000001</v>
      </c>
      <c r="D2027" t="s">
        <v>2968</v>
      </c>
      <c r="E2027" t="s">
        <v>11</v>
      </c>
      <c r="G2027" t="s">
        <v>9</v>
      </c>
      <c r="H2027" t="s">
        <v>14</v>
      </c>
    </row>
    <row r="2028" spans="1:10" hidden="1" x14ac:dyDescent="0.25">
      <c r="A2028" t="s">
        <v>2967</v>
      </c>
      <c r="B2028" s="1" t="str">
        <f>HYPERLINK("https://asmlis.vasa.lt/Dashboard/Served?ServiceDateFrom=2025-11-24&amp;ServiceDateTo=2025-11-24&amp;DumpsterInvNr=13-L-308957", "13-L-308957")</f>
        <v>13-L-308957</v>
      </c>
      <c r="C2028">
        <v>1.1000000000000001</v>
      </c>
      <c r="D2028" t="s">
        <v>2021</v>
      </c>
      <c r="E2028" t="s">
        <v>11</v>
      </c>
      <c r="G2028" t="s">
        <v>9</v>
      </c>
      <c r="H2028" t="s">
        <v>14</v>
      </c>
    </row>
    <row r="2029" spans="1:10" hidden="1" x14ac:dyDescent="0.25">
      <c r="A2029" t="s">
        <v>2969</v>
      </c>
      <c r="B2029" s="1" t="str">
        <f>HYPERLINK("https://asmlis.vasa.lt/Dashboard/Served?ServiceDateFrom=2025-11-24&amp;ServiceDateTo=2025-11-24&amp;DumpsterInvNr=13-L-208123", "13-L-208123")</f>
        <v>13-L-208123</v>
      </c>
      <c r="C2029">
        <v>0.77</v>
      </c>
      <c r="D2029" t="s">
        <v>1908</v>
      </c>
      <c r="E2029" t="s">
        <v>11</v>
      </c>
      <c r="F2029" t="s">
        <v>13</v>
      </c>
      <c r="G2029" t="s">
        <v>936</v>
      </c>
      <c r="H2029" t="s">
        <v>938</v>
      </c>
    </row>
    <row r="2030" spans="1:10" hidden="1" x14ac:dyDescent="0.25">
      <c r="A2030" t="s">
        <v>2969</v>
      </c>
      <c r="B2030" s="1" t="str">
        <f>HYPERLINK("https://asmlis.vasa.lt/Dashboard/Served?ServiceDateFrom=2025-11-24&amp;ServiceDateTo=2025-11-24&amp;DumpsterInvNr=13-P-416547", "13-P-416547")</f>
        <v>13-P-416547</v>
      </c>
      <c r="C2030">
        <v>0.24</v>
      </c>
      <c r="D2030" t="s">
        <v>2970</v>
      </c>
      <c r="E2030" t="s">
        <v>11</v>
      </c>
      <c r="G2030" t="s">
        <v>264</v>
      </c>
      <c r="H2030" t="s">
        <v>14</v>
      </c>
    </row>
    <row r="2031" spans="1:10" x14ac:dyDescent="0.25">
      <c r="A2031" t="s">
        <v>2971</v>
      </c>
      <c r="B2031" s="1" t="str">
        <f>HYPERLINK("https://asmlis.vasa.lt/Dashboard/Served?ServiceDateFrom=2025-11-24&amp;ServiceDateTo=2025-11-24&amp;DumpsterInvNr=13-P-101118", "13-P-101118")</f>
        <v>13-P-101118</v>
      </c>
      <c r="C2031">
        <v>0.24</v>
      </c>
      <c r="D2031" t="s">
        <v>2956</v>
      </c>
      <c r="E2031" t="s">
        <v>11</v>
      </c>
      <c r="F2031" t="s">
        <v>2556</v>
      </c>
      <c r="G2031" t="s">
        <v>1917</v>
      </c>
      <c r="H2031" t="s">
        <v>432</v>
      </c>
      <c r="J2031" t="s">
        <v>17511</v>
      </c>
    </row>
    <row r="2032" spans="1:10" hidden="1" x14ac:dyDescent="0.25">
      <c r="A2032" t="s">
        <v>2972</v>
      </c>
      <c r="B2032" s="1" t="str">
        <f>HYPERLINK("https://asmlis.vasa.lt/Dashboard/Served?ServiceDateFrom=2025-11-24&amp;ServiceDateTo=2025-11-24&amp;DumpsterInvNr=13-L-134248", "13-L-134248")</f>
        <v>13-L-134248</v>
      </c>
      <c r="C2032">
        <v>5</v>
      </c>
      <c r="D2032" t="s">
        <v>2973</v>
      </c>
      <c r="E2032" t="s">
        <v>11</v>
      </c>
      <c r="F2032" t="s">
        <v>13</v>
      </c>
      <c r="G2032" t="s">
        <v>1912</v>
      </c>
      <c r="H2032" t="s">
        <v>432</v>
      </c>
    </row>
    <row r="2033" spans="1:10" hidden="1" x14ac:dyDescent="0.25">
      <c r="A2033" t="s">
        <v>2974</v>
      </c>
      <c r="B2033" s="1" t="str">
        <f>HYPERLINK("https://asmlis.vasa.lt/Dashboard/Served?ServiceDateFrom=2025-11-24&amp;ServiceDateTo=2025-11-24&amp;DumpsterInvNr=13-L-125915", "13-L-125915")</f>
        <v>13-L-125915</v>
      </c>
      <c r="C2033">
        <v>0.24</v>
      </c>
      <c r="D2033" t="s">
        <v>2975</v>
      </c>
      <c r="E2033" t="s">
        <v>11</v>
      </c>
      <c r="F2033" t="s">
        <v>1209</v>
      </c>
      <c r="G2033" t="s">
        <v>430</v>
      </c>
      <c r="H2033" t="s">
        <v>432</v>
      </c>
    </row>
    <row r="2034" spans="1:10" hidden="1" x14ac:dyDescent="0.25">
      <c r="A2034" t="s">
        <v>2977</v>
      </c>
      <c r="B2034" s="1" t="str">
        <f>HYPERLINK("https://asmlis.vasa.lt/Dashboard/Served?ServiceDateFrom=2025-11-24&amp;ServiceDateTo=2025-11-24&amp;DumpsterInvNr=13-L-312456", "13-L-312456")</f>
        <v>13-L-312456</v>
      </c>
      <c r="C2034">
        <v>5</v>
      </c>
      <c r="D2034" t="s">
        <v>1435</v>
      </c>
      <c r="E2034" t="s">
        <v>11</v>
      </c>
      <c r="F2034" t="s">
        <v>13</v>
      </c>
      <c r="G2034" t="s">
        <v>9</v>
      </c>
      <c r="H2034" t="s">
        <v>14</v>
      </c>
    </row>
    <row r="2035" spans="1:10" hidden="1" x14ac:dyDescent="0.25">
      <c r="A2035" t="s">
        <v>2978</v>
      </c>
      <c r="B2035" s="1" t="str">
        <f>HYPERLINK("https://asmlis.vasa.lt/Dashboard/Served?ServiceDateFrom=2025-11-24&amp;ServiceDateTo=2025-11-24&amp;DumpsterInvNr=13-L-134236", "13-L-134236")</f>
        <v>13-L-134236</v>
      </c>
      <c r="C2035">
        <v>5</v>
      </c>
      <c r="D2035" t="s">
        <v>2979</v>
      </c>
      <c r="E2035" t="s">
        <v>11</v>
      </c>
      <c r="F2035" t="s">
        <v>13</v>
      </c>
      <c r="G2035" t="s">
        <v>1912</v>
      </c>
      <c r="H2035" t="s">
        <v>432</v>
      </c>
    </row>
    <row r="2036" spans="1:10" x14ac:dyDescent="0.25">
      <c r="A2036" t="s">
        <v>2978</v>
      </c>
      <c r="B2036" s="1" t="str">
        <f>HYPERLINK("https://asmlis.vasa.lt/Dashboard/Served?ServiceDateFrom=2025-11-24&amp;ServiceDateTo=2025-11-24&amp;DumpsterInvNr=13-S-104155", "13-S-104155")</f>
        <v>13-S-104155</v>
      </c>
      <c r="C2036">
        <v>0.12</v>
      </c>
      <c r="D2036" t="s">
        <v>2981</v>
      </c>
      <c r="E2036" t="s">
        <v>11</v>
      </c>
      <c r="F2036" t="s">
        <v>2556</v>
      </c>
      <c r="G2036" t="s">
        <v>1917</v>
      </c>
      <c r="H2036" t="s">
        <v>432</v>
      </c>
      <c r="J2036" t="s">
        <v>17511</v>
      </c>
    </row>
    <row r="2037" spans="1:10" hidden="1" x14ac:dyDescent="0.25">
      <c r="A2037" t="s">
        <v>2978</v>
      </c>
      <c r="B2037" s="1" t="str">
        <f>HYPERLINK("https://asmlis.vasa.lt/Dashboard/Served?ServiceDateFrom=2025-11-24&amp;ServiceDateTo=2025-11-24&amp;DumpsterInvNr=13-P-306055", "13-P-306055")</f>
        <v>13-P-306055</v>
      </c>
      <c r="C2037">
        <v>3</v>
      </c>
      <c r="D2037" t="s">
        <v>2982</v>
      </c>
      <c r="E2037" t="s">
        <v>11</v>
      </c>
      <c r="F2037" t="s">
        <v>13</v>
      </c>
      <c r="G2037" t="s">
        <v>412</v>
      </c>
      <c r="H2037" t="s">
        <v>14</v>
      </c>
    </row>
    <row r="2038" spans="1:10" hidden="1" x14ac:dyDescent="0.25">
      <c r="A2038" t="s">
        <v>2983</v>
      </c>
      <c r="B2038" s="1" t="str">
        <f>HYPERLINK("https://asmlis.vasa.lt/Dashboard/Served?ServiceDateFrom=2025-11-24&amp;ServiceDateTo=2025-11-24&amp;DumpsterInvNr=13-L-128914", "13-L-128914")</f>
        <v>13-L-128914</v>
      </c>
      <c r="C2038">
        <v>0.24</v>
      </c>
      <c r="D2038" t="s">
        <v>2984</v>
      </c>
      <c r="E2038" t="s">
        <v>11</v>
      </c>
      <c r="F2038" t="s">
        <v>1209</v>
      </c>
      <c r="G2038" t="s">
        <v>430</v>
      </c>
      <c r="H2038" t="s">
        <v>432</v>
      </c>
    </row>
    <row r="2039" spans="1:10" hidden="1" x14ac:dyDescent="0.25">
      <c r="A2039" t="s">
        <v>2985</v>
      </c>
      <c r="B2039" s="1" t="str">
        <f>HYPERLINK("https://asmlis.vasa.lt/Dashboard/Served?ServiceDateFrom=2025-11-24&amp;ServiceDateTo=2025-11-24&amp;DumpsterInvNr=13-P-507381", "13-P-507381")</f>
        <v>13-P-507381</v>
      </c>
      <c r="C2039">
        <v>0.24</v>
      </c>
      <c r="D2039" t="s">
        <v>2984</v>
      </c>
      <c r="E2039" t="s">
        <v>11</v>
      </c>
      <c r="F2039" t="s">
        <v>1209</v>
      </c>
      <c r="G2039" t="s">
        <v>2178</v>
      </c>
      <c r="H2039" t="s">
        <v>432</v>
      </c>
    </row>
    <row r="2040" spans="1:10" x14ac:dyDescent="0.25">
      <c r="A2040" t="s">
        <v>2986</v>
      </c>
      <c r="B2040" s="1" t="str">
        <f>HYPERLINK("https://asmlis.vasa.lt/Dashboard/Served?ServiceDateFrom=2025-11-24&amp;ServiceDateTo=2025-11-24&amp;DumpsterInvNr=13-P-101085", "13-P-101085")</f>
        <v>13-P-101085</v>
      </c>
      <c r="C2040">
        <v>0.24</v>
      </c>
      <c r="D2040" t="s">
        <v>2981</v>
      </c>
      <c r="E2040" t="s">
        <v>11</v>
      </c>
      <c r="F2040" t="s">
        <v>2556</v>
      </c>
      <c r="G2040" t="s">
        <v>1917</v>
      </c>
      <c r="H2040" t="s">
        <v>432</v>
      </c>
      <c r="J2040" t="s">
        <v>17511</v>
      </c>
    </row>
    <row r="2041" spans="1:10" hidden="1" x14ac:dyDescent="0.25">
      <c r="A2041" t="s">
        <v>2987</v>
      </c>
      <c r="B2041" s="1" t="str">
        <f>HYPERLINK("https://asmlis.vasa.lt/Dashboard/Served?ServiceDateFrom=2025-11-24&amp;ServiceDateTo=2025-11-24&amp;DumpsterInvNr=13-L-312943", "13-L-312943")</f>
        <v>13-L-312943</v>
      </c>
      <c r="C2041">
        <v>1.1000000000000001</v>
      </c>
      <c r="D2041" t="s">
        <v>1057</v>
      </c>
      <c r="E2041" t="s">
        <v>11</v>
      </c>
      <c r="G2041" t="s">
        <v>9</v>
      </c>
      <c r="H2041" t="s">
        <v>14</v>
      </c>
    </row>
    <row r="2042" spans="1:10" hidden="1" x14ac:dyDescent="0.25">
      <c r="A2042" t="s">
        <v>2988</v>
      </c>
      <c r="B2042" s="1" t="str">
        <f>HYPERLINK("https://asmlis.vasa.lt/Dashboard/Served?ServiceDateFrom=2025-11-24&amp;ServiceDateTo=2025-11-24&amp;DumpsterInvNr=13-S-408458", "13-S-408458")</f>
        <v>13-S-408458</v>
      </c>
      <c r="C2042">
        <v>0.12</v>
      </c>
      <c r="D2042" t="s">
        <v>2966</v>
      </c>
      <c r="E2042" t="s">
        <v>11</v>
      </c>
      <c r="F2042" t="s">
        <v>1209</v>
      </c>
      <c r="G2042" t="s">
        <v>264</v>
      </c>
      <c r="H2042" t="s">
        <v>14</v>
      </c>
    </row>
    <row r="2043" spans="1:10" hidden="1" x14ac:dyDescent="0.25">
      <c r="A2043" t="s">
        <v>2989</v>
      </c>
      <c r="B2043" s="1" t="str">
        <f>HYPERLINK("https://asmlis.vasa.lt/Dashboard/Served?ServiceDateFrom=2025-11-24&amp;ServiceDateTo=2025-11-24&amp;DumpsterInvNr=13-S-401817", "13-S-401817")</f>
        <v>13-S-401817</v>
      </c>
      <c r="C2043">
        <v>0.12</v>
      </c>
      <c r="D2043" t="s">
        <v>2970</v>
      </c>
      <c r="E2043" t="s">
        <v>11</v>
      </c>
      <c r="F2043" t="s">
        <v>1209</v>
      </c>
      <c r="G2043" t="s">
        <v>264</v>
      </c>
      <c r="H2043" t="s">
        <v>14</v>
      </c>
    </row>
    <row r="2044" spans="1:10" hidden="1" x14ac:dyDescent="0.25">
      <c r="A2044" t="s">
        <v>2990</v>
      </c>
      <c r="B2044" s="1" t="str">
        <f>HYPERLINK("https://asmlis.vasa.lt/Dashboard/Served?ServiceDateFrom=2025-11-24&amp;ServiceDateTo=2025-11-24&amp;DumpsterInvNr=13-L-318007", "13-L-318007")</f>
        <v>13-L-318007</v>
      </c>
      <c r="C2044">
        <v>1.1000000000000001</v>
      </c>
      <c r="D2044" t="s">
        <v>2935</v>
      </c>
      <c r="E2044" t="s">
        <v>11</v>
      </c>
      <c r="F2044" t="s">
        <v>13</v>
      </c>
      <c r="G2044" t="s">
        <v>9</v>
      </c>
      <c r="H2044" t="s">
        <v>14</v>
      </c>
    </row>
    <row r="2045" spans="1:10" hidden="1" x14ac:dyDescent="0.25">
      <c r="A2045" t="s">
        <v>2991</v>
      </c>
      <c r="B2045" s="1" t="str">
        <f>HYPERLINK("https://asmlis.vasa.lt/Dashboard/Served?ServiceDateFrom=2025-11-24&amp;ServiceDateTo=2025-11-24&amp;DumpsterInvNr=13-L-144808", "13-L-144808")</f>
        <v>13-L-144808</v>
      </c>
      <c r="C2045">
        <v>5</v>
      </c>
      <c r="D2045" t="s">
        <v>2993</v>
      </c>
      <c r="E2045" t="s">
        <v>11</v>
      </c>
      <c r="F2045" t="s">
        <v>13</v>
      </c>
      <c r="G2045" t="s">
        <v>430</v>
      </c>
      <c r="H2045" t="s">
        <v>432</v>
      </c>
    </row>
    <row r="2046" spans="1:10" hidden="1" x14ac:dyDescent="0.25">
      <c r="A2046" t="s">
        <v>2994</v>
      </c>
      <c r="B2046" s="1" t="str">
        <f>HYPERLINK("https://asmlis.vasa.lt/Dashboard/Served?ServiceDateFrom=2025-11-24&amp;ServiceDateTo=2025-11-24&amp;DumpsterInvNr=13-P-413764", "13-P-413764")</f>
        <v>13-P-413764</v>
      </c>
      <c r="C2046">
        <v>0.24</v>
      </c>
      <c r="D2046" t="s">
        <v>2995</v>
      </c>
      <c r="E2046" t="s">
        <v>11</v>
      </c>
      <c r="G2046" t="s">
        <v>264</v>
      </c>
      <c r="H2046" t="s">
        <v>14</v>
      </c>
    </row>
    <row r="2047" spans="1:10" hidden="1" x14ac:dyDescent="0.25">
      <c r="A2047" t="s">
        <v>2996</v>
      </c>
      <c r="B2047" s="1" t="str">
        <f>HYPERLINK("https://asmlis.vasa.lt/Dashboard/Served?ServiceDateFrom=2025-11-24&amp;ServiceDateTo=2025-11-24&amp;DumpsterInvNr=13-L-318006", "13-L-318006")</f>
        <v>13-L-318006</v>
      </c>
      <c r="C2047">
        <v>1.1000000000000001</v>
      </c>
      <c r="D2047" t="s">
        <v>2935</v>
      </c>
      <c r="E2047" t="s">
        <v>11</v>
      </c>
      <c r="F2047" t="s">
        <v>13</v>
      </c>
      <c r="G2047" t="s">
        <v>9</v>
      </c>
      <c r="H2047" t="s">
        <v>14</v>
      </c>
    </row>
    <row r="2048" spans="1:10" x14ac:dyDescent="0.25">
      <c r="A2048" t="s">
        <v>2997</v>
      </c>
      <c r="B2048" s="1" t="str">
        <f>HYPERLINK("https://asmlis.vasa.lt/Dashboard/Served?ServiceDateFrom=2025-11-24&amp;ServiceDateTo=2025-11-24&amp;DumpsterInvNr=13-L-106080", "13-L-106080")</f>
        <v>13-L-106080</v>
      </c>
      <c r="C2048">
        <v>0.12</v>
      </c>
      <c r="D2048" t="s">
        <v>2981</v>
      </c>
      <c r="E2048" t="s">
        <v>11</v>
      </c>
      <c r="F2048" t="s">
        <v>2556</v>
      </c>
      <c r="G2048" t="s">
        <v>1912</v>
      </c>
      <c r="H2048" t="s">
        <v>432</v>
      </c>
      <c r="J2048" t="s">
        <v>17511</v>
      </c>
    </row>
    <row r="2049" spans="1:10" hidden="1" x14ac:dyDescent="0.25">
      <c r="A2049" t="s">
        <v>2998</v>
      </c>
      <c r="B2049" s="1" t="str">
        <f>HYPERLINK("https://asmlis.vasa.lt/Dashboard/Served?ServiceDateFrom=2025-11-24&amp;ServiceDateTo=2025-11-24&amp;DumpsterInvNr=13-L-138049", "13-L-138049")</f>
        <v>13-L-138049</v>
      </c>
      <c r="C2049">
        <v>1.1000000000000001</v>
      </c>
      <c r="D2049" t="s">
        <v>2999</v>
      </c>
      <c r="E2049" t="s">
        <v>11</v>
      </c>
      <c r="G2049" t="s">
        <v>1912</v>
      </c>
      <c r="H2049" t="s">
        <v>432</v>
      </c>
    </row>
    <row r="2050" spans="1:10" hidden="1" x14ac:dyDescent="0.25">
      <c r="A2050" t="s">
        <v>3000</v>
      </c>
      <c r="B2050" s="1" t="str">
        <f>HYPERLINK("https://asmlis.vasa.lt/Dashboard/Served?ServiceDateFrom=2025-11-24&amp;ServiceDateTo=2025-11-24&amp;DumpsterInvNr=13-P-414167", "13-P-414167")</f>
        <v>13-P-414167</v>
      </c>
      <c r="C2050">
        <v>0.24</v>
      </c>
      <c r="D2050" t="s">
        <v>3001</v>
      </c>
      <c r="E2050" t="s">
        <v>11</v>
      </c>
      <c r="G2050" t="s">
        <v>264</v>
      </c>
      <c r="H2050" t="s">
        <v>14</v>
      </c>
    </row>
    <row r="2051" spans="1:10" hidden="1" x14ac:dyDescent="0.25">
      <c r="A2051" t="s">
        <v>3002</v>
      </c>
      <c r="B2051" s="1" t="str">
        <f>HYPERLINK("https://asmlis.vasa.lt/Dashboard/Served?ServiceDateFrom=2025-11-24&amp;ServiceDateTo=2025-11-24&amp;DumpsterInvNr=13-L-137768", "13-L-137768")</f>
        <v>13-L-137768</v>
      </c>
      <c r="C2051">
        <v>5</v>
      </c>
      <c r="D2051" t="s">
        <v>3003</v>
      </c>
      <c r="E2051" t="s">
        <v>11</v>
      </c>
      <c r="F2051" t="s">
        <v>13</v>
      </c>
      <c r="G2051" t="s">
        <v>430</v>
      </c>
      <c r="H2051" t="s">
        <v>432</v>
      </c>
    </row>
    <row r="2052" spans="1:10" hidden="1" x14ac:dyDescent="0.25">
      <c r="A2052" t="s">
        <v>3002</v>
      </c>
      <c r="B2052" s="1" t="str">
        <f>HYPERLINK("https://asmlis.vasa.lt/Dashboard/Served?ServiceDateFrom=2025-11-24&amp;ServiceDateTo=2025-11-24&amp;DumpsterInvNr=13-P-103426", "13-P-103426")</f>
        <v>13-P-103426</v>
      </c>
      <c r="C2052">
        <v>0.24</v>
      </c>
      <c r="D2052" t="s">
        <v>2927</v>
      </c>
      <c r="E2052" t="s">
        <v>11</v>
      </c>
      <c r="F2052" t="s">
        <v>1209</v>
      </c>
      <c r="G2052" t="s">
        <v>1917</v>
      </c>
      <c r="H2052" t="s">
        <v>432</v>
      </c>
    </row>
    <row r="2053" spans="1:10" hidden="1" x14ac:dyDescent="0.25">
      <c r="A2053" t="s">
        <v>3002</v>
      </c>
      <c r="B2053" s="1" t="str">
        <f>HYPERLINK("https://asmlis.vasa.lt/Dashboard/Served?ServiceDateFrom=2025-11-24&amp;ServiceDateTo=2025-11-24&amp;DumpsterInvNr=13-P-505615", "13-P-505615")</f>
        <v>13-P-505615</v>
      </c>
      <c r="C2053">
        <v>0.12</v>
      </c>
      <c r="D2053" t="s">
        <v>3005</v>
      </c>
      <c r="E2053" t="s">
        <v>11</v>
      </c>
      <c r="G2053" t="s">
        <v>2178</v>
      </c>
      <c r="H2053" t="s">
        <v>432</v>
      </c>
    </row>
    <row r="2054" spans="1:10" hidden="1" x14ac:dyDescent="0.25">
      <c r="A2054" t="s">
        <v>3006</v>
      </c>
      <c r="B2054" s="1" t="str">
        <f>HYPERLINK("https://asmlis.vasa.lt/Dashboard/Served?ServiceDateFrom=2025-11-24&amp;ServiceDateTo=2025-11-24&amp;DumpsterInvNr=13-S-113125", "13-S-113125")</f>
        <v>13-S-113125</v>
      </c>
      <c r="C2054">
        <v>0.12</v>
      </c>
      <c r="D2054" t="s">
        <v>2927</v>
      </c>
      <c r="E2054" t="s">
        <v>11</v>
      </c>
      <c r="F2054" t="s">
        <v>1209</v>
      </c>
      <c r="G2054" t="s">
        <v>1917</v>
      </c>
      <c r="H2054" t="s">
        <v>432</v>
      </c>
    </row>
    <row r="2055" spans="1:10" hidden="1" x14ac:dyDescent="0.25">
      <c r="A2055" t="s">
        <v>3007</v>
      </c>
      <c r="B2055" s="1" t="str">
        <f>HYPERLINK("https://asmlis.vasa.lt/Dashboard/Served?ServiceDateFrom=2025-11-24&amp;ServiceDateTo=2025-11-24&amp;DumpsterInvNr=13-S-103242", "13-S-103242")</f>
        <v>13-S-103242</v>
      </c>
      <c r="C2055">
        <v>0.12</v>
      </c>
      <c r="D2055" t="s">
        <v>2927</v>
      </c>
      <c r="E2055" t="s">
        <v>11</v>
      </c>
      <c r="F2055" t="s">
        <v>1209</v>
      </c>
      <c r="G2055" t="s">
        <v>1917</v>
      </c>
      <c r="H2055" t="s">
        <v>432</v>
      </c>
    </row>
    <row r="2056" spans="1:10" hidden="1" x14ac:dyDescent="0.25">
      <c r="A2056" t="s">
        <v>3009</v>
      </c>
      <c r="B2056" s="1" t="str">
        <f>HYPERLINK("https://asmlis.vasa.lt/Dashboard/Served?ServiceDateFrom=2025-11-24&amp;ServiceDateTo=2025-11-24&amp;DumpsterInvNr=13-P-102452", "13-P-102452")</f>
        <v>13-P-102452</v>
      </c>
      <c r="C2056">
        <v>5</v>
      </c>
      <c r="D2056" t="s">
        <v>3010</v>
      </c>
      <c r="E2056" t="s">
        <v>11</v>
      </c>
      <c r="F2056" t="s">
        <v>13</v>
      </c>
      <c r="G2056" t="s">
        <v>1917</v>
      </c>
      <c r="H2056" t="s">
        <v>432</v>
      </c>
    </row>
    <row r="2057" spans="1:10" hidden="1" x14ac:dyDescent="0.25">
      <c r="A2057" t="s">
        <v>3011</v>
      </c>
      <c r="B2057" s="1" t="str">
        <f>HYPERLINK("https://asmlis.vasa.lt/Dashboard/Served?ServiceDateFrom=2025-11-24&amp;ServiceDateTo=2025-11-24&amp;DumpsterInvNr=13-L-115207", "13-L-115207")</f>
        <v>13-L-115207</v>
      </c>
      <c r="C2057">
        <v>0.12</v>
      </c>
      <c r="D2057" t="s">
        <v>3012</v>
      </c>
      <c r="E2057" t="s">
        <v>11</v>
      </c>
      <c r="G2057" t="s">
        <v>430</v>
      </c>
      <c r="H2057" t="s">
        <v>432</v>
      </c>
    </row>
    <row r="2058" spans="1:10" hidden="1" x14ac:dyDescent="0.25">
      <c r="A2058" t="s">
        <v>3011</v>
      </c>
      <c r="B2058" s="1" t="str">
        <f>HYPERLINK("https://asmlis.vasa.lt/Dashboard/Served?ServiceDateFrom=2025-11-24&amp;ServiceDateTo=2025-11-24&amp;DumpsterInvNr=13-P-505608", "13-P-505608")</f>
        <v>13-P-505608</v>
      </c>
      <c r="C2058">
        <v>0.12</v>
      </c>
      <c r="D2058" t="s">
        <v>3012</v>
      </c>
      <c r="E2058" t="s">
        <v>11</v>
      </c>
      <c r="G2058" t="s">
        <v>2178</v>
      </c>
      <c r="H2058" t="s">
        <v>432</v>
      </c>
    </row>
    <row r="2059" spans="1:10" hidden="1" x14ac:dyDescent="0.25">
      <c r="A2059" t="s">
        <v>3013</v>
      </c>
      <c r="B2059" s="1" t="str">
        <f>HYPERLINK("https://asmlis.vasa.lt/Dashboard/Served?ServiceDateFrom=2025-11-24&amp;ServiceDateTo=2025-11-24&amp;DumpsterInvNr=13-P-500284", "13-P-500284")</f>
        <v>13-P-500284</v>
      </c>
      <c r="C2059">
        <v>5</v>
      </c>
      <c r="D2059" t="s">
        <v>2353</v>
      </c>
      <c r="E2059" t="s">
        <v>11</v>
      </c>
      <c r="F2059" t="s">
        <v>13</v>
      </c>
      <c r="G2059" t="s">
        <v>2178</v>
      </c>
      <c r="H2059" t="s">
        <v>432</v>
      </c>
    </row>
    <row r="2060" spans="1:10" x14ac:dyDescent="0.25">
      <c r="A2060" t="s">
        <v>3014</v>
      </c>
      <c r="B2060" s="1" t="str">
        <f>HYPERLINK("https://asmlis.vasa.lt/Dashboard/Served?ServiceDateFrom=2025-11-24&amp;ServiceDateTo=2025-11-24&amp;DumpsterInvNr=13-S-104157", "13-S-104157")</f>
        <v>13-S-104157</v>
      </c>
      <c r="C2060">
        <v>0.12</v>
      </c>
      <c r="D2060" t="s">
        <v>3015</v>
      </c>
      <c r="E2060" t="s">
        <v>11</v>
      </c>
      <c r="F2060" t="s">
        <v>2556</v>
      </c>
      <c r="G2060" t="s">
        <v>1917</v>
      </c>
      <c r="H2060" t="s">
        <v>432</v>
      </c>
      <c r="J2060" t="s">
        <v>17511</v>
      </c>
    </row>
    <row r="2061" spans="1:10" hidden="1" x14ac:dyDescent="0.25">
      <c r="A2061" t="s">
        <v>3016</v>
      </c>
      <c r="B2061" s="1" t="str">
        <f>HYPERLINK("https://asmlis.vasa.lt/Dashboard/Served?ServiceDateFrom=2025-11-24&amp;ServiceDateTo=2025-11-24&amp;DumpsterInvNr=13-P-505609", "13-P-505609")</f>
        <v>13-P-505609</v>
      </c>
      <c r="C2061">
        <v>0.12</v>
      </c>
      <c r="D2061" t="s">
        <v>3005</v>
      </c>
      <c r="E2061" t="s">
        <v>11</v>
      </c>
      <c r="F2061" t="s">
        <v>1209</v>
      </c>
      <c r="G2061" t="s">
        <v>2178</v>
      </c>
      <c r="H2061" t="s">
        <v>432</v>
      </c>
    </row>
    <row r="2062" spans="1:10" hidden="1" x14ac:dyDescent="0.25">
      <c r="A2062" t="s">
        <v>3017</v>
      </c>
      <c r="B2062" s="1" t="str">
        <f>HYPERLINK("https://asmlis.vasa.lt/Dashboard/Served?ServiceDateFrom=2025-11-24&amp;ServiceDateTo=2025-11-24&amp;DumpsterInvNr=13-S-500472", "13-S-500472")</f>
        <v>13-S-500472</v>
      </c>
      <c r="C2062">
        <v>0.12</v>
      </c>
      <c r="D2062" t="s">
        <v>3012</v>
      </c>
      <c r="E2062" t="s">
        <v>11</v>
      </c>
      <c r="F2062" t="s">
        <v>1209</v>
      </c>
      <c r="G2062" t="s">
        <v>2178</v>
      </c>
      <c r="H2062" t="s">
        <v>432</v>
      </c>
    </row>
    <row r="2063" spans="1:10" x14ac:dyDescent="0.25">
      <c r="A2063" t="s">
        <v>3018</v>
      </c>
      <c r="B2063" s="1" t="str">
        <f>HYPERLINK("https://asmlis.vasa.lt/Dashboard/Served?ServiceDateFrom=2025-11-24&amp;ServiceDateTo=2025-11-24&amp;DumpsterInvNr=13-P-101108", "13-P-101108")</f>
        <v>13-P-101108</v>
      </c>
      <c r="C2063">
        <v>0.24</v>
      </c>
      <c r="D2063" t="s">
        <v>3015</v>
      </c>
      <c r="E2063" t="s">
        <v>11</v>
      </c>
      <c r="F2063" t="s">
        <v>2556</v>
      </c>
      <c r="G2063" t="s">
        <v>1917</v>
      </c>
      <c r="H2063" t="s">
        <v>432</v>
      </c>
      <c r="J2063" t="s">
        <v>17511</v>
      </c>
    </row>
    <row r="2064" spans="1:10" hidden="1" x14ac:dyDescent="0.25">
      <c r="A2064" t="s">
        <v>3019</v>
      </c>
      <c r="B2064" s="1" t="str">
        <f>HYPERLINK("https://asmlis.vasa.lt/Dashboard/Served?ServiceDateFrom=2025-11-24&amp;ServiceDateTo=2025-11-24&amp;DumpsterInvNr=13-P-400551", "13-P-400551")</f>
        <v>13-P-400551</v>
      </c>
      <c r="C2064">
        <v>1.8</v>
      </c>
      <c r="D2064" t="s">
        <v>3020</v>
      </c>
      <c r="E2064" t="s">
        <v>11</v>
      </c>
      <c r="F2064" t="s">
        <v>13</v>
      </c>
      <c r="G2064" t="s">
        <v>264</v>
      </c>
      <c r="H2064" t="s">
        <v>14</v>
      </c>
    </row>
    <row r="2065" spans="1:10" hidden="1" x14ac:dyDescent="0.25">
      <c r="A2065" t="s">
        <v>3019</v>
      </c>
      <c r="B2065" s="1" t="str">
        <f>HYPERLINK("https://asmlis.vasa.lt/Dashboard/Served?ServiceDateFrom=2025-11-24&amp;ServiceDateTo=2025-11-24&amp;DumpsterInvNr=13-P-500549", "13-P-500549")</f>
        <v>13-P-500549</v>
      </c>
      <c r="C2065">
        <v>3</v>
      </c>
      <c r="D2065" t="s">
        <v>3021</v>
      </c>
      <c r="E2065" t="s">
        <v>11</v>
      </c>
      <c r="F2065" t="s">
        <v>13</v>
      </c>
      <c r="G2065" t="s">
        <v>2178</v>
      </c>
      <c r="H2065" t="s">
        <v>432</v>
      </c>
    </row>
    <row r="2066" spans="1:10" hidden="1" x14ac:dyDescent="0.25">
      <c r="A2066" t="s">
        <v>3022</v>
      </c>
      <c r="B2066" s="1" t="str">
        <f>HYPERLINK("https://asmlis.vasa.lt/Dashboard/Served?ServiceDateFrom=2025-11-24&amp;ServiceDateTo=2025-11-24&amp;DumpsterInvNr=13-P-400669", "13-P-400669")</f>
        <v>13-P-400669</v>
      </c>
      <c r="C2066">
        <v>1.8</v>
      </c>
      <c r="D2066" t="s">
        <v>3020</v>
      </c>
      <c r="E2066" t="s">
        <v>11</v>
      </c>
      <c r="F2066" t="s">
        <v>13</v>
      </c>
      <c r="G2066" t="s">
        <v>264</v>
      </c>
      <c r="H2066" t="s">
        <v>14</v>
      </c>
    </row>
    <row r="2067" spans="1:10" hidden="1" x14ac:dyDescent="0.25">
      <c r="A2067" t="s">
        <v>3023</v>
      </c>
      <c r="B2067" s="1" t="str">
        <f>HYPERLINK("https://asmlis.vasa.lt/Dashboard/Served?ServiceDateFrom=2025-11-24&amp;ServiceDateTo=2025-11-24&amp;DumpsterInvNr=13-L-228239", "13-L-228239")</f>
        <v>13-L-228239</v>
      </c>
      <c r="C2067">
        <v>1.1000000000000001</v>
      </c>
      <c r="D2067" t="s">
        <v>3024</v>
      </c>
      <c r="E2067" t="s">
        <v>11</v>
      </c>
      <c r="G2067" t="s">
        <v>936</v>
      </c>
      <c r="H2067" t="s">
        <v>938</v>
      </c>
    </row>
    <row r="2068" spans="1:10" x14ac:dyDescent="0.25">
      <c r="A2068" t="s">
        <v>3025</v>
      </c>
      <c r="B2068" s="1" t="str">
        <f>HYPERLINK("https://asmlis.vasa.lt/Dashboard/Served?ServiceDateFrom=2025-11-24&amp;ServiceDateTo=2025-11-24&amp;DumpsterInvNr=13-L-134707", "13-L-134707")</f>
        <v>13-L-134707</v>
      </c>
      <c r="C2068">
        <v>0.24</v>
      </c>
      <c r="D2068" t="s">
        <v>3015</v>
      </c>
      <c r="E2068" t="s">
        <v>11</v>
      </c>
      <c r="F2068" t="s">
        <v>2556</v>
      </c>
      <c r="G2068" t="s">
        <v>1912</v>
      </c>
      <c r="H2068" t="s">
        <v>432</v>
      </c>
      <c r="J2068" t="s">
        <v>17511</v>
      </c>
    </row>
    <row r="2069" spans="1:10" hidden="1" x14ac:dyDescent="0.25">
      <c r="A2069" t="s">
        <v>3026</v>
      </c>
      <c r="B2069" s="1" t="str">
        <f>HYPERLINK("https://asmlis.vasa.lt/Dashboard/Served?ServiceDateFrom=2025-11-24&amp;ServiceDateTo=2025-11-24&amp;DumpsterInvNr=13-L-114248", "13-L-114248")</f>
        <v>13-L-114248</v>
      </c>
      <c r="C2069">
        <v>0.12</v>
      </c>
      <c r="D2069" t="s">
        <v>3027</v>
      </c>
      <c r="E2069" t="s">
        <v>11</v>
      </c>
      <c r="G2069" t="s">
        <v>430</v>
      </c>
      <c r="H2069" t="s">
        <v>432</v>
      </c>
    </row>
    <row r="2070" spans="1:10" hidden="1" x14ac:dyDescent="0.25">
      <c r="A2070" t="s">
        <v>3028</v>
      </c>
      <c r="B2070" s="1" t="str">
        <f>HYPERLINK("https://asmlis.vasa.lt/Dashboard/Served?ServiceDateFrom=2025-11-24&amp;ServiceDateTo=2025-11-24&amp;DumpsterInvNr=13-L-316804", "13-L-316804")</f>
        <v>13-L-316804</v>
      </c>
      <c r="C2070">
        <v>1.1000000000000001</v>
      </c>
      <c r="D2070" t="s">
        <v>2968</v>
      </c>
      <c r="E2070" t="s">
        <v>11</v>
      </c>
      <c r="F2070" t="s">
        <v>13</v>
      </c>
      <c r="G2070" t="s">
        <v>9</v>
      </c>
      <c r="H2070" t="s">
        <v>14</v>
      </c>
    </row>
    <row r="2071" spans="1:10" hidden="1" x14ac:dyDescent="0.25">
      <c r="A2071" t="s">
        <v>3029</v>
      </c>
      <c r="B2071" s="1" t="str">
        <f>HYPERLINK("https://asmlis.vasa.lt/Dashboard/Served?ServiceDateFrom=2025-11-24&amp;ServiceDateTo=2025-11-24&amp;DumpsterInvNr=13-P-505607", "13-P-505607")</f>
        <v>13-P-505607</v>
      </c>
      <c r="C2071">
        <v>0.24</v>
      </c>
      <c r="D2071" t="s">
        <v>3027</v>
      </c>
      <c r="E2071" t="s">
        <v>11</v>
      </c>
      <c r="G2071" t="s">
        <v>2178</v>
      </c>
      <c r="H2071" t="s">
        <v>432</v>
      </c>
    </row>
    <row r="2072" spans="1:10" hidden="1" x14ac:dyDescent="0.25">
      <c r="A2072" t="s">
        <v>3029</v>
      </c>
      <c r="B2072" s="1" t="str">
        <f>HYPERLINK("https://asmlis.vasa.lt/Dashboard/Served?ServiceDateFrom=2025-11-24&amp;ServiceDateTo=2025-11-24&amp;DumpsterInvNr=13-S-507035", "13-S-507035")</f>
        <v>13-S-507035</v>
      </c>
      <c r="C2072">
        <v>0.12</v>
      </c>
      <c r="D2072" t="s">
        <v>3031</v>
      </c>
      <c r="E2072" t="s">
        <v>11</v>
      </c>
      <c r="G2072" t="s">
        <v>2178</v>
      </c>
      <c r="H2072" t="s">
        <v>432</v>
      </c>
    </row>
    <row r="2073" spans="1:10" hidden="1" x14ac:dyDescent="0.25">
      <c r="A2073" t="s">
        <v>3032</v>
      </c>
      <c r="B2073" s="1" t="str">
        <f>HYPERLINK("https://asmlis.vasa.lt/Dashboard/Served?ServiceDateFrom=2025-11-24&amp;ServiceDateTo=2025-11-24&amp;DumpsterInvNr=13-P-415438", "13-P-415438")</f>
        <v>13-P-415438</v>
      </c>
      <c r="C2073">
        <v>0.24</v>
      </c>
      <c r="D2073" t="s">
        <v>3033</v>
      </c>
      <c r="E2073" t="s">
        <v>11</v>
      </c>
      <c r="F2073" t="s">
        <v>1209</v>
      </c>
      <c r="G2073" t="s">
        <v>264</v>
      </c>
      <c r="H2073" t="s">
        <v>14</v>
      </c>
    </row>
    <row r="2074" spans="1:10" hidden="1" x14ac:dyDescent="0.25">
      <c r="A2074" t="s">
        <v>3034</v>
      </c>
      <c r="B2074" s="1" t="str">
        <f>HYPERLINK("https://asmlis.vasa.lt/Dashboard/Served?ServiceDateFrom=2025-11-24&amp;ServiceDateTo=2025-11-24&amp;DumpsterInvNr=13-P-210348", "13-P-210348")</f>
        <v>13-P-210348</v>
      </c>
      <c r="C2074">
        <v>0.24</v>
      </c>
      <c r="D2074" t="s">
        <v>3035</v>
      </c>
      <c r="E2074" t="s">
        <v>11</v>
      </c>
      <c r="G2074" t="s">
        <v>234</v>
      </c>
      <c r="H2074" t="s">
        <v>14</v>
      </c>
    </row>
    <row r="2075" spans="1:10" hidden="1" x14ac:dyDescent="0.25">
      <c r="A2075" t="s">
        <v>3036</v>
      </c>
      <c r="B2075" s="1" t="str">
        <f>HYPERLINK("https://asmlis.vasa.lt/Dashboard/Served?ServiceDateFrom=2025-11-24&amp;ServiceDateTo=2025-11-24&amp;DumpsterInvNr=13-P-300477", "13-P-300477")</f>
        <v>13-P-300477</v>
      </c>
      <c r="C2075">
        <v>1.1000000000000001</v>
      </c>
      <c r="D2075" t="s">
        <v>3037</v>
      </c>
      <c r="E2075" t="s">
        <v>11</v>
      </c>
      <c r="F2075" t="s">
        <v>13</v>
      </c>
      <c r="G2075" t="s">
        <v>412</v>
      </c>
      <c r="H2075" t="s">
        <v>14</v>
      </c>
    </row>
    <row r="2076" spans="1:10" hidden="1" x14ac:dyDescent="0.25">
      <c r="A2076" t="s">
        <v>3038</v>
      </c>
      <c r="B2076" s="1" t="str">
        <f>HYPERLINK("https://asmlis.vasa.lt/Dashboard/Served?ServiceDateFrom=2025-11-24&amp;ServiceDateTo=2025-11-24&amp;DumpsterInvNr=13-L-224693", "13-L-224693")</f>
        <v>13-L-224693</v>
      </c>
      <c r="C2076">
        <v>1.1000000000000001</v>
      </c>
      <c r="D2076" t="s">
        <v>3024</v>
      </c>
      <c r="E2076" t="s">
        <v>11</v>
      </c>
      <c r="G2076" t="s">
        <v>936</v>
      </c>
      <c r="H2076" t="s">
        <v>938</v>
      </c>
    </row>
    <row r="2077" spans="1:10" x14ac:dyDescent="0.25">
      <c r="A2077" t="s">
        <v>3039</v>
      </c>
      <c r="B2077" s="1" t="str">
        <f>HYPERLINK("https://asmlis.vasa.lt/Dashboard/Served?ServiceDateFrom=2025-11-24&amp;ServiceDateTo=2025-11-24&amp;DumpsterInvNr=13-L-106046", "13-L-106046")</f>
        <v>13-L-106046</v>
      </c>
      <c r="C2077">
        <v>0.12</v>
      </c>
      <c r="D2077" t="s">
        <v>2580</v>
      </c>
      <c r="E2077" t="s">
        <v>11</v>
      </c>
      <c r="F2077" t="s">
        <v>2556</v>
      </c>
      <c r="G2077" t="s">
        <v>1912</v>
      </c>
      <c r="H2077" t="s">
        <v>432</v>
      </c>
      <c r="J2077" t="s">
        <v>17511</v>
      </c>
    </row>
    <row r="2078" spans="1:10" hidden="1" x14ac:dyDescent="0.25">
      <c r="A2078" t="s">
        <v>3040</v>
      </c>
      <c r="B2078" s="1" t="str">
        <f>HYPERLINK("https://asmlis.vasa.lt/Dashboard/Served?ServiceDateFrom=2025-11-24&amp;ServiceDateTo=2025-11-24&amp;DumpsterInvNr=13-L-136658", "13-L-136658")</f>
        <v>13-L-136658</v>
      </c>
      <c r="C2078">
        <v>0.77</v>
      </c>
      <c r="D2078" t="s">
        <v>1930</v>
      </c>
      <c r="E2078" t="s">
        <v>11</v>
      </c>
      <c r="G2078" t="s">
        <v>430</v>
      </c>
      <c r="H2078" t="s">
        <v>432</v>
      </c>
    </row>
    <row r="2079" spans="1:10" hidden="1" x14ac:dyDescent="0.25">
      <c r="A2079" t="s">
        <v>3040</v>
      </c>
      <c r="B2079" s="1" t="str">
        <f>HYPERLINK("https://asmlis.vasa.lt/Dashboard/Served?ServiceDateFrom=2025-11-24&amp;ServiceDateTo=2025-11-24&amp;DumpsterInvNr=13-P-300446", "13-P-300446")</f>
        <v>13-P-300446</v>
      </c>
      <c r="C2079">
        <v>1.1000000000000001</v>
      </c>
      <c r="D2079" t="s">
        <v>3041</v>
      </c>
      <c r="E2079" t="s">
        <v>11</v>
      </c>
      <c r="F2079" t="s">
        <v>13</v>
      </c>
      <c r="G2079" t="s">
        <v>412</v>
      </c>
      <c r="H2079" t="s">
        <v>14</v>
      </c>
    </row>
    <row r="2080" spans="1:10" hidden="1" x14ac:dyDescent="0.25">
      <c r="A2080" t="s">
        <v>3042</v>
      </c>
      <c r="B2080" s="1" t="str">
        <f>HYPERLINK("https://asmlis.vasa.lt/Dashboard/Served?ServiceDateFrom=2025-11-24&amp;ServiceDateTo=2025-11-24&amp;DumpsterInvNr=13-P-300358", "13-P-300358")</f>
        <v>13-P-300358</v>
      </c>
      <c r="C2080">
        <v>1.1000000000000001</v>
      </c>
      <c r="D2080" t="s">
        <v>3041</v>
      </c>
      <c r="E2080" t="s">
        <v>11</v>
      </c>
      <c r="F2080" t="s">
        <v>13</v>
      </c>
      <c r="G2080" t="s">
        <v>412</v>
      </c>
      <c r="H2080" t="s">
        <v>14</v>
      </c>
    </row>
    <row r="2081" spans="1:8" hidden="1" x14ac:dyDescent="0.25">
      <c r="A2081" t="s">
        <v>3043</v>
      </c>
      <c r="B2081" s="1" t="str">
        <f>HYPERLINK("https://asmlis.vasa.lt/Dashboard/Served?ServiceDateFrom=2025-11-24&amp;ServiceDateTo=2025-11-24&amp;DumpsterInvNr=13-L-217225", "13-L-217225")</f>
        <v>13-L-217225</v>
      </c>
      <c r="C2081">
        <v>5</v>
      </c>
      <c r="D2081" t="s">
        <v>3044</v>
      </c>
      <c r="E2081" t="s">
        <v>11</v>
      </c>
      <c r="G2081" t="s">
        <v>936</v>
      </c>
      <c r="H2081" t="s">
        <v>938</v>
      </c>
    </row>
    <row r="2082" spans="1:8" hidden="1" x14ac:dyDescent="0.25">
      <c r="A2082" t="s">
        <v>2648</v>
      </c>
      <c r="B2082" s="1" t="str">
        <f>HYPERLINK("https://asmlis.vasa.lt/Dashboard/Served?ServiceDateFrom=2025-11-24&amp;ServiceDateTo=2025-11-24&amp;DumpsterInvNr=13-L-224651", "13-L-224651")</f>
        <v>13-L-224651</v>
      </c>
      <c r="C2082">
        <v>1.1000000000000001</v>
      </c>
      <c r="D2082" t="s">
        <v>3024</v>
      </c>
      <c r="E2082" t="s">
        <v>11</v>
      </c>
      <c r="G2082" t="s">
        <v>936</v>
      </c>
      <c r="H2082" t="s">
        <v>938</v>
      </c>
    </row>
    <row r="2083" spans="1:8" hidden="1" x14ac:dyDescent="0.25">
      <c r="A2083" t="s">
        <v>3045</v>
      </c>
      <c r="B2083" s="1" t="str">
        <f>HYPERLINK("https://asmlis.vasa.lt/Dashboard/Served?ServiceDateFrom=2025-11-24&amp;ServiceDateTo=2025-11-24&amp;DumpsterInvNr=13-P-412940", "13-P-412940")</f>
        <v>13-P-412940</v>
      </c>
      <c r="C2083">
        <v>0.24</v>
      </c>
      <c r="D2083" t="s">
        <v>3046</v>
      </c>
      <c r="E2083" t="s">
        <v>11</v>
      </c>
      <c r="G2083" t="s">
        <v>264</v>
      </c>
      <c r="H2083" t="s">
        <v>14</v>
      </c>
    </row>
    <row r="2084" spans="1:8" hidden="1" x14ac:dyDescent="0.25">
      <c r="A2084" t="s">
        <v>3045</v>
      </c>
      <c r="B2084" s="1" t="str">
        <f>HYPERLINK("https://asmlis.vasa.lt/Dashboard/Served?ServiceDateFrom=2025-11-24&amp;ServiceDateTo=2025-11-24&amp;DumpsterInvNr=13-P-400660", "13-P-400660")</f>
        <v>13-P-400660</v>
      </c>
      <c r="C2084">
        <v>5</v>
      </c>
      <c r="D2084" t="s">
        <v>3047</v>
      </c>
      <c r="E2084" t="s">
        <v>11</v>
      </c>
      <c r="G2084" t="s">
        <v>264</v>
      </c>
      <c r="H2084" t="s">
        <v>14</v>
      </c>
    </row>
    <row r="2085" spans="1:8" hidden="1" x14ac:dyDescent="0.25">
      <c r="A2085" t="s">
        <v>3045</v>
      </c>
      <c r="B2085" s="1" t="str">
        <f>HYPERLINK("https://asmlis.vasa.lt/Dashboard/Served?ServiceDateFrom=2025-11-24&amp;ServiceDateTo=2025-11-24&amp;DumpsterInvNr=13-P-210349", "13-P-210349")</f>
        <v>13-P-210349</v>
      </c>
      <c r="C2085">
        <v>0.24</v>
      </c>
      <c r="D2085" t="s">
        <v>3048</v>
      </c>
      <c r="E2085" t="s">
        <v>11</v>
      </c>
      <c r="G2085" t="s">
        <v>234</v>
      </c>
      <c r="H2085" t="s">
        <v>14</v>
      </c>
    </row>
    <row r="2086" spans="1:8" hidden="1" x14ac:dyDescent="0.25">
      <c r="A2086" t="s">
        <v>3049</v>
      </c>
      <c r="B2086" s="1" t="str">
        <f>HYPERLINK("https://asmlis.vasa.lt/Dashboard/Served?ServiceDateFrom=2025-11-24&amp;ServiceDateTo=2025-11-24&amp;DumpsterInvNr=13-L-129190", "13-L-129190")</f>
        <v>13-L-129190</v>
      </c>
      <c r="C2086">
        <v>1.1000000000000001</v>
      </c>
      <c r="D2086" t="s">
        <v>3050</v>
      </c>
      <c r="E2086" t="s">
        <v>11</v>
      </c>
      <c r="G2086" t="s">
        <v>430</v>
      </c>
      <c r="H2086" t="s">
        <v>432</v>
      </c>
    </row>
    <row r="2087" spans="1:8" hidden="1" x14ac:dyDescent="0.25">
      <c r="A2087" t="s">
        <v>3051</v>
      </c>
      <c r="B2087" s="1" t="str">
        <f>HYPERLINK("https://asmlis.vasa.lt/Dashboard/Served?ServiceDateFrom=2025-11-24&amp;ServiceDateTo=2025-11-24&amp;DumpsterInvNr=13-P-408884", "13-P-408884")</f>
        <v>13-P-408884</v>
      </c>
      <c r="C2087">
        <v>1.1000000000000001</v>
      </c>
      <c r="D2087" t="s">
        <v>3052</v>
      </c>
      <c r="E2087" t="s">
        <v>11</v>
      </c>
      <c r="G2087" t="s">
        <v>264</v>
      </c>
      <c r="H2087" t="s">
        <v>14</v>
      </c>
    </row>
    <row r="2088" spans="1:8" hidden="1" x14ac:dyDescent="0.25">
      <c r="A2088" t="s">
        <v>3053</v>
      </c>
      <c r="B2088" s="1" t="str">
        <f>HYPERLINK("https://asmlis.vasa.lt/Dashboard/Served?ServiceDateFrom=2025-11-24&amp;ServiceDateTo=2025-11-24&amp;DumpsterInvNr=13-L-139357", "13-L-139357")</f>
        <v>13-L-139357</v>
      </c>
      <c r="C2088">
        <v>0.24</v>
      </c>
      <c r="D2088" t="s">
        <v>3054</v>
      </c>
      <c r="E2088" t="s">
        <v>11</v>
      </c>
      <c r="G2088" t="s">
        <v>430</v>
      </c>
      <c r="H2088" t="s">
        <v>432</v>
      </c>
    </row>
    <row r="2089" spans="1:8" hidden="1" x14ac:dyDescent="0.25">
      <c r="A2089" t="s">
        <v>3053</v>
      </c>
      <c r="B2089" s="1" t="str">
        <f>HYPERLINK("https://asmlis.vasa.lt/Dashboard/Served?ServiceDateFrom=2025-11-24&amp;ServiceDateTo=2025-11-24&amp;DumpsterInvNr=13-L-144230", "13-L-144230")</f>
        <v>13-L-144230</v>
      </c>
      <c r="C2089">
        <v>0.24</v>
      </c>
      <c r="D2089" t="s">
        <v>3055</v>
      </c>
      <c r="E2089" t="s">
        <v>11</v>
      </c>
      <c r="G2089" t="s">
        <v>1912</v>
      </c>
      <c r="H2089" t="s">
        <v>432</v>
      </c>
    </row>
    <row r="2090" spans="1:8" hidden="1" x14ac:dyDescent="0.25">
      <c r="A2090" t="s">
        <v>3053</v>
      </c>
      <c r="B2090" s="1" t="str">
        <f>HYPERLINK("https://asmlis.vasa.lt/Dashboard/Served?ServiceDateFrom=2025-11-24&amp;ServiceDateTo=2025-11-24&amp;DumpsterInvNr=13-P-505947", "13-P-505947")</f>
        <v>13-P-505947</v>
      </c>
      <c r="C2090">
        <v>0.24</v>
      </c>
      <c r="D2090" t="s">
        <v>3054</v>
      </c>
      <c r="E2090" t="s">
        <v>11</v>
      </c>
      <c r="G2090" t="s">
        <v>2178</v>
      </c>
      <c r="H2090" t="s">
        <v>432</v>
      </c>
    </row>
    <row r="2091" spans="1:8" hidden="1" x14ac:dyDescent="0.25">
      <c r="A2091" t="s">
        <v>3056</v>
      </c>
      <c r="B2091" s="1" t="str">
        <f>HYPERLINK("https://asmlis.vasa.lt/Dashboard/Served?ServiceDateFrom=2025-11-24&amp;ServiceDateTo=2025-11-24&amp;DumpsterInvNr=13-S-404800", "13-S-404800")</f>
        <v>13-S-404800</v>
      </c>
      <c r="C2091">
        <v>0.12</v>
      </c>
      <c r="D2091" t="s">
        <v>3046</v>
      </c>
      <c r="E2091" t="s">
        <v>11</v>
      </c>
      <c r="G2091" t="s">
        <v>264</v>
      </c>
      <c r="H2091" t="s">
        <v>14</v>
      </c>
    </row>
    <row r="2092" spans="1:8" hidden="1" x14ac:dyDescent="0.25">
      <c r="A2092" t="s">
        <v>3056</v>
      </c>
      <c r="B2092" s="1" t="str">
        <f>HYPERLINK("https://asmlis.vasa.lt/Dashboard/Served?ServiceDateFrom=2025-11-24&amp;ServiceDateTo=2025-11-24&amp;DumpsterInvNr=13-P-401649", "13-P-401649")</f>
        <v>13-P-401649</v>
      </c>
      <c r="C2092">
        <v>0.24</v>
      </c>
      <c r="D2092" t="s">
        <v>3057</v>
      </c>
      <c r="E2092" t="s">
        <v>11</v>
      </c>
      <c r="G2092" t="s">
        <v>264</v>
      </c>
      <c r="H2092" t="s">
        <v>14</v>
      </c>
    </row>
    <row r="2093" spans="1:8" hidden="1" x14ac:dyDescent="0.25">
      <c r="A2093" t="s">
        <v>3058</v>
      </c>
      <c r="B2093" s="1" t="str">
        <f>HYPERLINK("https://asmlis.vasa.lt/Dashboard/Served?ServiceDateFrom=2025-11-24&amp;ServiceDateTo=2025-11-24&amp;DumpsterInvNr=13-L-138833", "13-L-138833")</f>
        <v>13-L-138833</v>
      </c>
      <c r="C2093">
        <v>5</v>
      </c>
      <c r="D2093" t="s">
        <v>3059</v>
      </c>
      <c r="E2093" t="s">
        <v>11</v>
      </c>
      <c r="F2093" t="s">
        <v>13</v>
      </c>
      <c r="G2093" t="s">
        <v>1912</v>
      </c>
      <c r="H2093" t="s">
        <v>432</v>
      </c>
    </row>
    <row r="2094" spans="1:8" hidden="1" x14ac:dyDescent="0.25">
      <c r="A2094" t="s">
        <v>3060</v>
      </c>
      <c r="B2094" s="1" t="str">
        <f>HYPERLINK("https://asmlis.vasa.lt/Dashboard/Served?ServiceDateFrom=2025-11-24&amp;ServiceDateTo=2025-11-24&amp;DumpsterInvNr=13-L-226305", "13-L-226305")</f>
        <v>13-L-226305</v>
      </c>
      <c r="C2094">
        <v>1.1000000000000001</v>
      </c>
      <c r="D2094" t="s">
        <v>3024</v>
      </c>
      <c r="E2094" t="s">
        <v>11</v>
      </c>
      <c r="G2094" t="s">
        <v>936</v>
      </c>
      <c r="H2094" t="s">
        <v>938</v>
      </c>
    </row>
    <row r="2095" spans="1:8" hidden="1" x14ac:dyDescent="0.25">
      <c r="A2095" t="s">
        <v>3062</v>
      </c>
      <c r="B2095" s="1" t="str">
        <f>HYPERLINK("https://asmlis.vasa.lt/Dashboard/Served?ServiceDateFrom=2025-11-24&amp;ServiceDateTo=2025-11-24&amp;DumpsterInvNr=13-L-219032", "13-L-219032")</f>
        <v>13-L-219032</v>
      </c>
      <c r="C2095">
        <v>1.1000000000000001</v>
      </c>
      <c r="D2095" t="s">
        <v>3063</v>
      </c>
      <c r="E2095" t="s">
        <v>11</v>
      </c>
      <c r="G2095" t="s">
        <v>936</v>
      </c>
      <c r="H2095" t="s">
        <v>938</v>
      </c>
    </row>
    <row r="2096" spans="1:8" hidden="1" x14ac:dyDescent="0.25">
      <c r="A2096" t="s">
        <v>3064</v>
      </c>
      <c r="B2096" s="1" t="str">
        <f>HYPERLINK("https://asmlis.vasa.lt/Dashboard/Served?ServiceDateFrom=2025-11-24&amp;ServiceDateTo=2025-11-24&amp;DumpsterInvNr=13-L-426054", "13-L-426054")</f>
        <v>13-L-426054</v>
      </c>
      <c r="C2096">
        <v>1.1000000000000001</v>
      </c>
      <c r="D2096" t="s">
        <v>2946</v>
      </c>
      <c r="E2096" t="s">
        <v>11</v>
      </c>
      <c r="F2096" t="s">
        <v>13</v>
      </c>
      <c r="G2096" t="s">
        <v>74</v>
      </c>
      <c r="H2096" t="s">
        <v>14</v>
      </c>
    </row>
    <row r="2097" spans="1:8" hidden="1" x14ac:dyDescent="0.25">
      <c r="A2097" t="s">
        <v>2911</v>
      </c>
      <c r="B2097" s="1" t="str">
        <f>HYPERLINK("https://asmlis.vasa.lt/Dashboard/Served?ServiceDateFrom=2025-11-24&amp;ServiceDateTo=2025-11-24&amp;DumpsterInvNr=13-P-413854", "13-P-413854")</f>
        <v>13-P-413854</v>
      </c>
      <c r="C2097">
        <v>5</v>
      </c>
      <c r="D2097" t="s">
        <v>654</v>
      </c>
      <c r="E2097" t="s">
        <v>11</v>
      </c>
      <c r="F2097" t="s">
        <v>13</v>
      </c>
      <c r="G2097" t="s">
        <v>264</v>
      </c>
      <c r="H2097" t="s">
        <v>14</v>
      </c>
    </row>
    <row r="2098" spans="1:8" hidden="1" x14ac:dyDescent="0.25">
      <c r="A2098" t="s">
        <v>3065</v>
      </c>
      <c r="B2098" s="1" t="str">
        <f>HYPERLINK("https://asmlis.vasa.lt/Dashboard/Served?ServiceDateFrom=2025-11-24&amp;ServiceDateTo=2025-11-24&amp;DumpsterInvNr=13-L-424160", "13-L-424160")</f>
        <v>13-L-424160</v>
      </c>
      <c r="C2098">
        <v>1.1000000000000001</v>
      </c>
      <c r="D2098" t="s">
        <v>2946</v>
      </c>
      <c r="E2098" t="s">
        <v>11</v>
      </c>
      <c r="F2098" t="s">
        <v>13</v>
      </c>
      <c r="G2098" t="s">
        <v>74</v>
      </c>
      <c r="H2098" t="s">
        <v>14</v>
      </c>
    </row>
    <row r="2099" spans="1:8" hidden="1" x14ac:dyDescent="0.25">
      <c r="A2099" t="s">
        <v>3066</v>
      </c>
      <c r="B2099" s="1" t="str">
        <f>HYPERLINK("https://asmlis.vasa.lt/Dashboard/Served?ServiceDateFrom=2025-11-24&amp;ServiceDateTo=2025-11-24&amp;DumpsterInvNr=13-S-408106", "13-S-408106")</f>
        <v>13-S-408106</v>
      </c>
      <c r="C2099">
        <v>0.12</v>
      </c>
      <c r="D2099" t="s">
        <v>3057</v>
      </c>
      <c r="E2099" t="s">
        <v>11</v>
      </c>
      <c r="F2099" t="s">
        <v>1209</v>
      </c>
      <c r="G2099" t="s">
        <v>264</v>
      </c>
      <c r="H2099" t="s">
        <v>14</v>
      </c>
    </row>
    <row r="2100" spans="1:8" hidden="1" x14ac:dyDescent="0.25">
      <c r="A2100" t="s">
        <v>3067</v>
      </c>
      <c r="B2100" s="1" t="str">
        <f>HYPERLINK("https://asmlis.vasa.lt/Dashboard/Served?ServiceDateFrom=2025-11-24&amp;ServiceDateTo=2025-11-24&amp;DumpsterInvNr=13-L-309021", "13-L-309021")</f>
        <v>13-L-309021</v>
      </c>
      <c r="C2100">
        <v>5</v>
      </c>
      <c r="D2100" t="s">
        <v>1492</v>
      </c>
      <c r="E2100" t="s">
        <v>11</v>
      </c>
      <c r="F2100" t="s">
        <v>13</v>
      </c>
      <c r="G2100" t="s">
        <v>9</v>
      </c>
      <c r="H2100" t="s">
        <v>14</v>
      </c>
    </row>
    <row r="2101" spans="1:8" hidden="1" x14ac:dyDescent="0.25">
      <c r="A2101" t="s">
        <v>3068</v>
      </c>
      <c r="B2101" s="1" t="str">
        <f>HYPERLINK("https://asmlis.vasa.lt/Dashboard/Served?ServiceDateFrom=2025-11-24&amp;ServiceDateTo=2025-11-24&amp;DumpsterInvNr=13-L-424166", "13-L-424166")</f>
        <v>13-L-424166</v>
      </c>
      <c r="C2101">
        <v>1.1000000000000001</v>
      </c>
      <c r="D2101" t="s">
        <v>2946</v>
      </c>
      <c r="E2101" t="s">
        <v>11</v>
      </c>
      <c r="F2101" t="s">
        <v>13</v>
      </c>
      <c r="G2101" t="s">
        <v>74</v>
      </c>
      <c r="H2101" t="s">
        <v>14</v>
      </c>
    </row>
    <row r="2102" spans="1:8" hidden="1" x14ac:dyDescent="0.25">
      <c r="A2102" t="s">
        <v>3068</v>
      </c>
      <c r="B2102" s="1" t="str">
        <f>HYPERLINK("https://asmlis.vasa.lt/Dashboard/Served?ServiceDateFrom=2025-11-24&amp;ServiceDateTo=2025-11-24&amp;DumpsterInvNr=13-L-316093", "13-L-316093")</f>
        <v>13-L-316093</v>
      </c>
      <c r="C2102">
        <v>1.1000000000000001</v>
      </c>
      <c r="D2102" t="s">
        <v>3069</v>
      </c>
      <c r="E2102" t="s">
        <v>11</v>
      </c>
      <c r="G2102" t="s">
        <v>9</v>
      </c>
      <c r="H2102" t="s">
        <v>14</v>
      </c>
    </row>
    <row r="2103" spans="1:8" hidden="1" x14ac:dyDescent="0.25">
      <c r="A2103" t="s">
        <v>3070</v>
      </c>
      <c r="B2103" s="1" t="str">
        <f>HYPERLINK("https://asmlis.vasa.lt/Dashboard/Served?ServiceDateFrom=2025-11-24&amp;ServiceDateTo=2025-11-24&amp;DumpsterInvNr=13-L-212782", "13-L-212782")</f>
        <v>13-L-212782</v>
      </c>
      <c r="C2103">
        <v>1.1000000000000001</v>
      </c>
      <c r="D2103" t="s">
        <v>3024</v>
      </c>
      <c r="E2103" t="s">
        <v>11</v>
      </c>
      <c r="G2103" t="s">
        <v>936</v>
      </c>
      <c r="H2103" t="s">
        <v>938</v>
      </c>
    </row>
    <row r="2104" spans="1:8" hidden="1" x14ac:dyDescent="0.25">
      <c r="A2104" t="s">
        <v>3071</v>
      </c>
      <c r="B2104" s="1" t="str">
        <f>HYPERLINK("https://asmlis.vasa.lt/Dashboard/Served?ServiceDateFrom=2025-11-24&amp;ServiceDateTo=2025-11-24&amp;DumpsterInvNr=13-L-423633", "13-L-423633")</f>
        <v>13-L-423633</v>
      </c>
      <c r="C2104">
        <v>1.1000000000000001</v>
      </c>
      <c r="D2104" t="s">
        <v>2946</v>
      </c>
      <c r="E2104" t="s">
        <v>11</v>
      </c>
      <c r="F2104" t="s">
        <v>13</v>
      </c>
      <c r="G2104" t="s">
        <v>74</v>
      </c>
      <c r="H2104" t="s">
        <v>14</v>
      </c>
    </row>
    <row r="2105" spans="1:8" hidden="1" x14ac:dyDescent="0.25">
      <c r="A2105" t="s">
        <v>3072</v>
      </c>
      <c r="B2105" s="1" t="str">
        <f>HYPERLINK("https://asmlis.vasa.lt/Dashboard/Served?ServiceDateFrom=2025-11-24&amp;ServiceDateTo=2025-11-24&amp;DumpsterInvNr=13-L-125961", "13-L-125961")</f>
        <v>13-L-125961</v>
      </c>
      <c r="C2105">
        <v>0.12</v>
      </c>
      <c r="D2105" t="s">
        <v>3073</v>
      </c>
      <c r="E2105" t="s">
        <v>11</v>
      </c>
      <c r="G2105" t="s">
        <v>430</v>
      </c>
      <c r="H2105" t="s">
        <v>432</v>
      </c>
    </row>
    <row r="2106" spans="1:8" hidden="1" x14ac:dyDescent="0.25">
      <c r="A2106" t="s">
        <v>3072</v>
      </c>
      <c r="B2106" s="1" t="str">
        <f>HYPERLINK("https://asmlis.vasa.lt/Dashboard/Served?ServiceDateFrom=2025-11-24&amp;ServiceDateTo=2025-11-24&amp;DumpsterInvNr=13-L-144809", "13-L-144809")</f>
        <v>13-L-144809</v>
      </c>
      <c r="C2106">
        <v>5</v>
      </c>
      <c r="D2106" t="s">
        <v>3074</v>
      </c>
      <c r="E2106" t="s">
        <v>11</v>
      </c>
      <c r="F2106" t="s">
        <v>13</v>
      </c>
      <c r="G2106" t="s">
        <v>430</v>
      </c>
      <c r="H2106" t="s">
        <v>432</v>
      </c>
    </row>
    <row r="2107" spans="1:8" hidden="1" x14ac:dyDescent="0.25">
      <c r="A2107" t="s">
        <v>3072</v>
      </c>
      <c r="B2107" s="1" t="str">
        <f>HYPERLINK("https://asmlis.vasa.lt/Dashboard/Served?ServiceDateFrom=2025-11-24&amp;ServiceDateTo=2025-11-24&amp;DumpsterInvNr=13-P-505606", "13-P-505606")</f>
        <v>13-P-505606</v>
      </c>
      <c r="C2107">
        <v>0.12</v>
      </c>
      <c r="D2107" t="s">
        <v>3073</v>
      </c>
      <c r="E2107" t="s">
        <v>11</v>
      </c>
      <c r="G2107" t="s">
        <v>2178</v>
      </c>
      <c r="H2107" t="s">
        <v>432</v>
      </c>
    </row>
    <row r="2108" spans="1:8" hidden="1" x14ac:dyDescent="0.25">
      <c r="A2108" t="s">
        <v>3077</v>
      </c>
      <c r="B2108" s="1" t="str">
        <f>HYPERLINK("https://asmlis.vasa.lt/Dashboard/Served?ServiceDateFrom=2025-11-24&amp;ServiceDateTo=2025-11-24&amp;DumpsterInvNr=13-L-225150", "13-L-225150")</f>
        <v>13-L-225150</v>
      </c>
      <c r="C2108">
        <v>1.1000000000000001</v>
      </c>
      <c r="D2108" t="s">
        <v>3063</v>
      </c>
      <c r="E2108" t="s">
        <v>11</v>
      </c>
      <c r="G2108" t="s">
        <v>936</v>
      </c>
      <c r="H2108" t="s">
        <v>938</v>
      </c>
    </row>
    <row r="2109" spans="1:8" hidden="1" x14ac:dyDescent="0.25">
      <c r="A2109" t="s">
        <v>3078</v>
      </c>
      <c r="B2109" s="1" t="str">
        <f>HYPERLINK("https://asmlis.vasa.lt/Dashboard/Served?ServiceDateFrom=2025-11-24&amp;ServiceDateTo=2025-11-24&amp;DumpsterInvNr=13-P-212594", "13-P-212594")</f>
        <v>13-P-212594</v>
      </c>
      <c r="C2109">
        <v>0.24</v>
      </c>
      <c r="D2109" t="s">
        <v>3079</v>
      </c>
      <c r="E2109" t="s">
        <v>11</v>
      </c>
      <c r="F2109" t="s">
        <v>1209</v>
      </c>
      <c r="G2109" t="s">
        <v>234</v>
      </c>
      <c r="H2109" t="s">
        <v>14</v>
      </c>
    </row>
    <row r="2110" spans="1:8" hidden="1" x14ac:dyDescent="0.25">
      <c r="A2110" t="s">
        <v>2676</v>
      </c>
      <c r="B2110" s="1" t="str">
        <f>HYPERLINK("https://asmlis.vasa.lt/Dashboard/Served?ServiceDateFrom=2025-11-24&amp;ServiceDateTo=2025-11-24&amp;DumpsterInvNr=13-P-101109", "13-P-101109")</f>
        <v>13-P-101109</v>
      </c>
      <c r="C2110">
        <v>0.12</v>
      </c>
      <c r="D2110" t="s">
        <v>2580</v>
      </c>
      <c r="E2110" t="s">
        <v>11</v>
      </c>
      <c r="F2110" t="s">
        <v>1209</v>
      </c>
      <c r="G2110" t="s">
        <v>1917</v>
      </c>
      <c r="H2110" t="s">
        <v>432</v>
      </c>
    </row>
    <row r="2111" spans="1:8" hidden="1" x14ac:dyDescent="0.25">
      <c r="A2111" t="s">
        <v>3080</v>
      </c>
      <c r="B2111" s="1" t="str">
        <f>HYPERLINK("https://asmlis.vasa.lt/Dashboard/Served?ServiceDateFrom=2025-11-24&amp;ServiceDateTo=2025-11-24&amp;DumpsterInvNr=13-L-414978", "13-L-414978")</f>
        <v>13-L-414978</v>
      </c>
      <c r="C2111">
        <v>0.24</v>
      </c>
      <c r="D2111" t="s">
        <v>3081</v>
      </c>
      <c r="E2111" t="s">
        <v>11</v>
      </c>
      <c r="F2111" t="s">
        <v>1209</v>
      </c>
      <c r="G2111" t="s">
        <v>74</v>
      </c>
      <c r="H2111" t="s">
        <v>14</v>
      </c>
    </row>
    <row r="2112" spans="1:8" hidden="1" x14ac:dyDescent="0.25">
      <c r="A2112" t="s">
        <v>3080</v>
      </c>
      <c r="B2112" s="1" t="str">
        <f>HYPERLINK("https://asmlis.vasa.lt/Dashboard/Served?ServiceDateFrom=2025-11-24&amp;ServiceDateTo=2025-11-24&amp;DumpsterInvNr=13-P-500283", "13-P-500283")</f>
        <v>13-P-500283</v>
      </c>
      <c r="C2112">
        <v>5</v>
      </c>
      <c r="D2112" t="s">
        <v>2409</v>
      </c>
      <c r="E2112" t="s">
        <v>11</v>
      </c>
      <c r="F2112" t="s">
        <v>13</v>
      </c>
      <c r="G2112" t="s">
        <v>2178</v>
      </c>
      <c r="H2112" t="s">
        <v>432</v>
      </c>
    </row>
    <row r="2113" spans="1:8" hidden="1" x14ac:dyDescent="0.25">
      <c r="A2113" t="s">
        <v>3084</v>
      </c>
      <c r="B2113" s="1" t="str">
        <f>HYPERLINK("https://asmlis.vasa.lt/Dashboard/Served?ServiceDateFrom=2025-11-24&amp;ServiceDateTo=2025-11-24&amp;DumpsterInvNr=13-P-302994", "13-P-302994")</f>
        <v>13-P-302994</v>
      </c>
      <c r="C2113">
        <v>0.77</v>
      </c>
      <c r="D2113" t="s">
        <v>3085</v>
      </c>
      <c r="E2113" t="s">
        <v>11</v>
      </c>
      <c r="F2113" t="s">
        <v>13</v>
      </c>
      <c r="G2113" t="s">
        <v>412</v>
      </c>
      <c r="H2113" t="s">
        <v>14</v>
      </c>
    </row>
    <row r="2114" spans="1:8" hidden="1" x14ac:dyDescent="0.25">
      <c r="A2114" t="s">
        <v>3086</v>
      </c>
      <c r="B2114" s="1" t="str">
        <f>HYPERLINK("https://asmlis.vasa.lt/Dashboard/Served?ServiceDateFrom=2025-11-24&amp;ServiceDateTo=2025-11-24&amp;DumpsterInvNr=13-S-104135", "13-S-104135")</f>
        <v>13-S-104135</v>
      </c>
      <c r="C2114">
        <v>0.12</v>
      </c>
      <c r="D2114" t="s">
        <v>2580</v>
      </c>
      <c r="E2114" t="s">
        <v>11</v>
      </c>
      <c r="F2114" t="s">
        <v>1209</v>
      </c>
      <c r="G2114" t="s">
        <v>1917</v>
      </c>
      <c r="H2114" t="s">
        <v>432</v>
      </c>
    </row>
    <row r="2115" spans="1:8" hidden="1" x14ac:dyDescent="0.25">
      <c r="A2115" t="s">
        <v>3086</v>
      </c>
      <c r="B2115" s="1" t="str">
        <f>HYPERLINK("https://asmlis.vasa.lt/Dashboard/Served?ServiceDateFrom=2025-11-24&amp;ServiceDateTo=2025-11-24&amp;DumpsterInvNr=13-S-504826", "13-S-504826")</f>
        <v>13-S-504826</v>
      </c>
      <c r="C2115">
        <v>0.12</v>
      </c>
      <c r="D2115" t="s">
        <v>3027</v>
      </c>
      <c r="E2115" t="s">
        <v>11</v>
      </c>
      <c r="G2115" t="s">
        <v>2178</v>
      </c>
      <c r="H2115" t="s">
        <v>432</v>
      </c>
    </row>
    <row r="2116" spans="1:8" hidden="1" x14ac:dyDescent="0.25">
      <c r="A2116" t="s">
        <v>3087</v>
      </c>
      <c r="B2116" s="1" t="str">
        <f>HYPERLINK("https://asmlis.vasa.lt/Dashboard/Served?ServiceDateFrom=2025-11-24&amp;ServiceDateTo=2025-11-24&amp;DumpsterInvNr=13-L-408814", "13-L-408814")</f>
        <v>13-L-408814</v>
      </c>
      <c r="C2116">
        <v>0.24</v>
      </c>
      <c r="D2116" t="s">
        <v>3088</v>
      </c>
      <c r="E2116" t="s">
        <v>11</v>
      </c>
      <c r="F2116" t="s">
        <v>1209</v>
      </c>
      <c r="G2116" t="s">
        <v>74</v>
      </c>
      <c r="H2116" t="s">
        <v>14</v>
      </c>
    </row>
    <row r="2117" spans="1:8" hidden="1" x14ac:dyDescent="0.25">
      <c r="A2117" t="s">
        <v>3089</v>
      </c>
      <c r="B2117" s="1" t="str">
        <f>HYPERLINK("https://asmlis.vasa.lt/Dashboard/Served?ServiceDateFrom=2025-11-24&amp;ServiceDateTo=2025-11-24&amp;DumpsterInvNr=13-L-133455", "13-L-133455")</f>
        <v>13-L-133455</v>
      </c>
      <c r="C2117">
        <v>5</v>
      </c>
      <c r="D2117" t="s">
        <v>3090</v>
      </c>
      <c r="E2117" t="s">
        <v>11</v>
      </c>
      <c r="F2117" t="s">
        <v>13</v>
      </c>
      <c r="G2117" t="s">
        <v>430</v>
      </c>
      <c r="H2117" t="s">
        <v>432</v>
      </c>
    </row>
    <row r="2118" spans="1:8" hidden="1" x14ac:dyDescent="0.25">
      <c r="A2118" t="s">
        <v>3092</v>
      </c>
      <c r="B2118" s="1" t="str">
        <f>HYPERLINK("https://asmlis.vasa.lt/Dashboard/Served?ServiceDateFrom=2025-11-24&amp;ServiceDateTo=2025-11-24&amp;DumpsterInvNr=13-L-131682", "13-L-131682")</f>
        <v>13-L-131682</v>
      </c>
      <c r="C2118">
        <v>0.12</v>
      </c>
      <c r="D2118" t="s">
        <v>3027</v>
      </c>
      <c r="E2118" t="s">
        <v>11</v>
      </c>
      <c r="G2118" t="s">
        <v>430</v>
      </c>
      <c r="H2118" t="s">
        <v>432</v>
      </c>
    </row>
    <row r="2119" spans="1:8" hidden="1" x14ac:dyDescent="0.25">
      <c r="A2119" t="s">
        <v>3092</v>
      </c>
      <c r="B2119" s="1" t="str">
        <f>HYPERLINK("https://asmlis.vasa.lt/Dashboard/Served?ServiceDateFrom=2025-11-24&amp;ServiceDateTo=2025-11-24&amp;DumpsterInvNr=13-L-408813", "13-L-408813")</f>
        <v>13-L-408813</v>
      </c>
      <c r="C2119">
        <v>0.12</v>
      </c>
      <c r="D2119" t="s">
        <v>3093</v>
      </c>
      <c r="E2119" t="s">
        <v>11</v>
      </c>
      <c r="F2119" t="s">
        <v>1209</v>
      </c>
      <c r="G2119" t="s">
        <v>74</v>
      </c>
      <c r="H2119" t="s">
        <v>14</v>
      </c>
    </row>
    <row r="2120" spans="1:8" hidden="1" x14ac:dyDescent="0.25">
      <c r="A2120" t="s">
        <v>3092</v>
      </c>
      <c r="B2120" s="1" t="str">
        <f>HYPERLINK("https://asmlis.vasa.lt/Dashboard/Served?ServiceDateFrom=2025-11-24&amp;ServiceDateTo=2025-11-24&amp;DumpsterInvNr=13-P-507382", "13-P-507382")</f>
        <v>13-P-507382</v>
      </c>
      <c r="C2120">
        <v>0.12</v>
      </c>
      <c r="D2120" t="s">
        <v>3027</v>
      </c>
      <c r="E2120" t="s">
        <v>11</v>
      </c>
      <c r="G2120" t="s">
        <v>2178</v>
      </c>
      <c r="H2120" t="s">
        <v>432</v>
      </c>
    </row>
    <row r="2121" spans="1:8" hidden="1" x14ac:dyDescent="0.25">
      <c r="A2121" t="s">
        <v>3095</v>
      </c>
      <c r="B2121" s="1" t="str">
        <f>HYPERLINK("https://asmlis.vasa.lt/Dashboard/Served?ServiceDateFrom=2025-11-24&amp;ServiceDateTo=2025-11-24&amp;DumpsterInvNr=13-L-409197", "13-L-409197")</f>
        <v>13-L-409197</v>
      </c>
      <c r="C2121">
        <v>0.12</v>
      </c>
      <c r="D2121" t="s">
        <v>3096</v>
      </c>
      <c r="E2121" t="s">
        <v>11</v>
      </c>
      <c r="F2121" t="s">
        <v>1209</v>
      </c>
      <c r="G2121" t="s">
        <v>74</v>
      </c>
      <c r="H2121" t="s">
        <v>14</v>
      </c>
    </row>
    <row r="2122" spans="1:8" hidden="1" x14ac:dyDescent="0.25">
      <c r="A2122" t="s">
        <v>3095</v>
      </c>
      <c r="B2122" s="1" t="str">
        <f>HYPERLINK("https://asmlis.vasa.lt/Dashboard/Served?ServiceDateFrom=2025-11-24&amp;ServiceDateTo=2025-11-24&amp;DumpsterInvNr=13-P-210350", "13-P-210350")</f>
        <v>13-P-210350</v>
      </c>
      <c r="C2122">
        <v>0.24</v>
      </c>
      <c r="D2122" t="s">
        <v>3097</v>
      </c>
      <c r="E2122" t="s">
        <v>11</v>
      </c>
      <c r="G2122" t="s">
        <v>234</v>
      </c>
      <c r="H2122" t="s">
        <v>14</v>
      </c>
    </row>
    <row r="2123" spans="1:8" hidden="1" x14ac:dyDescent="0.25">
      <c r="A2123" t="s">
        <v>3098</v>
      </c>
      <c r="B2123" s="1" t="str">
        <f>HYPERLINK("https://asmlis.vasa.lt/Dashboard/Served?ServiceDateFrom=2025-11-24&amp;ServiceDateTo=2025-11-24&amp;DumpsterInvNr=13-L-219512", "13-L-219512")</f>
        <v>13-L-219512</v>
      </c>
      <c r="C2123">
        <v>0.24</v>
      </c>
      <c r="D2123" t="s">
        <v>2847</v>
      </c>
      <c r="E2123" t="s">
        <v>11</v>
      </c>
      <c r="G2123" t="s">
        <v>936</v>
      </c>
      <c r="H2123" t="s">
        <v>938</v>
      </c>
    </row>
    <row r="2124" spans="1:8" hidden="1" x14ac:dyDescent="0.25">
      <c r="A2124" t="s">
        <v>3099</v>
      </c>
      <c r="B2124" s="1" t="str">
        <f>HYPERLINK("https://asmlis.vasa.lt/Dashboard/Served?ServiceDateFrom=2025-11-24&amp;ServiceDateTo=2025-11-24&amp;DumpsterInvNr=13-L-218838", "13-L-218838")</f>
        <v>13-L-218838</v>
      </c>
      <c r="C2124">
        <v>0.24</v>
      </c>
      <c r="D2124" t="s">
        <v>2804</v>
      </c>
      <c r="E2124" t="s">
        <v>11</v>
      </c>
      <c r="G2124" t="s">
        <v>936</v>
      </c>
      <c r="H2124" t="s">
        <v>938</v>
      </c>
    </row>
    <row r="2125" spans="1:8" hidden="1" x14ac:dyDescent="0.25">
      <c r="A2125" t="s">
        <v>3100</v>
      </c>
      <c r="B2125" s="1" t="str">
        <f>HYPERLINK("https://asmlis.vasa.lt/Dashboard/Served?ServiceDateFrom=2025-11-24&amp;ServiceDateTo=2025-11-24&amp;DumpsterInvNr=13-L-418031", "13-L-418031")</f>
        <v>13-L-418031</v>
      </c>
      <c r="C2125">
        <v>5</v>
      </c>
      <c r="D2125" t="s">
        <v>3101</v>
      </c>
      <c r="E2125" t="s">
        <v>11</v>
      </c>
      <c r="F2125" t="s">
        <v>13</v>
      </c>
      <c r="G2125" t="s">
        <v>74</v>
      </c>
      <c r="H2125" t="s">
        <v>14</v>
      </c>
    </row>
    <row r="2126" spans="1:8" hidden="1" x14ac:dyDescent="0.25">
      <c r="A2126" t="s">
        <v>3102</v>
      </c>
      <c r="B2126" s="1" t="str">
        <f>HYPERLINK("https://asmlis.vasa.lt/Dashboard/Served?ServiceDateFrom=2025-11-24&amp;ServiceDateTo=2025-11-24&amp;DumpsterInvNr=13-L-418002", "13-L-418002")</f>
        <v>13-L-418002</v>
      </c>
      <c r="C2126">
        <v>5</v>
      </c>
      <c r="D2126" t="s">
        <v>3101</v>
      </c>
      <c r="E2126" t="s">
        <v>11</v>
      </c>
      <c r="F2126" t="s">
        <v>13</v>
      </c>
      <c r="G2126" t="s">
        <v>74</v>
      </c>
      <c r="H2126" t="s">
        <v>14</v>
      </c>
    </row>
    <row r="2127" spans="1:8" hidden="1" x14ac:dyDescent="0.25">
      <c r="A2127" t="s">
        <v>2598</v>
      </c>
      <c r="B2127" s="1" t="str">
        <f>HYPERLINK("https://asmlis.vasa.lt/Dashboard/Served?ServiceDateFrom=2025-11-24&amp;ServiceDateTo=2025-11-24&amp;DumpsterInvNr=13-P-403618", "13-P-403618")</f>
        <v>13-P-403618</v>
      </c>
      <c r="C2127">
        <v>0.24</v>
      </c>
      <c r="D2127" t="s">
        <v>3103</v>
      </c>
      <c r="E2127" t="s">
        <v>11</v>
      </c>
      <c r="G2127" t="s">
        <v>264</v>
      </c>
      <c r="H2127" t="s">
        <v>14</v>
      </c>
    </row>
    <row r="2128" spans="1:8" hidden="1" x14ac:dyDescent="0.25">
      <c r="A2128" t="s">
        <v>2644</v>
      </c>
      <c r="B2128" s="1" t="str">
        <f>HYPERLINK("https://asmlis.vasa.lt/Dashboard/Served?ServiceDateFrom=2025-11-24&amp;ServiceDateTo=2025-11-24&amp;DumpsterInvNr=13-L-115204", "13-L-115204")</f>
        <v>13-L-115204</v>
      </c>
      <c r="C2128">
        <v>0.12</v>
      </c>
      <c r="D2128" t="s">
        <v>3104</v>
      </c>
      <c r="E2128" t="s">
        <v>11</v>
      </c>
      <c r="G2128" t="s">
        <v>430</v>
      </c>
      <c r="H2128" t="s">
        <v>432</v>
      </c>
    </row>
    <row r="2129" spans="1:10" hidden="1" x14ac:dyDescent="0.25">
      <c r="A2129" t="s">
        <v>2644</v>
      </c>
      <c r="B2129" s="1" t="str">
        <f>HYPERLINK("https://asmlis.vasa.lt/Dashboard/Served?ServiceDateFrom=2025-11-24&amp;ServiceDateTo=2025-11-24&amp;DumpsterInvNr=13-L-118192", "13-L-118192")</f>
        <v>13-L-118192</v>
      </c>
      <c r="C2129">
        <v>0.12</v>
      </c>
      <c r="D2129" t="s">
        <v>3105</v>
      </c>
      <c r="E2129" t="s">
        <v>11</v>
      </c>
      <c r="G2129" t="s">
        <v>1912</v>
      </c>
      <c r="H2129" t="s">
        <v>432</v>
      </c>
    </row>
    <row r="2130" spans="1:10" hidden="1" x14ac:dyDescent="0.25">
      <c r="A2130" t="s">
        <v>2644</v>
      </c>
      <c r="B2130" s="1" t="str">
        <f>HYPERLINK("https://asmlis.vasa.lt/Dashboard/Served?ServiceDateFrom=2025-11-24&amp;ServiceDateTo=2025-11-24&amp;DumpsterInvNr=13-P-505605", "13-P-505605")</f>
        <v>13-P-505605</v>
      </c>
      <c r="C2130">
        <v>0.24</v>
      </c>
      <c r="D2130" t="s">
        <v>3104</v>
      </c>
      <c r="E2130" t="s">
        <v>11</v>
      </c>
      <c r="G2130" t="s">
        <v>2178</v>
      </c>
      <c r="H2130" t="s">
        <v>432</v>
      </c>
    </row>
    <row r="2131" spans="1:10" x14ac:dyDescent="0.25">
      <c r="A2131" t="s">
        <v>2865</v>
      </c>
      <c r="B2131" s="1" t="str">
        <f>HYPERLINK("https://asmlis.vasa.lt/Dashboard/Served?ServiceDateFrom=2025-11-24&amp;ServiceDateTo=2025-11-24&amp;DumpsterInvNr=13-L-416729", "13-L-416729")</f>
        <v>13-L-416729</v>
      </c>
      <c r="C2131">
        <v>1.1000000000000001</v>
      </c>
      <c r="D2131" t="s">
        <v>3107</v>
      </c>
      <c r="E2131" t="s">
        <v>11</v>
      </c>
      <c r="F2131" t="s">
        <v>3108</v>
      </c>
      <c r="G2131" t="s">
        <v>74</v>
      </c>
      <c r="H2131" t="s">
        <v>14</v>
      </c>
      <c r="J2131" t="s">
        <v>17511</v>
      </c>
    </row>
    <row r="2132" spans="1:10" hidden="1" x14ac:dyDescent="0.25">
      <c r="A2132" t="s">
        <v>2865</v>
      </c>
      <c r="B2132" s="1" t="str">
        <f>HYPERLINK("https://asmlis.vasa.lt/Dashboard/Served?ServiceDateFrom=2025-11-24&amp;ServiceDateTo=2025-11-24&amp;DumpsterInvNr=13-P-102451", "13-P-102451")</f>
        <v>13-P-102451</v>
      </c>
      <c r="C2132">
        <v>4</v>
      </c>
      <c r="D2132" t="s">
        <v>3109</v>
      </c>
      <c r="E2132" t="s">
        <v>11</v>
      </c>
      <c r="F2132" t="s">
        <v>13</v>
      </c>
      <c r="G2132" t="s">
        <v>1917</v>
      </c>
      <c r="H2132" t="s">
        <v>432</v>
      </c>
    </row>
    <row r="2133" spans="1:10" hidden="1" x14ac:dyDescent="0.25">
      <c r="A2133" t="s">
        <v>3110</v>
      </c>
      <c r="B2133" s="1" t="str">
        <f>HYPERLINK("https://asmlis.vasa.lt/Dashboard/Served?ServiceDateFrom=2025-11-24&amp;ServiceDateTo=2025-11-24&amp;DumpsterInvNr=13-P-114672", "13-P-114672")</f>
        <v>13-P-114672</v>
      </c>
      <c r="C2133">
        <v>0.12</v>
      </c>
      <c r="D2133" t="s">
        <v>3105</v>
      </c>
      <c r="E2133" t="s">
        <v>11</v>
      </c>
      <c r="G2133" t="s">
        <v>1917</v>
      </c>
      <c r="H2133" t="s">
        <v>432</v>
      </c>
    </row>
    <row r="2134" spans="1:10" hidden="1" x14ac:dyDescent="0.25">
      <c r="A2134" t="s">
        <v>3110</v>
      </c>
      <c r="B2134" s="1" t="str">
        <f>HYPERLINK("https://asmlis.vasa.lt/Dashboard/Served?ServiceDateFrom=2025-11-24&amp;ServiceDateTo=2025-11-24&amp;DumpsterInvNr=13-S-500473", "13-S-500473")</f>
        <v>13-S-500473</v>
      </c>
      <c r="C2134">
        <v>0.12</v>
      </c>
      <c r="D2134" t="s">
        <v>3073</v>
      </c>
      <c r="E2134" t="s">
        <v>11</v>
      </c>
      <c r="F2134" t="s">
        <v>1209</v>
      </c>
      <c r="G2134" t="s">
        <v>2178</v>
      </c>
      <c r="H2134" t="s">
        <v>432</v>
      </c>
    </row>
    <row r="2135" spans="1:10" hidden="1" x14ac:dyDescent="0.25">
      <c r="A2135" t="s">
        <v>3111</v>
      </c>
      <c r="B2135" s="1" t="str">
        <f>HYPERLINK("https://asmlis.vasa.lt/Dashboard/Served?ServiceDateFrom=2025-11-24&amp;ServiceDateTo=2025-11-24&amp;DumpsterInvNr=13-L-404668", "13-L-404668")</f>
        <v>13-L-404668</v>
      </c>
      <c r="C2135">
        <v>0.12</v>
      </c>
      <c r="D2135" t="s">
        <v>3112</v>
      </c>
      <c r="E2135" t="s">
        <v>11</v>
      </c>
      <c r="F2135" t="s">
        <v>1209</v>
      </c>
      <c r="G2135" t="s">
        <v>74</v>
      </c>
      <c r="H2135" t="s">
        <v>14</v>
      </c>
    </row>
    <row r="2136" spans="1:10" hidden="1" x14ac:dyDescent="0.25">
      <c r="A2136" t="s">
        <v>2932</v>
      </c>
      <c r="B2136" s="1" t="str">
        <f>HYPERLINK("https://asmlis.vasa.lt/Dashboard/Served?ServiceDateFrom=2025-11-24&amp;ServiceDateTo=2025-11-24&amp;DumpsterInvNr=13-S-101015", "13-S-101015")</f>
        <v>13-S-101015</v>
      </c>
      <c r="C2136">
        <v>0.12</v>
      </c>
      <c r="D2136" t="s">
        <v>3105</v>
      </c>
      <c r="E2136" t="s">
        <v>11</v>
      </c>
      <c r="F2136" t="s">
        <v>1209</v>
      </c>
      <c r="G2136" t="s">
        <v>1917</v>
      </c>
      <c r="H2136" t="s">
        <v>432</v>
      </c>
    </row>
    <row r="2137" spans="1:10" hidden="1" x14ac:dyDescent="0.25">
      <c r="A2137" t="s">
        <v>2932</v>
      </c>
      <c r="B2137" s="1" t="str">
        <f>HYPERLINK("https://asmlis.vasa.lt/Dashboard/Served?ServiceDateFrom=2025-11-24&amp;ServiceDateTo=2025-11-24&amp;DumpsterInvNr=13-P-500550", "13-P-500550")</f>
        <v>13-P-500550</v>
      </c>
      <c r="C2137">
        <v>3</v>
      </c>
      <c r="D2137" t="s">
        <v>3021</v>
      </c>
      <c r="E2137" t="s">
        <v>11</v>
      </c>
      <c r="F2137" t="s">
        <v>13</v>
      </c>
      <c r="G2137" t="s">
        <v>2178</v>
      </c>
      <c r="H2137" t="s">
        <v>432</v>
      </c>
    </row>
    <row r="2138" spans="1:10" hidden="1" x14ac:dyDescent="0.25">
      <c r="A2138" t="s">
        <v>3114</v>
      </c>
      <c r="B2138" s="1" t="str">
        <f>HYPERLINK("https://asmlis.vasa.lt/Dashboard/Served?ServiceDateFrom=2025-11-24&amp;ServiceDateTo=2025-11-24&amp;DumpsterInvNr=13-L-126100", "13-L-126100")</f>
        <v>13-L-126100</v>
      </c>
      <c r="C2138">
        <v>1.1000000000000001</v>
      </c>
      <c r="D2138" t="s">
        <v>3115</v>
      </c>
      <c r="E2138" t="s">
        <v>11</v>
      </c>
      <c r="G2138" t="s">
        <v>430</v>
      </c>
      <c r="H2138" t="s">
        <v>432</v>
      </c>
    </row>
    <row r="2139" spans="1:10" hidden="1" x14ac:dyDescent="0.25">
      <c r="A2139" t="s">
        <v>3116</v>
      </c>
      <c r="B2139" s="1" t="str">
        <f>HYPERLINK("https://asmlis.vasa.lt/Dashboard/Served?ServiceDateFrom=2025-11-24&amp;ServiceDateTo=2025-11-24&amp;DumpsterInvNr=13-P-431849", "13-P-431849")</f>
        <v>13-P-431849</v>
      </c>
      <c r="C2139">
        <v>0.24</v>
      </c>
      <c r="D2139" t="s">
        <v>3117</v>
      </c>
      <c r="E2139" t="s">
        <v>11</v>
      </c>
      <c r="F2139" t="s">
        <v>1209</v>
      </c>
      <c r="G2139" t="s">
        <v>264</v>
      </c>
      <c r="H2139" t="s">
        <v>14</v>
      </c>
    </row>
    <row r="2140" spans="1:10" hidden="1" x14ac:dyDescent="0.25">
      <c r="A2140" t="s">
        <v>3116</v>
      </c>
      <c r="B2140" s="1" t="str">
        <f>HYPERLINK("https://asmlis.vasa.lt/Dashboard/Served?ServiceDateFrom=2025-11-24&amp;ServiceDateTo=2025-11-24&amp;DumpsterInvNr=13-P-212643", "13-P-212643")</f>
        <v>13-P-212643</v>
      </c>
      <c r="C2140">
        <v>0.24</v>
      </c>
      <c r="D2140" t="s">
        <v>3118</v>
      </c>
      <c r="E2140" t="s">
        <v>11</v>
      </c>
      <c r="G2140" t="s">
        <v>234</v>
      </c>
      <c r="H2140" t="s">
        <v>14</v>
      </c>
    </row>
    <row r="2141" spans="1:10" hidden="1" x14ac:dyDescent="0.25">
      <c r="A2141" t="s">
        <v>2785</v>
      </c>
      <c r="B2141" s="1" t="str">
        <f>HYPERLINK("https://asmlis.vasa.lt/Dashboard/Served?ServiceDateFrom=2025-11-24&amp;ServiceDateTo=2025-11-24&amp;DumpsterInvNr=13-S-431879", "13-S-431879")</f>
        <v>13-S-431879</v>
      </c>
      <c r="C2141">
        <v>0.12</v>
      </c>
      <c r="D2141" t="s">
        <v>3117</v>
      </c>
      <c r="E2141" t="s">
        <v>11</v>
      </c>
      <c r="F2141" t="s">
        <v>1209</v>
      </c>
      <c r="G2141" t="s">
        <v>264</v>
      </c>
      <c r="H2141" t="s">
        <v>14</v>
      </c>
    </row>
    <row r="2142" spans="1:10" hidden="1" x14ac:dyDescent="0.25">
      <c r="A2142" t="s">
        <v>3119</v>
      </c>
      <c r="B2142" s="1" t="str">
        <f>HYPERLINK("https://asmlis.vasa.lt/Dashboard/Served?ServiceDateFrom=2025-11-24&amp;ServiceDateTo=2025-11-24&amp;DumpsterInvNr=13-L-115203", "13-L-115203")</f>
        <v>13-L-115203</v>
      </c>
      <c r="C2142">
        <v>0.24</v>
      </c>
      <c r="D2142" t="s">
        <v>3120</v>
      </c>
      <c r="E2142" t="s">
        <v>11</v>
      </c>
      <c r="G2142" t="s">
        <v>430</v>
      </c>
      <c r="H2142" t="s">
        <v>432</v>
      </c>
    </row>
    <row r="2143" spans="1:10" hidden="1" x14ac:dyDescent="0.25">
      <c r="A2143" t="s">
        <v>3119</v>
      </c>
      <c r="B2143" s="1" t="str">
        <f>HYPERLINK("https://asmlis.vasa.lt/Dashboard/Served?ServiceDateFrom=2025-11-24&amp;ServiceDateTo=2025-11-24&amp;DumpsterInvNr=13-P-431848", "13-P-431848")</f>
        <v>13-P-431848</v>
      </c>
      <c r="C2143">
        <v>0.24</v>
      </c>
      <c r="D2143" t="s">
        <v>3117</v>
      </c>
      <c r="E2143" t="s">
        <v>11</v>
      </c>
      <c r="F2143" t="s">
        <v>1209</v>
      </c>
      <c r="G2143" t="s">
        <v>264</v>
      </c>
      <c r="H2143" t="s">
        <v>14</v>
      </c>
    </row>
    <row r="2144" spans="1:10" hidden="1" x14ac:dyDescent="0.25">
      <c r="A2144" t="s">
        <v>3119</v>
      </c>
      <c r="B2144" s="1" t="str">
        <f>HYPERLINK("https://asmlis.vasa.lt/Dashboard/Served?ServiceDateFrom=2025-11-24&amp;ServiceDateTo=2025-11-24&amp;DumpsterInvNr=13-P-505604", "13-P-505604")</f>
        <v>13-P-505604</v>
      </c>
      <c r="C2144">
        <v>0.24</v>
      </c>
      <c r="D2144" t="s">
        <v>3120</v>
      </c>
      <c r="E2144" t="s">
        <v>11</v>
      </c>
      <c r="G2144" t="s">
        <v>2178</v>
      </c>
      <c r="H2144" t="s">
        <v>432</v>
      </c>
    </row>
    <row r="2145" spans="1:10" hidden="1" x14ac:dyDescent="0.25">
      <c r="A2145" t="s">
        <v>2976</v>
      </c>
      <c r="B2145" s="1" t="str">
        <f>HYPERLINK("https://asmlis.vasa.lt/Dashboard/Served?ServiceDateFrom=2025-11-24&amp;ServiceDateTo=2025-11-24&amp;DumpsterInvNr=13-L-148999", "13-L-148999")</f>
        <v>13-L-148999</v>
      </c>
      <c r="C2145">
        <v>1.1000000000000001</v>
      </c>
      <c r="D2145" t="s">
        <v>3115</v>
      </c>
      <c r="E2145" t="s">
        <v>11</v>
      </c>
      <c r="F2145" t="s">
        <v>13</v>
      </c>
      <c r="G2145" t="s">
        <v>430</v>
      </c>
      <c r="H2145" t="s">
        <v>432</v>
      </c>
    </row>
    <row r="2146" spans="1:10" hidden="1" x14ac:dyDescent="0.25">
      <c r="A2146" t="s">
        <v>2976</v>
      </c>
      <c r="B2146" s="1" t="str">
        <f>HYPERLINK("https://asmlis.vasa.lt/Dashboard/Served?ServiceDateFrom=2025-11-24&amp;ServiceDateTo=2025-11-24&amp;DumpsterInvNr=13-L-314472", "13-L-314472")</f>
        <v>13-L-314472</v>
      </c>
      <c r="C2146">
        <v>1.1000000000000001</v>
      </c>
      <c r="D2146" t="s">
        <v>3069</v>
      </c>
      <c r="E2146" t="s">
        <v>11</v>
      </c>
      <c r="F2146" t="s">
        <v>13</v>
      </c>
      <c r="G2146" t="s">
        <v>9</v>
      </c>
      <c r="H2146" t="s">
        <v>14</v>
      </c>
    </row>
    <row r="2147" spans="1:10" hidden="1" x14ac:dyDescent="0.25">
      <c r="A2147" t="s">
        <v>3122</v>
      </c>
      <c r="B2147" s="1" t="str">
        <f>HYPERLINK("https://asmlis.vasa.lt/Dashboard/Served?ServiceDateFrom=2025-11-24&amp;ServiceDateTo=2025-11-24&amp;DumpsterInvNr=13-L-307282", "13-L-307282")</f>
        <v>13-L-307282</v>
      </c>
      <c r="C2147">
        <v>1.1000000000000001</v>
      </c>
      <c r="D2147" t="s">
        <v>3069</v>
      </c>
      <c r="E2147" t="s">
        <v>11</v>
      </c>
      <c r="F2147" t="s">
        <v>13</v>
      </c>
      <c r="G2147" t="s">
        <v>9</v>
      </c>
      <c r="H2147" t="s">
        <v>14</v>
      </c>
    </row>
    <row r="2148" spans="1:10" hidden="1" x14ac:dyDescent="0.25">
      <c r="A2148" t="s">
        <v>3123</v>
      </c>
      <c r="B2148" s="1" t="str">
        <f>HYPERLINK("https://asmlis.vasa.lt/Dashboard/Served?ServiceDateFrom=2025-11-24&amp;ServiceDateTo=2025-11-24&amp;DumpsterInvNr=13-L-426409", "13-L-426409")</f>
        <v>13-L-426409</v>
      </c>
      <c r="C2148">
        <v>1.1000000000000001</v>
      </c>
      <c r="D2148" t="s">
        <v>739</v>
      </c>
      <c r="E2148" t="s">
        <v>11</v>
      </c>
      <c r="G2148" t="s">
        <v>74</v>
      </c>
      <c r="H2148" t="s">
        <v>14</v>
      </c>
    </row>
    <row r="2149" spans="1:10" hidden="1" x14ac:dyDescent="0.25">
      <c r="A2149" t="s">
        <v>3124</v>
      </c>
      <c r="B2149" s="1" t="str">
        <f>HYPERLINK("https://asmlis.vasa.lt/Dashboard/Served?ServiceDateFrom=2025-11-24&amp;ServiceDateTo=2025-11-24&amp;DumpsterInvNr=13-S-406515", "13-S-406515")</f>
        <v>13-S-406515</v>
      </c>
      <c r="C2149">
        <v>0.12</v>
      </c>
      <c r="D2149" t="s">
        <v>3125</v>
      </c>
      <c r="E2149" t="s">
        <v>11</v>
      </c>
      <c r="G2149" t="s">
        <v>264</v>
      </c>
      <c r="H2149" t="s">
        <v>14</v>
      </c>
    </row>
    <row r="2150" spans="1:10" hidden="1" x14ac:dyDescent="0.25">
      <c r="A2150" t="s">
        <v>3126</v>
      </c>
      <c r="B2150" s="1" t="str">
        <f>HYPERLINK("https://asmlis.vasa.lt/Dashboard/Served?ServiceDateFrom=2025-11-24&amp;ServiceDateTo=2025-11-24&amp;DumpsterInvNr=13-P-413925", "13-P-413925")</f>
        <v>13-P-413925</v>
      </c>
      <c r="C2150">
        <v>5</v>
      </c>
      <c r="D2150" t="s">
        <v>3127</v>
      </c>
      <c r="E2150" t="s">
        <v>11</v>
      </c>
      <c r="G2150" t="s">
        <v>264</v>
      </c>
      <c r="H2150" t="s">
        <v>14</v>
      </c>
    </row>
    <row r="2151" spans="1:10" hidden="1" x14ac:dyDescent="0.25">
      <c r="A2151" t="s">
        <v>3128</v>
      </c>
      <c r="B2151" s="1" t="str">
        <f>HYPERLINK("https://asmlis.vasa.lt/Dashboard/Served?ServiceDateFrom=2025-11-24&amp;ServiceDateTo=2025-11-24&amp;DumpsterInvNr=13-L-133435", "13-L-133435")</f>
        <v>13-L-133435</v>
      </c>
      <c r="C2151">
        <v>5</v>
      </c>
      <c r="D2151" t="s">
        <v>3129</v>
      </c>
      <c r="E2151" t="s">
        <v>11</v>
      </c>
      <c r="F2151" t="s">
        <v>13</v>
      </c>
      <c r="G2151" t="s">
        <v>430</v>
      </c>
      <c r="H2151" t="s">
        <v>432</v>
      </c>
    </row>
    <row r="2152" spans="1:10" hidden="1" x14ac:dyDescent="0.25">
      <c r="A2152" t="s">
        <v>3128</v>
      </c>
      <c r="B2152" s="1" t="str">
        <f>HYPERLINK("https://asmlis.vasa.lt/Dashboard/Served?ServiceDateFrom=2025-11-24&amp;ServiceDateTo=2025-11-24&amp;DumpsterInvNr=13-P-403191", "13-P-403191")</f>
        <v>13-P-403191</v>
      </c>
      <c r="C2152">
        <v>0.24</v>
      </c>
      <c r="D2152" t="s">
        <v>3125</v>
      </c>
      <c r="E2152" t="s">
        <v>11</v>
      </c>
      <c r="G2152" t="s">
        <v>264</v>
      </c>
      <c r="H2152" t="s">
        <v>14</v>
      </c>
    </row>
    <row r="2153" spans="1:10" hidden="1" x14ac:dyDescent="0.25">
      <c r="A2153" t="s">
        <v>3132</v>
      </c>
      <c r="B2153" s="1" t="str">
        <f>HYPERLINK("https://asmlis.vasa.lt/Dashboard/Served?ServiceDateFrom=2025-11-24&amp;ServiceDateTo=2025-11-24&amp;DumpsterInvNr=13-L-212179", "13-L-212179")</f>
        <v>13-L-212179</v>
      </c>
      <c r="C2153">
        <v>0.24</v>
      </c>
      <c r="D2153" t="s">
        <v>2888</v>
      </c>
      <c r="E2153" t="s">
        <v>11</v>
      </c>
      <c r="G2153" t="s">
        <v>936</v>
      </c>
      <c r="H2153" t="s">
        <v>938</v>
      </c>
    </row>
    <row r="2154" spans="1:10" hidden="1" x14ac:dyDescent="0.25">
      <c r="A2154" t="s">
        <v>3133</v>
      </c>
      <c r="B2154" s="1" t="str">
        <f>HYPERLINK("https://asmlis.vasa.lt/Dashboard/Served?ServiceDateFrom=2025-11-24&amp;ServiceDateTo=2025-11-24&amp;DumpsterInvNr=13-L-207786", "13-L-207786")</f>
        <v>13-L-207786</v>
      </c>
      <c r="C2154">
        <v>0.24</v>
      </c>
      <c r="D2154" t="s">
        <v>3134</v>
      </c>
      <c r="E2154" t="s">
        <v>11</v>
      </c>
      <c r="G2154" t="s">
        <v>936</v>
      </c>
      <c r="H2154" t="s">
        <v>938</v>
      </c>
    </row>
    <row r="2155" spans="1:10" hidden="1" x14ac:dyDescent="0.25">
      <c r="A2155" t="s">
        <v>3135</v>
      </c>
      <c r="B2155" s="1" t="str">
        <f>HYPERLINK("https://asmlis.vasa.lt/Dashboard/Served?ServiceDateFrom=2025-11-24&amp;ServiceDateTo=2025-11-24&amp;DumpsterInvNr=13-P-207689", "13-P-207689")</f>
        <v>13-P-207689</v>
      </c>
      <c r="C2155">
        <v>5</v>
      </c>
      <c r="D2155" t="s">
        <v>3136</v>
      </c>
      <c r="E2155" t="s">
        <v>11</v>
      </c>
      <c r="F2155" t="s">
        <v>2960</v>
      </c>
      <c r="G2155" t="s">
        <v>234</v>
      </c>
      <c r="H2155" t="s">
        <v>14</v>
      </c>
      <c r="J2155" t="s">
        <v>17519</v>
      </c>
    </row>
    <row r="2156" spans="1:10" hidden="1" x14ac:dyDescent="0.25">
      <c r="A2156" t="s">
        <v>3137</v>
      </c>
      <c r="B2156" s="1" t="str">
        <f>HYPERLINK("https://asmlis.vasa.lt/Dashboard/Served?ServiceDateFrom=2025-11-24&amp;ServiceDateTo=2025-11-24&amp;DumpsterInvNr=13-L-317573", "13-L-317573")</f>
        <v>13-L-317573</v>
      </c>
      <c r="C2156">
        <v>1.1000000000000001</v>
      </c>
      <c r="D2156" t="s">
        <v>2013</v>
      </c>
      <c r="E2156" t="s">
        <v>11</v>
      </c>
      <c r="F2156" t="s">
        <v>13</v>
      </c>
      <c r="G2156" t="s">
        <v>9</v>
      </c>
      <c r="H2156" t="s">
        <v>14</v>
      </c>
    </row>
    <row r="2157" spans="1:10" hidden="1" x14ac:dyDescent="0.25">
      <c r="A2157" t="s">
        <v>3139</v>
      </c>
      <c r="B2157" s="1" t="str">
        <f>HYPERLINK("https://asmlis.vasa.lt/Dashboard/Served?ServiceDateFrom=2025-11-24&amp;ServiceDateTo=2025-11-24&amp;DumpsterInvNr=13-L-139226", "13-L-139226")</f>
        <v>13-L-139226</v>
      </c>
      <c r="C2157">
        <v>5</v>
      </c>
      <c r="D2157" t="s">
        <v>3140</v>
      </c>
      <c r="E2157" t="s">
        <v>11</v>
      </c>
      <c r="F2157" t="s">
        <v>13</v>
      </c>
      <c r="G2157" t="s">
        <v>1912</v>
      </c>
      <c r="H2157" t="s">
        <v>432</v>
      </c>
    </row>
    <row r="2158" spans="1:10" hidden="1" x14ac:dyDescent="0.25">
      <c r="A2158" t="s">
        <v>3139</v>
      </c>
      <c r="B2158" s="1" t="str">
        <f>HYPERLINK("https://asmlis.vasa.lt/Dashboard/Served?ServiceDateFrom=2025-11-24&amp;ServiceDateTo=2025-11-24&amp;DumpsterInvNr=13-S-502642", "13-S-502642")</f>
        <v>13-S-502642</v>
      </c>
      <c r="C2158">
        <v>0.12</v>
      </c>
      <c r="D2158" t="s">
        <v>3141</v>
      </c>
      <c r="E2158" t="s">
        <v>11</v>
      </c>
      <c r="F2158" t="s">
        <v>1209</v>
      </c>
      <c r="G2158" t="s">
        <v>2178</v>
      </c>
      <c r="H2158" t="s">
        <v>432</v>
      </c>
    </row>
    <row r="2159" spans="1:10" hidden="1" x14ac:dyDescent="0.25">
      <c r="A2159" t="s">
        <v>2687</v>
      </c>
      <c r="B2159" s="1" t="str">
        <f>HYPERLINK("https://asmlis.vasa.lt/Dashboard/Served?ServiceDateFrom=2025-11-24&amp;ServiceDateTo=2025-11-24&amp;DumpsterInvNr=13-L-106044", "13-L-106044")</f>
        <v>13-L-106044</v>
      </c>
      <c r="C2159">
        <v>0.12</v>
      </c>
      <c r="D2159" t="s">
        <v>3143</v>
      </c>
      <c r="E2159" t="s">
        <v>11</v>
      </c>
      <c r="G2159" t="s">
        <v>1912</v>
      </c>
      <c r="H2159" t="s">
        <v>432</v>
      </c>
    </row>
    <row r="2160" spans="1:10" hidden="1" x14ac:dyDescent="0.25">
      <c r="A2160" t="s">
        <v>2687</v>
      </c>
      <c r="B2160" s="1" t="str">
        <f>HYPERLINK("https://asmlis.vasa.lt/Dashboard/Served?ServiceDateFrom=2025-11-24&amp;ServiceDateTo=2025-11-24&amp;DumpsterInvNr=13-P-506108", "13-P-506108")</f>
        <v>13-P-506108</v>
      </c>
      <c r="C2160">
        <v>0.24</v>
      </c>
      <c r="D2160" t="s">
        <v>3141</v>
      </c>
      <c r="E2160" t="s">
        <v>11</v>
      </c>
      <c r="G2160" t="s">
        <v>2178</v>
      </c>
      <c r="H2160" t="s">
        <v>432</v>
      </c>
    </row>
    <row r="2161" spans="1:8" hidden="1" x14ac:dyDescent="0.25">
      <c r="A2161" t="s">
        <v>3004</v>
      </c>
      <c r="B2161" s="1" t="str">
        <f>HYPERLINK("https://asmlis.vasa.lt/Dashboard/Served?ServiceDateFrom=2025-11-24&amp;ServiceDateTo=2025-11-24&amp;DumpsterInvNr=13-L-311793", "13-L-311793")</f>
        <v>13-L-311793</v>
      </c>
      <c r="C2161">
        <v>1.1000000000000001</v>
      </c>
      <c r="D2161" t="s">
        <v>2013</v>
      </c>
      <c r="E2161" t="s">
        <v>11</v>
      </c>
      <c r="F2161" t="s">
        <v>13</v>
      </c>
      <c r="G2161" t="s">
        <v>9</v>
      </c>
      <c r="H2161" t="s">
        <v>14</v>
      </c>
    </row>
    <row r="2162" spans="1:8" hidden="1" x14ac:dyDescent="0.25">
      <c r="A2162" t="s">
        <v>3144</v>
      </c>
      <c r="B2162" s="1" t="str">
        <f>HYPERLINK("https://asmlis.vasa.lt/Dashboard/Served?ServiceDateFrom=2025-11-24&amp;ServiceDateTo=2025-11-24&amp;DumpsterInvNr=13-L-138845", "13-L-138845")</f>
        <v>13-L-138845</v>
      </c>
      <c r="C2162">
        <v>5</v>
      </c>
      <c r="D2162" t="s">
        <v>3145</v>
      </c>
      <c r="E2162" t="s">
        <v>11</v>
      </c>
      <c r="F2162" t="s">
        <v>13</v>
      </c>
      <c r="G2162" t="s">
        <v>430</v>
      </c>
      <c r="H2162" t="s">
        <v>432</v>
      </c>
    </row>
    <row r="2163" spans="1:8" hidden="1" x14ac:dyDescent="0.25">
      <c r="A2163" t="s">
        <v>3144</v>
      </c>
      <c r="B2163" s="1" t="str">
        <f>HYPERLINK("https://asmlis.vasa.lt/Dashboard/Served?ServiceDateFrom=2025-11-24&amp;ServiceDateTo=2025-11-24&amp;DumpsterInvNr=13-T-000177", "13-T-000177")</f>
        <v>13-T-000177</v>
      </c>
      <c r="C2163">
        <v>2.5</v>
      </c>
      <c r="D2163" t="s">
        <v>3146</v>
      </c>
      <c r="E2163" t="s">
        <v>11</v>
      </c>
      <c r="F2163" t="s">
        <v>13</v>
      </c>
      <c r="G2163" t="s">
        <v>1899</v>
      </c>
      <c r="H2163" t="s">
        <v>432</v>
      </c>
    </row>
    <row r="2164" spans="1:8" hidden="1" x14ac:dyDescent="0.25">
      <c r="A2164" t="s">
        <v>2706</v>
      </c>
      <c r="B2164" s="1" t="str">
        <f>HYPERLINK("https://asmlis.vasa.lt/Dashboard/Served?ServiceDateFrom=2025-11-24&amp;ServiceDateTo=2025-11-24&amp;DumpsterInvNr=13-L-115202", "13-L-115202")</f>
        <v>13-L-115202</v>
      </c>
      <c r="C2164">
        <v>0.24</v>
      </c>
      <c r="D2164" t="s">
        <v>3141</v>
      </c>
      <c r="E2164" t="s">
        <v>11</v>
      </c>
      <c r="G2164" t="s">
        <v>430</v>
      </c>
      <c r="H2164" t="s">
        <v>432</v>
      </c>
    </row>
    <row r="2165" spans="1:8" hidden="1" x14ac:dyDescent="0.25">
      <c r="A2165" t="s">
        <v>2706</v>
      </c>
      <c r="B2165" s="1" t="str">
        <f>HYPERLINK("https://asmlis.vasa.lt/Dashboard/Served?ServiceDateFrom=2025-11-24&amp;ServiceDateTo=2025-11-24&amp;DumpsterInvNr=13-P-101107", "13-P-101107")</f>
        <v>13-P-101107</v>
      </c>
      <c r="C2165">
        <v>0.24</v>
      </c>
      <c r="D2165" t="s">
        <v>3143</v>
      </c>
      <c r="E2165" t="s">
        <v>11</v>
      </c>
      <c r="G2165" t="s">
        <v>1917</v>
      </c>
      <c r="H2165" t="s">
        <v>432</v>
      </c>
    </row>
    <row r="2166" spans="1:8" hidden="1" x14ac:dyDescent="0.25">
      <c r="A2166" t="s">
        <v>2706</v>
      </c>
      <c r="B2166" s="1" t="str">
        <f>HYPERLINK("https://asmlis.vasa.lt/Dashboard/Served?ServiceDateFrom=2025-11-24&amp;ServiceDateTo=2025-11-24&amp;DumpsterInvNr=13-P-401574", "13-P-401574")</f>
        <v>13-P-401574</v>
      </c>
      <c r="C2166">
        <v>1.1000000000000001</v>
      </c>
      <c r="D2166" t="s">
        <v>3147</v>
      </c>
      <c r="E2166" t="s">
        <v>11</v>
      </c>
      <c r="G2166" t="s">
        <v>264</v>
      </c>
      <c r="H2166" t="s">
        <v>14</v>
      </c>
    </row>
    <row r="2167" spans="1:8" hidden="1" x14ac:dyDescent="0.25">
      <c r="A2167" t="s">
        <v>2706</v>
      </c>
      <c r="B2167" s="1" t="str">
        <f>HYPERLINK("https://asmlis.vasa.lt/Dashboard/Served?ServiceDateFrom=2025-11-24&amp;ServiceDateTo=2025-11-24&amp;DumpsterInvNr=13-L-228409", "13-L-228409")</f>
        <v>13-L-228409</v>
      </c>
      <c r="C2167">
        <v>1.1000000000000001</v>
      </c>
      <c r="D2167" t="s">
        <v>3148</v>
      </c>
      <c r="E2167" t="s">
        <v>11</v>
      </c>
      <c r="G2167" t="s">
        <v>936</v>
      </c>
      <c r="H2167" t="s">
        <v>938</v>
      </c>
    </row>
    <row r="2168" spans="1:8" hidden="1" x14ac:dyDescent="0.25">
      <c r="A2168" t="s">
        <v>3130</v>
      </c>
      <c r="B2168" s="1" t="str">
        <f>HYPERLINK("https://asmlis.vasa.lt/Dashboard/Served?ServiceDateFrom=2025-11-24&amp;ServiceDateTo=2025-11-24&amp;DumpsterInvNr=13-L-318276", "13-L-318276")</f>
        <v>13-L-318276</v>
      </c>
      <c r="C2168">
        <v>1.1000000000000001</v>
      </c>
      <c r="D2168" t="s">
        <v>2013</v>
      </c>
      <c r="E2168" t="s">
        <v>11</v>
      </c>
      <c r="F2168" t="s">
        <v>13</v>
      </c>
      <c r="G2168" t="s">
        <v>9</v>
      </c>
      <c r="H2168" t="s">
        <v>14</v>
      </c>
    </row>
    <row r="2169" spans="1:8" hidden="1" x14ac:dyDescent="0.25">
      <c r="A2169" t="s">
        <v>2710</v>
      </c>
      <c r="B2169" s="1" t="str">
        <f>HYPERLINK("https://asmlis.vasa.lt/Dashboard/Served?ServiceDateFrom=2025-11-24&amp;ServiceDateTo=2025-11-24&amp;DumpsterInvNr=13-L-427020", "13-L-427020")</f>
        <v>13-L-427020</v>
      </c>
      <c r="C2169">
        <v>1.1000000000000001</v>
      </c>
      <c r="D2169" t="s">
        <v>739</v>
      </c>
      <c r="E2169" t="s">
        <v>11</v>
      </c>
      <c r="G2169" t="s">
        <v>74</v>
      </c>
      <c r="H2169" t="s">
        <v>14</v>
      </c>
    </row>
    <row r="2170" spans="1:8" hidden="1" x14ac:dyDescent="0.25">
      <c r="A2170" t="s">
        <v>3149</v>
      </c>
      <c r="B2170" s="1" t="str">
        <f>HYPERLINK("https://asmlis.vasa.lt/Dashboard/Served?ServiceDateFrom=2025-11-24&amp;ServiceDateTo=2025-11-24&amp;DumpsterInvNr=13-L-138095", "13-L-138095")</f>
        <v>13-L-138095</v>
      </c>
      <c r="C2170">
        <v>0.12</v>
      </c>
      <c r="D2170" t="s">
        <v>3150</v>
      </c>
      <c r="E2170" t="s">
        <v>11</v>
      </c>
      <c r="G2170" t="s">
        <v>1912</v>
      </c>
      <c r="H2170" t="s">
        <v>432</v>
      </c>
    </row>
    <row r="2171" spans="1:8" hidden="1" x14ac:dyDescent="0.25">
      <c r="A2171" t="s">
        <v>3149</v>
      </c>
      <c r="B2171" s="1" t="str">
        <f>HYPERLINK("https://asmlis.vasa.lt/Dashboard/Served?ServiceDateFrom=2025-11-24&amp;ServiceDateTo=2025-11-24&amp;DumpsterInvNr=13-L-317187", "13-L-317187")</f>
        <v>13-L-317187</v>
      </c>
      <c r="C2171">
        <v>1.1000000000000001</v>
      </c>
      <c r="D2171" t="s">
        <v>3151</v>
      </c>
      <c r="E2171" t="s">
        <v>11</v>
      </c>
      <c r="G2171" t="s">
        <v>9</v>
      </c>
      <c r="H2171" t="s">
        <v>14</v>
      </c>
    </row>
    <row r="2172" spans="1:8" hidden="1" x14ac:dyDescent="0.25">
      <c r="A2172" t="s">
        <v>3149</v>
      </c>
      <c r="B2172" s="1" t="str">
        <f>HYPERLINK("https://asmlis.vasa.lt/Dashboard/Served?ServiceDateFrom=2025-11-24&amp;ServiceDateTo=2025-11-24&amp;DumpsterInvNr=13-L-314745", "13-L-314745")</f>
        <v>13-L-314745</v>
      </c>
      <c r="C2172">
        <v>1.1000000000000001</v>
      </c>
      <c r="D2172" t="s">
        <v>3151</v>
      </c>
      <c r="E2172" t="s">
        <v>11</v>
      </c>
      <c r="G2172" t="s">
        <v>9</v>
      </c>
      <c r="H2172" t="s">
        <v>14</v>
      </c>
    </row>
    <row r="2173" spans="1:8" hidden="1" x14ac:dyDescent="0.25">
      <c r="A2173" t="s">
        <v>3152</v>
      </c>
      <c r="B2173" s="1" t="str">
        <f>HYPERLINK("https://asmlis.vasa.lt/Dashboard/Served?ServiceDateFrom=2025-11-24&amp;ServiceDateTo=2025-11-24&amp;DumpsterInvNr=13-L-312455", "13-L-312455")</f>
        <v>13-L-312455</v>
      </c>
      <c r="C2173">
        <v>5</v>
      </c>
      <c r="D2173" t="s">
        <v>1550</v>
      </c>
      <c r="E2173" t="s">
        <v>11</v>
      </c>
      <c r="F2173" t="s">
        <v>13</v>
      </c>
      <c r="G2173" t="s">
        <v>9</v>
      </c>
      <c r="H2173" t="s">
        <v>14</v>
      </c>
    </row>
    <row r="2174" spans="1:8" hidden="1" x14ac:dyDescent="0.25">
      <c r="A2174" t="s">
        <v>3152</v>
      </c>
      <c r="B2174" s="1" t="str">
        <f>HYPERLINK("https://asmlis.vasa.lt/Dashboard/Served?ServiceDateFrom=2025-11-24&amp;ServiceDateTo=2025-11-24&amp;DumpsterInvNr=13-T-000178", "13-T-000178")</f>
        <v>13-T-000178</v>
      </c>
      <c r="C2174">
        <v>2.5</v>
      </c>
      <c r="D2174" t="s">
        <v>3146</v>
      </c>
      <c r="E2174" t="s">
        <v>11</v>
      </c>
      <c r="F2174" t="s">
        <v>13</v>
      </c>
      <c r="G2174" t="s">
        <v>1899</v>
      </c>
      <c r="H2174" t="s">
        <v>432</v>
      </c>
    </row>
    <row r="2175" spans="1:8" hidden="1" x14ac:dyDescent="0.25">
      <c r="A2175" t="s">
        <v>3153</v>
      </c>
      <c r="B2175" s="1" t="str">
        <f>HYPERLINK("https://asmlis.vasa.lt/Dashboard/Served?ServiceDateFrom=2025-11-24&amp;ServiceDateTo=2025-11-24&amp;DumpsterInvNr=13-P-306745", "13-P-306745")</f>
        <v>13-P-306745</v>
      </c>
      <c r="C2175">
        <v>5</v>
      </c>
      <c r="D2175" t="s">
        <v>1266</v>
      </c>
      <c r="E2175" t="s">
        <v>11</v>
      </c>
      <c r="F2175" t="s">
        <v>13</v>
      </c>
      <c r="G2175" t="s">
        <v>412</v>
      </c>
      <c r="H2175" t="s">
        <v>14</v>
      </c>
    </row>
    <row r="2176" spans="1:8" hidden="1" x14ac:dyDescent="0.25">
      <c r="A2176" t="s">
        <v>2734</v>
      </c>
      <c r="B2176" s="1" t="str">
        <f>HYPERLINK("https://asmlis.vasa.lt/Dashboard/Served?ServiceDateFrom=2025-11-24&amp;ServiceDateTo=2025-11-24&amp;DumpsterInvNr=13-P-212794", "13-P-212794")</f>
        <v>13-P-212794</v>
      </c>
      <c r="C2176">
        <v>0.24</v>
      </c>
      <c r="D2176" t="s">
        <v>3154</v>
      </c>
      <c r="E2176" t="s">
        <v>11</v>
      </c>
      <c r="G2176" t="s">
        <v>234</v>
      </c>
      <c r="H2176" t="s">
        <v>14</v>
      </c>
    </row>
    <row r="2177" spans="1:10" hidden="1" x14ac:dyDescent="0.25">
      <c r="A2177" t="s">
        <v>2731</v>
      </c>
      <c r="B2177" s="1" t="str">
        <f>HYPERLINK("https://asmlis.vasa.lt/Dashboard/Served?ServiceDateFrom=2025-11-24&amp;ServiceDateTo=2025-11-24&amp;DumpsterInvNr=13-P-212532", "13-P-212532")</f>
        <v>13-P-212532</v>
      </c>
      <c r="C2177">
        <v>0.24</v>
      </c>
      <c r="D2177" t="s">
        <v>3155</v>
      </c>
      <c r="E2177" t="s">
        <v>11</v>
      </c>
      <c r="G2177" t="s">
        <v>234</v>
      </c>
      <c r="H2177" t="s">
        <v>14</v>
      </c>
    </row>
    <row r="2178" spans="1:10" hidden="1" x14ac:dyDescent="0.25">
      <c r="A2178" t="s">
        <v>3156</v>
      </c>
      <c r="B2178" s="1" t="str">
        <f>HYPERLINK("https://asmlis.vasa.lt/Dashboard/Served?ServiceDateFrom=2025-11-24&amp;ServiceDateTo=2025-11-24&amp;DumpsterInvNr=13-P-402202", "13-P-402202")</f>
        <v>13-P-402202</v>
      </c>
      <c r="C2178">
        <v>2.5</v>
      </c>
      <c r="D2178" t="s">
        <v>1780</v>
      </c>
      <c r="E2178" t="s">
        <v>11</v>
      </c>
      <c r="G2178" t="s">
        <v>264</v>
      </c>
      <c r="H2178" t="s">
        <v>14</v>
      </c>
    </row>
    <row r="2179" spans="1:10" hidden="1" x14ac:dyDescent="0.25">
      <c r="A2179" t="s">
        <v>2729</v>
      </c>
      <c r="B2179" s="1" t="str">
        <f>HYPERLINK("https://asmlis.vasa.lt/Dashboard/Served?ServiceDateFrom=2025-11-24&amp;ServiceDateTo=2025-11-24&amp;DumpsterInvNr=13-L-144745", "13-L-144745")</f>
        <v>13-L-144745</v>
      </c>
      <c r="C2179">
        <v>1.1000000000000001</v>
      </c>
      <c r="D2179" t="s">
        <v>3157</v>
      </c>
      <c r="E2179" t="s">
        <v>11</v>
      </c>
      <c r="G2179" t="s">
        <v>1912</v>
      </c>
      <c r="H2179" t="s">
        <v>432</v>
      </c>
    </row>
    <row r="2180" spans="1:10" hidden="1" x14ac:dyDescent="0.25">
      <c r="A2180" t="s">
        <v>3159</v>
      </c>
      <c r="B2180" s="1" t="str">
        <f>HYPERLINK("https://asmlis.vasa.lt/Dashboard/Served?ServiceDateFrom=2025-11-24&amp;ServiceDateTo=2025-11-24&amp;DumpsterInvNr=13-L-410592", "13-L-410592")</f>
        <v>13-L-410592</v>
      </c>
      <c r="C2180">
        <v>0.12</v>
      </c>
      <c r="D2180" t="s">
        <v>739</v>
      </c>
      <c r="E2180" t="s">
        <v>11</v>
      </c>
      <c r="F2180" t="s">
        <v>1209</v>
      </c>
      <c r="G2180" t="s">
        <v>74</v>
      </c>
      <c r="H2180" t="s">
        <v>14</v>
      </c>
    </row>
    <row r="2181" spans="1:10" hidden="1" x14ac:dyDescent="0.25">
      <c r="A2181" t="s">
        <v>2869</v>
      </c>
      <c r="B2181" s="1" t="str">
        <f>HYPERLINK("https://asmlis.vasa.lt/Dashboard/Served?ServiceDateFrom=2025-11-24&amp;ServiceDateTo=2025-11-24&amp;DumpsterInvNr=13-L-414980", "13-L-414980")</f>
        <v>13-L-414980</v>
      </c>
      <c r="C2181">
        <v>0.12</v>
      </c>
      <c r="D2181" t="s">
        <v>3161</v>
      </c>
      <c r="E2181" t="s">
        <v>11</v>
      </c>
      <c r="F2181" t="s">
        <v>1209</v>
      </c>
      <c r="G2181" t="s">
        <v>74</v>
      </c>
      <c r="H2181" t="s">
        <v>14</v>
      </c>
    </row>
    <row r="2182" spans="1:10" hidden="1" x14ac:dyDescent="0.25">
      <c r="A2182" t="s">
        <v>2869</v>
      </c>
      <c r="B2182" s="1" t="str">
        <f>HYPERLINK("https://asmlis.vasa.lt/Dashboard/Served?ServiceDateFrom=2025-11-24&amp;ServiceDateTo=2025-11-24&amp;DumpsterInvNr=13-P-103512", "13-P-103512")</f>
        <v>13-P-103512</v>
      </c>
      <c r="C2182">
        <v>0.24</v>
      </c>
      <c r="D2182" t="s">
        <v>3150</v>
      </c>
      <c r="E2182" t="s">
        <v>11</v>
      </c>
      <c r="F2182" t="s">
        <v>1209</v>
      </c>
      <c r="G2182" t="s">
        <v>1917</v>
      </c>
      <c r="H2182" t="s">
        <v>432</v>
      </c>
    </row>
    <row r="2183" spans="1:10" hidden="1" x14ac:dyDescent="0.25">
      <c r="A2183" t="s">
        <v>2869</v>
      </c>
      <c r="B2183" s="1" t="str">
        <f>HYPERLINK("https://asmlis.vasa.lt/Dashboard/Served?ServiceDateFrom=2025-11-24&amp;ServiceDateTo=2025-11-24&amp;DumpsterInvNr=13-P-213074", "13-P-213074")</f>
        <v>13-P-213074</v>
      </c>
      <c r="C2183">
        <v>0.24</v>
      </c>
      <c r="D2183" t="s">
        <v>3162</v>
      </c>
      <c r="E2183" t="s">
        <v>11</v>
      </c>
      <c r="F2183" t="s">
        <v>1209</v>
      </c>
      <c r="G2183" t="s">
        <v>234</v>
      </c>
      <c r="H2183" t="s">
        <v>14</v>
      </c>
    </row>
    <row r="2184" spans="1:10" x14ac:dyDescent="0.25">
      <c r="A2184" t="s">
        <v>3163</v>
      </c>
      <c r="B2184" s="1" t="str">
        <f>HYPERLINK("https://asmlis.vasa.lt/Dashboard/Served?ServiceDateFrom=2025-11-24&amp;ServiceDateTo=2025-11-24&amp;DumpsterInvNr=13-P-411411", "13-P-411411")</f>
        <v>13-P-411411</v>
      </c>
      <c r="C2184">
        <v>0.24</v>
      </c>
      <c r="D2184" t="s">
        <v>3164</v>
      </c>
      <c r="E2184" t="s">
        <v>11</v>
      </c>
      <c r="F2184" t="s">
        <v>1215</v>
      </c>
      <c r="G2184" t="s">
        <v>264</v>
      </c>
      <c r="H2184" t="s">
        <v>14</v>
      </c>
      <c r="J2184" t="s">
        <v>17511</v>
      </c>
    </row>
    <row r="2185" spans="1:10" x14ac:dyDescent="0.25">
      <c r="A2185" t="s">
        <v>3163</v>
      </c>
      <c r="B2185" s="1" t="str">
        <f>HYPERLINK("https://asmlis.vasa.lt/Dashboard/Served?ServiceDateFrom=2025-11-24&amp;ServiceDateTo=2025-11-24&amp;DumpsterInvNr=13-S-406639", "13-S-406639")</f>
        <v>13-S-406639</v>
      </c>
      <c r="C2185">
        <v>0.12</v>
      </c>
      <c r="D2185" t="s">
        <v>3164</v>
      </c>
      <c r="E2185" t="s">
        <v>11</v>
      </c>
      <c r="F2185" t="s">
        <v>1215</v>
      </c>
      <c r="G2185" t="s">
        <v>264</v>
      </c>
      <c r="H2185" t="s">
        <v>14</v>
      </c>
      <c r="J2185" t="s">
        <v>17511</v>
      </c>
    </row>
    <row r="2186" spans="1:10" x14ac:dyDescent="0.25">
      <c r="A2186" t="s">
        <v>3163</v>
      </c>
      <c r="B2186" s="1" t="str">
        <f>HYPERLINK("https://asmlis.vasa.lt/Dashboard/Served?ServiceDateFrom=2025-11-24&amp;ServiceDateTo=2025-11-24&amp;DumpsterInvNr=13-S-433216", "13-S-433216")</f>
        <v>13-S-433216</v>
      </c>
      <c r="C2186">
        <v>0.12</v>
      </c>
      <c r="D2186" t="s">
        <v>3165</v>
      </c>
      <c r="E2186" t="s">
        <v>11</v>
      </c>
      <c r="F2186" t="s">
        <v>1215</v>
      </c>
      <c r="G2186" t="s">
        <v>264</v>
      </c>
      <c r="H2186" t="s">
        <v>14</v>
      </c>
      <c r="J2186" t="s">
        <v>17511</v>
      </c>
    </row>
    <row r="2187" spans="1:10" x14ac:dyDescent="0.25">
      <c r="A2187" t="s">
        <v>3163</v>
      </c>
      <c r="B2187" s="1" t="str">
        <f>HYPERLINK("https://asmlis.vasa.lt/Dashboard/Served?ServiceDateFrom=2025-11-24&amp;ServiceDateTo=2025-11-24&amp;DumpsterInvNr=13-P-433167", "13-P-433167")</f>
        <v>13-P-433167</v>
      </c>
      <c r="C2187">
        <v>0.24</v>
      </c>
      <c r="D2187" t="s">
        <v>3165</v>
      </c>
      <c r="E2187" t="s">
        <v>11</v>
      </c>
      <c r="F2187" t="s">
        <v>1215</v>
      </c>
      <c r="G2187" t="s">
        <v>264</v>
      </c>
      <c r="H2187" t="s">
        <v>14</v>
      </c>
      <c r="J2187" t="s">
        <v>17511</v>
      </c>
    </row>
    <row r="2188" spans="1:10" x14ac:dyDescent="0.25">
      <c r="A2188" t="s">
        <v>3163</v>
      </c>
      <c r="B2188" s="1" t="str">
        <f>HYPERLINK("https://asmlis.vasa.lt/Dashboard/Served?ServiceDateFrom=2025-11-24&amp;ServiceDateTo=2025-11-24&amp;DumpsterInvNr=13-P-431506", "13-P-431506")</f>
        <v>13-P-431506</v>
      </c>
      <c r="C2188">
        <v>0.12</v>
      </c>
      <c r="D2188" t="s">
        <v>3166</v>
      </c>
      <c r="E2188" t="s">
        <v>11</v>
      </c>
      <c r="F2188" t="s">
        <v>1215</v>
      </c>
      <c r="G2188" t="s">
        <v>264</v>
      </c>
      <c r="H2188" t="s">
        <v>14</v>
      </c>
      <c r="J2188" t="s">
        <v>17511</v>
      </c>
    </row>
    <row r="2189" spans="1:10" x14ac:dyDescent="0.25">
      <c r="A2189" t="s">
        <v>3163</v>
      </c>
      <c r="B2189" s="1" t="str">
        <f>HYPERLINK("https://asmlis.vasa.lt/Dashboard/Served?ServiceDateFrom=2025-11-24&amp;ServiceDateTo=2025-11-24&amp;DumpsterInvNr=13-P-400096", "13-P-400096")</f>
        <v>13-P-400096</v>
      </c>
      <c r="C2189">
        <v>0.24</v>
      </c>
      <c r="D2189" t="s">
        <v>3166</v>
      </c>
      <c r="E2189" t="s">
        <v>11</v>
      </c>
      <c r="F2189" t="s">
        <v>1215</v>
      </c>
      <c r="G2189" t="s">
        <v>264</v>
      </c>
      <c r="H2189" t="s">
        <v>14</v>
      </c>
      <c r="J2189" t="s">
        <v>17511</v>
      </c>
    </row>
    <row r="2190" spans="1:10" x14ac:dyDescent="0.25">
      <c r="A2190" t="s">
        <v>3163</v>
      </c>
      <c r="B2190" s="1" t="str">
        <f>HYPERLINK("https://asmlis.vasa.lt/Dashboard/Served?ServiceDateFrom=2025-11-24&amp;ServiceDateTo=2025-11-24&amp;DumpsterInvNr=13-P-409017", "13-P-409017")</f>
        <v>13-P-409017</v>
      </c>
      <c r="C2190">
        <v>0.24</v>
      </c>
      <c r="D2190" t="s">
        <v>3167</v>
      </c>
      <c r="E2190" t="s">
        <v>11</v>
      </c>
      <c r="F2190" t="s">
        <v>1215</v>
      </c>
      <c r="G2190" t="s">
        <v>264</v>
      </c>
      <c r="H2190" t="s">
        <v>14</v>
      </c>
      <c r="J2190" t="s">
        <v>17511</v>
      </c>
    </row>
    <row r="2191" spans="1:10" x14ac:dyDescent="0.25">
      <c r="A2191" t="s">
        <v>3163</v>
      </c>
      <c r="B2191" s="1" t="str">
        <f>HYPERLINK("https://asmlis.vasa.lt/Dashboard/Served?ServiceDateFrom=2025-11-24&amp;ServiceDateTo=2025-11-24&amp;DumpsterInvNr=13-P-432077", "13-P-432077")</f>
        <v>13-P-432077</v>
      </c>
      <c r="C2191">
        <v>0.24</v>
      </c>
      <c r="D2191" t="s">
        <v>3168</v>
      </c>
      <c r="E2191" t="s">
        <v>11</v>
      </c>
      <c r="F2191" t="s">
        <v>1215</v>
      </c>
      <c r="G2191" t="s">
        <v>264</v>
      </c>
      <c r="H2191" t="s">
        <v>14</v>
      </c>
      <c r="J2191" t="s">
        <v>17511</v>
      </c>
    </row>
    <row r="2192" spans="1:10" x14ac:dyDescent="0.25">
      <c r="A2192" t="s">
        <v>3163</v>
      </c>
      <c r="B2192" s="1" t="str">
        <f>HYPERLINK("https://asmlis.vasa.lt/Dashboard/Served?ServiceDateFrom=2025-11-24&amp;ServiceDateTo=2025-11-24&amp;DumpsterInvNr=13-P-415881", "13-P-415881")</f>
        <v>13-P-415881</v>
      </c>
      <c r="C2192">
        <v>0.24</v>
      </c>
      <c r="D2192" t="s">
        <v>3169</v>
      </c>
      <c r="E2192" t="s">
        <v>11</v>
      </c>
      <c r="F2192" t="s">
        <v>1215</v>
      </c>
      <c r="G2192" t="s">
        <v>264</v>
      </c>
      <c r="H2192" t="s">
        <v>14</v>
      </c>
      <c r="J2192" t="s">
        <v>17511</v>
      </c>
    </row>
    <row r="2193" spans="1:10" x14ac:dyDescent="0.25">
      <c r="A2193" t="s">
        <v>3163</v>
      </c>
      <c r="B2193" s="1" t="str">
        <f>HYPERLINK("https://asmlis.vasa.lt/Dashboard/Served?ServiceDateFrom=2025-11-24&amp;ServiceDateTo=2025-11-24&amp;DumpsterInvNr=13-P-490007", "13-P-490007")</f>
        <v>13-P-490007</v>
      </c>
      <c r="C2193">
        <v>0.24</v>
      </c>
      <c r="D2193" t="s">
        <v>3170</v>
      </c>
      <c r="E2193" t="s">
        <v>11</v>
      </c>
      <c r="F2193" t="s">
        <v>1215</v>
      </c>
      <c r="G2193" t="s">
        <v>264</v>
      </c>
      <c r="H2193" t="s">
        <v>14</v>
      </c>
      <c r="J2193" t="s">
        <v>17511</v>
      </c>
    </row>
    <row r="2194" spans="1:10" x14ac:dyDescent="0.25">
      <c r="A2194" t="s">
        <v>3163</v>
      </c>
      <c r="B2194" s="1" t="str">
        <f>HYPERLINK("https://asmlis.vasa.lt/Dashboard/Served?ServiceDateFrom=2025-11-24&amp;ServiceDateTo=2025-11-24&amp;DumpsterInvNr=13-S-432112", "13-S-432112")</f>
        <v>13-S-432112</v>
      </c>
      <c r="C2194">
        <v>0.12</v>
      </c>
      <c r="D2194" t="s">
        <v>3168</v>
      </c>
      <c r="E2194" t="s">
        <v>11</v>
      </c>
      <c r="F2194" t="s">
        <v>1215</v>
      </c>
      <c r="G2194" t="s">
        <v>264</v>
      </c>
      <c r="H2194" t="s">
        <v>14</v>
      </c>
      <c r="J2194" t="s">
        <v>17511</v>
      </c>
    </row>
    <row r="2195" spans="1:10" x14ac:dyDescent="0.25">
      <c r="A2195" t="s">
        <v>3163</v>
      </c>
      <c r="B2195" s="1" t="str">
        <f>HYPERLINK("https://asmlis.vasa.lt/Dashboard/Served?ServiceDateFrom=2025-11-24&amp;ServiceDateTo=2025-11-24&amp;DumpsterInvNr=13-P-432599", "13-P-432599")</f>
        <v>13-P-432599</v>
      </c>
      <c r="C2195">
        <v>0.24</v>
      </c>
      <c r="D2195" t="s">
        <v>3171</v>
      </c>
      <c r="E2195" t="s">
        <v>11</v>
      </c>
      <c r="F2195" t="s">
        <v>1215</v>
      </c>
      <c r="G2195" t="s">
        <v>264</v>
      </c>
      <c r="H2195" t="s">
        <v>14</v>
      </c>
      <c r="J2195" t="s">
        <v>17511</v>
      </c>
    </row>
    <row r="2196" spans="1:10" x14ac:dyDescent="0.25">
      <c r="A2196" t="s">
        <v>3163</v>
      </c>
      <c r="B2196" s="1" t="str">
        <f>HYPERLINK("https://asmlis.vasa.lt/Dashboard/Served?ServiceDateFrom=2025-11-24&amp;ServiceDateTo=2025-11-24&amp;DumpsterInvNr=13-P-432879", "13-P-432879")</f>
        <v>13-P-432879</v>
      </c>
      <c r="C2196">
        <v>0.24</v>
      </c>
      <c r="D2196" t="s">
        <v>3172</v>
      </c>
      <c r="E2196" t="s">
        <v>11</v>
      </c>
      <c r="F2196" t="s">
        <v>1215</v>
      </c>
      <c r="G2196" t="s">
        <v>264</v>
      </c>
      <c r="H2196" t="s">
        <v>14</v>
      </c>
      <c r="J2196" t="s">
        <v>17511</v>
      </c>
    </row>
    <row r="2197" spans="1:10" hidden="1" x14ac:dyDescent="0.25">
      <c r="A2197" t="s">
        <v>3173</v>
      </c>
      <c r="B2197" s="1" t="str">
        <f>HYPERLINK("https://asmlis.vasa.lt/Dashboard/Served?ServiceDateFrom=2025-11-24&amp;ServiceDateTo=2025-11-24&amp;DumpsterInvNr=13-L-424497", "13-L-424497")</f>
        <v>13-L-424497</v>
      </c>
      <c r="C2197">
        <v>0.24</v>
      </c>
      <c r="D2197" t="s">
        <v>3174</v>
      </c>
      <c r="E2197" t="s">
        <v>11</v>
      </c>
      <c r="G2197" t="s">
        <v>74</v>
      </c>
      <c r="H2197" t="s">
        <v>14</v>
      </c>
    </row>
    <row r="2198" spans="1:10" hidden="1" x14ac:dyDescent="0.25">
      <c r="A2198" t="s">
        <v>3173</v>
      </c>
      <c r="B2198" s="1" t="str">
        <f>HYPERLINK("https://asmlis.vasa.lt/Dashboard/Served?ServiceDateFrom=2025-11-24&amp;ServiceDateTo=2025-11-24&amp;DumpsterInvNr=13-L-424498", "13-L-424498")</f>
        <v>13-L-424498</v>
      </c>
      <c r="C2198">
        <v>0.12</v>
      </c>
      <c r="D2198" t="s">
        <v>3174</v>
      </c>
      <c r="E2198" t="s">
        <v>11</v>
      </c>
      <c r="G2198" t="s">
        <v>74</v>
      </c>
      <c r="H2198" t="s">
        <v>14</v>
      </c>
    </row>
    <row r="2199" spans="1:10" hidden="1" x14ac:dyDescent="0.25">
      <c r="A2199" t="s">
        <v>3175</v>
      </c>
      <c r="B2199" s="1" t="str">
        <f>HYPERLINK("https://asmlis.vasa.lt/Dashboard/Served?ServiceDateFrom=2025-11-24&amp;ServiceDateTo=2025-11-24&amp;DumpsterInvNr=13-L-414265", "13-L-414265")</f>
        <v>13-L-414265</v>
      </c>
      <c r="C2199">
        <v>1.1000000000000001</v>
      </c>
      <c r="D2199" t="s">
        <v>3176</v>
      </c>
      <c r="E2199" t="s">
        <v>11</v>
      </c>
      <c r="G2199" t="s">
        <v>74</v>
      </c>
      <c r="H2199" t="s">
        <v>14</v>
      </c>
    </row>
    <row r="2200" spans="1:10" hidden="1" x14ac:dyDescent="0.25">
      <c r="A2200" t="s">
        <v>2726</v>
      </c>
      <c r="B2200" s="1" t="str">
        <f>HYPERLINK("https://asmlis.vasa.lt/Dashboard/Served?ServiceDateFrom=2025-11-24&amp;ServiceDateTo=2025-11-24&amp;DumpsterInvNr=13-S-102389", "13-S-102389")</f>
        <v>13-S-102389</v>
      </c>
      <c r="C2200">
        <v>0.12</v>
      </c>
      <c r="D2200" t="s">
        <v>3143</v>
      </c>
      <c r="E2200" t="s">
        <v>11</v>
      </c>
      <c r="F2200" t="s">
        <v>1209</v>
      </c>
      <c r="G2200" t="s">
        <v>1917</v>
      </c>
      <c r="H2200" t="s">
        <v>432</v>
      </c>
    </row>
    <row r="2201" spans="1:10" hidden="1" x14ac:dyDescent="0.25">
      <c r="A2201" t="s">
        <v>3177</v>
      </c>
      <c r="B2201" s="1" t="str">
        <f>HYPERLINK("https://asmlis.vasa.lt/Dashboard/Served?ServiceDateFrom=2025-11-24&amp;ServiceDateTo=2025-11-24&amp;DumpsterInvNr=13-P-411465", "13-P-411465")</f>
        <v>13-P-411465</v>
      </c>
      <c r="C2201">
        <v>0.24</v>
      </c>
      <c r="D2201" t="s">
        <v>3178</v>
      </c>
      <c r="E2201" t="s">
        <v>11</v>
      </c>
      <c r="F2201" t="s">
        <v>13</v>
      </c>
      <c r="G2201" t="s">
        <v>264</v>
      </c>
      <c r="H2201" t="s">
        <v>14</v>
      </c>
    </row>
    <row r="2202" spans="1:10" hidden="1" x14ac:dyDescent="0.25">
      <c r="A2202" t="s">
        <v>2737</v>
      </c>
      <c r="B2202" s="1" t="str">
        <f>HYPERLINK("https://asmlis.vasa.lt/Dashboard/Served?ServiceDateFrom=2025-11-24&amp;ServiceDateTo=2025-11-24&amp;DumpsterInvNr=13-L-142803", "13-L-142803")</f>
        <v>13-L-142803</v>
      </c>
      <c r="C2202">
        <v>0.24</v>
      </c>
      <c r="D2202" t="s">
        <v>3179</v>
      </c>
      <c r="E2202" t="s">
        <v>11</v>
      </c>
      <c r="G2202" t="s">
        <v>430</v>
      </c>
      <c r="H2202" t="s">
        <v>432</v>
      </c>
    </row>
    <row r="2203" spans="1:10" hidden="1" x14ac:dyDescent="0.25">
      <c r="A2203" t="s">
        <v>2737</v>
      </c>
      <c r="B2203" s="1" t="str">
        <f>HYPERLINK("https://asmlis.vasa.lt/Dashboard/Served?ServiceDateFrom=2025-11-24&amp;ServiceDateTo=2025-11-24&amp;DumpsterInvNr=13-S-404447", "13-S-404447")</f>
        <v>13-S-404447</v>
      </c>
      <c r="C2203">
        <v>0.12</v>
      </c>
      <c r="D2203" t="s">
        <v>3178</v>
      </c>
      <c r="E2203" t="s">
        <v>11</v>
      </c>
      <c r="F2203" t="s">
        <v>1209</v>
      </c>
      <c r="G2203" t="s">
        <v>264</v>
      </c>
      <c r="H2203" t="s">
        <v>14</v>
      </c>
    </row>
    <row r="2204" spans="1:10" hidden="1" x14ac:dyDescent="0.25">
      <c r="A2204" t="s">
        <v>2737</v>
      </c>
      <c r="B2204" s="1" t="str">
        <f>HYPERLINK("https://asmlis.vasa.lt/Dashboard/Served?ServiceDateFrom=2025-11-24&amp;ServiceDateTo=2025-11-24&amp;DumpsterInvNr=13-P-502942", "13-P-502942")</f>
        <v>13-P-502942</v>
      </c>
      <c r="C2204">
        <v>0.24</v>
      </c>
      <c r="D2204" t="s">
        <v>3179</v>
      </c>
      <c r="E2204" t="s">
        <v>11</v>
      </c>
      <c r="G2204" t="s">
        <v>2178</v>
      </c>
      <c r="H2204" t="s">
        <v>432</v>
      </c>
    </row>
    <row r="2205" spans="1:10" hidden="1" x14ac:dyDescent="0.25">
      <c r="A2205" t="s">
        <v>3181</v>
      </c>
      <c r="B2205" s="1" t="str">
        <f>HYPERLINK("https://asmlis.vasa.lt/Dashboard/Served?ServiceDateFrom=2025-11-24&amp;ServiceDateTo=2025-11-24&amp;DumpsterInvNr=13-L-313383", "13-L-313383")</f>
        <v>13-L-313383</v>
      </c>
      <c r="C2205">
        <v>1.1000000000000001</v>
      </c>
      <c r="D2205" t="s">
        <v>3182</v>
      </c>
      <c r="E2205" t="s">
        <v>11</v>
      </c>
      <c r="G2205" t="s">
        <v>9</v>
      </c>
      <c r="H2205" t="s">
        <v>14</v>
      </c>
    </row>
    <row r="2206" spans="1:10" hidden="1" x14ac:dyDescent="0.25">
      <c r="A2206" t="s">
        <v>3183</v>
      </c>
      <c r="B2206" s="1" t="str">
        <f>HYPERLINK("https://asmlis.vasa.lt/Dashboard/Served?ServiceDateFrom=2025-11-24&amp;ServiceDateTo=2025-11-24&amp;DumpsterInvNr=13-P-402998", "13-P-402998")</f>
        <v>13-P-402998</v>
      </c>
      <c r="C2206">
        <v>0.24</v>
      </c>
      <c r="D2206" t="s">
        <v>3184</v>
      </c>
      <c r="E2206" t="s">
        <v>11</v>
      </c>
      <c r="F2206" t="s">
        <v>1209</v>
      </c>
      <c r="G2206" t="s">
        <v>264</v>
      </c>
      <c r="H2206" t="s">
        <v>14</v>
      </c>
    </row>
    <row r="2207" spans="1:10" hidden="1" x14ac:dyDescent="0.25">
      <c r="A2207" t="s">
        <v>3185</v>
      </c>
      <c r="B2207" s="1" t="str">
        <f>HYPERLINK("https://asmlis.vasa.lt/Dashboard/Served?ServiceDateFrom=2025-11-24&amp;ServiceDateTo=2025-11-24&amp;DumpsterInvNr=13-L-124961", "13-L-124961")</f>
        <v>13-L-124961</v>
      </c>
      <c r="C2207">
        <v>0.12</v>
      </c>
      <c r="D2207" t="s">
        <v>3186</v>
      </c>
      <c r="E2207" t="s">
        <v>11</v>
      </c>
      <c r="G2207" t="s">
        <v>430</v>
      </c>
      <c r="H2207" t="s">
        <v>432</v>
      </c>
    </row>
    <row r="2208" spans="1:10" hidden="1" x14ac:dyDescent="0.25">
      <c r="A2208" t="s">
        <v>3187</v>
      </c>
      <c r="B2208" s="1" t="str">
        <f>HYPERLINK("https://asmlis.vasa.lt/Dashboard/Served?ServiceDateFrom=2025-11-24&amp;ServiceDateTo=2025-11-24&amp;DumpsterInvNr=13-L-403459", "13-L-403459")</f>
        <v>13-L-403459</v>
      </c>
      <c r="C2208">
        <v>1.1000000000000001</v>
      </c>
      <c r="D2208" t="s">
        <v>3176</v>
      </c>
      <c r="E2208" t="s">
        <v>11</v>
      </c>
      <c r="G2208" t="s">
        <v>74</v>
      </c>
      <c r="H2208" t="s">
        <v>14</v>
      </c>
    </row>
    <row r="2209" spans="1:10" hidden="1" x14ac:dyDescent="0.25">
      <c r="A2209" t="s">
        <v>3188</v>
      </c>
      <c r="B2209" s="1" t="str">
        <f>HYPERLINK("https://asmlis.vasa.lt/Dashboard/Served?ServiceDateFrom=2025-11-24&amp;ServiceDateTo=2025-11-24&amp;DumpsterInvNr=13-L-138849", "13-L-138849")</f>
        <v>13-L-138849</v>
      </c>
      <c r="C2209">
        <v>5</v>
      </c>
      <c r="D2209" t="s">
        <v>3189</v>
      </c>
      <c r="E2209" t="s">
        <v>11</v>
      </c>
      <c r="F2209" t="s">
        <v>13</v>
      </c>
      <c r="G2209" t="s">
        <v>430</v>
      </c>
      <c r="H2209" t="s">
        <v>432</v>
      </c>
    </row>
    <row r="2210" spans="1:10" hidden="1" x14ac:dyDescent="0.25">
      <c r="A2210" t="s">
        <v>3190</v>
      </c>
      <c r="B2210" s="1" t="str">
        <f>HYPERLINK("https://asmlis.vasa.lt/Dashboard/Served?ServiceDateFrom=2025-11-24&amp;ServiceDateTo=2025-11-24&amp;DumpsterInvNr=13-L-225984", "13-L-225984")</f>
        <v>13-L-225984</v>
      </c>
      <c r="C2210">
        <v>1.1000000000000001</v>
      </c>
      <c r="D2210" t="s">
        <v>3191</v>
      </c>
      <c r="E2210" t="s">
        <v>11</v>
      </c>
      <c r="F2210" t="s">
        <v>13</v>
      </c>
      <c r="G2210" t="s">
        <v>936</v>
      </c>
      <c r="H2210" t="s">
        <v>938</v>
      </c>
    </row>
    <row r="2211" spans="1:10" hidden="1" x14ac:dyDescent="0.25">
      <c r="A2211" t="s">
        <v>3192</v>
      </c>
      <c r="B2211" s="1" t="str">
        <f>HYPERLINK("https://asmlis.vasa.lt/Dashboard/Served?ServiceDateFrom=2025-11-24&amp;ServiceDateTo=2025-11-24&amp;DumpsterInvNr=13-L-426592", "13-L-426592")</f>
        <v>13-L-426592</v>
      </c>
      <c r="C2211">
        <v>1.1000000000000001</v>
      </c>
      <c r="D2211" t="s">
        <v>3193</v>
      </c>
      <c r="E2211" t="s">
        <v>11</v>
      </c>
      <c r="G2211" t="s">
        <v>74</v>
      </c>
      <c r="H2211" t="s">
        <v>14</v>
      </c>
    </row>
    <row r="2212" spans="1:10" hidden="1" x14ac:dyDescent="0.25">
      <c r="A2212" t="s">
        <v>3194</v>
      </c>
      <c r="B2212" s="1" t="str">
        <f>HYPERLINK("https://asmlis.vasa.lt/Dashboard/Served?ServiceDateFrom=2025-11-24&amp;ServiceDateTo=2025-11-24&amp;DumpsterInvNr=13-P-502246", "13-P-502246")</f>
        <v>13-P-502246</v>
      </c>
      <c r="C2212">
        <v>0.24</v>
      </c>
      <c r="D2212" t="s">
        <v>3186</v>
      </c>
      <c r="E2212" t="s">
        <v>11</v>
      </c>
      <c r="G2212" t="s">
        <v>2178</v>
      </c>
      <c r="H2212" t="s">
        <v>432</v>
      </c>
    </row>
    <row r="2213" spans="1:10" hidden="1" x14ac:dyDescent="0.25">
      <c r="A2213" t="s">
        <v>3195</v>
      </c>
      <c r="B2213" s="1" t="str">
        <f>HYPERLINK("https://asmlis.vasa.lt/Dashboard/Served?ServiceDateFrom=2025-11-24&amp;ServiceDateTo=2025-11-24&amp;DumpsterInvNr=13-L-313381", "13-L-313381")</f>
        <v>13-L-313381</v>
      </c>
      <c r="C2213">
        <v>1.1000000000000001</v>
      </c>
      <c r="D2213" t="s">
        <v>3182</v>
      </c>
      <c r="E2213" t="s">
        <v>11</v>
      </c>
      <c r="G2213" t="s">
        <v>9</v>
      </c>
      <c r="H2213" t="s">
        <v>14</v>
      </c>
    </row>
    <row r="2214" spans="1:10" hidden="1" x14ac:dyDescent="0.25">
      <c r="A2214" t="s">
        <v>2750</v>
      </c>
      <c r="B2214" s="1" t="str">
        <f>HYPERLINK("https://asmlis.vasa.lt/Dashboard/Served?ServiceDateFrom=2025-11-24&amp;ServiceDateTo=2025-11-24&amp;DumpsterInvNr=13-P-306880", "13-P-306880")</f>
        <v>13-P-306880</v>
      </c>
      <c r="C2214">
        <v>1.1000000000000001</v>
      </c>
      <c r="D2214" t="s">
        <v>313</v>
      </c>
      <c r="E2214" t="s">
        <v>11</v>
      </c>
      <c r="F2214" t="s">
        <v>13</v>
      </c>
      <c r="G2214" t="s">
        <v>412</v>
      </c>
      <c r="H2214" t="s">
        <v>14</v>
      </c>
    </row>
    <row r="2215" spans="1:10" hidden="1" x14ac:dyDescent="0.25">
      <c r="A2215" t="s">
        <v>3196</v>
      </c>
      <c r="B2215" s="1" t="str">
        <f>HYPERLINK("https://asmlis.vasa.lt/Dashboard/Served?ServiceDateFrom=2025-11-24&amp;ServiceDateTo=2025-11-24&amp;DumpsterInvNr=13-S-103240", "13-S-103240")</f>
        <v>13-S-103240</v>
      </c>
      <c r="C2215">
        <v>0.12</v>
      </c>
      <c r="D2215" t="s">
        <v>3197</v>
      </c>
      <c r="E2215" t="s">
        <v>11</v>
      </c>
      <c r="F2215" t="s">
        <v>1209</v>
      </c>
      <c r="G2215" t="s">
        <v>1917</v>
      </c>
      <c r="H2215" t="s">
        <v>432</v>
      </c>
    </row>
    <row r="2216" spans="1:10" hidden="1" x14ac:dyDescent="0.25">
      <c r="A2216" t="s">
        <v>3198</v>
      </c>
      <c r="B2216" s="1" t="str">
        <f>HYPERLINK("https://asmlis.vasa.lt/Dashboard/Served?ServiceDateFrom=2025-11-24&amp;ServiceDateTo=2025-11-24&amp;DumpsterInvNr=13-L-132862", "13-L-132862")</f>
        <v>13-L-132862</v>
      </c>
      <c r="C2216">
        <v>0.12</v>
      </c>
      <c r="D2216" t="s">
        <v>3197</v>
      </c>
      <c r="E2216" t="s">
        <v>11</v>
      </c>
      <c r="F2216" t="s">
        <v>1209</v>
      </c>
      <c r="G2216" t="s">
        <v>1912</v>
      </c>
      <c r="H2216" t="s">
        <v>432</v>
      </c>
    </row>
    <row r="2217" spans="1:10" hidden="1" x14ac:dyDescent="0.25">
      <c r="A2217" t="s">
        <v>3198</v>
      </c>
      <c r="B2217" s="1" t="str">
        <f>HYPERLINK("https://asmlis.vasa.lt/Dashboard/Served?ServiceDateFrom=2025-11-24&amp;ServiceDateTo=2025-11-24&amp;DumpsterInvNr=13-P-103435", "13-P-103435")</f>
        <v>13-P-103435</v>
      </c>
      <c r="C2217">
        <v>0.24</v>
      </c>
      <c r="D2217" t="s">
        <v>3197</v>
      </c>
      <c r="E2217" t="s">
        <v>11</v>
      </c>
      <c r="F2217" t="s">
        <v>1209</v>
      </c>
      <c r="G2217" t="s">
        <v>1917</v>
      </c>
      <c r="H2217" t="s">
        <v>432</v>
      </c>
    </row>
    <row r="2218" spans="1:10" hidden="1" x14ac:dyDescent="0.25">
      <c r="A2218" t="s">
        <v>3198</v>
      </c>
      <c r="B2218" s="1" t="str">
        <f>HYPERLINK("https://asmlis.vasa.lt/Dashboard/Served?ServiceDateFrom=2025-11-24&amp;ServiceDateTo=2025-11-24&amp;DumpsterInvNr=13-S-503596", "13-S-503596")</f>
        <v>13-S-503596</v>
      </c>
      <c r="C2218">
        <v>0.12</v>
      </c>
      <c r="D2218" t="s">
        <v>3186</v>
      </c>
      <c r="E2218" t="s">
        <v>11</v>
      </c>
      <c r="F2218" t="s">
        <v>1209</v>
      </c>
      <c r="G2218" t="s">
        <v>2178</v>
      </c>
      <c r="H2218" t="s">
        <v>432</v>
      </c>
    </row>
    <row r="2219" spans="1:10" hidden="1" x14ac:dyDescent="0.25">
      <c r="A2219" t="s">
        <v>3199</v>
      </c>
      <c r="B2219" s="1" t="str">
        <f>HYPERLINK("https://asmlis.vasa.lt/Dashboard/Served?ServiceDateFrom=2025-11-24&amp;ServiceDateTo=2025-11-24&amp;DumpsterInvNr=13-L-316574", "13-L-316574")</f>
        <v>13-L-316574</v>
      </c>
      <c r="C2219">
        <v>1.1000000000000001</v>
      </c>
      <c r="D2219" t="s">
        <v>3151</v>
      </c>
      <c r="E2219" t="s">
        <v>11</v>
      </c>
      <c r="G2219" t="s">
        <v>9</v>
      </c>
      <c r="H2219" t="s">
        <v>14</v>
      </c>
    </row>
    <row r="2220" spans="1:10" hidden="1" x14ac:dyDescent="0.25">
      <c r="A2220" t="s">
        <v>3200</v>
      </c>
      <c r="B2220" s="1" t="str">
        <f>HYPERLINK("https://asmlis.vasa.lt/Dashboard/Served?ServiceDateFrom=2025-11-24&amp;ServiceDateTo=2025-11-24&amp;DumpsterInvNr=13-L-121078", "13-L-121078")</f>
        <v>13-L-121078</v>
      </c>
      <c r="C2220">
        <v>0.77</v>
      </c>
      <c r="D2220" t="s">
        <v>3201</v>
      </c>
      <c r="E2220" t="s">
        <v>11</v>
      </c>
      <c r="G2220" t="s">
        <v>430</v>
      </c>
      <c r="H2220" t="s">
        <v>432</v>
      </c>
    </row>
    <row r="2221" spans="1:10" hidden="1" x14ac:dyDescent="0.25">
      <c r="A2221" t="s">
        <v>3202</v>
      </c>
      <c r="B2221" s="1" t="str">
        <f>HYPERLINK("https://asmlis.vasa.lt/Dashboard/Served?ServiceDateFrom=2025-11-24&amp;ServiceDateTo=2025-11-24&amp;DumpsterInvNr=13-P-430214", "13-P-430214")</f>
        <v>13-P-430214</v>
      </c>
      <c r="C2221">
        <v>0.24</v>
      </c>
      <c r="D2221" t="s">
        <v>3203</v>
      </c>
      <c r="E2221" t="s">
        <v>11</v>
      </c>
      <c r="G2221" t="s">
        <v>264</v>
      </c>
      <c r="H2221" t="s">
        <v>14</v>
      </c>
    </row>
    <row r="2222" spans="1:10" hidden="1" x14ac:dyDescent="0.25">
      <c r="A2222" t="s">
        <v>3204</v>
      </c>
      <c r="B2222" s="1" t="str">
        <f>HYPERLINK("https://asmlis.vasa.lt/Dashboard/Served?ServiceDateFrom=2025-11-24&amp;ServiceDateTo=2025-11-24&amp;DumpsterInvNr=13-L-220589", "13-L-220589")</f>
        <v>13-L-220589</v>
      </c>
      <c r="C2222">
        <v>1.1000000000000001</v>
      </c>
      <c r="D2222" t="s">
        <v>3148</v>
      </c>
      <c r="E2222" t="s">
        <v>11</v>
      </c>
      <c r="F2222" t="s">
        <v>3205</v>
      </c>
      <c r="G2222" t="s">
        <v>936</v>
      </c>
      <c r="H2222" t="s">
        <v>938</v>
      </c>
      <c r="J2222" t="s">
        <v>17514</v>
      </c>
    </row>
    <row r="2223" spans="1:10" hidden="1" x14ac:dyDescent="0.25">
      <c r="A2223" t="s">
        <v>3204</v>
      </c>
      <c r="B2223" s="1" t="str">
        <f>HYPERLINK("https://asmlis.vasa.lt/Dashboard/Served?ServiceDateFrom=2025-11-24&amp;ServiceDateTo=2025-11-24&amp;DumpsterInvNr=13-P-106620", "13-P-106620")</f>
        <v>13-P-106620</v>
      </c>
      <c r="C2223">
        <v>0.24</v>
      </c>
      <c r="D2223" t="s">
        <v>3206</v>
      </c>
      <c r="E2223" t="s">
        <v>11</v>
      </c>
      <c r="G2223" t="s">
        <v>1917</v>
      </c>
      <c r="H2223" t="s">
        <v>432</v>
      </c>
    </row>
    <row r="2224" spans="1:10" hidden="1" x14ac:dyDescent="0.25">
      <c r="A2224" t="s">
        <v>2125</v>
      </c>
      <c r="B2224" s="1" t="str">
        <f>HYPERLINK("https://asmlis.vasa.lt/Dashboard/Served?ServiceDateFrom=2025-11-24&amp;ServiceDateTo=2025-11-24&amp;DumpsterInvNr=13-L-425964", "13-L-425964")</f>
        <v>13-L-425964</v>
      </c>
      <c r="C2224">
        <v>1.1000000000000001</v>
      </c>
      <c r="D2224" t="s">
        <v>3176</v>
      </c>
      <c r="E2224" t="s">
        <v>11</v>
      </c>
      <c r="G2224" t="s">
        <v>74</v>
      </c>
      <c r="H2224" t="s">
        <v>14</v>
      </c>
    </row>
    <row r="2225" spans="1:8" hidden="1" x14ac:dyDescent="0.25">
      <c r="A2225" t="s">
        <v>2173</v>
      </c>
      <c r="B2225" s="1" t="str">
        <f>HYPERLINK("https://asmlis.vasa.lt/Dashboard/Served?ServiceDateFrom=2025-11-24&amp;ServiceDateTo=2025-11-24&amp;DumpsterInvNr=13-T-000102", "13-T-000102")</f>
        <v>13-T-000102</v>
      </c>
      <c r="C2225">
        <v>2.5</v>
      </c>
      <c r="D2225" t="s">
        <v>3208</v>
      </c>
      <c r="E2225" t="s">
        <v>11</v>
      </c>
      <c r="F2225" t="s">
        <v>13</v>
      </c>
      <c r="G2225" t="s">
        <v>1899</v>
      </c>
      <c r="H2225" t="s">
        <v>432</v>
      </c>
    </row>
    <row r="2226" spans="1:8" hidden="1" x14ac:dyDescent="0.25">
      <c r="A2226" t="s">
        <v>3209</v>
      </c>
      <c r="B2226" s="1" t="str">
        <f>HYPERLINK("https://asmlis.vasa.lt/Dashboard/Served?ServiceDateFrom=2025-11-24&amp;ServiceDateTo=2025-11-24&amp;DumpsterInvNr=13-P-416548", "13-P-416548")</f>
        <v>13-P-416548</v>
      </c>
      <c r="C2226">
        <v>0.12</v>
      </c>
      <c r="D2226" t="s">
        <v>3210</v>
      </c>
      <c r="E2226" t="s">
        <v>11</v>
      </c>
      <c r="G2226" t="s">
        <v>264</v>
      </c>
      <c r="H2226" t="s">
        <v>14</v>
      </c>
    </row>
    <row r="2227" spans="1:8" hidden="1" x14ac:dyDescent="0.25">
      <c r="A2227" t="s">
        <v>3211</v>
      </c>
      <c r="B2227" s="1" t="str">
        <f>HYPERLINK("https://asmlis.vasa.lt/Dashboard/Served?ServiceDateFrom=2025-11-24&amp;ServiceDateTo=2025-11-24&amp;DumpsterInvNr=13-L-117765", "13-L-117765")</f>
        <v>13-L-117765</v>
      </c>
      <c r="C2227">
        <v>1.1000000000000001</v>
      </c>
      <c r="D2227" t="s">
        <v>3212</v>
      </c>
      <c r="E2227" t="s">
        <v>11</v>
      </c>
      <c r="G2227" t="s">
        <v>1912</v>
      </c>
      <c r="H2227" t="s">
        <v>432</v>
      </c>
    </row>
    <row r="2228" spans="1:8" hidden="1" x14ac:dyDescent="0.25">
      <c r="A2228" t="s">
        <v>3213</v>
      </c>
      <c r="B2228" s="1" t="str">
        <f>HYPERLINK("https://asmlis.vasa.lt/Dashboard/Served?ServiceDateFrom=2025-11-24&amp;ServiceDateTo=2025-11-24&amp;DumpsterInvNr=13-L-314746", "13-L-314746")</f>
        <v>13-L-314746</v>
      </c>
      <c r="C2228">
        <v>1.1000000000000001</v>
      </c>
      <c r="D2228" t="s">
        <v>3151</v>
      </c>
      <c r="E2228" t="s">
        <v>11</v>
      </c>
      <c r="G2228" t="s">
        <v>9</v>
      </c>
      <c r="H2228" t="s">
        <v>14</v>
      </c>
    </row>
    <row r="2229" spans="1:8" hidden="1" x14ac:dyDescent="0.25">
      <c r="A2229" t="s">
        <v>3214</v>
      </c>
      <c r="B2229" s="1" t="str">
        <f>HYPERLINK("https://asmlis.vasa.lt/Dashboard/Served?ServiceDateFrom=2025-11-24&amp;ServiceDateTo=2025-11-24&amp;DumpsterInvNr=13-T-000093", "13-T-000093")</f>
        <v>13-T-000093</v>
      </c>
      <c r="C2229">
        <v>2.5</v>
      </c>
      <c r="D2229" t="s">
        <v>3215</v>
      </c>
      <c r="E2229" t="s">
        <v>11</v>
      </c>
      <c r="F2229" t="s">
        <v>13</v>
      </c>
      <c r="G2229" t="s">
        <v>1899</v>
      </c>
      <c r="H2229" t="s">
        <v>432</v>
      </c>
    </row>
    <row r="2230" spans="1:8" hidden="1" x14ac:dyDescent="0.25">
      <c r="A2230" t="s">
        <v>3216</v>
      </c>
      <c r="B2230" s="1" t="str">
        <f>HYPERLINK("https://asmlis.vasa.lt/Dashboard/Served?ServiceDateFrom=2025-11-24&amp;ServiceDateTo=2025-11-24&amp;DumpsterInvNr=13-P-507383", "13-P-507383")</f>
        <v>13-P-507383</v>
      </c>
      <c r="C2230">
        <v>0.12</v>
      </c>
      <c r="D2230" t="s">
        <v>3217</v>
      </c>
      <c r="E2230" t="s">
        <v>11</v>
      </c>
      <c r="G2230" t="s">
        <v>2178</v>
      </c>
      <c r="H2230" t="s">
        <v>432</v>
      </c>
    </row>
    <row r="2231" spans="1:8" hidden="1" x14ac:dyDescent="0.25">
      <c r="A2231" t="s">
        <v>3218</v>
      </c>
      <c r="B2231" s="1" t="str">
        <f>HYPERLINK("https://asmlis.vasa.lt/Dashboard/Served?ServiceDateFrom=2025-11-24&amp;ServiceDateTo=2025-11-24&amp;DumpsterInvNr=13-S-113141", "13-S-113141")</f>
        <v>13-S-113141</v>
      </c>
      <c r="C2231">
        <v>0.12</v>
      </c>
      <c r="D2231" t="s">
        <v>3206</v>
      </c>
      <c r="E2231" t="s">
        <v>11</v>
      </c>
      <c r="F2231" t="s">
        <v>1209</v>
      </c>
      <c r="G2231" t="s">
        <v>1917</v>
      </c>
      <c r="H2231" t="s">
        <v>432</v>
      </c>
    </row>
    <row r="2232" spans="1:8" hidden="1" x14ac:dyDescent="0.25">
      <c r="A2232" t="s">
        <v>3219</v>
      </c>
      <c r="B2232" s="1" t="str">
        <f>HYPERLINK("https://asmlis.vasa.lt/Dashboard/Served?ServiceDateFrom=2025-11-24&amp;ServiceDateTo=2025-11-24&amp;DumpsterInvNr=13-L-105287", "13-L-105287")</f>
        <v>13-L-105287</v>
      </c>
      <c r="C2232">
        <v>1.1000000000000001</v>
      </c>
      <c r="D2232" t="s">
        <v>3220</v>
      </c>
      <c r="E2232" t="s">
        <v>11</v>
      </c>
      <c r="G2232" t="s">
        <v>430</v>
      </c>
      <c r="H2232" t="s">
        <v>432</v>
      </c>
    </row>
    <row r="2233" spans="1:8" hidden="1" x14ac:dyDescent="0.25">
      <c r="A2233" t="s">
        <v>3219</v>
      </c>
      <c r="B2233" s="1" t="str">
        <f>HYPERLINK("https://asmlis.vasa.lt/Dashboard/Served?ServiceDateFrom=2025-11-24&amp;ServiceDateTo=2025-11-24&amp;DumpsterInvNr=13-P-103960", "13-P-103960")</f>
        <v>13-P-103960</v>
      </c>
      <c r="C2233">
        <v>0.24</v>
      </c>
      <c r="D2233" t="s">
        <v>3221</v>
      </c>
      <c r="E2233" t="s">
        <v>11</v>
      </c>
      <c r="F2233" t="s">
        <v>1209</v>
      </c>
      <c r="G2233" t="s">
        <v>1917</v>
      </c>
      <c r="H2233" t="s">
        <v>432</v>
      </c>
    </row>
    <row r="2234" spans="1:8" hidden="1" x14ac:dyDescent="0.25">
      <c r="A2234" t="s">
        <v>3223</v>
      </c>
      <c r="B2234" s="1" t="str">
        <f>HYPERLINK("https://asmlis.vasa.lt/Dashboard/Served?ServiceDateFrom=2025-11-24&amp;ServiceDateTo=2025-11-24&amp;DumpsterInvNr=13-S-111946", "13-S-111946")</f>
        <v>13-S-111946</v>
      </c>
      <c r="C2234">
        <v>0.12</v>
      </c>
      <c r="D2234" t="s">
        <v>3221</v>
      </c>
      <c r="E2234" t="s">
        <v>11</v>
      </c>
      <c r="F2234" t="s">
        <v>1209</v>
      </c>
      <c r="G2234" t="s">
        <v>1917</v>
      </c>
      <c r="H2234" t="s">
        <v>432</v>
      </c>
    </row>
    <row r="2235" spans="1:8" hidden="1" x14ac:dyDescent="0.25">
      <c r="A2235" t="s">
        <v>3224</v>
      </c>
      <c r="B2235" s="1" t="str">
        <f>HYPERLINK("https://asmlis.vasa.lt/Dashboard/Served?ServiceDateFrom=2025-11-24&amp;ServiceDateTo=2025-11-24&amp;DumpsterInvNr=13-L-140577", "13-L-140577")</f>
        <v>13-L-140577</v>
      </c>
      <c r="C2235">
        <v>0.24</v>
      </c>
      <c r="D2235" t="s">
        <v>3217</v>
      </c>
      <c r="E2235" t="s">
        <v>11</v>
      </c>
      <c r="G2235" t="s">
        <v>430</v>
      </c>
      <c r="H2235" t="s">
        <v>432</v>
      </c>
    </row>
    <row r="2236" spans="1:8" hidden="1" x14ac:dyDescent="0.25">
      <c r="A2236" t="s">
        <v>3225</v>
      </c>
      <c r="B2236" s="1" t="str">
        <f>HYPERLINK("https://asmlis.vasa.lt/Dashboard/Served?ServiceDateFrom=2025-11-24&amp;ServiceDateTo=2025-11-24&amp;DumpsterInvNr=13-T-000095", "13-T-000095")</f>
        <v>13-T-000095</v>
      </c>
      <c r="C2236">
        <v>2.5</v>
      </c>
      <c r="D2236" t="s">
        <v>3215</v>
      </c>
      <c r="E2236" t="s">
        <v>11</v>
      </c>
      <c r="F2236" t="s">
        <v>13</v>
      </c>
      <c r="G2236" t="s">
        <v>1899</v>
      </c>
      <c r="H2236" t="s">
        <v>432</v>
      </c>
    </row>
    <row r="2237" spans="1:8" hidden="1" x14ac:dyDescent="0.25">
      <c r="A2237" t="s">
        <v>3226</v>
      </c>
      <c r="B2237" s="1" t="str">
        <f>HYPERLINK("https://asmlis.vasa.lt/Dashboard/Served?ServiceDateFrom=2025-11-24&amp;ServiceDateTo=2025-11-24&amp;DumpsterInvNr=13-P-210332", "13-P-210332")</f>
        <v>13-P-210332</v>
      </c>
      <c r="C2237">
        <v>0.24</v>
      </c>
      <c r="D2237" t="s">
        <v>3227</v>
      </c>
      <c r="E2237" t="s">
        <v>11</v>
      </c>
      <c r="G2237" t="s">
        <v>234</v>
      </c>
      <c r="H2237" t="s">
        <v>14</v>
      </c>
    </row>
    <row r="2238" spans="1:8" hidden="1" x14ac:dyDescent="0.25">
      <c r="A2238" t="s">
        <v>2151</v>
      </c>
      <c r="B2238" s="1" t="str">
        <f>HYPERLINK("https://asmlis.vasa.lt/Dashboard/Served?ServiceDateFrom=2025-11-24&amp;ServiceDateTo=2025-11-24&amp;DumpsterInvNr=13-P-413872", "13-P-413872")</f>
        <v>13-P-413872</v>
      </c>
      <c r="C2238">
        <v>3</v>
      </c>
      <c r="D2238" t="s">
        <v>501</v>
      </c>
      <c r="E2238" t="s">
        <v>11</v>
      </c>
      <c r="G2238" t="s">
        <v>264</v>
      </c>
      <c r="H2238" t="s">
        <v>14</v>
      </c>
    </row>
    <row r="2239" spans="1:8" hidden="1" x14ac:dyDescent="0.25">
      <c r="A2239" t="s">
        <v>2858</v>
      </c>
      <c r="B2239" s="1" t="str">
        <f>HYPERLINK("https://asmlis.vasa.lt/Dashboard/Served?ServiceDateFrom=2025-11-24&amp;ServiceDateTo=2025-11-24&amp;DumpsterInvNr=13-S-503453", "13-S-503453")</f>
        <v>13-S-503453</v>
      </c>
      <c r="C2239">
        <v>0.12</v>
      </c>
      <c r="D2239" t="s">
        <v>3228</v>
      </c>
      <c r="E2239" t="s">
        <v>11</v>
      </c>
      <c r="F2239" t="s">
        <v>1209</v>
      </c>
      <c r="G2239" t="s">
        <v>2178</v>
      </c>
      <c r="H2239" t="s">
        <v>432</v>
      </c>
    </row>
    <row r="2240" spans="1:8" hidden="1" x14ac:dyDescent="0.25">
      <c r="A2240" t="s">
        <v>3131</v>
      </c>
      <c r="B2240" s="1" t="str">
        <f>HYPERLINK("https://asmlis.vasa.lt/Dashboard/Served?ServiceDateFrom=2025-11-24&amp;ServiceDateTo=2025-11-24&amp;DumpsterInvNr=13-L-128681", "13-L-128681")</f>
        <v>13-L-128681</v>
      </c>
      <c r="C2240">
        <v>0.12</v>
      </c>
      <c r="D2240" t="s">
        <v>3228</v>
      </c>
      <c r="E2240" t="s">
        <v>11</v>
      </c>
      <c r="F2240" t="s">
        <v>1209</v>
      </c>
      <c r="G2240" t="s">
        <v>430</v>
      </c>
      <c r="H2240" t="s">
        <v>432</v>
      </c>
    </row>
    <row r="2241" spans="1:10" hidden="1" x14ac:dyDescent="0.25">
      <c r="A2241" t="s">
        <v>3131</v>
      </c>
      <c r="B2241" s="1" t="str">
        <f>HYPERLINK("https://asmlis.vasa.lt/Dashboard/Served?ServiceDateFrom=2025-11-24&amp;ServiceDateTo=2025-11-24&amp;DumpsterInvNr=13-L-313382", "13-L-313382")</f>
        <v>13-L-313382</v>
      </c>
      <c r="C2241">
        <v>1.1000000000000001</v>
      </c>
      <c r="D2241" t="s">
        <v>3182</v>
      </c>
      <c r="E2241" t="s">
        <v>11</v>
      </c>
      <c r="G2241" t="s">
        <v>9</v>
      </c>
      <c r="H2241" t="s">
        <v>14</v>
      </c>
    </row>
    <row r="2242" spans="1:10" hidden="1" x14ac:dyDescent="0.25">
      <c r="A2242" t="s">
        <v>3230</v>
      </c>
      <c r="B2242" s="1" t="str">
        <f>HYPERLINK("https://asmlis.vasa.lt/Dashboard/Served?ServiceDateFrom=2025-11-24&amp;ServiceDateTo=2025-11-24&amp;DumpsterInvNr=13-L-421337", "13-L-421337")</f>
        <v>13-L-421337</v>
      </c>
      <c r="C2242">
        <v>0.77</v>
      </c>
      <c r="D2242" t="s">
        <v>3231</v>
      </c>
      <c r="E2242" t="s">
        <v>11</v>
      </c>
      <c r="F2242" t="s">
        <v>13</v>
      </c>
      <c r="G2242" t="s">
        <v>74</v>
      </c>
      <c r="H2242" t="s">
        <v>14</v>
      </c>
    </row>
    <row r="2243" spans="1:10" hidden="1" x14ac:dyDescent="0.25">
      <c r="A2243" t="s">
        <v>3230</v>
      </c>
      <c r="B2243" s="1" t="str">
        <f>HYPERLINK("https://asmlis.vasa.lt/Dashboard/Served?ServiceDateFrom=2025-11-24&amp;ServiceDateTo=2025-11-24&amp;DumpsterInvNr=13-P-402055", "13-P-402055")</f>
        <v>13-P-402055</v>
      </c>
      <c r="C2243">
        <v>1.1000000000000001</v>
      </c>
      <c r="D2243" t="s">
        <v>3232</v>
      </c>
      <c r="E2243" t="s">
        <v>11</v>
      </c>
      <c r="F2243" t="s">
        <v>13</v>
      </c>
      <c r="G2243" t="s">
        <v>264</v>
      </c>
      <c r="H2243" t="s">
        <v>14</v>
      </c>
    </row>
    <row r="2244" spans="1:10" hidden="1" x14ac:dyDescent="0.25">
      <c r="A2244" t="s">
        <v>3233</v>
      </c>
      <c r="B2244" s="1" t="str">
        <f>HYPERLINK("https://asmlis.vasa.lt/Dashboard/Served?ServiceDateFrom=2025-11-24&amp;ServiceDateTo=2025-11-24&amp;DumpsterInvNr=13-P-502271", "13-P-502271")</f>
        <v>13-P-502271</v>
      </c>
      <c r="C2244">
        <v>0.24</v>
      </c>
      <c r="D2244" t="s">
        <v>3228</v>
      </c>
      <c r="E2244" t="s">
        <v>11</v>
      </c>
      <c r="F2244" t="s">
        <v>1209</v>
      </c>
      <c r="G2244" t="s">
        <v>2178</v>
      </c>
      <c r="H2244" t="s">
        <v>432</v>
      </c>
    </row>
    <row r="2245" spans="1:10" hidden="1" x14ac:dyDescent="0.25">
      <c r="A2245" t="s">
        <v>3234</v>
      </c>
      <c r="B2245" s="1" t="str">
        <f>HYPERLINK("https://asmlis.vasa.lt/Dashboard/Served?ServiceDateFrom=2025-11-24&amp;ServiceDateTo=2025-11-24&amp;DumpsterInvNr=13-L-120045", "13-L-120045")</f>
        <v>13-L-120045</v>
      </c>
      <c r="C2245">
        <v>1.1000000000000001</v>
      </c>
      <c r="D2245" t="s">
        <v>3235</v>
      </c>
      <c r="E2245" t="s">
        <v>11</v>
      </c>
      <c r="G2245" t="s">
        <v>1912</v>
      </c>
      <c r="H2245" t="s">
        <v>432</v>
      </c>
    </row>
    <row r="2246" spans="1:10" hidden="1" x14ac:dyDescent="0.25">
      <c r="A2246" t="s">
        <v>3237</v>
      </c>
      <c r="B2246" s="1" t="str">
        <f>HYPERLINK("https://asmlis.vasa.lt/Dashboard/Served?ServiceDateFrom=2025-11-24&amp;ServiceDateTo=2025-11-24&amp;DumpsterInvNr=13-L-417796", "13-L-417796")</f>
        <v>13-L-417796</v>
      </c>
      <c r="C2246">
        <v>1.1000000000000001</v>
      </c>
      <c r="D2246" t="s">
        <v>3231</v>
      </c>
      <c r="E2246" t="s">
        <v>11</v>
      </c>
      <c r="F2246" t="s">
        <v>13</v>
      </c>
      <c r="G2246" t="s">
        <v>74</v>
      </c>
      <c r="H2246" t="s">
        <v>14</v>
      </c>
    </row>
    <row r="2247" spans="1:10" hidden="1" x14ac:dyDescent="0.25">
      <c r="A2247" t="s">
        <v>3237</v>
      </c>
      <c r="B2247" s="1" t="str">
        <f>HYPERLINK("https://asmlis.vasa.lt/Dashboard/Served?ServiceDateFrom=2025-11-24&amp;ServiceDateTo=2025-11-24&amp;DumpsterInvNr=13-P-500317", "13-P-500317")</f>
        <v>13-P-500317</v>
      </c>
      <c r="C2247">
        <v>5</v>
      </c>
      <c r="D2247" t="s">
        <v>1303</v>
      </c>
      <c r="E2247" t="s">
        <v>11</v>
      </c>
      <c r="F2247" t="s">
        <v>13</v>
      </c>
      <c r="G2247" t="s">
        <v>2178</v>
      </c>
      <c r="H2247" t="s">
        <v>432</v>
      </c>
    </row>
    <row r="2248" spans="1:10" hidden="1" x14ac:dyDescent="0.25">
      <c r="A2248" t="s">
        <v>3238</v>
      </c>
      <c r="B2248" s="1" t="str">
        <f>HYPERLINK("https://asmlis.vasa.lt/Dashboard/Served?ServiceDateFrom=2025-11-24&amp;ServiceDateTo=2025-11-24&amp;DumpsterInvNr=13-L-420397", "13-L-420397")</f>
        <v>13-L-420397</v>
      </c>
      <c r="C2248">
        <v>5</v>
      </c>
      <c r="D2248" t="s">
        <v>3101</v>
      </c>
      <c r="E2248" t="s">
        <v>11</v>
      </c>
      <c r="G2248" t="s">
        <v>74</v>
      </c>
      <c r="H2248" t="s">
        <v>14</v>
      </c>
    </row>
    <row r="2249" spans="1:10" hidden="1" x14ac:dyDescent="0.25">
      <c r="A2249" t="s">
        <v>3238</v>
      </c>
      <c r="B2249" s="1" t="str">
        <f>HYPERLINK("https://asmlis.vasa.lt/Dashboard/Served?ServiceDateFrom=2025-11-24&amp;ServiceDateTo=2025-11-24&amp;DumpsterInvNr=13-L-225083", "13-L-225083")</f>
        <v>13-L-225083</v>
      </c>
      <c r="C2249">
        <v>1.1000000000000001</v>
      </c>
      <c r="D2249" t="s">
        <v>3148</v>
      </c>
      <c r="E2249" t="s">
        <v>11</v>
      </c>
      <c r="F2249" t="s">
        <v>3205</v>
      </c>
      <c r="G2249" t="s">
        <v>936</v>
      </c>
      <c r="H2249" t="s">
        <v>938</v>
      </c>
      <c r="J2249" t="s">
        <v>17514</v>
      </c>
    </row>
    <row r="2250" spans="1:10" hidden="1" x14ac:dyDescent="0.25">
      <c r="A2250" t="s">
        <v>3239</v>
      </c>
      <c r="B2250" s="1" t="str">
        <f>HYPERLINK("https://asmlis.vasa.lt/Dashboard/Served?ServiceDateFrom=2025-11-24&amp;ServiceDateTo=2025-11-24&amp;DumpsterInvNr=13-L-137603", "13-L-137603")</f>
        <v>13-L-137603</v>
      </c>
      <c r="C2250">
        <v>5</v>
      </c>
      <c r="D2250" t="s">
        <v>3240</v>
      </c>
      <c r="E2250" t="s">
        <v>11</v>
      </c>
      <c r="F2250" t="s">
        <v>13</v>
      </c>
      <c r="G2250" t="s">
        <v>1912</v>
      </c>
      <c r="H2250" t="s">
        <v>432</v>
      </c>
    </row>
    <row r="2251" spans="1:10" hidden="1" x14ac:dyDescent="0.25">
      <c r="A2251" t="s">
        <v>3241</v>
      </c>
      <c r="B2251" s="1" t="str">
        <f>HYPERLINK("https://asmlis.vasa.lt/Dashboard/Served?ServiceDateFrom=2025-11-24&amp;ServiceDateTo=2025-11-24&amp;DumpsterInvNr=13-L-139627", "13-L-139627")</f>
        <v>13-L-139627</v>
      </c>
      <c r="C2251">
        <v>0.24</v>
      </c>
      <c r="D2251" t="s">
        <v>3242</v>
      </c>
      <c r="E2251" t="s">
        <v>11</v>
      </c>
      <c r="F2251" t="s">
        <v>1209</v>
      </c>
      <c r="G2251" t="s">
        <v>1912</v>
      </c>
      <c r="H2251" t="s">
        <v>432</v>
      </c>
    </row>
    <row r="2252" spans="1:10" hidden="1" x14ac:dyDescent="0.25">
      <c r="A2252" t="s">
        <v>3241</v>
      </c>
      <c r="B2252" s="1" t="str">
        <f>HYPERLINK("https://asmlis.vasa.lt/Dashboard/Served?ServiceDateFrom=2025-11-24&amp;ServiceDateTo=2025-11-24&amp;DumpsterInvNr=13-L-223445", "13-L-223445")</f>
        <v>13-L-223445</v>
      </c>
      <c r="C2252">
        <v>1.1000000000000001</v>
      </c>
      <c r="D2252" t="s">
        <v>3244</v>
      </c>
      <c r="E2252" t="s">
        <v>11</v>
      </c>
      <c r="F2252" t="s">
        <v>13</v>
      </c>
      <c r="G2252" t="s">
        <v>936</v>
      </c>
      <c r="H2252" t="s">
        <v>938</v>
      </c>
    </row>
    <row r="2253" spans="1:10" hidden="1" x14ac:dyDescent="0.25">
      <c r="A2253" t="s">
        <v>3245</v>
      </c>
      <c r="B2253" s="1" t="str">
        <f>HYPERLINK("https://asmlis.vasa.lt/Dashboard/Served?ServiceDateFrom=2025-11-24&amp;ServiceDateTo=2025-11-24&amp;DumpsterInvNr=13-S-103244", "13-S-103244")</f>
        <v>13-S-103244</v>
      </c>
      <c r="C2253">
        <v>0.12</v>
      </c>
      <c r="D2253" t="s">
        <v>3242</v>
      </c>
      <c r="E2253" t="s">
        <v>11</v>
      </c>
      <c r="F2253" t="s">
        <v>1209</v>
      </c>
      <c r="G2253" t="s">
        <v>1917</v>
      </c>
      <c r="H2253" t="s">
        <v>432</v>
      </c>
    </row>
    <row r="2254" spans="1:10" hidden="1" x14ac:dyDescent="0.25">
      <c r="A2254" t="s">
        <v>3246</v>
      </c>
      <c r="B2254" s="1" t="str">
        <f>HYPERLINK("https://asmlis.vasa.lt/Dashboard/Served?ServiceDateFrom=2025-11-24&amp;ServiceDateTo=2025-11-24&amp;DumpsterInvNr=13-P-506025", "13-P-506025")</f>
        <v>13-P-506025</v>
      </c>
      <c r="C2254">
        <v>1.1000000000000001</v>
      </c>
      <c r="D2254" t="s">
        <v>3248</v>
      </c>
      <c r="E2254" t="s">
        <v>11</v>
      </c>
      <c r="G2254" t="s">
        <v>2178</v>
      </c>
      <c r="H2254" t="s">
        <v>432</v>
      </c>
    </row>
    <row r="2255" spans="1:10" hidden="1" x14ac:dyDescent="0.25">
      <c r="A2255" t="s">
        <v>3246</v>
      </c>
      <c r="B2255" s="1" t="str">
        <f>HYPERLINK("https://asmlis.vasa.lt/Dashboard/Served?ServiceDateFrom=2025-11-24&amp;ServiceDateTo=2025-11-24&amp;DumpsterInvNr=13-L-228433", "13-L-228433")</f>
        <v>13-L-228433</v>
      </c>
      <c r="C2255">
        <v>1.1000000000000001</v>
      </c>
      <c r="D2255" t="s">
        <v>3148</v>
      </c>
      <c r="E2255" t="s">
        <v>11</v>
      </c>
      <c r="F2255" t="s">
        <v>13</v>
      </c>
      <c r="G2255" t="s">
        <v>936</v>
      </c>
      <c r="H2255" t="s">
        <v>938</v>
      </c>
    </row>
    <row r="2256" spans="1:10" hidden="1" x14ac:dyDescent="0.25">
      <c r="A2256" t="s">
        <v>3250</v>
      </c>
      <c r="B2256" s="1" t="str">
        <f>HYPERLINK("https://asmlis.vasa.lt/Dashboard/Served?ServiceDateFrom=2025-11-24&amp;ServiceDateTo=2025-11-24&amp;DumpsterInvNr=13-S-504828", "13-S-504828")</f>
        <v>13-S-504828</v>
      </c>
      <c r="C2256">
        <v>0.12</v>
      </c>
      <c r="D2256" t="s">
        <v>3251</v>
      </c>
      <c r="E2256" t="s">
        <v>11</v>
      </c>
      <c r="F2256" t="s">
        <v>1209</v>
      </c>
      <c r="G2256" t="s">
        <v>2178</v>
      </c>
      <c r="H2256" t="s">
        <v>432</v>
      </c>
    </row>
    <row r="2257" spans="1:10" hidden="1" x14ac:dyDescent="0.25">
      <c r="A2257" t="s">
        <v>3253</v>
      </c>
      <c r="B2257" s="1" t="str">
        <f>HYPERLINK("https://asmlis.vasa.lt/Dashboard/Served?ServiceDateFrom=2025-11-24&amp;ServiceDateTo=2025-11-24&amp;DumpsterInvNr=13-P-103425", "13-P-103425")</f>
        <v>13-P-103425</v>
      </c>
      <c r="C2257">
        <v>0.24</v>
      </c>
      <c r="D2257" t="s">
        <v>3242</v>
      </c>
      <c r="E2257" t="s">
        <v>11</v>
      </c>
      <c r="F2257" t="s">
        <v>1209</v>
      </c>
      <c r="G2257" t="s">
        <v>1917</v>
      </c>
      <c r="H2257" t="s">
        <v>432</v>
      </c>
    </row>
    <row r="2258" spans="1:10" hidden="1" x14ac:dyDescent="0.25">
      <c r="A2258" t="s">
        <v>3255</v>
      </c>
      <c r="B2258" s="1" t="str">
        <f>HYPERLINK("https://asmlis.vasa.lt/Dashboard/Served?ServiceDateFrom=2025-11-24&amp;ServiceDateTo=2025-11-24&amp;DumpsterInvNr=13-P-507384", "13-P-507384")</f>
        <v>13-P-507384</v>
      </c>
      <c r="C2258">
        <v>0.24</v>
      </c>
      <c r="D2258" t="s">
        <v>3251</v>
      </c>
      <c r="E2258" t="s">
        <v>11</v>
      </c>
      <c r="G2258" t="s">
        <v>2178</v>
      </c>
      <c r="H2258" t="s">
        <v>432</v>
      </c>
    </row>
    <row r="2259" spans="1:10" hidden="1" x14ac:dyDescent="0.25">
      <c r="A2259" t="s">
        <v>3256</v>
      </c>
      <c r="B2259" s="1" t="str">
        <f>HYPERLINK("https://asmlis.vasa.lt/Dashboard/Served?ServiceDateFrom=2025-11-24&amp;ServiceDateTo=2025-11-24&amp;DumpsterInvNr=13-L-318808", "13-L-318808")</f>
        <v>13-L-318808</v>
      </c>
      <c r="C2259">
        <v>1.1000000000000001</v>
      </c>
      <c r="D2259" t="s">
        <v>3151</v>
      </c>
      <c r="E2259" t="s">
        <v>11</v>
      </c>
      <c r="G2259" t="s">
        <v>9</v>
      </c>
      <c r="H2259" t="s">
        <v>14</v>
      </c>
    </row>
    <row r="2260" spans="1:10" hidden="1" x14ac:dyDescent="0.25">
      <c r="A2260" t="s">
        <v>3257</v>
      </c>
      <c r="B2260" s="1" t="str">
        <f>HYPERLINK("https://asmlis.vasa.lt/Dashboard/Served?ServiceDateFrom=2025-11-24&amp;ServiceDateTo=2025-11-24&amp;DumpsterInvNr=13-L-135864", "13-L-135864")</f>
        <v>13-L-135864</v>
      </c>
      <c r="C2260">
        <v>0.24</v>
      </c>
      <c r="D2260" t="s">
        <v>3251</v>
      </c>
      <c r="E2260" t="s">
        <v>11</v>
      </c>
      <c r="G2260" t="s">
        <v>430</v>
      </c>
      <c r="H2260" t="s">
        <v>432</v>
      </c>
    </row>
    <row r="2261" spans="1:10" hidden="1" x14ac:dyDescent="0.25">
      <c r="A2261" t="s">
        <v>3258</v>
      </c>
      <c r="B2261" s="1" t="str">
        <f>HYPERLINK("https://asmlis.vasa.lt/Dashboard/Served?ServiceDateFrom=2025-11-24&amp;ServiceDateTo=2025-11-24&amp;DumpsterInvNr=13-L-137767", "13-L-137767")</f>
        <v>13-L-137767</v>
      </c>
      <c r="C2261">
        <v>5</v>
      </c>
      <c r="D2261" t="s">
        <v>3259</v>
      </c>
      <c r="E2261" t="s">
        <v>11</v>
      </c>
      <c r="F2261" t="s">
        <v>13</v>
      </c>
      <c r="G2261" t="s">
        <v>430</v>
      </c>
      <c r="H2261" t="s">
        <v>432</v>
      </c>
    </row>
    <row r="2262" spans="1:10" hidden="1" x14ac:dyDescent="0.25">
      <c r="A2262" t="s">
        <v>3261</v>
      </c>
      <c r="B2262" s="1" t="str">
        <f>HYPERLINK("https://asmlis.vasa.lt/Dashboard/Served?ServiceDateFrom=2025-11-24&amp;ServiceDateTo=2025-11-24&amp;DumpsterInvNr=13-L-313555", "13-L-313555")</f>
        <v>13-L-313555</v>
      </c>
      <c r="C2262">
        <v>1.1000000000000001</v>
      </c>
      <c r="D2262" t="s">
        <v>3262</v>
      </c>
      <c r="E2262" t="s">
        <v>11</v>
      </c>
      <c r="G2262" t="s">
        <v>9</v>
      </c>
      <c r="H2262" t="s">
        <v>14</v>
      </c>
    </row>
    <row r="2263" spans="1:10" hidden="1" x14ac:dyDescent="0.25">
      <c r="A2263" t="s">
        <v>3263</v>
      </c>
      <c r="B2263" s="1" t="str">
        <f>HYPERLINK("https://asmlis.vasa.lt/Dashboard/Served?ServiceDateFrom=2025-11-24&amp;ServiceDateTo=2025-11-24&amp;DumpsterInvNr=13-L-425965", "13-L-425965")</f>
        <v>13-L-425965</v>
      </c>
      <c r="C2263">
        <v>1.1000000000000001</v>
      </c>
      <c r="D2263" t="s">
        <v>3176</v>
      </c>
      <c r="E2263" t="s">
        <v>11</v>
      </c>
      <c r="F2263" t="s">
        <v>13</v>
      </c>
      <c r="G2263" t="s">
        <v>74</v>
      </c>
      <c r="H2263" t="s">
        <v>14</v>
      </c>
    </row>
    <row r="2264" spans="1:10" x14ac:dyDescent="0.25">
      <c r="A2264" t="s">
        <v>3264</v>
      </c>
      <c r="B2264" s="1" t="str">
        <f>HYPERLINK("https://asmlis.vasa.lt/Dashboard/Served?ServiceDateFrom=2025-11-24&amp;ServiceDateTo=2025-11-24&amp;DumpsterInvNr=13-P-403186", "13-P-403186")</f>
        <v>13-P-403186</v>
      </c>
      <c r="C2264">
        <v>0.24</v>
      </c>
      <c r="D2264" t="s">
        <v>3265</v>
      </c>
      <c r="E2264" t="s">
        <v>11</v>
      </c>
      <c r="F2264" t="s">
        <v>1215</v>
      </c>
      <c r="G2264" t="s">
        <v>264</v>
      </c>
      <c r="H2264" t="s">
        <v>14</v>
      </c>
      <c r="J2264" t="s">
        <v>17511</v>
      </c>
    </row>
    <row r="2265" spans="1:10" x14ac:dyDescent="0.25">
      <c r="A2265" t="s">
        <v>3264</v>
      </c>
      <c r="B2265" s="1" t="str">
        <f>HYPERLINK("https://asmlis.vasa.lt/Dashboard/Served?ServiceDateFrom=2025-11-24&amp;ServiceDateTo=2025-11-24&amp;DumpsterInvNr=13-P-403188", "13-P-403188")</f>
        <v>13-P-403188</v>
      </c>
      <c r="C2265">
        <v>0.24</v>
      </c>
      <c r="D2265" t="s">
        <v>3266</v>
      </c>
      <c r="E2265" t="s">
        <v>11</v>
      </c>
      <c r="F2265" t="s">
        <v>1215</v>
      </c>
      <c r="G2265" t="s">
        <v>264</v>
      </c>
      <c r="H2265" t="s">
        <v>14</v>
      </c>
      <c r="J2265" t="s">
        <v>17511</v>
      </c>
    </row>
    <row r="2266" spans="1:10" x14ac:dyDescent="0.25">
      <c r="A2266" t="s">
        <v>3264</v>
      </c>
      <c r="B2266" s="1" t="str">
        <f>HYPERLINK("https://asmlis.vasa.lt/Dashboard/Served?ServiceDateFrom=2025-11-24&amp;ServiceDateTo=2025-11-24&amp;DumpsterInvNr=13-S-406509", "13-S-406509")</f>
        <v>13-S-406509</v>
      </c>
      <c r="C2266">
        <v>0.12</v>
      </c>
      <c r="D2266" t="s">
        <v>3265</v>
      </c>
      <c r="E2266" t="s">
        <v>11</v>
      </c>
      <c r="F2266" t="s">
        <v>1215</v>
      </c>
      <c r="G2266" t="s">
        <v>264</v>
      </c>
      <c r="H2266" t="s">
        <v>14</v>
      </c>
      <c r="J2266" t="s">
        <v>17511</v>
      </c>
    </row>
    <row r="2267" spans="1:10" x14ac:dyDescent="0.25">
      <c r="A2267" t="s">
        <v>3264</v>
      </c>
      <c r="B2267" s="1" t="str">
        <f>HYPERLINK("https://asmlis.vasa.lt/Dashboard/Served?ServiceDateFrom=2025-11-24&amp;ServiceDateTo=2025-11-24&amp;DumpsterInvNr=13-S-408658", "13-S-408658")</f>
        <v>13-S-408658</v>
      </c>
      <c r="C2267">
        <v>0.12</v>
      </c>
      <c r="D2267" t="s">
        <v>3267</v>
      </c>
      <c r="E2267" t="s">
        <v>11</v>
      </c>
      <c r="F2267" t="s">
        <v>1215</v>
      </c>
      <c r="G2267" t="s">
        <v>264</v>
      </c>
      <c r="H2267" t="s">
        <v>14</v>
      </c>
      <c r="J2267" t="s">
        <v>17511</v>
      </c>
    </row>
    <row r="2268" spans="1:10" x14ac:dyDescent="0.25">
      <c r="A2268" t="s">
        <v>3264</v>
      </c>
      <c r="B2268" s="1" t="str">
        <f>HYPERLINK("https://asmlis.vasa.lt/Dashboard/Served?ServiceDateFrom=2025-11-24&amp;ServiceDateTo=2025-11-24&amp;DumpsterInvNr=13-S-402712", "13-S-402712")</f>
        <v>13-S-402712</v>
      </c>
      <c r="C2268">
        <v>0.12</v>
      </c>
      <c r="D2268" t="s">
        <v>3268</v>
      </c>
      <c r="E2268" t="s">
        <v>11</v>
      </c>
      <c r="F2268" t="s">
        <v>1215</v>
      </c>
      <c r="G2268" t="s">
        <v>264</v>
      </c>
      <c r="H2268" t="s">
        <v>14</v>
      </c>
      <c r="J2268" t="s">
        <v>17511</v>
      </c>
    </row>
    <row r="2269" spans="1:10" x14ac:dyDescent="0.25">
      <c r="A2269" t="s">
        <v>3264</v>
      </c>
      <c r="B2269" s="1" t="str">
        <f>HYPERLINK("https://asmlis.vasa.lt/Dashboard/Served?ServiceDateFrom=2025-11-24&amp;ServiceDateTo=2025-11-24&amp;DumpsterInvNr=13-P-401670", "13-P-401670")</f>
        <v>13-P-401670</v>
      </c>
      <c r="C2269">
        <v>0.24</v>
      </c>
      <c r="D2269" t="s">
        <v>3267</v>
      </c>
      <c r="E2269" t="s">
        <v>11</v>
      </c>
      <c r="F2269" t="s">
        <v>1215</v>
      </c>
      <c r="G2269" t="s">
        <v>264</v>
      </c>
      <c r="H2269" t="s">
        <v>14</v>
      </c>
      <c r="J2269" t="s">
        <v>17511</v>
      </c>
    </row>
    <row r="2270" spans="1:10" x14ac:dyDescent="0.25">
      <c r="A2270" t="s">
        <v>3264</v>
      </c>
      <c r="B2270" s="1" t="str">
        <f>HYPERLINK("https://asmlis.vasa.lt/Dashboard/Served?ServiceDateFrom=2025-11-24&amp;ServiceDateTo=2025-11-24&amp;DumpsterInvNr=13-P-415245", "13-P-415245")</f>
        <v>13-P-415245</v>
      </c>
      <c r="C2270">
        <v>0.24</v>
      </c>
      <c r="D2270" t="s">
        <v>3269</v>
      </c>
      <c r="E2270" t="s">
        <v>11</v>
      </c>
      <c r="F2270" t="s">
        <v>1215</v>
      </c>
      <c r="G2270" t="s">
        <v>264</v>
      </c>
      <c r="H2270" t="s">
        <v>14</v>
      </c>
      <c r="J2270" t="s">
        <v>17511</v>
      </c>
    </row>
    <row r="2271" spans="1:10" x14ac:dyDescent="0.25">
      <c r="A2271" t="s">
        <v>3264</v>
      </c>
      <c r="B2271" s="1" t="str">
        <f>HYPERLINK("https://asmlis.vasa.lt/Dashboard/Served?ServiceDateFrom=2025-11-24&amp;ServiceDateTo=2025-11-24&amp;DumpsterInvNr=13-P-408920", "13-P-408920")</f>
        <v>13-P-408920</v>
      </c>
      <c r="C2271">
        <v>0.24</v>
      </c>
      <c r="D2271" t="s">
        <v>3270</v>
      </c>
      <c r="E2271" t="s">
        <v>11</v>
      </c>
      <c r="F2271" t="s">
        <v>1215</v>
      </c>
      <c r="G2271" t="s">
        <v>264</v>
      </c>
      <c r="H2271" t="s">
        <v>14</v>
      </c>
      <c r="J2271" t="s">
        <v>17511</v>
      </c>
    </row>
    <row r="2272" spans="1:10" x14ac:dyDescent="0.25">
      <c r="A2272" t="s">
        <v>3264</v>
      </c>
      <c r="B2272" s="1" t="str">
        <f>HYPERLINK("https://asmlis.vasa.lt/Dashboard/Served?ServiceDateFrom=2025-11-24&amp;ServiceDateTo=2025-11-24&amp;DumpsterInvNr=13-P-408919", "13-P-408919")</f>
        <v>13-P-408919</v>
      </c>
      <c r="C2272">
        <v>0.24</v>
      </c>
      <c r="D2272" t="s">
        <v>3268</v>
      </c>
      <c r="E2272" t="s">
        <v>11</v>
      </c>
      <c r="F2272" t="s">
        <v>1215</v>
      </c>
      <c r="G2272" t="s">
        <v>264</v>
      </c>
      <c r="H2272" t="s">
        <v>14</v>
      </c>
      <c r="J2272" t="s">
        <v>17511</v>
      </c>
    </row>
    <row r="2273" spans="1:10" x14ac:dyDescent="0.25">
      <c r="A2273" t="s">
        <v>3264</v>
      </c>
      <c r="B2273" s="1" t="str">
        <f>HYPERLINK("https://asmlis.vasa.lt/Dashboard/Served?ServiceDateFrom=2025-11-24&amp;ServiceDateTo=2025-11-24&amp;DumpsterInvNr=13-P-402095", "13-P-402095")</f>
        <v>13-P-402095</v>
      </c>
      <c r="C2273">
        <v>0.24</v>
      </c>
      <c r="D2273" t="s">
        <v>3271</v>
      </c>
      <c r="E2273" t="s">
        <v>11</v>
      </c>
      <c r="F2273" t="s">
        <v>1215</v>
      </c>
      <c r="G2273" t="s">
        <v>264</v>
      </c>
      <c r="H2273" t="s">
        <v>14</v>
      </c>
      <c r="J2273" t="s">
        <v>17511</v>
      </c>
    </row>
    <row r="2274" spans="1:10" x14ac:dyDescent="0.25">
      <c r="A2274" t="s">
        <v>3264</v>
      </c>
      <c r="B2274" s="1" t="str">
        <f>HYPERLINK("https://asmlis.vasa.lt/Dashboard/Served?ServiceDateFrom=2025-11-24&amp;ServiceDateTo=2025-11-24&amp;DumpsterInvNr=13-S-410251", "13-S-410251")</f>
        <v>13-S-410251</v>
      </c>
      <c r="C2274">
        <v>0.12</v>
      </c>
      <c r="D2274" t="s">
        <v>3271</v>
      </c>
      <c r="E2274" t="s">
        <v>11</v>
      </c>
      <c r="F2274" t="s">
        <v>1215</v>
      </c>
      <c r="G2274" t="s">
        <v>264</v>
      </c>
      <c r="H2274" t="s">
        <v>14</v>
      </c>
      <c r="J2274" t="s">
        <v>17511</v>
      </c>
    </row>
    <row r="2275" spans="1:10" hidden="1" x14ac:dyDescent="0.25">
      <c r="A2275" t="s">
        <v>3272</v>
      </c>
      <c r="B2275" s="1" t="str">
        <f>HYPERLINK("https://asmlis.vasa.lt/Dashboard/Served?ServiceDateFrom=2025-11-24&amp;ServiceDateTo=2025-11-24&amp;DumpsterInvNr=13-L-403462", "13-L-403462")</f>
        <v>13-L-403462</v>
      </c>
      <c r="C2275">
        <v>1.1000000000000001</v>
      </c>
      <c r="D2275" t="s">
        <v>3176</v>
      </c>
      <c r="E2275" t="s">
        <v>11</v>
      </c>
      <c r="F2275" t="s">
        <v>13</v>
      </c>
      <c r="G2275" t="s">
        <v>74</v>
      </c>
      <c r="H2275" t="s">
        <v>14</v>
      </c>
    </row>
    <row r="2276" spans="1:10" hidden="1" x14ac:dyDescent="0.25">
      <c r="A2276" t="s">
        <v>3272</v>
      </c>
      <c r="B2276" s="1" t="str">
        <f>HYPERLINK("https://asmlis.vasa.lt/Dashboard/Served?ServiceDateFrom=2025-11-24&amp;ServiceDateTo=2025-11-24&amp;DumpsterInvNr=13-L-425963", "13-L-425963")</f>
        <v>13-L-425963</v>
      </c>
      <c r="C2276">
        <v>1.1000000000000001</v>
      </c>
      <c r="D2276" t="s">
        <v>3176</v>
      </c>
      <c r="E2276" t="s">
        <v>11</v>
      </c>
      <c r="F2276" t="s">
        <v>13</v>
      </c>
      <c r="G2276" t="s">
        <v>74</v>
      </c>
      <c r="H2276" t="s">
        <v>14</v>
      </c>
    </row>
    <row r="2277" spans="1:10" hidden="1" x14ac:dyDescent="0.25">
      <c r="A2277" t="s">
        <v>3274</v>
      </c>
      <c r="B2277" s="1" t="str">
        <f>HYPERLINK("https://asmlis.vasa.lt/Dashboard/Served?ServiceDateFrom=2025-11-24&amp;ServiceDateTo=2025-11-24&amp;DumpsterInvNr=13-L-425966", "13-L-425966")</f>
        <v>13-L-425966</v>
      </c>
      <c r="C2277">
        <v>1.1000000000000001</v>
      </c>
      <c r="D2277" t="s">
        <v>3176</v>
      </c>
      <c r="E2277" t="s">
        <v>11</v>
      </c>
      <c r="F2277" t="s">
        <v>13</v>
      </c>
      <c r="G2277" t="s">
        <v>74</v>
      </c>
      <c r="H2277" t="s">
        <v>14</v>
      </c>
    </row>
    <row r="2278" spans="1:10" hidden="1" x14ac:dyDescent="0.25">
      <c r="A2278" t="s">
        <v>3275</v>
      </c>
      <c r="B2278" s="1" t="str">
        <f>HYPERLINK("https://asmlis.vasa.lt/Dashboard/Served?ServiceDateFrom=2025-11-24&amp;ServiceDateTo=2025-11-24&amp;DumpsterInvNr=13-P-400671", "13-P-400671")</f>
        <v>13-P-400671</v>
      </c>
      <c r="C2278">
        <v>5</v>
      </c>
      <c r="D2278" t="s">
        <v>3276</v>
      </c>
      <c r="E2278" t="s">
        <v>11</v>
      </c>
      <c r="F2278" t="s">
        <v>13</v>
      </c>
      <c r="G2278" t="s">
        <v>264</v>
      </c>
      <c r="H2278" t="s">
        <v>14</v>
      </c>
    </row>
    <row r="2279" spans="1:10" hidden="1" x14ac:dyDescent="0.25">
      <c r="A2279" t="s">
        <v>3277</v>
      </c>
      <c r="B2279" s="1" t="str">
        <f>HYPERLINK("https://asmlis.vasa.lt/Dashboard/Served?ServiceDateFrom=2025-11-24&amp;ServiceDateTo=2025-11-24&amp;DumpsterInvNr=13-L-426577", "13-L-426577")</f>
        <v>13-L-426577</v>
      </c>
      <c r="C2279">
        <v>1.1000000000000001</v>
      </c>
      <c r="D2279" t="s">
        <v>3176</v>
      </c>
      <c r="E2279" t="s">
        <v>11</v>
      </c>
      <c r="F2279" t="s">
        <v>13</v>
      </c>
      <c r="G2279" t="s">
        <v>74</v>
      </c>
      <c r="H2279" t="s">
        <v>14</v>
      </c>
    </row>
    <row r="2280" spans="1:10" hidden="1" x14ac:dyDescent="0.25">
      <c r="A2280" t="s">
        <v>3278</v>
      </c>
      <c r="B2280" s="1" t="str">
        <f>HYPERLINK("https://asmlis.vasa.lt/Dashboard/Served?ServiceDateFrom=2025-11-24&amp;ServiceDateTo=2025-11-24&amp;DumpsterInvNr=13-P-400682", "13-P-400682")</f>
        <v>13-P-400682</v>
      </c>
      <c r="C2280">
        <v>5</v>
      </c>
      <c r="D2280" t="s">
        <v>3279</v>
      </c>
      <c r="E2280" t="s">
        <v>11</v>
      </c>
      <c r="F2280" t="s">
        <v>13</v>
      </c>
      <c r="G2280" t="s">
        <v>264</v>
      </c>
      <c r="H2280" t="s">
        <v>14</v>
      </c>
    </row>
    <row r="2281" spans="1:10" hidden="1" x14ac:dyDescent="0.25">
      <c r="A2281" t="s">
        <v>3280</v>
      </c>
      <c r="B2281" s="1" t="str">
        <f>HYPERLINK("https://asmlis.vasa.lt/Dashboard/Served?ServiceDateFrom=2025-11-24&amp;ServiceDateTo=2025-11-24&amp;DumpsterInvNr=13-L-145193", "13-L-145193")</f>
        <v>13-L-145193</v>
      </c>
      <c r="C2281">
        <v>1.1000000000000001</v>
      </c>
      <c r="D2281" t="s">
        <v>3281</v>
      </c>
      <c r="E2281" t="s">
        <v>11</v>
      </c>
      <c r="G2281" t="s">
        <v>430</v>
      </c>
      <c r="H2281" t="s">
        <v>432</v>
      </c>
    </row>
    <row r="2282" spans="1:10" hidden="1" x14ac:dyDescent="0.25">
      <c r="A2282" t="s">
        <v>3282</v>
      </c>
      <c r="B2282" s="1" t="str">
        <f>HYPERLINK("https://asmlis.vasa.lt/Dashboard/Served?ServiceDateFrom=2025-11-24&amp;ServiceDateTo=2025-11-24&amp;DumpsterInvNr=13-L-314498", "13-L-314498")</f>
        <v>13-L-314498</v>
      </c>
      <c r="C2282">
        <v>1.1000000000000001</v>
      </c>
      <c r="D2282" t="s">
        <v>3283</v>
      </c>
      <c r="E2282" t="s">
        <v>11</v>
      </c>
      <c r="G2282" t="s">
        <v>9</v>
      </c>
      <c r="H2282" t="s">
        <v>14</v>
      </c>
    </row>
    <row r="2283" spans="1:10" hidden="1" x14ac:dyDescent="0.25">
      <c r="A2283" t="s">
        <v>3284</v>
      </c>
      <c r="B2283" s="1" t="str">
        <f>HYPERLINK("https://asmlis.vasa.lt/Dashboard/Served?ServiceDateFrom=2025-11-24&amp;ServiceDateTo=2025-11-24&amp;DumpsterInvNr=13-L-225429", "13-L-225429")</f>
        <v>13-L-225429</v>
      </c>
      <c r="C2283">
        <v>1.1000000000000001</v>
      </c>
      <c r="D2283" t="s">
        <v>3024</v>
      </c>
      <c r="E2283" t="s">
        <v>11</v>
      </c>
      <c r="G2283" t="s">
        <v>936</v>
      </c>
      <c r="H2283" t="s">
        <v>938</v>
      </c>
    </row>
    <row r="2284" spans="1:10" hidden="1" x14ac:dyDescent="0.25">
      <c r="A2284" t="s">
        <v>3285</v>
      </c>
      <c r="B2284" s="1" t="str">
        <f>HYPERLINK("https://asmlis.vasa.lt/Dashboard/Served?ServiceDateFrom=2025-11-24&amp;ServiceDateTo=2025-11-24&amp;DumpsterInvNr=13-L-317005", "13-L-317005")</f>
        <v>13-L-317005</v>
      </c>
      <c r="C2284">
        <v>5</v>
      </c>
      <c r="D2284" t="s">
        <v>1735</v>
      </c>
      <c r="E2284" t="s">
        <v>11</v>
      </c>
      <c r="F2284" t="s">
        <v>13</v>
      </c>
      <c r="G2284" t="s">
        <v>9</v>
      </c>
      <c r="H2284" t="s">
        <v>14</v>
      </c>
    </row>
    <row r="2285" spans="1:10" hidden="1" x14ac:dyDescent="0.25">
      <c r="A2285" t="s">
        <v>3286</v>
      </c>
      <c r="B2285" s="1" t="str">
        <f>HYPERLINK("https://asmlis.vasa.lt/Dashboard/Served?ServiceDateFrom=2025-11-24&amp;ServiceDateTo=2025-11-24&amp;DumpsterInvNr=13-L-317185", "13-L-317185")</f>
        <v>13-L-317185</v>
      </c>
      <c r="C2285">
        <v>1.1000000000000001</v>
      </c>
      <c r="D2285" t="s">
        <v>3151</v>
      </c>
      <c r="E2285" t="s">
        <v>11</v>
      </c>
      <c r="G2285" t="s">
        <v>9</v>
      </c>
      <c r="H2285" t="s">
        <v>14</v>
      </c>
    </row>
    <row r="2286" spans="1:10" hidden="1" x14ac:dyDescent="0.25">
      <c r="A2286" t="s">
        <v>3287</v>
      </c>
      <c r="B2286" s="1" t="str">
        <f>HYPERLINK("https://asmlis.vasa.lt/Dashboard/Served?ServiceDateFrom=2025-11-24&amp;ServiceDateTo=2025-11-24&amp;DumpsterInvNr=13-P-210347", "13-P-210347")</f>
        <v>13-P-210347</v>
      </c>
      <c r="C2286">
        <v>0.24</v>
      </c>
      <c r="D2286" t="s">
        <v>3288</v>
      </c>
      <c r="E2286" t="s">
        <v>11</v>
      </c>
      <c r="G2286" t="s">
        <v>234</v>
      </c>
      <c r="H2286" t="s">
        <v>14</v>
      </c>
    </row>
    <row r="2287" spans="1:10" hidden="1" x14ac:dyDescent="0.25">
      <c r="A2287" t="s">
        <v>3289</v>
      </c>
      <c r="B2287" s="1" t="str">
        <f>HYPERLINK("https://asmlis.vasa.lt/Dashboard/Served?ServiceDateFrom=2025-11-24&amp;ServiceDateTo=2025-11-24&amp;DumpsterInvNr=13-L-129188", "13-L-129188")</f>
        <v>13-L-129188</v>
      </c>
      <c r="C2287">
        <v>1.1000000000000001</v>
      </c>
      <c r="D2287" t="s">
        <v>3290</v>
      </c>
      <c r="E2287" t="s">
        <v>11</v>
      </c>
      <c r="G2287" t="s">
        <v>430</v>
      </c>
      <c r="H2287" t="s">
        <v>432</v>
      </c>
    </row>
    <row r="2288" spans="1:10" hidden="1" x14ac:dyDescent="0.25">
      <c r="A2288" t="s">
        <v>3291</v>
      </c>
      <c r="B2288" s="1" t="str">
        <f>HYPERLINK("https://asmlis.vasa.lt/Dashboard/Served?ServiceDateFrom=2025-11-24&amp;ServiceDateTo=2025-11-24&amp;DumpsterInvNr=13-L-133914", "13-L-133914")</f>
        <v>13-L-133914</v>
      </c>
      <c r="C2288">
        <v>0.12</v>
      </c>
      <c r="D2288" t="s">
        <v>3292</v>
      </c>
      <c r="E2288" t="s">
        <v>11</v>
      </c>
      <c r="G2288" t="s">
        <v>1912</v>
      </c>
      <c r="H2288" t="s">
        <v>432</v>
      </c>
    </row>
    <row r="2289" spans="1:8" hidden="1" x14ac:dyDescent="0.25">
      <c r="A2289" t="s">
        <v>3293</v>
      </c>
      <c r="B2289" s="1" t="str">
        <f>HYPERLINK("https://asmlis.vasa.lt/Dashboard/Served?ServiceDateFrom=2025-11-24&amp;ServiceDateTo=2025-11-24&amp;DumpsterInvNr=13-P-112449", "13-P-112449")</f>
        <v>13-P-112449</v>
      </c>
      <c r="C2289">
        <v>0.24</v>
      </c>
      <c r="D2289" t="s">
        <v>3292</v>
      </c>
      <c r="E2289" t="s">
        <v>11</v>
      </c>
      <c r="F2289" t="s">
        <v>1209</v>
      </c>
      <c r="G2289" t="s">
        <v>1917</v>
      </c>
      <c r="H2289" t="s">
        <v>432</v>
      </c>
    </row>
    <row r="2290" spans="1:8" hidden="1" x14ac:dyDescent="0.25">
      <c r="A2290" t="s">
        <v>3294</v>
      </c>
      <c r="B2290" s="1" t="str">
        <f>HYPERLINK("https://asmlis.vasa.lt/Dashboard/Served?ServiceDateFrom=2025-11-24&amp;ServiceDateTo=2025-11-24&amp;DumpsterInvNr=13-L-124959", "13-L-124959")</f>
        <v>13-L-124959</v>
      </c>
      <c r="C2290">
        <v>0.24</v>
      </c>
      <c r="D2290" t="s">
        <v>3295</v>
      </c>
      <c r="E2290" t="s">
        <v>11</v>
      </c>
      <c r="G2290" t="s">
        <v>430</v>
      </c>
      <c r="H2290" t="s">
        <v>432</v>
      </c>
    </row>
    <row r="2291" spans="1:8" hidden="1" x14ac:dyDescent="0.25">
      <c r="A2291" t="s">
        <v>3294</v>
      </c>
      <c r="B2291" s="1" t="str">
        <f>HYPERLINK("https://asmlis.vasa.lt/Dashboard/Served?ServiceDateFrom=2025-11-24&amp;ServiceDateTo=2025-11-24&amp;DumpsterInvNr=13-P-507385", "13-P-507385")</f>
        <v>13-P-507385</v>
      </c>
      <c r="C2291">
        <v>0.24</v>
      </c>
      <c r="D2291" t="s">
        <v>3295</v>
      </c>
      <c r="E2291" t="s">
        <v>11</v>
      </c>
      <c r="G2291" t="s">
        <v>2178</v>
      </c>
      <c r="H2291" t="s">
        <v>432</v>
      </c>
    </row>
    <row r="2292" spans="1:8" hidden="1" x14ac:dyDescent="0.25">
      <c r="A2292" t="s">
        <v>3297</v>
      </c>
      <c r="B2292" s="1" t="str">
        <f>HYPERLINK("https://asmlis.vasa.lt/Dashboard/Served?ServiceDateFrom=2025-11-24&amp;ServiceDateTo=2025-11-24&amp;DumpsterInvNr=13-S-107438", "13-S-107438")</f>
        <v>13-S-107438</v>
      </c>
      <c r="C2292">
        <v>0.12</v>
      </c>
      <c r="D2292" t="s">
        <v>3292</v>
      </c>
      <c r="E2292" t="s">
        <v>11</v>
      </c>
      <c r="F2292" t="s">
        <v>1209</v>
      </c>
      <c r="G2292" t="s">
        <v>1917</v>
      </c>
      <c r="H2292" t="s">
        <v>432</v>
      </c>
    </row>
    <row r="2293" spans="1:8" hidden="1" x14ac:dyDescent="0.25">
      <c r="A2293" t="s">
        <v>3298</v>
      </c>
      <c r="B2293" s="1" t="str">
        <f>HYPERLINK("https://asmlis.vasa.lt/Dashboard/Served?ServiceDateFrom=2025-11-24&amp;ServiceDateTo=2025-11-24&amp;DumpsterInvNr=13-P-400541", "13-P-400541")</f>
        <v>13-P-400541</v>
      </c>
      <c r="C2293">
        <v>5</v>
      </c>
      <c r="D2293" t="s">
        <v>3299</v>
      </c>
      <c r="E2293" t="s">
        <v>11</v>
      </c>
      <c r="G2293" t="s">
        <v>264</v>
      </c>
      <c r="H2293" t="s">
        <v>14</v>
      </c>
    </row>
    <row r="2294" spans="1:8" hidden="1" x14ac:dyDescent="0.25">
      <c r="A2294" t="s">
        <v>3300</v>
      </c>
      <c r="B2294" s="1" t="str">
        <f>HYPERLINK("https://asmlis.vasa.lt/Dashboard/Served?ServiceDateFrom=2025-11-24&amp;ServiceDateTo=2025-11-24&amp;DumpsterInvNr=13-P-204538", "13-P-204538")</f>
        <v>13-P-204538</v>
      </c>
      <c r="C2294">
        <v>0.24</v>
      </c>
      <c r="D2294" t="s">
        <v>3301</v>
      </c>
      <c r="E2294" t="s">
        <v>11</v>
      </c>
      <c r="F2294" t="s">
        <v>1209</v>
      </c>
      <c r="G2294" t="s">
        <v>234</v>
      </c>
      <c r="H2294" t="s">
        <v>14</v>
      </c>
    </row>
    <row r="2295" spans="1:8" hidden="1" x14ac:dyDescent="0.25">
      <c r="A2295" t="s">
        <v>3302</v>
      </c>
      <c r="B2295" s="1" t="str">
        <f>HYPERLINK("https://asmlis.vasa.lt/Dashboard/Served?ServiceDateFrom=2025-11-24&amp;ServiceDateTo=2025-11-24&amp;DumpsterInvNr=13-P-102449", "13-P-102449")</f>
        <v>13-P-102449</v>
      </c>
      <c r="C2295">
        <v>5</v>
      </c>
      <c r="D2295" t="s">
        <v>3303</v>
      </c>
      <c r="E2295" t="s">
        <v>11</v>
      </c>
      <c r="F2295" t="s">
        <v>13</v>
      </c>
      <c r="G2295" t="s">
        <v>1917</v>
      </c>
      <c r="H2295" t="s">
        <v>432</v>
      </c>
    </row>
    <row r="2296" spans="1:8" hidden="1" x14ac:dyDescent="0.25">
      <c r="A2296" t="s">
        <v>3304</v>
      </c>
      <c r="B2296" s="1" t="str">
        <f>HYPERLINK("https://asmlis.vasa.lt/Dashboard/Served?ServiceDateFrom=2025-11-24&amp;ServiceDateTo=2025-11-24&amp;DumpsterInvNr=13-P-402997", "13-P-402997")</f>
        <v>13-P-402997</v>
      </c>
      <c r="C2296">
        <v>0.24</v>
      </c>
      <c r="D2296" t="s">
        <v>3305</v>
      </c>
      <c r="E2296" t="s">
        <v>11</v>
      </c>
      <c r="G2296" t="s">
        <v>264</v>
      </c>
      <c r="H2296" t="s">
        <v>14</v>
      </c>
    </row>
    <row r="2297" spans="1:8" hidden="1" x14ac:dyDescent="0.25">
      <c r="A2297" t="s">
        <v>3306</v>
      </c>
      <c r="B2297" s="1" t="str">
        <f>HYPERLINK("https://asmlis.vasa.lt/Dashboard/Served?ServiceDateFrom=2025-11-24&amp;ServiceDateTo=2025-11-24&amp;DumpsterInvNr=13-L-213405", "13-L-213405")</f>
        <v>13-L-213405</v>
      </c>
      <c r="C2297">
        <v>1.1000000000000001</v>
      </c>
      <c r="D2297" t="s">
        <v>3024</v>
      </c>
      <c r="E2297" t="s">
        <v>11</v>
      </c>
      <c r="G2297" t="s">
        <v>936</v>
      </c>
      <c r="H2297" t="s">
        <v>938</v>
      </c>
    </row>
    <row r="2298" spans="1:8" hidden="1" x14ac:dyDescent="0.25">
      <c r="A2298" t="s">
        <v>3306</v>
      </c>
      <c r="B2298" s="1" t="str">
        <f>HYPERLINK("https://asmlis.vasa.lt/Dashboard/Served?ServiceDateFrom=2025-11-24&amp;ServiceDateTo=2025-11-24&amp;DumpsterInvNr=13-L-420371", "13-L-420371")</f>
        <v>13-L-420371</v>
      </c>
      <c r="C2298">
        <v>5</v>
      </c>
      <c r="D2298" t="s">
        <v>3101</v>
      </c>
      <c r="E2298" t="s">
        <v>11</v>
      </c>
      <c r="F2298" t="s">
        <v>13</v>
      </c>
      <c r="G2298" t="s">
        <v>74</v>
      </c>
      <c r="H2298" t="s">
        <v>14</v>
      </c>
    </row>
    <row r="2299" spans="1:8" hidden="1" x14ac:dyDescent="0.25">
      <c r="A2299" t="s">
        <v>3307</v>
      </c>
      <c r="B2299" s="1" t="str">
        <f>HYPERLINK("https://asmlis.vasa.lt/Dashboard/Served?ServiceDateFrom=2025-11-24&amp;ServiceDateTo=2025-11-24&amp;DumpsterInvNr=13-P-102450", "13-P-102450")</f>
        <v>13-P-102450</v>
      </c>
      <c r="C2299">
        <v>5</v>
      </c>
      <c r="D2299" t="s">
        <v>3308</v>
      </c>
      <c r="E2299" t="s">
        <v>11</v>
      </c>
      <c r="F2299" t="s">
        <v>13</v>
      </c>
      <c r="G2299" t="s">
        <v>1917</v>
      </c>
      <c r="H2299" t="s">
        <v>432</v>
      </c>
    </row>
    <row r="2300" spans="1:8" hidden="1" x14ac:dyDescent="0.25">
      <c r="A2300" t="s">
        <v>3082</v>
      </c>
      <c r="B2300" s="1" t="str">
        <f>HYPERLINK("https://asmlis.vasa.lt/Dashboard/Served?ServiceDateFrom=2025-11-24&amp;ServiceDateTo=2025-11-24&amp;DumpsterInvNr=13-L-420289", "13-L-420289")</f>
        <v>13-L-420289</v>
      </c>
      <c r="C2300">
        <v>5</v>
      </c>
      <c r="D2300" t="s">
        <v>3101</v>
      </c>
      <c r="E2300" t="s">
        <v>11</v>
      </c>
      <c r="F2300" t="s">
        <v>13</v>
      </c>
      <c r="G2300" t="s">
        <v>74</v>
      </c>
      <c r="H2300" t="s">
        <v>14</v>
      </c>
    </row>
    <row r="2301" spans="1:8" hidden="1" x14ac:dyDescent="0.25">
      <c r="A2301" t="s">
        <v>3082</v>
      </c>
      <c r="B2301" s="1" t="str">
        <f>HYPERLINK("https://asmlis.vasa.lt/Dashboard/Served?ServiceDateFrom=2025-11-24&amp;ServiceDateTo=2025-11-24&amp;DumpsterInvNr=13-P-411538", "13-P-411538")</f>
        <v>13-P-411538</v>
      </c>
      <c r="C2301">
        <v>0.24</v>
      </c>
      <c r="D2301" t="s">
        <v>3309</v>
      </c>
      <c r="E2301" t="s">
        <v>11</v>
      </c>
      <c r="G2301" t="s">
        <v>264</v>
      </c>
      <c r="H2301" t="s">
        <v>14</v>
      </c>
    </row>
    <row r="2302" spans="1:8" hidden="1" x14ac:dyDescent="0.25">
      <c r="A2302" t="s">
        <v>3094</v>
      </c>
      <c r="B2302" s="1" t="str">
        <f>HYPERLINK("https://asmlis.vasa.lt/Dashboard/Served?ServiceDateFrom=2025-11-24&amp;ServiceDateTo=2025-11-24&amp;DumpsterInvNr=13-L-317900", "13-L-317900")</f>
        <v>13-L-317900</v>
      </c>
      <c r="C2302">
        <v>1.1000000000000001</v>
      </c>
      <c r="D2302" t="s">
        <v>3283</v>
      </c>
      <c r="E2302" t="s">
        <v>11</v>
      </c>
      <c r="G2302" t="s">
        <v>9</v>
      </c>
      <c r="H2302" t="s">
        <v>14</v>
      </c>
    </row>
    <row r="2303" spans="1:8" hidden="1" x14ac:dyDescent="0.25">
      <c r="A2303" t="s">
        <v>3113</v>
      </c>
      <c r="B2303" s="1" t="str">
        <f>HYPERLINK("https://asmlis.vasa.lt/Dashboard/Served?ServiceDateFrom=2025-11-24&amp;ServiceDateTo=2025-11-24&amp;DumpsterInvNr=13-L-317186", "13-L-317186")</f>
        <v>13-L-317186</v>
      </c>
      <c r="C2303">
        <v>1.1000000000000001</v>
      </c>
      <c r="D2303" t="s">
        <v>3151</v>
      </c>
      <c r="E2303" t="s">
        <v>11</v>
      </c>
      <c r="G2303" t="s">
        <v>9</v>
      </c>
      <c r="H2303" t="s">
        <v>14</v>
      </c>
    </row>
    <row r="2304" spans="1:8" hidden="1" x14ac:dyDescent="0.25">
      <c r="A2304" t="s">
        <v>3160</v>
      </c>
      <c r="B2304" s="1" t="str">
        <f>HYPERLINK("https://asmlis.vasa.lt/Dashboard/Served?ServiceDateFrom=2025-11-24&amp;ServiceDateTo=2025-11-24&amp;DumpsterInvNr=13-L-124958", "13-L-124958")</f>
        <v>13-L-124958</v>
      </c>
      <c r="C2304">
        <v>0.24</v>
      </c>
      <c r="D2304" t="s">
        <v>3310</v>
      </c>
      <c r="E2304" t="s">
        <v>11</v>
      </c>
      <c r="G2304" t="s">
        <v>430</v>
      </c>
      <c r="H2304" t="s">
        <v>432</v>
      </c>
    </row>
    <row r="2305" spans="1:8" hidden="1" x14ac:dyDescent="0.25">
      <c r="A2305" t="s">
        <v>3311</v>
      </c>
      <c r="B2305" s="1" t="str">
        <f>HYPERLINK("https://asmlis.vasa.lt/Dashboard/Served?ServiceDateFrom=2025-11-24&amp;ServiceDateTo=2025-11-24&amp;DumpsterInvNr=13-L-420389", "13-L-420389")</f>
        <v>13-L-420389</v>
      </c>
      <c r="C2305">
        <v>5</v>
      </c>
      <c r="D2305" t="s">
        <v>3101</v>
      </c>
      <c r="E2305" t="s">
        <v>11</v>
      </c>
      <c r="F2305" t="s">
        <v>13</v>
      </c>
      <c r="G2305" t="s">
        <v>74</v>
      </c>
      <c r="H2305" t="s">
        <v>14</v>
      </c>
    </row>
    <row r="2306" spans="1:8" hidden="1" x14ac:dyDescent="0.25">
      <c r="A2306" t="s">
        <v>3312</v>
      </c>
      <c r="B2306" s="1" t="str">
        <f>HYPERLINK("https://asmlis.vasa.lt/Dashboard/Served?ServiceDateFrom=2025-11-24&amp;ServiceDateTo=2025-11-24&amp;DumpsterInvNr=13-P-505613", "13-P-505613")</f>
        <v>13-P-505613</v>
      </c>
      <c r="C2306">
        <v>0.24</v>
      </c>
      <c r="D2306" t="s">
        <v>3310</v>
      </c>
      <c r="E2306" t="s">
        <v>11</v>
      </c>
      <c r="G2306" t="s">
        <v>2178</v>
      </c>
      <c r="H2306" t="s">
        <v>432</v>
      </c>
    </row>
    <row r="2307" spans="1:8" hidden="1" x14ac:dyDescent="0.25">
      <c r="A2307" t="s">
        <v>3314</v>
      </c>
      <c r="B2307" s="1" t="str">
        <f>HYPERLINK("https://asmlis.vasa.lt/Dashboard/Served?ServiceDateFrom=2025-11-24&amp;ServiceDateTo=2025-11-24&amp;DumpsterInvNr=13-S-500466", "13-S-500466")</f>
        <v>13-S-500466</v>
      </c>
      <c r="C2307">
        <v>0.12</v>
      </c>
      <c r="D2307" t="s">
        <v>3310</v>
      </c>
      <c r="E2307" t="s">
        <v>11</v>
      </c>
      <c r="F2307" t="s">
        <v>1209</v>
      </c>
      <c r="G2307" t="s">
        <v>2178</v>
      </c>
      <c r="H2307" t="s">
        <v>432</v>
      </c>
    </row>
    <row r="2308" spans="1:8" hidden="1" x14ac:dyDescent="0.25">
      <c r="A2308" t="s">
        <v>3316</v>
      </c>
      <c r="B2308" s="1" t="str">
        <f>HYPERLINK("https://asmlis.vasa.lt/Dashboard/Served?ServiceDateFrom=2025-11-24&amp;ServiceDateTo=2025-11-24&amp;DumpsterInvNr=13-L-313384", "13-L-313384")</f>
        <v>13-L-313384</v>
      </c>
      <c r="C2308">
        <v>1.1000000000000001</v>
      </c>
      <c r="D2308" t="s">
        <v>3182</v>
      </c>
      <c r="E2308" t="s">
        <v>11</v>
      </c>
      <c r="F2308" t="s">
        <v>13</v>
      </c>
      <c r="G2308" t="s">
        <v>9</v>
      </c>
      <c r="H2308" t="s">
        <v>14</v>
      </c>
    </row>
    <row r="2309" spans="1:8" hidden="1" x14ac:dyDescent="0.25">
      <c r="A2309" t="s">
        <v>3317</v>
      </c>
      <c r="B2309" s="1" t="str">
        <f>HYPERLINK("https://asmlis.vasa.lt/Dashboard/Served?ServiceDateFrom=2025-11-24&amp;ServiceDateTo=2025-11-24&amp;DumpsterInvNr=13-L-139237", "13-L-139237")</f>
        <v>13-L-139237</v>
      </c>
      <c r="C2309">
        <v>5</v>
      </c>
      <c r="D2309" t="s">
        <v>3318</v>
      </c>
      <c r="E2309" t="s">
        <v>11</v>
      </c>
      <c r="F2309" t="s">
        <v>13</v>
      </c>
      <c r="G2309" t="s">
        <v>430</v>
      </c>
      <c r="H2309" t="s">
        <v>432</v>
      </c>
    </row>
    <row r="2310" spans="1:8" hidden="1" x14ac:dyDescent="0.25">
      <c r="A2310" t="s">
        <v>3317</v>
      </c>
      <c r="B2310" s="1" t="str">
        <f>HYPERLINK("https://asmlis.vasa.lt/Dashboard/Served?ServiceDateFrom=2025-11-24&amp;ServiceDateTo=2025-11-24&amp;DumpsterInvNr=13-P-416248", "13-P-416248")</f>
        <v>13-P-416248</v>
      </c>
      <c r="C2310">
        <v>5</v>
      </c>
      <c r="D2310" t="s">
        <v>511</v>
      </c>
      <c r="E2310" t="s">
        <v>11</v>
      </c>
      <c r="G2310" t="s">
        <v>264</v>
      </c>
      <c r="H2310" t="s">
        <v>14</v>
      </c>
    </row>
    <row r="2311" spans="1:8" hidden="1" x14ac:dyDescent="0.25">
      <c r="A2311" t="s">
        <v>3319</v>
      </c>
      <c r="B2311" s="1" t="str">
        <f>HYPERLINK("https://asmlis.vasa.lt/Dashboard/Served?ServiceDateFrom=2025-11-24&amp;ServiceDateTo=2025-11-24&amp;DumpsterInvNr=13-L-227477", "13-L-227477")</f>
        <v>13-L-227477</v>
      </c>
      <c r="C2311">
        <v>1.1000000000000001</v>
      </c>
      <c r="D2311" t="s">
        <v>3024</v>
      </c>
      <c r="E2311" t="s">
        <v>11</v>
      </c>
      <c r="G2311" t="s">
        <v>936</v>
      </c>
      <c r="H2311" t="s">
        <v>938</v>
      </c>
    </row>
    <row r="2312" spans="1:8" hidden="1" x14ac:dyDescent="0.25">
      <c r="A2312" t="s">
        <v>3320</v>
      </c>
      <c r="B2312" s="1" t="str">
        <f>HYPERLINK("https://asmlis.vasa.lt/Dashboard/Served?ServiceDateFrom=2025-11-24&amp;ServiceDateTo=2025-11-24&amp;DumpsterInvNr=13-L-129189", "13-L-129189")</f>
        <v>13-L-129189</v>
      </c>
      <c r="C2312">
        <v>1.1000000000000001</v>
      </c>
      <c r="D2312" t="s">
        <v>3290</v>
      </c>
      <c r="E2312" t="s">
        <v>11</v>
      </c>
      <c r="G2312" t="s">
        <v>430</v>
      </c>
      <c r="H2312" t="s">
        <v>432</v>
      </c>
    </row>
    <row r="2313" spans="1:8" hidden="1" x14ac:dyDescent="0.25">
      <c r="A2313" t="s">
        <v>3322</v>
      </c>
      <c r="B2313" s="1" t="str">
        <f>HYPERLINK("https://asmlis.vasa.lt/Dashboard/Served?ServiceDateFrom=2025-11-24&amp;ServiceDateTo=2025-11-24&amp;DumpsterInvNr=13-L-425532", "13-L-425532")</f>
        <v>13-L-425532</v>
      </c>
      <c r="C2313">
        <v>0.24</v>
      </c>
      <c r="D2313" t="s">
        <v>3323</v>
      </c>
      <c r="E2313" t="s">
        <v>11</v>
      </c>
      <c r="G2313" t="s">
        <v>74</v>
      </c>
      <c r="H2313" t="s">
        <v>14</v>
      </c>
    </row>
    <row r="2314" spans="1:8" hidden="1" x14ac:dyDescent="0.25">
      <c r="A2314" t="s">
        <v>3324</v>
      </c>
      <c r="B2314" s="1" t="str">
        <f>HYPERLINK("https://asmlis.vasa.lt/Dashboard/Served?ServiceDateFrom=2025-11-24&amp;ServiceDateTo=2025-11-24&amp;DumpsterInvNr=13-P-505614", "13-P-505614")</f>
        <v>13-P-505614</v>
      </c>
      <c r="C2314">
        <v>0.24</v>
      </c>
      <c r="D2314" t="s">
        <v>3325</v>
      </c>
      <c r="E2314" t="s">
        <v>11</v>
      </c>
      <c r="G2314" t="s">
        <v>2178</v>
      </c>
      <c r="H2314" t="s">
        <v>432</v>
      </c>
    </row>
    <row r="2315" spans="1:8" hidden="1" x14ac:dyDescent="0.25">
      <c r="A2315" t="s">
        <v>3326</v>
      </c>
      <c r="B2315" s="1" t="str">
        <f>HYPERLINK("https://asmlis.vasa.lt/Dashboard/Served?ServiceDateFrom=2025-11-24&amp;ServiceDateTo=2025-11-24&amp;DumpsterInvNr=13-S-500465", "13-S-500465")</f>
        <v>13-S-500465</v>
      </c>
      <c r="C2315">
        <v>0.12</v>
      </c>
      <c r="D2315" t="s">
        <v>3327</v>
      </c>
      <c r="E2315" t="s">
        <v>11</v>
      </c>
      <c r="F2315" t="s">
        <v>1209</v>
      </c>
      <c r="G2315" t="s">
        <v>2178</v>
      </c>
      <c r="H2315" t="s">
        <v>432</v>
      </c>
    </row>
    <row r="2316" spans="1:8" hidden="1" x14ac:dyDescent="0.25">
      <c r="A2316" t="s">
        <v>3326</v>
      </c>
      <c r="B2316" s="1" t="str">
        <f>HYPERLINK("https://asmlis.vasa.lt/Dashboard/Served?ServiceDateFrom=2025-11-24&amp;ServiceDateTo=2025-11-24&amp;DumpsterInvNr=13-P-300462", "13-P-300462")</f>
        <v>13-P-300462</v>
      </c>
      <c r="C2316">
        <v>1.1000000000000001</v>
      </c>
      <c r="D2316" t="s">
        <v>3328</v>
      </c>
      <c r="E2316" t="s">
        <v>11</v>
      </c>
      <c r="G2316" t="s">
        <v>412</v>
      </c>
      <c r="H2316" t="s">
        <v>14</v>
      </c>
    </row>
    <row r="2317" spans="1:8" hidden="1" x14ac:dyDescent="0.25">
      <c r="A2317" t="s">
        <v>3329</v>
      </c>
      <c r="B2317" s="1" t="str">
        <f>HYPERLINK("https://asmlis.vasa.lt/Dashboard/Served?ServiceDateFrom=2025-11-24&amp;ServiceDateTo=2025-11-24&amp;DumpsterInvNr=13-L-109802", "13-L-109802")</f>
        <v>13-L-109802</v>
      </c>
      <c r="C2317">
        <v>0.12</v>
      </c>
      <c r="D2317" t="s">
        <v>3327</v>
      </c>
      <c r="E2317" t="s">
        <v>11</v>
      </c>
      <c r="G2317" t="s">
        <v>430</v>
      </c>
      <c r="H2317" t="s">
        <v>432</v>
      </c>
    </row>
    <row r="2318" spans="1:8" hidden="1" x14ac:dyDescent="0.25">
      <c r="A2318" t="s">
        <v>3329</v>
      </c>
      <c r="B2318" s="1" t="str">
        <f>HYPERLINK("https://asmlis.vasa.lt/Dashboard/Served?ServiceDateFrom=2025-11-24&amp;ServiceDateTo=2025-11-24&amp;DumpsterInvNr=13-L-124957", "13-L-124957")</f>
        <v>13-L-124957</v>
      </c>
      <c r="C2318">
        <v>0.24</v>
      </c>
      <c r="D2318" t="s">
        <v>3325</v>
      </c>
      <c r="E2318" t="s">
        <v>11</v>
      </c>
      <c r="G2318" t="s">
        <v>430</v>
      </c>
      <c r="H2318" t="s">
        <v>432</v>
      </c>
    </row>
    <row r="2319" spans="1:8" hidden="1" x14ac:dyDescent="0.25">
      <c r="A2319" t="s">
        <v>2143</v>
      </c>
      <c r="B2319" s="1" t="str">
        <f>HYPERLINK("https://asmlis.vasa.lt/Dashboard/Served?ServiceDateFrom=2025-11-24&amp;ServiceDateTo=2025-11-24&amp;DumpsterInvNr=13-L-316573", "13-L-316573")</f>
        <v>13-L-316573</v>
      </c>
      <c r="C2319">
        <v>1.1000000000000001</v>
      </c>
      <c r="D2319" t="s">
        <v>3151</v>
      </c>
      <c r="E2319" t="s">
        <v>11</v>
      </c>
      <c r="G2319" t="s">
        <v>9</v>
      </c>
      <c r="H2319" t="s">
        <v>14</v>
      </c>
    </row>
    <row r="2320" spans="1:8" hidden="1" x14ac:dyDescent="0.25">
      <c r="A2320" t="s">
        <v>3331</v>
      </c>
      <c r="B2320" s="1" t="str">
        <f>HYPERLINK("https://asmlis.vasa.lt/Dashboard/Served?ServiceDateFrom=2025-11-24&amp;ServiceDateTo=2025-11-24&amp;DumpsterInvNr=13-P-104159", "13-P-104159")</f>
        <v>13-P-104159</v>
      </c>
      <c r="C2320">
        <v>0.24</v>
      </c>
      <c r="D2320" t="s">
        <v>3332</v>
      </c>
      <c r="E2320" t="s">
        <v>11</v>
      </c>
      <c r="G2320" t="s">
        <v>1917</v>
      </c>
      <c r="H2320" t="s">
        <v>432</v>
      </c>
    </row>
    <row r="2321" spans="1:8" hidden="1" x14ac:dyDescent="0.25">
      <c r="A2321" t="s">
        <v>3333</v>
      </c>
      <c r="B2321" s="1" t="str">
        <f>HYPERLINK("https://asmlis.vasa.lt/Dashboard/Served?ServiceDateFrom=2025-11-24&amp;ServiceDateTo=2025-11-24&amp;DumpsterInvNr=13-S-111779", "13-S-111779")</f>
        <v>13-S-111779</v>
      </c>
      <c r="C2321">
        <v>0.12</v>
      </c>
      <c r="D2321" t="s">
        <v>3332</v>
      </c>
      <c r="E2321" t="s">
        <v>11</v>
      </c>
      <c r="F2321" t="s">
        <v>1209</v>
      </c>
      <c r="G2321" t="s">
        <v>1917</v>
      </c>
      <c r="H2321" t="s">
        <v>432</v>
      </c>
    </row>
    <row r="2322" spans="1:8" hidden="1" x14ac:dyDescent="0.25">
      <c r="A2322" t="s">
        <v>3334</v>
      </c>
      <c r="B2322" s="1" t="str">
        <f>HYPERLINK("https://asmlis.vasa.lt/Dashboard/Served?ServiceDateFrom=2025-11-24&amp;ServiceDateTo=2025-11-24&amp;DumpsterInvNr=13-P-104180", "13-P-104180")</f>
        <v>13-P-104180</v>
      </c>
      <c r="C2322">
        <v>0.24</v>
      </c>
      <c r="D2322" t="s">
        <v>3332</v>
      </c>
      <c r="E2322" t="s">
        <v>11</v>
      </c>
      <c r="F2322" t="s">
        <v>1209</v>
      </c>
      <c r="G2322" t="s">
        <v>1917</v>
      </c>
      <c r="H2322" t="s">
        <v>432</v>
      </c>
    </row>
    <row r="2323" spans="1:8" hidden="1" x14ac:dyDescent="0.25">
      <c r="A2323" t="s">
        <v>3335</v>
      </c>
      <c r="B2323" s="1" t="str">
        <f>HYPERLINK("https://asmlis.vasa.lt/Dashboard/Served?ServiceDateFrom=2025-11-24&amp;ServiceDateTo=2025-11-24&amp;DumpsterInvNr=13-L-109803", "13-L-109803")</f>
        <v>13-L-109803</v>
      </c>
      <c r="C2323">
        <v>0.24</v>
      </c>
      <c r="D2323" t="s">
        <v>3336</v>
      </c>
      <c r="E2323" t="s">
        <v>11</v>
      </c>
      <c r="F2323" t="s">
        <v>1209</v>
      </c>
      <c r="G2323" t="s">
        <v>430</v>
      </c>
      <c r="H2323" t="s">
        <v>432</v>
      </c>
    </row>
    <row r="2324" spans="1:8" hidden="1" x14ac:dyDescent="0.25">
      <c r="A2324" t="s">
        <v>3335</v>
      </c>
      <c r="B2324" s="1" t="str">
        <f>HYPERLINK("https://asmlis.vasa.lt/Dashboard/Served?ServiceDateFrom=2025-11-24&amp;ServiceDateTo=2025-11-24&amp;DumpsterInvNr=13-P-302151", "13-P-302151")</f>
        <v>13-P-302151</v>
      </c>
      <c r="C2324">
        <v>1.1000000000000001</v>
      </c>
      <c r="D2324" t="s">
        <v>3338</v>
      </c>
      <c r="E2324" t="s">
        <v>11</v>
      </c>
      <c r="G2324" t="s">
        <v>412</v>
      </c>
      <c r="H2324" t="s">
        <v>14</v>
      </c>
    </row>
    <row r="2325" spans="1:8" hidden="1" x14ac:dyDescent="0.25">
      <c r="A2325" t="s">
        <v>3339</v>
      </c>
      <c r="B2325" s="1" t="str">
        <f>HYPERLINK("https://asmlis.vasa.lt/Dashboard/Served?ServiceDateFrom=2025-11-24&amp;ServiceDateTo=2025-11-24&amp;DumpsterInvNr=13-L-407150", "13-L-407150")</f>
        <v>13-L-407150</v>
      </c>
      <c r="C2325">
        <v>1.1000000000000001</v>
      </c>
      <c r="D2325" t="s">
        <v>3340</v>
      </c>
      <c r="E2325" t="s">
        <v>11</v>
      </c>
      <c r="G2325" t="s">
        <v>74</v>
      </c>
      <c r="H2325" t="s">
        <v>14</v>
      </c>
    </row>
    <row r="2326" spans="1:8" hidden="1" x14ac:dyDescent="0.25">
      <c r="A2326" t="s">
        <v>3341</v>
      </c>
      <c r="B2326" s="1" t="str">
        <f>HYPERLINK("https://asmlis.vasa.lt/Dashboard/Served?ServiceDateFrom=2025-11-24&amp;ServiceDateTo=2025-11-24&amp;DumpsterInvNr=13-P-502985", "13-P-502985")</f>
        <v>13-P-502985</v>
      </c>
      <c r="C2326">
        <v>0.24</v>
      </c>
      <c r="D2326" t="s">
        <v>3336</v>
      </c>
      <c r="E2326" t="s">
        <v>11</v>
      </c>
      <c r="F2326" t="s">
        <v>1209</v>
      </c>
      <c r="G2326" t="s">
        <v>2178</v>
      </c>
      <c r="H2326" t="s">
        <v>432</v>
      </c>
    </row>
    <row r="2327" spans="1:8" hidden="1" x14ac:dyDescent="0.25">
      <c r="A2327" t="s">
        <v>3342</v>
      </c>
      <c r="B2327" s="1" t="str">
        <f>HYPERLINK("https://asmlis.vasa.lt/Dashboard/Served?ServiceDateFrom=2025-11-24&amp;ServiceDateTo=2025-11-24&amp;DumpsterInvNr=13-S-111810", "13-S-111810")</f>
        <v>13-S-111810</v>
      </c>
      <c r="C2327">
        <v>0.12</v>
      </c>
      <c r="D2327" t="s">
        <v>3332</v>
      </c>
      <c r="E2327" t="s">
        <v>11</v>
      </c>
      <c r="F2327" t="s">
        <v>1209</v>
      </c>
      <c r="G2327" t="s">
        <v>1917</v>
      </c>
      <c r="H2327" t="s">
        <v>432</v>
      </c>
    </row>
    <row r="2328" spans="1:8" hidden="1" x14ac:dyDescent="0.25">
      <c r="A2328" t="s">
        <v>3344</v>
      </c>
      <c r="B2328" s="1" t="str">
        <f>HYPERLINK("https://asmlis.vasa.lt/Dashboard/Served?ServiceDateFrom=2025-11-24&amp;ServiceDateTo=2025-11-24&amp;DumpsterInvNr=13-P-503050", "13-P-503050")</f>
        <v>13-P-503050</v>
      </c>
      <c r="C2328">
        <v>0.24</v>
      </c>
      <c r="D2328" t="s">
        <v>3345</v>
      </c>
      <c r="E2328" t="s">
        <v>11</v>
      </c>
      <c r="F2328" t="s">
        <v>1209</v>
      </c>
      <c r="G2328" t="s">
        <v>2178</v>
      </c>
      <c r="H2328" t="s">
        <v>432</v>
      </c>
    </row>
    <row r="2329" spans="1:8" hidden="1" x14ac:dyDescent="0.25">
      <c r="A2329" t="s">
        <v>3346</v>
      </c>
      <c r="B2329" s="1" t="str">
        <f>HYPERLINK("https://asmlis.vasa.lt/Dashboard/Served?ServiceDateFrom=2025-11-24&amp;ServiceDateTo=2025-11-24&amp;DumpsterInvNr=13-P-209617", "13-P-209617")</f>
        <v>13-P-209617</v>
      </c>
      <c r="C2329">
        <v>0.24</v>
      </c>
      <c r="D2329" t="s">
        <v>3347</v>
      </c>
      <c r="E2329" t="s">
        <v>11</v>
      </c>
      <c r="G2329" t="s">
        <v>234</v>
      </c>
      <c r="H2329" t="s">
        <v>14</v>
      </c>
    </row>
    <row r="2330" spans="1:8" hidden="1" x14ac:dyDescent="0.25">
      <c r="A2330" t="s">
        <v>3348</v>
      </c>
      <c r="B2330" s="1" t="str">
        <f>HYPERLINK("https://asmlis.vasa.lt/Dashboard/Served?ServiceDateFrom=2025-11-24&amp;ServiceDateTo=2025-11-24&amp;DumpsterInvNr=13-L-119508", "13-L-119508")</f>
        <v>13-L-119508</v>
      </c>
      <c r="C2330">
        <v>0.12</v>
      </c>
      <c r="D2330" t="s">
        <v>3345</v>
      </c>
      <c r="E2330" t="s">
        <v>11</v>
      </c>
      <c r="F2330" t="s">
        <v>1209</v>
      </c>
      <c r="G2330" t="s">
        <v>430</v>
      </c>
      <c r="H2330" t="s">
        <v>432</v>
      </c>
    </row>
    <row r="2331" spans="1:8" hidden="1" x14ac:dyDescent="0.25">
      <c r="A2331" t="s">
        <v>3348</v>
      </c>
      <c r="B2331" s="1" t="str">
        <f>HYPERLINK("https://asmlis.vasa.lt/Dashboard/Served?ServiceDateFrom=2025-11-24&amp;ServiceDateTo=2025-11-24&amp;DumpsterInvNr=13-P-508461", "13-P-508461")</f>
        <v>13-P-508461</v>
      </c>
      <c r="C2331">
        <v>0.12</v>
      </c>
      <c r="D2331" t="s">
        <v>3327</v>
      </c>
      <c r="E2331" t="s">
        <v>11</v>
      </c>
      <c r="G2331" t="s">
        <v>2178</v>
      </c>
      <c r="H2331" t="s">
        <v>432</v>
      </c>
    </row>
    <row r="2332" spans="1:8" hidden="1" x14ac:dyDescent="0.25">
      <c r="A2332" t="s">
        <v>3350</v>
      </c>
      <c r="B2332" s="1" t="str">
        <f>HYPERLINK("https://asmlis.vasa.lt/Dashboard/Served?ServiceDateFrom=2025-11-24&amp;ServiceDateTo=2025-11-24&amp;DumpsterInvNr=13-S-503724", "13-S-503724")</f>
        <v>13-S-503724</v>
      </c>
      <c r="C2332">
        <v>0.12</v>
      </c>
      <c r="D2332" t="s">
        <v>3345</v>
      </c>
      <c r="E2332" t="s">
        <v>11</v>
      </c>
      <c r="F2332" t="s">
        <v>1209</v>
      </c>
      <c r="G2332" t="s">
        <v>2178</v>
      </c>
      <c r="H2332" t="s">
        <v>432</v>
      </c>
    </row>
    <row r="2333" spans="1:8" hidden="1" x14ac:dyDescent="0.25">
      <c r="A2333" t="s">
        <v>3350</v>
      </c>
      <c r="B2333" s="1" t="str">
        <f>HYPERLINK("https://asmlis.vasa.lt/Dashboard/Served?ServiceDateFrom=2025-11-24&amp;ServiceDateTo=2025-11-24&amp;DumpsterInvNr=13-L-316307", "13-L-316307")</f>
        <v>13-L-316307</v>
      </c>
      <c r="C2333">
        <v>1.1000000000000001</v>
      </c>
      <c r="D2333" t="s">
        <v>3151</v>
      </c>
      <c r="E2333" t="s">
        <v>11</v>
      </c>
      <c r="G2333" t="s">
        <v>9</v>
      </c>
      <c r="H2333" t="s">
        <v>14</v>
      </c>
    </row>
    <row r="2334" spans="1:8" hidden="1" x14ac:dyDescent="0.25">
      <c r="A2334" t="s">
        <v>3352</v>
      </c>
      <c r="B2334" s="1" t="str">
        <f>HYPERLINK("https://asmlis.vasa.lt/Dashboard/Served?ServiceDateFrom=2025-11-24&amp;ServiceDateTo=2025-11-24&amp;DumpsterInvNr=13-L-146877", "13-L-146877")</f>
        <v>13-L-146877</v>
      </c>
      <c r="C2334">
        <v>5</v>
      </c>
      <c r="D2334" t="s">
        <v>3353</v>
      </c>
      <c r="E2334" t="s">
        <v>11</v>
      </c>
      <c r="F2334" t="s">
        <v>13</v>
      </c>
      <c r="G2334" t="s">
        <v>430</v>
      </c>
      <c r="H2334" t="s">
        <v>432</v>
      </c>
    </row>
    <row r="2335" spans="1:8" hidden="1" x14ac:dyDescent="0.25">
      <c r="A2335" t="s">
        <v>3354</v>
      </c>
      <c r="B2335" s="1" t="str">
        <f>HYPERLINK("https://asmlis.vasa.lt/Dashboard/Served?ServiceDateFrom=2025-11-24&amp;ServiceDateTo=2025-11-24&amp;DumpsterInvNr=13-S-406621", "13-S-406621")</f>
        <v>13-S-406621</v>
      </c>
      <c r="C2335">
        <v>0.12</v>
      </c>
      <c r="D2335" t="s">
        <v>3305</v>
      </c>
      <c r="E2335" t="s">
        <v>11</v>
      </c>
      <c r="F2335" t="s">
        <v>1209</v>
      </c>
      <c r="G2335" t="s">
        <v>264</v>
      </c>
      <c r="H2335" t="s">
        <v>14</v>
      </c>
    </row>
    <row r="2336" spans="1:8" hidden="1" x14ac:dyDescent="0.25">
      <c r="A2336" t="s">
        <v>3355</v>
      </c>
      <c r="B2336" s="1" t="str">
        <f>HYPERLINK("https://asmlis.vasa.lt/Dashboard/Served?ServiceDateFrom=2025-11-24&amp;ServiceDateTo=2025-11-24&amp;DumpsterInvNr=13-L-225909", "13-L-225909")</f>
        <v>13-L-225909</v>
      </c>
      <c r="C2336">
        <v>1.1000000000000001</v>
      </c>
      <c r="D2336" t="s">
        <v>3148</v>
      </c>
      <c r="E2336" t="s">
        <v>11</v>
      </c>
      <c r="G2336" t="s">
        <v>936</v>
      </c>
      <c r="H2336" t="s">
        <v>938</v>
      </c>
    </row>
    <row r="2337" spans="1:8" hidden="1" x14ac:dyDescent="0.25">
      <c r="A2337" t="s">
        <v>3355</v>
      </c>
      <c r="B2337" s="1" t="str">
        <f>HYPERLINK("https://asmlis.vasa.lt/Dashboard/Served?ServiceDateFrom=2025-11-24&amp;ServiceDateTo=2025-11-24&amp;DumpsterInvNr=13-L-220092", "13-L-220092")</f>
        <v>13-L-220092</v>
      </c>
      <c r="C2337">
        <v>0.24</v>
      </c>
      <c r="D2337" t="s">
        <v>3356</v>
      </c>
      <c r="E2337" t="s">
        <v>11</v>
      </c>
      <c r="G2337" t="s">
        <v>936</v>
      </c>
      <c r="H2337" t="s">
        <v>938</v>
      </c>
    </row>
    <row r="2338" spans="1:8" hidden="1" x14ac:dyDescent="0.25">
      <c r="A2338" t="s">
        <v>3357</v>
      </c>
      <c r="B2338" s="1" t="str">
        <f>HYPERLINK("https://asmlis.vasa.lt/Dashboard/Served?ServiceDateFrom=2025-11-24&amp;ServiceDateTo=2025-11-24&amp;DumpsterInvNr=13-L-139737", "13-L-139737")</f>
        <v>13-L-139737</v>
      </c>
      <c r="C2338">
        <v>5</v>
      </c>
      <c r="D2338" t="s">
        <v>3358</v>
      </c>
      <c r="E2338" t="s">
        <v>11</v>
      </c>
      <c r="F2338" t="s">
        <v>13</v>
      </c>
      <c r="G2338" t="s">
        <v>1912</v>
      </c>
      <c r="H2338" t="s">
        <v>432</v>
      </c>
    </row>
    <row r="2339" spans="1:8" hidden="1" x14ac:dyDescent="0.25">
      <c r="A2339" t="s">
        <v>3357</v>
      </c>
      <c r="B2339" s="1" t="str">
        <f>HYPERLINK("https://asmlis.vasa.lt/Dashboard/Served?ServiceDateFrom=2025-11-24&amp;ServiceDateTo=2025-11-24&amp;DumpsterInvNr=13-L-424951", "13-L-424951")</f>
        <v>13-L-424951</v>
      </c>
      <c r="C2339">
        <v>1.1000000000000001</v>
      </c>
      <c r="D2339" t="s">
        <v>3340</v>
      </c>
      <c r="E2339" t="s">
        <v>11</v>
      </c>
      <c r="G2339" t="s">
        <v>74</v>
      </c>
      <c r="H2339" t="s">
        <v>14</v>
      </c>
    </row>
    <row r="2340" spans="1:8" hidden="1" x14ac:dyDescent="0.25">
      <c r="A2340" t="s">
        <v>3357</v>
      </c>
      <c r="B2340" s="1" t="str">
        <f>HYPERLINK("https://asmlis.vasa.lt/Dashboard/Served?ServiceDateFrom=2025-11-24&amp;ServiceDateTo=2025-11-24&amp;DumpsterInvNr=13-S-406616", "13-S-406616")</f>
        <v>13-S-406616</v>
      </c>
      <c r="C2340">
        <v>0.12</v>
      </c>
      <c r="D2340" t="s">
        <v>3359</v>
      </c>
      <c r="E2340" t="s">
        <v>11</v>
      </c>
      <c r="F2340" t="s">
        <v>1209</v>
      </c>
      <c r="G2340" t="s">
        <v>264</v>
      </c>
      <c r="H2340" t="s">
        <v>14</v>
      </c>
    </row>
    <row r="2341" spans="1:8" hidden="1" x14ac:dyDescent="0.25">
      <c r="A2341" t="s">
        <v>3360</v>
      </c>
      <c r="B2341" s="1" t="str">
        <f>HYPERLINK("https://asmlis.vasa.lt/Dashboard/Served?ServiceDateFrom=2025-11-24&amp;ServiceDateTo=2025-11-24&amp;DumpsterInvNr=13-P-402993", "13-P-402993")</f>
        <v>13-P-402993</v>
      </c>
      <c r="C2341">
        <v>0.24</v>
      </c>
      <c r="D2341" t="s">
        <v>3359</v>
      </c>
      <c r="E2341" t="s">
        <v>11</v>
      </c>
      <c r="F2341" t="s">
        <v>1209</v>
      </c>
      <c r="G2341" t="s">
        <v>264</v>
      </c>
      <c r="H2341" t="s">
        <v>14</v>
      </c>
    </row>
    <row r="2342" spans="1:8" hidden="1" x14ac:dyDescent="0.25">
      <c r="A2342" t="s">
        <v>3361</v>
      </c>
      <c r="B2342" s="1" t="str">
        <f>HYPERLINK("https://asmlis.vasa.lt/Dashboard/Served?ServiceDateFrom=2025-11-24&amp;ServiceDateTo=2025-11-24&amp;DumpsterInvNr=13-L-314744", "13-L-314744")</f>
        <v>13-L-314744</v>
      </c>
      <c r="C2342">
        <v>1.1000000000000001</v>
      </c>
      <c r="D2342" t="s">
        <v>3151</v>
      </c>
      <c r="E2342" t="s">
        <v>11</v>
      </c>
      <c r="F2342" t="s">
        <v>13</v>
      </c>
      <c r="G2342" t="s">
        <v>9</v>
      </c>
      <c r="H2342" t="s">
        <v>14</v>
      </c>
    </row>
    <row r="2343" spans="1:8" hidden="1" x14ac:dyDescent="0.25">
      <c r="A2343" t="s">
        <v>3362</v>
      </c>
      <c r="B2343" s="1" t="str">
        <f>HYPERLINK("https://asmlis.vasa.lt/Dashboard/Served?ServiceDateFrom=2025-11-24&amp;ServiceDateTo=2025-11-24&amp;DumpsterInvNr=13-P-213185", "13-P-213185")</f>
        <v>13-P-213185</v>
      </c>
      <c r="C2343">
        <v>0.24</v>
      </c>
      <c r="D2343" t="s">
        <v>3363</v>
      </c>
      <c r="E2343" t="s">
        <v>11</v>
      </c>
      <c r="F2343" t="s">
        <v>1209</v>
      </c>
      <c r="G2343" t="s">
        <v>234</v>
      </c>
      <c r="H2343" t="s">
        <v>14</v>
      </c>
    </row>
    <row r="2344" spans="1:8" hidden="1" x14ac:dyDescent="0.25">
      <c r="A2344" t="s">
        <v>3364</v>
      </c>
      <c r="B2344" s="1" t="str">
        <f>HYPERLINK("https://asmlis.vasa.lt/Dashboard/Served?ServiceDateFrom=2025-11-24&amp;ServiceDateTo=2025-11-24&amp;DumpsterInvNr=13-S-212408", "13-S-212408")</f>
        <v>13-S-212408</v>
      </c>
      <c r="C2344">
        <v>0.12</v>
      </c>
      <c r="D2344" t="s">
        <v>3363</v>
      </c>
      <c r="E2344" t="s">
        <v>11</v>
      </c>
      <c r="F2344" t="s">
        <v>1209</v>
      </c>
      <c r="G2344" t="s">
        <v>234</v>
      </c>
      <c r="H2344" t="s">
        <v>14</v>
      </c>
    </row>
    <row r="2345" spans="1:8" hidden="1" x14ac:dyDescent="0.25">
      <c r="A2345" t="s">
        <v>3365</v>
      </c>
      <c r="B2345" s="1" t="str">
        <f>HYPERLINK("https://asmlis.vasa.lt/Dashboard/Served?ServiceDateFrom=2025-11-24&amp;ServiceDateTo=2025-11-24&amp;DumpsterInvNr=13-P-302153", "13-P-302153")</f>
        <v>13-P-302153</v>
      </c>
      <c r="C2345">
        <v>1.1000000000000001</v>
      </c>
      <c r="D2345" t="s">
        <v>3338</v>
      </c>
      <c r="E2345" t="s">
        <v>11</v>
      </c>
      <c r="G2345" t="s">
        <v>412</v>
      </c>
      <c r="H2345" t="s">
        <v>14</v>
      </c>
    </row>
    <row r="2346" spans="1:8" hidden="1" x14ac:dyDescent="0.25">
      <c r="A2346" t="s">
        <v>3366</v>
      </c>
      <c r="B2346" s="1" t="str">
        <f>HYPERLINK("https://asmlis.vasa.lt/Dashboard/Served?ServiceDateFrom=2025-11-24&amp;ServiceDateTo=2025-11-24&amp;DumpsterInvNr=13-L-224686", "13-L-224686")</f>
        <v>13-L-224686</v>
      </c>
      <c r="C2346">
        <v>1.1000000000000001</v>
      </c>
      <c r="D2346" t="s">
        <v>3367</v>
      </c>
      <c r="E2346" t="s">
        <v>11</v>
      </c>
      <c r="G2346" t="s">
        <v>936</v>
      </c>
      <c r="H2346" t="s">
        <v>938</v>
      </c>
    </row>
    <row r="2347" spans="1:8" hidden="1" x14ac:dyDescent="0.25">
      <c r="A2347" t="s">
        <v>3368</v>
      </c>
      <c r="B2347" s="1" t="str">
        <f>HYPERLINK("https://asmlis.vasa.lt/Dashboard/Served?ServiceDateFrom=2025-11-24&amp;ServiceDateTo=2025-11-24&amp;DumpsterInvNr=13-L-136120", "13-L-136120")</f>
        <v>13-L-136120</v>
      </c>
      <c r="C2347">
        <v>5</v>
      </c>
      <c r="D2347" t="s">
        <v>3369</v>
      </c>
      <c r="E2347" t="s">
        <v>11</v>
      </c>
      <c r="F2347" t="s">
        <v>13</v>
      </c>
      <c r="G2347" t="s">
        <v>430</v>
      </c>
      <c r="H2347" t="s">
        <v>432</v>
      </c>
    </row>
    <row r="2348" spans="1:8" hidden="1" x14ac:dyDescent="0.25">
      <c r="A2348" t="s">
        <v>3368</v>
      </c>
      <c r="B2348" s="1" t="str">
        <f>HYPERLINK("https://asmlis.vasa.lt/Dashboard/Served?ServiceDateFrom=2025-11-24&amp;ServiceDateTo=2025-11-24&amp;DumpsterInvNr=13-L-226318", "13-L-226318")</f>
        <v>13-L-226318</v>
      </c>
      <c r="C2348">
        <v>1.1000000000000001</v>
      </c>
      <c r="D2348" t="s">
        <v>3024</v>
      </c>
      <c r="E2348" t="s">
        <v>11</v>
      </c>
      <c r="G2348" t="s">
        <v>936</v>
      </c>
      <c r="H2348" t="s">
        <v>938</v>
      </c>
    </row>
    <row r="2349" spans="1:8" hidden="1" x14ac:dyDescent="0.25">
      <c r="A2349" t="s">
        <v>3370</v>
      </c>
      <c r="B2349" s="1" t="str">
        <f>HYPERLINK("https://asmlis.vasa.lt/Dashboard/Served?ServiceDateFrom=2025-11-24&amp;ServiceDateTo=2025-11-24&amp;DumpsterInvNr=13-L-139777", "13-L-139777")</f>
        <v>13-L-139777</v>
      </c>
      <c r="C2349">
        <v>5</v>
      </c>
      <c r="D2349" t="s">
        <v>3371</v>
      </c>
      <c r="E2349" t="s">
        <v>11</v>
      </c>
      <c r="F2349" t="s">
        <v>13</v>
      </c>
      <c r="G2349" t="s">
        <v>430</v>
      </c>
      <c r="H2349" t="s">
        <v>432</v>
      </c>
    </row>
    <row r="2350" spans="1:8" hidden="1" x14ac:dyDescent="0.25">
      <c r="A2350" t="s">
        <v>3372</v>
      </c>
      <c r="B2350" s="1" t="str">
        <f>HYPERLINK("https://asmlis.vasa.lt/Dashboard/Served?ServiceDateFrom=2025-11-24&amp;ServiceDateTo=2025-11-24&amp;DumpsterInvNr=13-L-223487", "13-L-223487")</f>
        <v>13-L-223487</v>
      </c>
      <c r="C2350">
        <v>1.1000000000000001</v>
      </c>
      <c r="D2350" t="s">
        <v>3148</v>
      </c>
      <c r="E2350" t="s">
        <v>11</v>
      </c>
      <c r="G2350" t="s">
        <v>936</v>
      </c>
      <c r="H2350" t="s">
        <v>938</v>
      </c>
    </row>
    <row r="2351" spans="1:8" hidden="1" x14ac:dyDescent="0.25">
      <c r="A2351" t="s">
        <v>3372</v>
      </c>
      <c r="B2351" s="1" t="str">
        <f>HYPERLINK("https://asmlis.vasa.lt/Dashboard/Served?ServiceDateFrom=2025-11-24&amp;ServiceDateTo=2025-11-24&amp;DumpsterInvNr=13-L-227263", "13-L-227263")</f>
        <v>13-L-227263</v>
      </c>
      <c r="C2351">
        <v>0.24</v>
      </c>
      <c r="D2351" t="s">
        <v>3079</v>
      </c>
      <c r="E2351" t="s">
        <v>11</v>
      </c>
      <c r="F2351" t="s">
        <v>1209</v>
      </c>
      <c r="G2351" t="s">
        <v>936</v>
      </c>
      <c r="H2351" t="s">
        <v>938</v>
      </c>
    </row>
    <row r="2352" spans="1:8" hidden="1" x14ac:dyDescent="0.25">
      <c r="A2352" t="s">
        <v>3373</v>
      </c>
      <c r="B2352" s="1" t="str">
        <f>HYPERLINK("https://asmlis.vasa.lt/Dashboard/Served?ServiceDateFrom=2025-11-24&amp;ServiceDateTo=2025-11-24&amp;DumpsterInvNr=13-L-316622", "13-L-316622")</f>
        <v>13-L-316622</v>
      </c>
      <c r="C2352">
        <v>1.1000000000000001</v>
      </c>
      <c r="D2352" t="s">
        <v>2067</v>
      </c>
      <c r="E2352" t="s">
        <v>11</v>
      </c>
      <c r="G2352" t="s">
        <v>9</v>
      </c>
      <c r="H2352" t="s">
        <v>14</v>
      </c>
    </row>
    <row r="2353" spans="1:8" hidden="1" x14ac:dyDescent="0.25">
      <c r="A2353" t="s">
        <v>3374</v>
      </c>
      <c r="B2353" s="1" t="str">
        <f>HYPERLINK("https://asmlis.vasa.lt/Dashboard/Served?ServiceDateFrom=2025-11-24&amp;ServiceDateTo=2025-11-24&amp;DumpsterInvNr=13-L-405116", "13-L-405116")</f>
        <v>13-L-405116</v>
      </c>
      <c r="C2353">
        <v>1.1000000000000001</v>
      </c>
      <c r="D2353" t="s">
        <v>1574</v>
      </c>
      <c r="E2353" t="s">
        <v>11</v>
      </c>
      <c r="G2353" t="s">
        <v>74</v>
      </c>
      <c r="H2353" t="s">
        <v>14</v>
      </c>
    </row>
    <row r="2354" spans="1:8" hidden="1" x14ac:dyDescent="0.25">
      <c r="A2354" t="s">
        <v>3375</v>
      </c>
      <c r="B2354" s="1" t="str">
        <f>HYPERLINK("https://asmlis.vasa.lt/Dashboard/Served?ServiceDateFrom=2025-11-24&amp;ServiceDateTo=2025-11-24&amp;DumpsterInvNr=13-S-500467", "13-S-500467")</f>
        <v>13-S-500467</v>
      </c>
      <c r="C2354">
        <v>0.12</v>
      </c>
      <c r="D2354" t="s">
        <v>3376</v>
      </c>
      <c r="E2354" t="s">
        <v>11</v>
      </c>
      <c r="F2354" t="s">
        <v>1209</v>
      </c>
      <c r="G2354" t="s">
        <v>2178</v>
      </c>
      <c r="H2354" t="s">
        <v>432</v>
      </c>
    </row>
    <row r="2355" spans="1:8" hidden="1" x14ac:dyDescent="0.25">
      <c r="A2355" t="s">
        <v>3378</v>
      </c>
      <c r="B2355" s="1" t="str">
        <f>HYPERLINK("https://asmlis.vasa.lt/Dashboard/Served?ServiceDateFrom=2025-11-24&amp;ServiceDateTo=2025-11-24&amp;DumpsterInvNr=13-P-416198", "13-P-416198")</f>
        <v>13-P-416198</v>
      </c>
      <c r="C2355">
        <v>1.1000000000000001</v>
      </c>
      <c r="D2355" t="s">
        <v>3379</v>
      </c>
      <c r="E2355" t="s">
        <v>11</v>
      </c>
      <c r="G2355" t="s">
        <v>264</v>
      </c>
      <c r="H2355" t="s">
        <v>14</v>
      </c>
    </row>
    <row r="2356" spans="1:8" hidden="1" x14ac:dyDescent="0.25">
      <c r="A2356" t="s">
        <v>3380</v>
      </c>
      <c r="B2356" s="1" t="str">
        <f>HYPERLINK("https://asmlis.vasa.lt/Dashboard/Served?ServiceDateFrom=2025-11-24&amp;ServiceDateTo=2025-11-24&amp;DumpsterInvNr=13-L-224384", "13-L-224384")</f>
        <v>13-L-224384</v>
      </c>
      <c r="C2356">
        <v>1.1000000000000001</v>
      </c>
      <c r="D2356" t="s">
        <v>3024</v>
      </c>
      <c r="E2356" t="s">
        <v>11</v>
      </c>
      <c r="G2356" t="s">
        <v>936</v>
      </c>
      <c r="H2356" t="s">
        <v>938</v>
      </c>
    </row>
    <row r="2357" spans="1:8" hidden="1" x14ac:dyDescent="0.25">
      <c r="A2357" t="s">
        <v>3381</v>
      </c>
      <c r="B2357" s="1" t="str">
        <f>HYPERLINK("https://asmlis.vasa.lt/Dashboard/Served?ServiceDateFrom=2025-11-24&amp;ServiceDateTo=2025-11-24&amp;DumpsterInvNr=13-P-412921", "13-P-412921")</f>
        <v>13-P-412921</v>
      </c>
      <c r="C2357">
        <v>0.24</v>
      </c>
      <c r="D2357" t="s">
        <v>3382</v>
      </c>
      <c r="E2357" t="s">
        <v>11</v>
      </c>
      <c r="G2357" t="s">
        <v>264</v>
      </c>
      <c r="H2357" t="s">
        <v>14</v>
      </c>
    </row>
    <row r="2358" spans="1:8" hidden="1" x14ac:dyDescent="0.25">
      <c r="A2358" t="s">
        <v>3381</v>
      </c>
      <c r="B2358" s="1" t="str">
        <f>HYPERLINK("https://asmlis.vasa.lt/Dashboard/Served?ServiceDateFrom=2025-11-24&amp;ServiceDateTo=2025-11-24&amp;DumpsterInvNr=13-P-209434", "13-P-209434")</f>
        <v>13-P-209434</v>
      </c>
      <c r="C2358">
        <v>0.24</v>
      </c>
      <c r="D2358" t="s">
        <v>3383</v>
      </c>
      <c r="E2358" t="s">
        <v>11</v>
      </c>
      <c r="G2358" t="s">
        <v>234</v>
      </c>
      <c r="H2358" t="s">
        <v>14</v>
      </c>
    </row>
    <row r="2359" spans="1:8" hidden="1" x14ac:dyDescent="0.25">
      <c r="A2359" t="s">
        <v>3384</v>
      </c>
      <c r="B2359" s="1" t="str">
        <f>HYPERLINK("https://asmlis.vasa.lt/Dashboard/Served?ServiceDateFrom=2025-11-24&amp;ServiceDateTo=2025-11-24&amp;DumpsterInvNr=13-L-109477", "13-L-109477")</f>
        <v>13-L-109477</v>
      </c>
      <c r="C2359">
        <v>0.24</v>
      </c>
      <c r="D2359" t="s">
        <v>3376</v>
      </c>
      <c r="E2359" t="s">
        <v>11</v>
      </c>
      <c r="F2359" t="s">
        <v>1209</v>
      </c>
      <c r="G2359" t="s">
        <v>430</v>
      </c>
      <c r="H2359" t="s">
        <v>432</v>
      </c>
    </row>
    <row r="2360" spans="1:8" hidden="1" x14ac:dyDescent="0.25">
      <c r="A2360" t="s">
        <v>3385</v>
      </c>
      <c r="B2360" s="1" t="str">
        <f>HYPERLINK("https://asmlis.vasa.lt/Dashboard/Served?ServiceDateFrom=2025-11-24&amp;ServiceDateTo=2025-11-24&amp;DumpsterInvNr=13-P-101140", "13-P-101140")</f>
        <v>13-P-101140</v>
      </c>
      <c r="C2360">
        <v>0.12</v>
      </c>
      <c r="D2360" t="s">
        <v>3386</v>
      </c>
      <c r="E2360" t="s">
        <v>11</v>
      </c>
      <c r="G2360" t="s">
        <v>1917</v>
      </c>
      <c r="H2360" t="s">
        <v>432</v>
      </c>
    </row>
    <row r="2361" spans="1:8" hidden="1" x14ac:dyDescent="0.25">
      <c r="A2361" t="s">
        <v>3388</v>
      </c>
      <c r="B2361" s="1" t="str">
        <f>HYPERLINK("https://asmlis.vasa.lt/Dashboard/Served?ServiceDateFrom=2025-11-24&amp;ServiceDateTo=2025-11-24&amp;DumpsterInvNr=13-L-212716", "13-L-212716")</f>
        <v>13-L-212716</v>
      </c>
      <c r="C2361">
        <v>1.1000000000000001</v>
      </c>
      <c r="D2361" t="s">
        <v>3024</v>
      </c>
      <c r="E2361" t="s">
        <v>11</v>
      </c>
      <c r="G2361" t="s">
        <v>936</v>
      </c>
      <c r="H2361" t="s">
        <v>938</v>
      </c>
    </row>
    <row r="2362" spans="1:8" hidden="1" x14ac:dyDescent="0.25">
      <c r="A2362" t="s">
        <v>3389</v>
      </c>
      <c r="B2362" s="1" t="str">
        <f>HYPERLINK("https://asmlis.vasa.lt/Dashboard/Served?ServiceDateFrom=2025-11-24&amp;ServiceDateTo=2025-11-24&amp;DumpsterInvNr=13-P-505612", "13-P-505612")</f>
        <v>13-P-505612</v>
      </c>
      <c r="C2362">
        <v>0.24</v>
      </c>
      <c r="D2362" t="s">
        <v>3376</v>
      </c>
      <c r="E2362" t="s">
        <v>11</v>
      </c>
      <c r="F2362" t="s">
        <v>1209</v>
      </c>
      <c r="G2362" t="s">
        <v>2178</v>
      </c>
      <c r="H2362" t="s">
        <v>432</v>
      </c>
    </row>
    <row r="2363" spans="1:8" hidden="1" x14ac:dyDescent="0.25">
      <c r="A2363" t="s">
        <v>3391</v>
      </c>
      <c r="B2363" s="1" t="str">
        <f>HYPERLINK("https://asmlis.vasa.lt/Dashboard/Served?ServiceDateFrom=2025-11-24&amp;ServiceDateTo=2025-11-24&amp;DumpsterInvNr=13-L-139898", "13-L-139898")</f>
        <v>13-L-139898</v>
      </c>
      <c r="C2363">
        <v>0.24</v>
      </c>
      <c r="D2363" t="s">
        <v>3392</v>
      </c>
      <c r="E2363" t="s">
        <v>11</v>
      </c>
      <c r="G2363" t="s">
        <v>1912</v>
      </c>
      <c r="H2363" t="s">
        <v>432</v>
      </c>
    </row>
    <row r="2364" spans="1:8" hidden="1" x14ac:dyDescent="0.25">
      <c r="A2364" t="s">
        <v>3393</v>
      </c>
      <c r="B2364" s="1" t="str">
        <f>HYPERLINK("https://asmlis.vasa.lt/Dashboard/Served?ServiceDateFrom=2025-11-24&amp;ServiceDateTo=2025-11-24&amp;DumpsterInvNr=13-L-130978", "13-L-130978")</f>
        <v>13-L-130978</v>
      </c>
      <c r="C2364">
        <v>0.24</v>
      </c>
      <c r="D2364" t="s">
        <v>3394</v>
      </c>
      <c r="E2364" t="s">
        <v>11</v>
      </c>
      <c r="G2364" t="s">
        <v>430</v>
      </c>
      <c r="H2364" t="s">
        <v>432</v>
      </c>
    </row>
    <row r="2365" spans="1:8" hidden="1" x14ac:dyDescent="0.25">
      <c r="A2365" t="s">
        <v>3395</v>
      </c>
      <c r="B2365" s="1" t="str">
        <f>HYPERLINK("https://asmlis.vasa.lt/Dashboard/Served?ServiceDateFrom=2025-11-24&amp;ServiceDateTo=2025-11-24&amp;DumpsterInvNr=13-S-503733", "13-S-503733")</f>
        <v>13-S-503733</v>
      </c>
      <c r="C2365">
        <v>0.12</v>
      </c>
      <c r="D2365" t="s">
        <v>3394</v>
      </c>
      <c r="E2365" t="s">
        <v>11</v>
      </c>
      <c r="F2365" t="s">
        <v>1209</v>
      </c>
      <c r="G2365" t="s">
        <v>2178</v>
      </c>
      <c r="H2365" t="s">
        <v>432</v>
      </c>
    </row>
    <row r="2366" spans="1:8" hidden="1" x14ac:dyDescent="0.25">
      <c r="A2366" t="s">
        <v>3397</v>
      </c>
      <c r="B2366" s="1" t="str">
        <f>HYPERLINK("https://asmlis.vasa.lt/Dashboard/Served?ServiceDateFrom=2025-11-24&amp;ServiceDateTo=2025-11-24&amp;DumpsterInvNr=13-L-121064", "13-L-121064")</f>
        <v>13-L-121064</v>
      </c>
      <c r="C2366">
        <v>1.1000000000000001</v>
      </c>
      <c r="D2366" t="s">
        <v>3398</v>
      </c>
      <c r="E2366" t="s">
        <v>11</v>
      </c>
      <c r="G2366" t="s">
        <v>430</v>
      </c>
      <c r="H2366" t="s">
        <v>432</v>
      </c>
    </row>
    <row r="2367" spans="1:8" hidden="1" x14ac:dyDescent="0.25">
      <c r="A2367" t="s">
        <v>3397</v>
      </c>
      <c r="B2367" s="1" t="str">
        <f>HYPERLINK("https://asmlis.vasa.lt/Dashboard/Served?ServiceDateFrom=2025-11-24&amp;ServiceDateTo=2025-11-24&amp;DumpsterInvNr=13-P-503034", "13-P-503034")</f>
        <v>13-P-503034</v>
      </c>
      <c r="C2367">
        <v>0.24</v>
      </c>
      <c r="D2367" t="s">
        <v>3394</v>
      </c>
      <c r="E2367" t="s">
        <v>11</v>
      </c>
      <c r="F2367" t="s">
        <v>1209</v>
      </c>
      <c r="G2367" t="s">
        <v>2178</v>
      </c>
      <c r="H2367" t="s">
        <v>432</v>
      </c>
    </row>
    <row r="2368" spans="1:8" hidden="1" x14ac:dyDescent="0.25">
      <c r="A2368" t="s">
        <v>3399</v>
      </c>
      <c r="B2368" s="1" t="str">
        <f>HYPERLINK("https://asmlis.vasa.lt/Dashboard/Served?ServiceDateFrom=2025-11-24&amp;ServiceDateTo=2025-11-24&amp;DumpsterInvNr=13-S-404795", "13-S-404795")</f>
        <v>13-S-404795</v>
      </c>
      <c r="C2368">
        <v>0.12</v>
      </c>
      <c r="D2368" t="s">
        <v>3382</v>
      </c>
      <c r="E2368" t="s">
        <v>11</v>
      </c>
      <c r="G2368" t="s">
        <v>264</v>
      </c>
      <c r="H2368" t="s">
        <v>14</v>
      </c>
    </row>
    <row r="2369" spans="1:8" hidden="1" x14ac:dyDescent="0.25">
      <c r="A2369" t="s">
        <v>3400</v>
      </c>
      <c r="B2369" s="1" t="str">
        <f>HYPERLINK("https://asmlis.vasa.lt/Dashboard/Served?ServiceDateFrom=2025-11-24&amp;ServiceDateTo=2025-11-24&amp;DumpsterInvNr=13-L-206368", "13-L-206368")</f>
        <v>13-L-206368</v>
      </c>
      <c r="C2369">
        <v>0.24</v>
      </c>
      <c r="D2369" t="s">
        <v>3097</v>
      </c>
      <c r="E2369" t="s">
        <v>11</v>
      </c>
      <c r="G2369" t="s">
        <v>936</v>
      </c>
      <c r="H2369" t="s">
        <v>938</v>
      </c>
    </row>
    <row r="2370" spans="1:8" hidden="1" x14ac:dyDescent="0.25">
      <c r="A2370" t="s">
        <v>3401</v>
      </c>
      <c r="B2370" s="1" t="str">
        <f>HYPERLINK("https://asmlis.vasa.lt/Dashboard/Served?ServiceDateFrom=2025-11-24&amp;ServiceDateTo=2025-11-24&amp;DumpsterInvNr=13-L-316824", "13-L-316824")</f>
        <v>13-L-316824</v>
      </c>
      <c r="C2370">
        <v>1.1000000000000001</v>
      </c>
      <c r="D2370" t="s">
        <v>2067</v>
      </c>
      <c r="E2370" t="s">
        <v>11</v>
      </c>
      <c r="G2370" t="s">
        <v>9</v>
      </c>
      <c r="H2370" t="s">
        <v>14</v>
      </c>
    </row>
    <row r="2371" spans="1:8" hidden="1" x14ac:dyDescent="0.25">
      <c r="A2371" t="s">
        <v>3402</v>
      </c>
      <c r="B2371" s="1" t="str">
        <f>HYPERLINK("https://asmlis.vasa.lt/Dashboard/Served?ServiceDateFrom=2025-11-24&amp;ServiceDateTo=2025-11-24&amp;DumpsterInvNr=13-L-224317", "13-L-224317")</f>
        <v>13-L-224317</v>
      </c>
      <c r="C2371">
        <v>1.1000000000000001</v>
      </c>
      <c r="D2371" t="s">
        <v>3148</v>
      </c>
      <c r="E2371" t="s">
        <v>11</v>
      </c>
      <c r="G2371" t="s">
        <v>936</v>
      </c>
      <c r="H2371" t="s">
        <v>938</v>
      </c>
    </row>
    <row r="2372" spans="1:8" hidden="1" x14ac:dyDescent="0.25">
      <c r="A2372" t="s">
        <v>3404</v>
      </c>
      <c r="B2372" s="1" t="str">
        <f>HYPERLINK("https://asmlis.vasa.lt/Dashboard/Served?ServiceDateFrom=2025-11-24&amp;ServiceDateTo=2025-11-24&amp;DumpsterInvNr=13-P-207654", "13-P-207654")</f>
        <v>13-P-207654</v>
      </c>
      <c r="C2372">
        <v>0.24</v>
      </c>
      <c r="D2372" t="s">
        <v>3405</v>
      </c>
      <c r="E2372" t="s">
        <v>11</v>
      </c>
      <c r="G2372" t="s">
        <v>234</v>
      </c>
      <c r="H2372" t="s">
        <v>14</v>
      </c>
    </row>
    <row r="2373" spans="1:8" hidden="1" x14ac:dyDescent="0.25">
      <c r="A2373" t="s">
        <v>3406</v>
      </c>
      <c r="B2373" s="1" t="str">
        <f>HYPERLINK("https://asmlis.vasa.lt/Dashboard/Served?ServiceDateFrom=2025-11-24&amp;ServiceDateTo=2025-11-24&amp;DumpsterInvNr=13-L-105322", "13-L-105322")</f>
        <v>13-L-105322</v>
      </c>
      <c r="C2373">
        <v>5</v>
      </c>
      <c r="D2373" t="s">
        <v>3407</v>
      </c>
      <c r="E2373" t="s">
        <v>11</v>
      </c>
      <c r="F2373" t="s">
        <v>13</v>
      </c>
      <c r="G2373" t="s">
        <v>430</v>
      </c>
      <c r="H2373" t="s">
        <v>432</v>
      </c>
    </row>
    <row r="2374" spans="1:8" hidden="1" x14ac:dyDescent="0.25">
      <c r="A2374" t="s">
        <v>3408</v>
      </c>
      <c r="B2374" s="1" t="str">
        <f>HYPERLINK("https://asmlis.vasa.lt/Dashboard/Served?ServiceDateFrom=2025-11-24&amp;ServiceDateTo=2025-11-24&amp;DumpsterInvNr=13-L-117680", "13-L-117680")</f>
        <v>13-L-117680</v>
      </c>
      <c r="C2374">
        <v>1.1000000000000001</v>
      </c>
      <c r="D2374" t="s">
        <v>3409</v>
      </c>
      <c r="E2374" t="s">
        <v>11</v>
      </c>
      <c r="G2374" t="s">
        <v>1912</v>
      </c>
      <c r="H2374" t="s">
        <v>432</v>
      </c>
    </row>
    <row r="2375" spans="1:8" hidden="1" x14ac:dyDescent="0.25">
      <c r="A2375" t="s">
        <v>3410</v>
      </c>
      <c r="B2375" s="1" t="str">
        <f>HYPERLINK("https://asmlis.vasa.lt/Dashboard/Served?ServiceDateFrom=2025-11-24&amp;ServiceDateTo=2025-11-24&amp;DumpsterInvNr=13-L-210162", "13-L-210162")</f>
        <v>13-L-210162</v>
      </c>
      <c r="C2375">
        <v>0.24</v>
      </c>
      <c r="D2375" t="s">
        <v>3048</v>
      </c>
      <c r="E2375" t="s">
        <v>11</v>
      </c>
      <c r="F2375" t="s">
        <v>1209</v>
      </c>
      <c r="G2375" t="s">
        <v>936</v>
      </c>
      <c r="H2375" t="s">
        <v>938</v>
      </c>
    </row>
    <row r="2376" spans="1:8" hidden="1" x14ac:dyDescent="0.25">
      <c r="A2376" t="s">
        <v>3411</v>
      </c>
      <c r="B2376" s="1" t="str">
        <f>HYPERLINK("https://asmlis.vasa.lt/Dashboard/Served?ServiceDateFrom=2025-11-24&amp;ServiceDateTo=2025-11-24&amp;DumpsterInvNr=13-L-139703", "13-L-139703")</f>
        <v>13-L-139703</v>
      </c>
      <c r="C2376">
        <v>1.1000000000000001</v>
      </c>
      <c r="D2376" t="s">
        <v>3409</v>
      </c>
      <c r="E2376" t="s">
        <v>11</v>
      </c>
      <c r="G2376" t="s">
        <v>1912</v>
      </c>
      <c r="H2376" t="s">
        <v>432</v>
      </c>
    </row>
    <row r="2377" spans="1:8" hidden="1" x14ac:dyDescent="0.25">
      <c r="A2377" t="s">
        <v>3412</v>
      </c>
      <c r="B2377" s="1" t="str">
        <f>HYPERLINK("https://asmlis.vasa.lt/Dashboard/Served?ServiceDateFrom=2025-11-24&amp;ServiceDateTo=2025-11-24&amp;DumpsterInvNr=13-L-125580", "13-L-125580")</f>
        <v>13-L-125580</v>
      </c>
      <c r="C2377">
        <v>0.12</v>
      </c>
      <c r="D2377" t="s">
        <v>3413</v>
      </c>
      <c r="E2377" t="s">
        <v>11</v>
      </c>
      <c r="G2377" t="s">
        <v>430</v>
      </c>
      <c r="H2377" t="s">
        <v>432</v>
      </c>
    </row>
    <row r="2378" spans="1:8" hidden="1" x14ac:dyDescent="0.25">
      <c r="A2378" t="s">
        <v>3412</v>
      </c>
      <c r="B2378" s="1" t="str">
        <f>HYPERLINK("https://asmlis.vasa.lt/Dashboard/Served?ServiceDateFrom=2025-11-24&amp;ServiceDateTo=2025-11-24&amp;DumpsterInvNr=13-P-502937", "13-P-502937")</f>
        <v>13-P-502937</v>
      </c>
      <c r="C2378">
        <v>0.24</v>
      </c>
      <c r="D2378" t="s">
        <v>3413</v>
      </c>
      <c r="E2378" t="s">
        <v>11</v>
      </c>
      <c r="G2378" t="s">
        <v>2178</v>
      </c>
      <c r="H2378" t="s">
        <v>432</v>
      </c>
    </row>
    <row r="2379" spans="1:8" hidden="1" x14ac:dyDescent="0.25">
      <c r="A2379" t="s">
        <v>3416</v>
      </c>
      <c r="B2379" s="1" t="str">
        <f>HYPERLINK("https://asmlis.vasa.lt/Dashboard/Served?ServiceDateFrom=2025-11-24&amp;ServiceDateTo=2025-11-24&amp;DumpsterInvNr=13-L-124026", "13-L-124026")</f>
        <v>13-L-124026</v>
      </c>
      <c r="C2379">
        <v>0.66</v>
      </c>
      <c r="D2379" t="s">
        <v>3398</v>
      </c>
      <c r="E2379" t="s">
        <v>11</v>
      </c>
      <c r="G2379" t="s">
        <v>430</v>
      </c>
      <c r="H2379" t="s">
        <v>432</v>
      </c>
    </row>
    <row r="2380" spans="1:8" hidden="1" x14ac:dyDescent="0.25">
      <c r="A2380" t="s">
        <v>3417</v>
      </c>
      <c r="B2380" s="1" t="str">
        <f>HYPERLINK("https://asmlis.vasa.lt/Dashboard/Served?ServiceDateFrom=2025-11-24&amp;ServiceDateTo=2025-11-24&amp;DumpsterInvNr=13-P-401195", "13-P-401195")</f>
        <v>13-P-401195</v>
      </c>
      <c r="C2380">
        <v>2.5</v>
      </c>
      <c r="D2380" t="s">
        <v>3418</v>
      </c>
      <c r="E2380" t="s">
        <v>11</v>
      </c>
      <c r="F2380" t="s">
        <v>13</v>
      </c>
      <c r="G2380" t="s">
        <v>264</v>
      </c>
      <c r="H2380" t="s">
        <v>14</v>
      </c>
    </row>
    <row r="2381" spans="1:8" hidden="1" x14ac:dyDescent="0.25">
      <c r="A2381" t="s">
        <v>3419</v>
      </c>
      <c r="B2381" s="1" t="str">
        <f>HYPERLINK("https://asmlis.vasa.lt/Dashboard/Served?ServiceDateFrom=2025-11-24&amp;ServiceDateTo=2025-11-24&amp;DumpsterInvNr=13-P-401669", "13-P-401669")</f>
        <v>13-P-401669</v>
      </c>
      <c r="C2381">
        <v>0.24</v>
      </c>
      <c r="D2381" t="s">
        <v>3420</v>
      </c>
      <c r="E2381" t="s">
        <v>11</v>
      </c>
      <c r="G2381" t="s">
        <v>264</v>
      </c>
      <c r="H2381" t="s">
        <v>14</v>
      </c>
    </row>
    <row r="2382" spans="1:8" hidden="1" x14ac:dyDescent="0.25">
      <c r="A2382" t="s">
        <v>3419</v>
      </c>
      <c r="B2382" s="1" t="str">
        <f>HYPERLINK("https://asmlis.vasa.lt/Dashboard/Served?ServiceDateFrom=2025-11-24&amp;ServiceDateTo=2025-11-24&amp;DumpsterInvNr=13-P-401546", "13-P-401546")</f>
        <v>13-P-401546</v>
      </c>
      <c r="C2382">
        <v>2.5</v>
      </c>
      <c r="D2382" t="s">
        <v>3418</v>
      </c>
      <c r="E2382" t="s">
        <v>11</v>
      </c>
      <c r="F2382" t="s">
        <v>13</v>
      </c>
      <c r="G2382" t="s">
        <v>264</v>
      </c>
      <c r="H2382" t="s">
        <v>14</v>
      </c>
    </row>
    <row r="2383" spans="1:8" hidden="1" x14ac:dyDescent="0.25">
      <c r="A2383" t="s">
        <v>3421</v>
      </c>
      <c r="B2383" s="1" t="str">
        <f>HYPERLINK("https://asmlis.vasa.lt/Dashboard/Served?ServiceDateFrom=2025-11-24&amp;ServiceDateTo=2025-11-24&amp;DumpsterInvNr=13-L-117682", "13-L-117682")</f>
        <v>13-L-117682</v>
      </c>
      <c r="C2383">
        <v>1.1000000000000001</v>
      </c>
      <c r="D2383" t="s">
        <v>3409</v>
      </c>
      <c r="E2383" t="s">
        <v>11</v>
      </c>
      <c r="G2383" t="s">
        <v>1912</v>
      </c>
      <c r="H2383" t="s">
        <v>432</v>
      </c>
    </row>
    <row r="2384" spans="1:8" hidden="1" x14ac:dyDescent="0.25">
      <c r="A2384" t="s">
        <v>3422</v>
      </c>
      <c r="B2384" s="1" t="str">
        <f>HYPERLINK("https://asmlis.vasa.lt/Dashboard/Served?ServiceDateFrom=2025-11-24&amp;ServiceDateTo=2025-11-24&amp;DumpsterInvNr=13-P-211030", "13-P-211030")</f>
        <v>13-P-211030</v>
      </c>
      <c r="C2384">
        <v>0.24</v>
      </c>
      <c r="D2384" t="s">
        <v>3423</v>
      </c>
      <c r="E2384" t="s">
        <v>11</v>
      </c>
      <c r="G2384" t="s">
        <v>234</v>
      </c>
      <c r="H2384" t="s">
        <v>14</v>
      </c>
    </row>
    <row r="2385" spans="1:8" hidden="1" x14ac:dyDescent="0.25">
      <c r="A2385" t="s">
        <v>3424</v>
      </c>
      <c r="B2385" s="1" t="str">
        <f>HYPERLINK("https://asmlis.vasa.lt/Dashboard/Served?ServiceDateFrom=2025-11-24&amp;ServiceDateTo=2025-11-24&amp;DumpsterInvNr=13-L-217173", "13-L-217173")</f>
        <v>13-L-217173</v>
      </c>
      <c r="C2385">
        <v>1.1000000000000001</v>
      </c>
      <c r="D2385" t="s">
        <v>3148</v>
      </c>
      <c r="E2385" t="s">
        <v>11</v>
      </c>
      <c r="G2385" t="s">
        <v>936</v>
      </c>
      <c r="H2385" t="s">
        <v>938</v>
      </c>
    </row>
    <row r="2386" spans="1:8" hidden="1" x14ac:dyDescent="0.25">
      <c r="A2386" t="s">
        <v>3425</v>
      </c>
      <c r="B2386" s="1" t="str">
        <f>HYPERLINK("https://asmlis.vasa.lt/Dashboard/Served?ServiceDateFrom=2025-11-24&amp;ServiceDateTo=2025-11-24&amp;DumpsterInvNr=13-P-400505", "13-P-400505")</f>
        <v>13-P-400505</v>
      </c>
      <c r="C2386">
        <v>5</v>
      </c>
      <c r="D2386" t="s">
        <v>3426</v>
      </c>
      <c r="E2386" t="s">
        <v>11</v>
      </c>
      <c r="G2386" t="s">
        <v>264</v>
      </c>
      <c r="H2386" t="s">
        <v>14</v>
      </c>
    </row>
    <row r="2387" spans="1:8" hidden="1" x14ac:dyDescent="0.25">
      <c r="A2387" t="s">
        <v>3427</v>
      </c>
      <c r="B2387" s="1" t="str">
        <f>HYPERLINK("https://asmlis.vasa.lt/Dashboard/Served?ServiceDateFrom=2025-11-24&amp;ServiceDateTo=2025-11-24&amp;DumpsterInvNr=13-L-210435", "13-L-210435")</f>
        <v>13-L-210435</v>
      </c>
      <c r="C2387">
        <v>0.24</v>
      </c>
      <c r="D2387" t="s">
        <v>3118</v>
      </c>
      <c r="E2387" t="s">
        <v>11</v>
      </c>
      <c r="G2387" t="s">
        <v>936</v>
      </c>
      <c r="H2387" t="s">
        <v>938</v>
      </c>
    </row>
    <row r="2388" spans="1:8" hidden="1" x14ac:dyDescent="0.25">
      <c r="A2388" t="s">
        <v>3428</v>
      </c>
      <c r="B2388" s="1" t="str">
        <f>HYPERLINK("https://asmlis.vasa.lt/Dashboard/Served?ServiceDateFrom=2025-11-24&amp;ServiceDateTo=2025-11-24&amp;DumpsterInvNr=13-S-500464", "13-S-500464")</f>
        <v>13-S-500464</v>
      </c>
      <c r="C2388">
        <v>0.12</v>
      </c>
      <c r="D2388" t="s">
        <v>3429</v>
      </c>
      <c r="E2388" t="s">
        <v>11</v>
      </c>
      <c r="G2388" t="s">
        <v>2178</v>
      </c>
      <c r="H2388" t="s">
        <v>432</v>
      </c>
    </row>
    <row r="2389" spans="1:8" hidden="1" x14ac:dyDescent="0.25">
      <c r="A2389" t="s">
        <v>3428</v>
      </c>
      <c r="B2389" s="1" t="str">
        <f>HYPERLINK("https://asmlis.vasa.lt/Dashboard/Served?ServiceDateFrom=2025-11-24&amp;ServiceDateTo=2025-11-24&amp;DumpsterInvNr=13-L-426581", "13-L-426581")</f>
        <v>13-L-426581</v>
      </c>
      <c r="C2389">
        <v>0.24</v>
      </c>
      <c r="D2389" t="s">
        <v>3430</v>
      </c>
      <c r="E2389" t="s">
        <v>11</v>
      </c>
      <c r="G2389" t="s">
        <v>74</v>
      </c>
      <c r="H2389" t="s">
        <v>14</v>
      </c>
    </row>
    <row r="2390" spans="1:8" hidden="1" x14ac:dyDescent="0.25">
      <c r="A2390" t="s">
        <v>3431</v>
      </c>
      <c r="B2390" s="1" t="str">
        <f>HYPERLINK("https://asmlis.vasa.lt/Dashboard/Served?ServiceDateFrom=2025-11-24&amp;ServiceDateTo=2025-11-24&amp;DumpsterInvNr=13-L-139699", "13-L-139699")</f>
        <v>13-L-139699</v>
      </c>
      <c r="C2390">
        <v>1.1000000000000001</v>
      </c>
      <c r="D2390" t="s">
        <v>3409</v>
      </c>
      <c r="E2390" t="s">
        <v>11</v>
      </c>
      <c r="G2390" t="s">
        <v>1912</v>
      </c>
      <c r="H2390" t="s">
        <v>432</v>
      </c>
    </row>
    <row r="2391" spans="1:8" hidden="1" x14ac:dyDescent="0.25">
      <c r="A2391" t="s">
        <v>3432</v>
      </c>
      <c r="B2391" s="1" t="str">
        <f>HYPERLINK("https://asmlis.vasa.lt/Dashboard/Served?ServiceDateFrom=2025-11-24&amp;ServiceDateTo=2025-11-24&amp;DumpsterInvNr=13-P-413499", "13-P-413499")</f>
        <v>13-P-413499</v>
      </c>
      <c r="C2391">
        <v>0.24</v>
      </c>
      <c r="D2391" t="s">
        <v>3433</v>
      </c>
      <c r="E2391" t="s">
        <v>11</v>
      </c>
      <c r="G2391" t="s">
        <v>264</v>
      </c>
      <c r="H2391" t="s">
        <v>14</v>
      </c>
    </row>
    <row r="2392" spans="1:8" hidden="1" x14ac:dyDescent="0.25">
      <c r="A2392" t="s">
        <v>3434</v>
      </c>
      <c r="B2392" s="1" t="str">
        <f>HYPERLINK("https://asmlis.vasa.lt/Dashboard/Served?ServiceDateFrom=2025-11-24&amp;ServiceDateTo=2025-11-24&amp;DumpsterInvNr=13-L-124955", "13-L-124955")</f>
        <v>13-L-124955</v>
      </c>
      <c r="C2392">
        <v>0.12</v>
      </c>
      <c r="D2392" t="s">
        <v>3429</v>
      </c>
      <c r="E2392" t="s">
        <v>11</v>
      </c>
      <c r="G2392" t="s">
        <v>430</v>
      </c>
      <c r="H2392" t="s">
        <v>432</v>
      </c>
    </row>
    <row r="2393" spans="1:8" hidden="1" x14ac:dyDescent="0.25">
      <c r="A2393" t="s">
        <v>3434</v>
      </c>
      <c r="B2393" s="1" t="str">
        <f>HYPERLINK("https://asmlis.vasa.lt/Dashboard/Served?ServiceDateFrom=2025-11-24&amp;ServiceDateTo=2025-11-24&amp;DumpsterInvNr=13-P-508460", "13-P-508460")</f>
        <v>13-P-508460</v>
      </c>
      <c r="C2393">
        <v>0.24</v>
      </c>
      <c r="D2393" t="s">
        <v>3429</v>
      </c>
      <c r="E2393" t="s">
        <v>11</v>
      </c>
      <c r="G2393" t="s">
        <v>2178</v>
      </c>
      <c r="H2393" t="s">
        <v>432</v>
      </c>
    </row>
    <row r="2394" spans="1:8" hidden="1" x14ac:dyDescent="0.25">
      <c r="A2394" t="s">
        <v>3437</v>
      </c>
      <c r="B2394" s="1" t="str">
        <f>HYPERLINK("https://asmlis.vasa.lt/Dashboard/Served?ServiceDateFrom=2025-11-24&amp;ServiceDateTo=2025-11-24&amp;DumpsterInvNr=13-S-102346", "13-S-102346")</f>
        <v>13-S-102346</v>
      </c>
      <c r="C2394">
        <v>0.12</v>
      </c>
      <c r="D2394" t="s">
        <v>3386</v>
      </c>
      <c r="E2394" t="s">
        <v>11</v>
      </c>
      <c r="F2394" t="s">
        <v>1209</v>
      </c>
      <c r="G2394" t="s">
        <v>1917</v>
      </c>
      <c r="H2394" t="s">
        <v>432</v>
      </c>
    </row>
    <row r="2395" spans="1:8" hidden="1" x14ac:dyDescent="0.25">
      <c r="A2395" t="s">
        <v>3438</v>
      </c>
      <c r="B2395" s="1" t="str">
        <f>HYPERLINK("https://asmlis.vasa.lt/Dashboard/Served?ServiceDateFrom=2025-11-24&amp;ServiceDateTo=2025-11-24&amp;DumpsterInvNr=13-P-103498", "13-P-103498")</f>
        <v>13-P-103498</v>
      </c>
      <c r="C2395">
        <v>0.24</v>
      </c>
      <c r="D2395" t="s">
        <v>3392</v>
      </c>
      <c r="E2395" t="s">
        <v>11</v>
      </c>
      <c r="F2395" t="s">
        <v>1209</v>
      </c>
      <c r="G2395" t="s">
        <v>1917</v>
      </c>
      <c r="H2395" t="s">
        <v>432</v>
      </c>
    </row>
    <row r="2396" spans="1:8" hidden="1" x14ac:dyDescent="0.25">
      <c r="A2396" t="s">
        <v>3440</v>
      </c>
      <c r="B2396" s="1" t="str">
        <f>HYPERLINK("https://asmlis.vasa.lt/Dashboard/Served?ServiceDateFrom=2025-11-24&amp;ServiceDateTo=2025-11-24&amp;DumpsterInvNr=13-L-117681", "13-L-117681")</f>
        <v>13-L-117681</v>
      </c>
      <c r="C2396">
        <v>1.1000000000000001</v>
      </c>
      <c r="D2396" t="s">
        <v>3409</v>
      </c>
      <c r="E2396" t="s">
        <v>11</v>
      </c>
      <c r="G2396" t="s">
        <v>1912</v>
      </c>
      <c r="H2396" t="s">
        <v>432</v>
      </c>
    </row>
    <row r="2397" spans="1:8" hidden="1" x14ac:dyDescent="0.25">
      <c r="A2397" t="s">
        <v>3442</v>
      </c>
      <c r="B2397" s="1" t="str">
        <f>HYPERLINK("https://asmlis.vasa.lt/Dashboard/Served?ServiceDateFrom=2025-11-24&amp;ServiceDateTo=2025-11-24&amp;DumpsterInvNr=13-L-225286", "13-L-225286")</f>
        <v>13-L-225286</v>
      </c>
      <c r="C2397">
        <v>0.24</v>
      </c>
      <c r="D2397" t="s">
        <v>3148</v>
      </c>
      <c r="E2397" t="s">
        <v>11</v>
      </c>
      <c r="G2397" t="s">
        <v>936</v>
      </c>
      <c r="H2397" t="s">
        <v>938</v>
      </c>
    </row>
    <row r="2398" spans="1:8" hidden="1" x14ac:dyDescent="0.25">
      <c r="A2398" t="s">
        <v>3443</v>
      </c>
      <c r="B2398" s="1" t="str">
        <f>HYPERLINK("https://asmlis.vasa.lt/Dashboard/Served?ServiceDateFrom=2025-11-24&amp;ServiceDateTo=2025-11-24&amp;DumpsterInvNr=13-L-225933", "13-L-225933")</f>
        <v>13-L-225933</v>
      </c>
      <c r="C2398">
        <v>0.24</v>
      </c>
      <c r="D2398" t="s">
        <v>3444</v>
      </c>
      <c r="E2398" t="s">
        <v>11</v>
      </c>
      <c r="G2398" t="s">
        <v>936</v>
      </c>
      <c r="H2398" t="s">
        <v>938</v>
      </c>
    </row>
    <row r="2399" spans="1:8" hidden="1" x14ac:dyDescent="0.25">
      <c r="A2399" t="s">
        <v>3445</v>
      </c>
      <c r="B2399" s="1" t="str">
        <f>HYPERLINK("https://asmlis.vasa.lt/Dashboard/Served?ServiceDateFrom=2025-11-24&amp;ServiceDateTo=2025-11-24&amp;DumpsterInvNr=13-P-502317", "13-P-502317")</f>
        <v>13-P-502317</v>
      </c>
      <c r="C2399">
        <v>1.1000000000000001</v>
      </c>
      <c r="D2399" t="s">
        <v>3446</v>
      </c>
      <c r="E2399" t="s">
        <v>11</v>
      </c>
      <c r="G2399" t="s">
        <v>2178</v>
      </c>
      <c r="H2399" t="s">
        <v>432</v>
      </c>
    </row>
    <row r="2400" spans="1:8" hidden="1" x14ac:dyDescent="0.25">
      <c r="A2400" t="s">
        <v>3447</v>
      </c>
      <c r="B2400" s="1" t="str">
        <f>HYPERLINK("https://asmlis.vasa.lt/Dashboard/Served?ServiceDateFrom=2025-11-24&amp;ServiceDateTo=2025-11-24&amp;DumpsterInvNr=13-L-223410", "13-L-223410")</f>
        <v>13-L-223410</v>
      </c>
      <c r="C2400">
        <v>1.1000000000000001</v>
      </c>
      <c r="D2400" t="s">
        <v>3148</v>
      </c>
      <c r="E2400" t="s">
        <v>11</v>
      </c>
      <c r="F2400" t="s">
        <v>13</v>
      </c>
      <c r="G2400" t="s">
        <v>936</v>
      </c>
      <c r="H2400" t="s">
        <v>938</v>
      </c>
    </row>
    <row r="2401" spans="1:8" hidden="1" x14ac:dyDescent="0.25">
      <c r="A2401" t="s">
        <v>3448</v>
      </c>
      <c r="B2401" s="1" t="str">
        <f>HYPERLINK("https://asmlis.vasa.lt/Dashboard/Served?ServiceDateFrom=2025-11-24&amp;ServiceDateTo=2025-11-24&amp;DumpsterInvNr=13-P-507386", "13-P-507386")</f>
        <v>13-P-507386</v>
      </c>
      <c r="C2401">
        <v>0.24</v>
      </c>
      <c r="D2401" t="s">
        <v>3449</v>
      </c>
      <c r="E2401" t="s">
        <v>11</v>
      </c>
      <c r="G2401" t="s">
        <v>2178</v>
      </c>
      <c r="H2401" t="s">
        <v>432</v>
      </c>
    </row>
    <row r="2402" spans="1:8" hidden="1" x14ac:dyDescent="0.25">
      <c r="A2402" t="s">
        <v>3450</v>
      </c>
      <c r="B2402" s="1" t="str">
        <f>HYPERLINK("https://asmlis.vasa.lt/Dashboard/Served?ServiceDateFrom=2025-11-24&amp;ServiceDateTo=2025-11-24&amp;DumpsterInvNr=13-L-220311", "13-L-220311")</f>
        <v>13-L-220311</v>
      </c>
      <c r="C2402">
        <v>0.12</v>
      </c>
      <c r="D2402" t="s">
        <v>3451</v>
      </c>
      <c r="E2402" t="s">
        <v>11</v>
      </c>
      <c r="F2402" t="s">
        <v>1209</v>
      </c>
      <c r="G2402" t="s">
        <v>936</v>
      </c>
      <c r="H2402" t="s">
        <v>938</v>
      </c>
    </row>
    <row r="2403" spans="1:8" hidden="1" x14ac:dyDescent="0.25">
      <c r="A2403" t="s">
        <v>3452</v>
      </c>
      <c r="B2403" s="1" t="str">
        <f>HYPERLINK("https://asmlis.vasa.lt/Dashboard/Served?ServiceDateFrom=2025-11-24&amp;ServiceDateTo=2025-11-24&amp;DumpsterInvNr=13-L-139701", "13-L-139701")</f>
        <v>13-L-139701</v>
      </c>
      <c r="C2403">
        <v>1.1000000000000001</v>
      </c>
      <c r="D2403" t="s">
        <v>3409</v>
      </c>
      <c r="E2403" t="s">
        <v>11</v>
      </c>
      <c r="G2403" t="s">
        <v>1912</v>
      </c>
      <c r="H2403" t="s">
        <v>432</v>
      </c>
    </row>
    <row r="2404" spans="1:8" hidden="1" x14ac:dyDescent="0.25">
      <c r="A2404" t="s">
        <v>3453</v>
      </c>
      <c r="B2404" s="1" t="str">
        <f>HYPERLINK("https://asmlis.vasa.lt/Dashboard/Served?ServiceDateFrom=2025-11-24&amp;ServiceDateTo=2025-11-24&amp;DumpsterInvNr=13-S-401586", "13-S-401586")</f>
        <v>13-S-401586</v>
      </c>
      <c r="C2404">
        <v>0.12</v>
      </c>
      <c r="D2404" t="s">
        <v>3420</v>
      </c>
      <c r="E2404" t="s">
        <v>11</v>
      </c>
      <c r="F2404" t="s">
        <v>1209</v>
      </c>
      <c r="G2404" t="s">
        <v>264</v>
      </c>
      <c r="H2404" t="s">
        <v>14</v>
      </c>
    </row>
    <row r="2405" spans="1:8" hidden="1" x14ac:dyDescent="0.25">
      <c r="A2405" t="s">
        <v>3455</v>
      </c>
      <c r="B2405" s="1" t="str">
        <f>HYPERLINK("https://asmlis.vasa.lt/Dashboard/Served?ServiceDateFrom=2025-11-24&amp;ServiceDateTo=2025-11-24&amp;DumpsterInvNr=13-P-300770", "13-P-300770")</f>
        <v>13-P-300770</v>
      </c>
      <c r="C2405">
        <v>5</v>
      </c>
      <c r="D2405" t="s">
        <v>1293</v>
      </c>
      <c r="E2405" t="s">
        <v>11</v>
      </c>
      <c r="F2405" t="s">
        <v>13</v>
      </c>
      <c r="G2405" t="s">
        <v>412</v>
      </c>
      <c r="H2405" t="s">
        <v>14</v>
      </c>
    </row>
    <row r="2406" spans="1:8" hidden="1" x14ac:dyDescent="0.25">
      <c r="A2406" t="s">
        <v>3456</v>
      </c>
      <c r="B2406" s="1" t="str">
        <f>HYPERLINK("https://asmlis.vasa.lt/Dashboard/Served?ServiceDateFrom=2025-11-24&amp;ServiceDateTo=2025-11-24&amp;DumpsterInvNr=13-L-113091", "13-L-113091")</f>
        <v>13-L-113091</v>
      </c>
      <c r="C2406">
        <v>0.24</v>
      </c>
      <c r="D2406" t="s">
        <v>3449</v>
      </c>
      <c r="E2406" t="s">
        <v>11</v>
      </c>
      <c r="F2406" t="s">
        <v>1209</v>
      </c>
      <c r="G2406" t="s">
        <v>430</v>
      </c>
      <c r="H2406" t="s">
        <v>432</v>
      </c>
    </row>
    <row r="2407" spans="1:8" hidden="1" x14ac:dyDescent="0.25">
      <c r="A2407" t="s">
        <v>3457</v>
      </c>
      <c r="B2407" s="1" t="str">
        <f>HYPERLINK("https://asmlis.vasa.lt/Dashboard/Served?ServiceDateFrom=2025-11-24&amp;ServiceDateTo=2025-11-24&amp;DumpsterInvNr=13-L-414368", "13-L-414368")</f>
        <v>13-L-414368</v>
      </c>
      <c r="C2407">
        <v>1.1000000000000001</v>
      </c>
      <c r="D2407" t="s">
        <v>3458</v>
      </c>
      <c r="E2407" t="s">
        <v>11</v>
      </c>
      <c r="G2407" t="s">
        <v>74</v>
      </c>
      <c r="H2407" t="s">
        <v>14</v>
      </c>
    </row>
    <row r="2408" spans="1:8" hidden="1" x14ac:dyDescent="0.25">
      <c r="A2408" t="s">
        <v>3459</v>
      </c>
      <c r="B2408" s="1" t="str">
        <f>HYPERLINK("https://asmlis.vasa.lt/Dashboard/Served?ServiceDateFrom=2025-11-24&amp;ServiceDateTo=2025-11-24&amp;DumpsterInvNr=13-L-314181", "13-L-314181")</f>
        <v>13-L-314181</v>
      </c>
      <c r="C2408">
        <v>5</v>
      </c>
      <c r="D2408" t="s">
        <v>3460</v>
      </c>
      <c r="E2408" t="s">
        <v>11</v>
      </c>
      <c r="F2408" t="s">
        <v>13</v>
      </c>
      <c r="G2408" t="s">
        <v>9</v>
      </c>
      <c r="H2408" t="s">
        <v>14</v>
      </c>
    </row>
    <row r="2409" spans="1:8" hidden="1" x14ac:dyDescent="0.25">
      <c r="A2409" t="s">
        <v>3459</v>
      </c>
      <c r="B2409" s="1" t="str">
        <f>HYPERLINK("https://asmlis.vasa.lt/Dashboard/Served?ServiceDateFrom=2025-11-24&amp;ServiceDateTo=2025-11-24&amp;DumpsterInvNr=13-L-311965", "13-L-311965")</f>
        <v>13-L-311965</v>
      </c>
      <c r="C2409">
        <v>0.77</v>
      </c>
      <c r="D2409" t="s">
        <v>3461</v>
      </c>
      <c r="E2409" t="s">
        <v>11</v>
      </c>
      <c r="F2409" t="s">
        <v>13</v>
      </c>
      <c r="G2409" t="s">
        <v>9</v>
      </c>
      <c r="H2409" t="s">
        <v>14</v>
      </c>
    </row>
    <row r="2410" spans="1:8" hidden="1" x14ac:dyDescent="0.25">
      <c r="A2410" t="s">
        <v>3462</v>
      </c>
      <c r="B2410" s="1" t="str">
        <f>HYPERLINK("https://asmlis.vasa.lt/Dashboard/Served?ServiceDateFrom=2025-11-24&amp;ServiceDateTo=2025-11-24&amp;DumpsterInvNr=13-L-136698", "13-L-136698")</f>
        <v>13-L-136698</v>
      </c>
      <c r="C2410">
        <v>5</v>
      </c>
      <c r="D2410" t="s">
        <v>3463</v>
      </c>
      <c r="E2410" t="s">
        <v>11</v>
      </c>
      <c r="F2410" t="s">
        <v>13</v>
      </c>
      <c r="G2410" t="s">
        <v>430</v>
      </c>
      <c r="H2410" t="s">
        <v>432</v>
      </c>
    </row>
    <row r="2411" spans="1:8" hidden="1" x14ac:dyDescent="0.25">
      <c r="A2411" t="s">
        <v>3462</v>
      </c>
      <c r="B2411" s="1" t="str">
        <f>HYPERLINK("https://asmlis.vasa.lt/Dashboard/Served?ServiceDateFrom=2025-11-24&amp;ServiceDateTo=2025-11-24&amp;DumpsterInvNr=13-T-000246", "13-T-000246")</f>
        <v>13-T-000246</v>
      </c>
      <c r="C2411">
        <v>2.5</v>
      </c>
      <c r="D2411" t="s">
        <v>3464</v>
      </c>
      <c r="E2411" t="s">
        <v>11</v>
      </c>
      <c r="F2411" t="s">
        <v>13</v>
      </c>
      <c r="G2411" t="s">
        <v>1899</v>
      </c>
      <c r="H2411" t="s">
        <v>432</v>
      </c>
    </row>
    <row r="2412" spans="1:8" hidden="1" x14ac:dyDescent="0.25">
      <c r="A2412" t="s">
        <v>3465</v>
      </c>
      <c r="B2412" s="1" t="str">
        <f>HYPERLINK("https://asmlis.vasa.lt/Dashboard/Served?ServiceDateFrom=2025-11-24&amp;ServiceDateTo=2025-11-24&amp;DumpsterInvNr=13-L-204073", "13-L-204073")</f>
        <v>13-L-204073</v>
      </c>
      <c r="C2412">
        <v>0.24</v>
      </c>
      <c r="D2412" t="s">
        <v>3035</v>
      </c>
      <c r="E2412" t="s">
        <v>11</v>
      </c>
      <c r="G2412" t="s">
        <v>936</v>
      </c>
      <c r="H2412" t="s">
        <v>938</v>
      </c>
    </row>
    <row r="2413" spans="1:8" hidden="1" x14ac:dyDescent="0.25">
      <c r="A2413" t="s">
        <v>3466</v>
      </c>
      <c r="B2413" s="1" t="str">
        <f>HYPERLINK("https://asmlis.vasa.lt/Dashboard/Served?ServiceDateFrom=2025-11-24&amp;ServiceDateTo=2025-11-24&amp;DumpsterInvNr=13-L-302247", "13-L-302247")</f>
        <v>13-L-302247</v>
      </c>
      <c r="C2413">
        <v>0.66</v>
      </c>
      <c r="D2413" t="s">
        <v>3461</v>
      </c>
      <c r="E2413" t="s">
        <v>11</v>
      </c>
      <c r="F2413" t="s">
        <v>13</v>
      </c>
      <c r="G2413" t="s">
        <v>9</v>
      </c>
      <c r="H2413" t="s">
        <v>14</v>
      </c>
    </row>
    <row r="2414" spans="1:8" hidden="1" x14ac:dyDescent="0.25">
      <c r="A2414" t="s">
        <v>3466</v>
      </c>
      <c r="B2414" s="1" t="str">
        <f>HYPERLINK("https://asmlis.vasa.lt/Dashboard/Served?ServiceDateFrom=2025-11-24&amp;ServiceDateTo=2025-11-24&amp;DumpsterInvNr=13-P-213267", "13-P-213267")</f>
        <v>13-P-213267</v>
      </c>
      <c r="C2414">
        <v>0.24</v>
      </c>
      <c r="D2414" t="s">
        <v>3467</v>
      </c>
      <c r="E2414" t="s">
        <v>11</v>
      </c>
      <c r="G2414" t="s">
        <v>234</v>
      </c>
      <c r="H2414" t="s">
        <v>14</v>
      </c>
    </row>
    <row r="2415" spans="1:8" hidden="1" x14ac:dyDescent="0.25">
      <c r="A2415" t="s">
        <v>3468</v>
      </c>
      <c r="B2415" s="1" t="str">
        <f>HYPERLINK("https://asmlis.vasa.lt/Dashboard/Served?ServiceDateFrom=2025-11-24&amp;ServiceDateTo=2025-11-24&amp;DumpsterInvNr=13-P-302011", "13-P-302011")</f>
        <v>13-P-302011</v>
      </c>
      <c r="C2415">
        <v>1.1000000000000001</v>
      </c>
      <c r="D2415" t="s">
        <v>3469</v>
      </c>
      <c r="E2415" t="s">
        <v>11</v>
      </c>
      <c r="G2415" t="s">
        <v>412</v>
      </c>
      <c r="H2415" t="s">
        <v>14</v>
      </c>
    </row>
    <row r="2416" spans="1:8" hidden="1" x14ac:dyDescent="0.25">
      <c r="A2416" t="s">
        <v>3470</v>
      </c>
      <c r="B2416" s="1" t="str">
        <f>HYPERLINK("https://asmlis.vasa.lt/Dashboard/Served?ServiceDateFrom=2025-11-24&amp;ServiceDateTo=2025-11-24&amp;DumpsterInvNr=13-P-212525", "13-P-212525")</f>
        <v>13-P-212525</v>
      </c>
      <c r="C2416">
        <v>5</v>
      </c>
      <c r="D2416" t="s">
        <v>1173</v>
      </c>
      <c r="E2416" t="s">
        <v>11</v>
      </c>
      <c r="F2416" t="s">
        <v>13</v>
      </c>
      <c r="G2416" t="s">
        <v>234</v>
      </c>
      <c r="H2416" t="s">
        <v>14</v>
      </c>
    </row>
    <row r="2417" spans="1:8" hidden="1" x14ac:dyDescent="0.25">
      <c r="A2417" t="s">
        <v>3471</v>
      </c>
      <c r="B2417" s="1" t="str">
        <f>HYPERLINK("https://asmlis.vasa.lt/Dashboard/Served?ServiceDateFrom=2025-11-24&amp;ServiceDateTo=2025-11-24&amp;DumpsterInvNr=13-L-310904", "13-L-310904")</f>
        <v>13-L-310904</v>
      </c>
      <c r="C2417">
        <v>0.24</v>
      </c>
      <c r="D2417" t="s">
        <v>3472</v>
      </c>
      <c r="E2417" t="s">
        <v>11</v>
      </c>
      <c r="G2417" t="s">
        <v>9</v>
      </c>
      <c r="H2417" t="s">
        <v>14</v>
      </c>
    </row>
    <row r="2418" spans="1:8" hidden="1" x14ac:dyDescent="0.25">
      <c r="A2418" t="s">
        <v>3473</v>
      </c>
      <c r="B2418" s="1" t="str">
        <f>HYPERLINK("https://asmlis.vasa.lt/Dashboard/Served?ServiceDateFrom=2025-11-24&amp;ServiceDateTo=2025-11-24&amp;DumpsterInvNr=13-P-502986", "13-P-502986")</f>
        <v>13-P-502986</v>
      </c>
      <c r="C2418">
        <v>0.24</v>
      </c>
      <c r="D2418" t="s">
        <v>3474</v>
      </c>
      <c r="E2418" t="s">
        <v>11</v>
      </c>
      <c r="G2418" t="s">
        <v>2178</v>
      </c>
      <c r="H2418" t="s">
        <v>432</v>
      </c>
    </row>
    <row r="2419" spans="1:8" hidden="1" x14ac:dyDescent="0.25">
      <c r="A2419" t="s">
        <v>3475</v>
      </c>
      <c r="B2419" s="1" t="str">
        <f>HYPERLINK("https://asmlis.vasa.lt/Dashboard/Served?ServiceDateFrom=2025-11-24&amp;ServiceDateTo=2025-11-24&amp;DumpsterInvNr=13-L-220312", "13-L-220312")</f>
        <v>13-L-220312</v>
      </c>
      <c r="C2419">
        <v>0.24</v>
      </c>
      <c r="D2419" t="s">
        <v>3444</v>
      </c>
      <c r="E2419" t="s">
        <v>11</v>
      </c>
      <c r="F2419" t="s">
        <v>1209</v>
      </c>
      <c r="G2419" t="s">
        <v>936</v>
      </c>
      <c r="H2419" t="s">
        <v>938</v>
      </c>
    </row>
    <row r="2420" spans="1:8" hidden="1" x14ac:dyDescent="0.25">
      <c r="A2420" t="s">
        <v>3476</v>
      </c>
      <c r="B2420" s="1" t="str">
        <f>HYPERLINK("https://asmlis.vasa.lt/Dashboard/Served?ServiceDateFrom=2025-11-24&amp;ServiceDateTo=2025-11-24&amp;DumpsterInvNr=13-L-124954", "13-L-124954")</f>
        <v>13-L-124954</v>
      </c>
      <c r="C2420">
        <v>0.24</v>
      </c>
      <c r="D2420" t="s">
        <v>3474</v>
      </c>
      <c r="E2420" t="s">
        <v>11</v>
      </c>
      <c r="G2420" t="s">
        <v>430</v>
      </c>
      <c r="H2420" t="s">
        <v>432</v>
      </c>
    </row>
    <row r="2421" spans="1:8" hidden="1" x14ac:dyDescent="0.25">
      <c r="A2421" t="s">
        <v>3478</v>
      </c>
      <c r="B2421" s="1" t="str">
        <f>HYPERLINK("https://asmlis.vasa.lt/Dashboard/Served?ServiceDateFrom=2025-11-24&amp;ServiceDateTo=2025-11-24&amp;DumpsterInvNr=13-S-503741", "13-S-503741")</f>
        <v>13-S-503741</v>
      </c>
      <c r="C2421">
        <v>0.12</v>
      </c>
      <c r="D2421" t="s">
        <v>3474</v>
      </c>
      <c r="E2421" t="s">
        <v>11</v>
      </c>
      <c r="F2421" t="s">
        <v>1209</v>
      </c>
      <c r="G2421" t="s">
        <v>2178</v>
      </c>
      <c r="H2421" t="s">
        <v>432</v>
      </c>
    </row>
    <row r="2422" spans="1:8" hidden="1" x14ac:dyDescent="0.25">
      <c r="A2422" t="s">
        <v>3480</v>
      </c>
      <c r="B2422" s="1" t="str">
        <f>HYPERLINK("https://asmlis.vasa.lt/Dashboard/Served?ServiceDateFrom=2025-11-24&amp;ServiceDateTo=2025-11-24&amp;DumpsterInvNr=13-P-301953", "13-P-301953")</f>
        <v>13-P-301953</v>
      </c>
      <c r="C2422">
        <v>1.1000000000000001</v>
      </c>
      <c r="D2422" t="s">
        <v>3469</v>
      </c>
      <c r="E2422" t="s">
        <v>11</v>
      </c>
      <c r="F2422" t="s">
        <v>13</v>
      </c>
      <c r="G2422" t="s">
        <v>412</v>
      </c>
      <c r="H2422" t="s">
        <v>14</v>
      </c>
    </row>
    <row r="2423" spans="1:8" hidden="1" x14ac:dyDescent="0.25">
      <c r="A2423" t="s">
        <v>3481</v>
      </c>
      <c r="B2423" s="1" t="str">
        <f>HYPERLINK("https://asmlis.vasa.lt/Dashboard/Served?ServiceDateFrom=2025-11-24&amp;ServiceDateTo=2025-11-24&amp;DumpsterInvNr=13-L-213875", "13-L-213875")</f>
        <v>13-L-213875</v>
      </c>
      <c r="C2423">
        <v>1.1000000000000001</v>
      </c>
      <c r="D2423" t="s">
        <v>3482</v>
      </c>
      <c r="E2423" t="s">
        <v>11</v>
      </c>
      <c r="G2423" t="s">
        <v>936</v>
      </c>
      <c r="H2423" t="s">
        <v>938</v>
      </c>
    </row>
    <row r="2424" spans="1:8" hidden="1" x14ac:dyDescent="0.25">
      <c r="A2424" t="s">
        <v>3481</v>
      </c>
      <c r="B2424" s="1" t="str">
        <f>HYPERLINK("https://asmlis.vasa.lt/Dashboard/Served?ServiceDateFrom=2025-11-24&amp;ServiceDateTo=2025-11-24&amp;DumpsterInvNr=13-P-416197", "13-P-416197")</f>
        <v>13-P-416197</v>
      </c>
      <c r="C2424">
        <v>1.1000000000000001</v>
      </c>
      <c r="D2424" t="s">
        <v>3483</v>
      </c>
      <c r="E2424" t="s">
        <v>11</v>
      </c>
      <c r="G2424" t="s">
        <v>264</v>
      </c>
      <c r="H2424" t="s">
        <v>14</v>
      </c>
    </row>
    <row r="2425" spans="1:8" hidden="1" x14ac:dyDescent="0.25">
      <c r="A2425" t="s">
        <v>3484</v>
      </c>
      <c r="B2425" s="1" t="str">
        <f>HYPERLINK("https://asmlis.vasa.lt/Dashboard/Served?ServiceDateFrom=2025-11-24&amp;ServiceDateTo=2025-11-24&amp;DumpsterInvNr=13-L-302248", "13-L-302248")</f>
        <v>13-L-302248</v>
      </c>
      <c r="C2425">
        <v>0.77</v>
      </c>
      <c r="D2425" t="s">
        <v>3461</v>
      </c>
      <c r="E2425" t="s">
        <v>11</v>
      </c>
      <c r="F2425" t="s">
        <v>13</v>
      </c>
      <c r="G2425" t="s">
        <v>9</v>
      </c>
      <c r="H2425" t="s">
        <v>14</v>
      </c>
    </row>
    <row r="2426" spans="1:8" hidden="1" x14ac:dyDescent="0.25">
      <c r="A2426" t="s">
        <v>3485</v>
      </c>
      <c r="B2426" s="1" t="str">
        <f>HYPERLINK("https://asmlis.vasa.lt/Dashboard/Served?ServiceDateFrom=2025-11-24&amp;ServiceDateTo=2025-11-24&amp;DumpsterInvNr=13-P-408882", "13-P-408882")</f>
        <v>13-P-408882</v>
      </c>
      <c r="C2426">
        <v>0.24</v>
      </c>
      <c r="D2426" t="s">
        <v>3486</v>
      </c>
      <c r="E2426" t="s">
        <v>11</v>
      </c>
      <c r="G2426" t="s">
        <v>264</v>
      </c>
      <c r="H2426" t="s">
        <v>14</v>
      </c>
    </row>
    <row r="2427" spans="1:8" hidden="1" x14ac:dyDescent="0.25">
      <c r="A2427" t="s">
        <v>3487</v>
      </c>
      <c r="B2427" s="1" t="str">
        <f>HYPERLINK("https://asmlis.vasa.lt/Dashboard/Served?ServiceDateFrom=2025-11-24&amp;ServiceDateTo=2025-11-24&amp;DumpsterInvNr=13-L-301236", "13-L-301236")</f>
        <v>13-L-301236</v>
      </c>
      <c r="C2427">
        <v>0.66</v>
      </c>
      <c r="D2427" t="s">
        <v>3488</v>
      </c>
      <c r="E2427" t="s">
        <v>11</v>
      </c>
      <c r="F2427" t="s">
        <v>13</v>
      </c>
      <c r="G2427" t="s">
        <v>9</v>
      </c>
      <c r="H2427" t="s">
        <v>14</v>
      </c>
    </row>
    <row r="2428" spans="1:8" hidden="1" x14ac:dyDescent="0.25">
      <c r="A2428" t="s">
        <v>3489</v>
      </c>
      <c r="B2428" s="1" t="str">
        <f>HYPERLINK("https://asmlis.vasa.lt/Dashboard/Served?ServiceDateFrom=2025-11-24&amp;ServiceDateTo=2025-11-24&amp;DumpsterInvNr=13-P-209776", "13-P-209776")</f>
        <v>13-P-209776</v>
      </c>
      <c r="C2428">
        <v>0.24</v>
      </c>
      <c r="D2428" t="s">
        <v>3491</v>
      </c>
      <c r="E2428" t="s">
        <v>11</v>
      </c>
      <c r="G2428" t="s">
        <v>234</v>
      </c>
      <c r="H2428" t="s">
        <v>14</v>
      </c>
    </row>
    <row r="2429" spans="1:8" hidden="1" x14ac:dyDescent="0.25">
      <c r="A2429" t="s">
        <v>3492</v>
      </c>
      <c r="B2429" s="1" t="str">
        <f>HYPERLINK("https://asmlis.vasa.lt/Dashboard/Served?ServiceDateFrom=2025-11-24&amp;ServiceDateTo=2025-11-24&amp;DumpsterInvNr=13-L-307801", "13-L-307801")</f>
        <v>13-L-307801</v>
      </c>
      <c r="C2429">
        <v>0.66</v>
      </c>
      <c r="D2429" t="s">
        <v>3488</v>
      </c>
      <c r="E2429" t="s">
        <v>11</v>
      </c>
      <c r="F2429" t="s">
        <v>13</v>
      </c>
      <c r="G2429" t="s">
        <v>9</v>
      </c>
      <c r="H2429" t="s">
        <v>14</v>
      </c>
    </row>
    <row r="2430" spans="1:8" hidden="1" x14ac:dyDescent="0.25">
      <c r="A2430" t="s">
        <v>3492</v>
      </c>
      <c r="B2430" s="1" t="str">
        <f>HYPERLINK("https://asmlis.vasa.lt/Dashboard/Served?ServiceDateFrom=2025-11-24&amp;ServiceDateTo=2025-11-24&amp;DumpsterInvNr=13-L-225121", "13-L-225121")</f>
        <v>13-L-225121</v>
      </c>
      <c r="C2430">
        <v>1.1000000000000001</v>
      </c>
      <c r="D2430" t="s">
        <v>3482</v>
      </c>
      <c r="E2430" t="s">
        <v>11</v>
      </c>
      <c r="G2430" t="s">
        <v>936</v>
      </c>
      <c r="H2430" t="s">
        <v>938</v>
      </c>
    </row>
    <row r="2431" spans="1:8" hidden="1" x14ac:dyDescent="0.25">
      <c r="A2431" t="s">
        <v>3493</v>
      </c>
      <c r="B2431" s="1" t="str">
        <f>HYPERLINK("https://asmlis.vasa.lt/Dashboard/Served?ServiceDateFrom=2025-11-24&amp;ServiceDateTo=2025-11-24&amp;DumpsterInvNr=13-L-224982", "13-L-224982")</f>
        <v>13-L-224982</v>
      </c>
      <c r="C2431">
        <v>1.1000000000000001</v>
      </c>
      <c r="D2431" t="s">
        <v>3494</v>
      </c>
      <c r="E2431" t="s">
        <v>11</v>
      </c>
      <c r="G2431" t="s">
        <v>936</v>
      </c>
      <c r="H2431" t="s">
        <v>938</v>
      </c>
    </row>
    <row r="2432" spans="1:8" hidden="1" x14ac:dyDescent="0.25">
      <c r="A2432" t="s">
        <v>3495</v>
      </c>
      <c r="B2432" s="1" t="str">
        <f>HYPERLINK("https://asmlis.vasa.lt/Dashboard/Served?ServiceDateFrom=2025-11-24&amp;ServiceDateTo=2025-11-24&amp;DumpsterInvNr=13-P-400648", "13-P-400648")</f>
        <v>13-P-400648</v>
      </c>
      <c r="C2432">
        <v>5</v>
      </c>
      <c r="D2432" t="s">
        <v>3496</v>
      </c>
      <c r="E2432" t="s">
        <v>11</v>
      </c>
      <c r="F2432" t="s">
        <v>13</v>
      </c>
      <c r="G2432" t="s">
        <v>264</v>
      </c>
      <c r="H2432" t="s">
        <v>14</v>
      </c>
    </row>
    <row r="2433" spans="1:8" hidden="1" x14ac:dyDescent="0.25">
      <c r="A2433" t="s">
        <v>3497</v>
      </c>
      <c r="B2433" s="1" t="str">
        <f>HYPERLINK("https://asmlis.vasa.lt/Dashboard/Served?ServiceDateFrom=2025-11-24&amp;ServiceDateTo=2025-11-24&amp;DumpsterInvNr=13-L-313789", "13-L-313789")</f>
        <v>13-L-313789</v>
      </c>
      <c r="C2433">
        <v>0.24</v>
      </c>
      <c r="D2433" t="s">
        <v>3472</v>
      </c>
      <c r="E2433" t="s">
        <v>11</v>
      </c>
      <c r="F2433" t="s">
        <v>13</v>
      </c>
      <c r="G2433" t="s">
        <v>9</v>
      </c>
      <c r="H2433" t="s">
        <v>14</v>
      </c>
    </row>
    <row r="2434" spans="1:8" hidden="1" x14ac:dyDescent="0.25">
      <c r="A2434" t="s">
        <v>3498</v>
      </c>
      <c r="B2434" s="1" t="str">
        <f>HYPERLINK("https://asmlis.vasa.lt/Dashboard/Served?ServiceDateFrom=2025-11-24&amp;ServiceDateTo=2025-11-24&amp;DumpsterInvNr=13-L-109608", "13-L-109608")</f>
        <v>13-L-109608</v>
      </c>
      <c r="C2434">
        <v>0.24</v>
      </c>
      <c r="D2434" t="s">
        <v>3499</v>
      </c>
      <c r="E2434" t="s">
        <v>11</v>
      </c>
      <c r="G2434" t="s">
        <v>430</v>
      </c>
      <c r="H2434" t="s">
        <v>432</v>
      </c>
    </row>
    <row r="2435" spans="1:8" hidden="1" x14ac:dyDescent="0.25">
      <c r="A2435" t="s">
        <v>3498</v>
      </c>
      <c r="B2435" s="1" t="str">
        <f>HYPERLINK("https://asmlis.vasa.lt/Dashboard/Served?ServiceDateFrom=2025-11-24&amp;ServiceDateTo=2025-11-24&amp;DumpsterInvNr=13-S-503743", "13-S-503743")</f>
        <v>13-S-503743</v>
      </c>
      <c r="C2435">
        <v>0.12</v>
      </c>
      <c r="D2435" t="s">
        <v>3499</v>
      </c>
      <c r="E2435" t="s">
        <v>11</v>
      </c>
      <c r="G2435" t="s">
        <v>2178</v>
      </c>
      <c r="H2435" t="s">
        <v>432</v>
      </c>
    </row>
    <row r="2436" spans="1:8" hidden="1" x14ac:dyDescent="0.25">
      <c r="A2436" t="s">
        <v>3501</v>
      </c>
      <c r="B2436" s="1" t="str">
        <f>HYPERLINK("https://asmlis.vasa.lt/Dashboard/Served?ServiceDateFrom=2025-11-24&amp;ServiceDateTo=2025-11-24&amp;DumpsterInvNr=13-L-303153", "13-L-303153")</f>
        <v>13-L-303153</v>
      </c>
      <c r="C2436">
        <v>0.66</v>
      </c>
      <c r="D2436" t="s">
        <v>3472</v>
      </c>
      <c r="E2436" t="s">
        <v>11</v>
      </c>
      <c r="F2436" t="s">
        <v>13</v>
      </c>
      <c r="G2436" t="s">
        <v>9</v>
      </c>
      <c r="H2436" t="s">
        <v>14</v>
      </c>
    </row>
    <row r="2437" spans="1:8" hidden="1" x14ac:dyDescent="0.25">
      <c r="A2437" t="s">
        <v>3502</v>
      </c>
      <c r="B2437" s="1" t="str">
        <f>HYPERLINK("https://asmlis.vasa.lt/Dashboard/Served?ServiceDateFrom=2025-11-24&amp;ServiceDateTo=2025-11-24&amp;DumpsterInvNr=13-P-502984", "13-P-502984")</f>
        <v>13-P-502984</v>
      </c>
      <c r="C2437">
        <v>0.24</v>
      </c>
      <c r="D2437" t="s">
        <v>3499</v>
      </c>
      <c r="E2437" t="s">
        <v>11</v>
      </c>
      <c r="G2437" t="s">
        <v>2178</v>
      </c>
      <c r="H2437" t="s">
        <v>432</v>
      </c>
    </row>
    <row r="2438" spans="1:8" hidden="1" x14ac:dyDescent="0.25">
      <c r="A2438" t="s">
        <v>3503</v>
      </c>
      <c r="B2438" s="1" t="str">
        <f>HYPERLINK("https://asmlis.vasa.lt/Dashboard/Served?ServiceDateFrom=2025-11-24&amp;ServiceDateTo=2025-11-24&amp;DumpsterInvNr=13-L-315129", "13-L-315129")</f>
        <v>13-L-315129</v>
      </c>
      <c r="C2438">
        <v>0.24</v>
      </c>
      <c r="D2438" t="s">
        <v>3504</v>
      </c>
      <c r="E2438" t="s">
        <v>11</v>
      </c>
      <c r="F2438" t="s">
        <v>13</v>
      </c>
      <c r="G2438" t="s">
        <v>9</v>
      </c>
      <c r="H2438" t="s">
        <v>14</v>
      </c>
    </row>
    <row r="2439" spans="1:8" hidden="1" x14ac:dyDescent="0.25">
      <c r="A2439" t="s">
        <v>3505</v>
      </c>
      <c r="B2439" s="1" t="str">
        <f>HYPERLINK("https://asmlis.vasa.lt/Dashboard/Served?ServiceDateFrom=2025-11-24&amp;ServiceDateTo=2025-11-24&amp;DumpsterInvNr=13-P-500555", "13-P-500555")</f>
        <v>13-P-500555</v>
      </c>
      <c r="C2439">
        <v>5</v>
      </c>
      <c r="D2439" t="s">
        <v>3506</v>
      </c>
      <c r="E2439" t="s">
        <v>11</v>
      </c>
      <c r="F2439" t="s">
        <v>13</v>
      </c>
      <c r="G2439" t="s">
        <v>2178</v>
      </c>
      <c r="H2439" t="s">
        <v>432</v>
      </c>
    </row>
    <row r="2440" spans="1:8" hidden="1" x14ac:dyDescent="0.25">
      <c r="A2440" t="s">
        <v>3507</v>
      </c>
      <c r="B2440" s="1" t="str">
        <f>HYPERLINK("https://asmlis.vasa.lt/Dashboard/Served?ServiceDateFrom=2025-11-24&amp;ServiceDateTo=2025-11-24&amp;DumpsterInvNr=13-S-404793", "13-S-404793")</f>
        <v>13-S-404793</v>
      </c>
      <c r="C2440">
        <v>0.12</v>
      </c>
      <c r="D2440" t="s">
        <v>3508</v>
      </c>
      <c r="E2440" t="s">
        <v>11</v>
      </c>
      <c r="F2440" t="s">
        <v>1209</v>
      </c>
      <c r="G2440" t="s">
        <v>264</v>
      </c>
      <c r="H2440" t="s">
        <v>14</v>
      </c>
    </row>
    <row r="2441" spans="1:8" hidden="1" x14ac:dyDescent="0.25">
      <c r="A2441" t="s">
        <v>3507</v>
      </c>
      <c r="B2441" s="1" t="str">
        <f>HYPERLINK("https://asmlis.vasa.lt/Dashboard/Served?ServiceDateFrom=2025-11-24&amp;ServiceDateTo=2025-11-24&amp;DumpsterInvNr=13-P-413376", "13-P-413376")</f>
        <v>13-P-413376</v>
      </c>
      <c r="C2441">
        <v>0.24</v>
      </c>
      <c r="D2441" t="s">
        <v>3508</v>
      </c>
      <c r="E2441" t="s">
        <v>11</v>
      </c>
      <c r="G2441" t="s">
        <v>264</v>
      </c>
      <c r="H2441" t="s">
        <v>14</v>
      </c>
    </row>
    <row r="2442" spans="1:8" hidden="1" x14ac:dyDescent="0.25">
      <c r="A2442" t="s">
        <v>3509</v>
      </c>
      <c r="B2442" s="1" t="str">
        <f>HYPERLINK("https://asmlis.vasa.lt/Dashboard/Served?ServiceDateFrom=2025-11-24&amp;ServiceDateTo=2025-11-24&amp;DumpsterInvNr=13-L-121068", "13-L-121068")</f>
        <v>13-L-121068</v>
      </c>
      <c r="C2442">
        <v>1.1000000000000001</v>
      </c>
      <c r="D2442" t="s">
        <v>3510</v>
      </c>
      <c r="E2442" t="s">
        <v>11</v>
      </c>
      <c r="G2442" t="s">
        <v>430</v>
      </c>
      <c r="H2442" t="s">
        <v>432</v>
      </c>
    </row>
    <row r="2443" spans="1:8" hidden="1" x14ac:dyDescent="0.25">
      <c r="A2443" t="s">
        <v>3512</v>
      </c>
      <c r="B2443" s="1" t="str">
        <f>HYPERLINK("https://asmlis.vasa.lt/Dashboard/Served?ServiceDateFrom=2025-11-24&amp;ServiceDateTo=2025-11-24&amp;DumpsterInvNr=13-L-219842", "13-L-219842")</f>
        <v>13-L-219842</v>
      </c>
      <c r="C2443">
        <v>1.1000000000000001</v>
      </c>
      <c r="D2443" t="s">
        <v>3482</v>
      </c>
      <c r="E2443" t="s">
        <v>11</v>
      </c>
      <c r="G2443" t="s">
        <v>936</v>
      </c>
      <c r="H2443" t="s">
        <v>938</v>
      </c>
    </row>
    <row r="2444" spans="1:8" hidden="1" x14ac:dyDescent="0.25">
      <c r="A2444" t="s">
        <v>3513</v>
      </c>
      <c r="B2444" s="1" t="str">
        <f>HYPERLINK("https://asmlis.vasa.lt/Dashboard/Served?ServiceDateFrom=2025-11-24&amp;ServiceDateTo=2025-11-24&amp;DumpsterInvNr=13-L-425343", "13-L-425343")</f>
        <v>13-L-425343</v>
      </c>
      <c r="C2444">
        <v>1.1000000000000001</v>
      </c>
      <c r="D2444" t="s">
        <v>1612</v>
      </c>
      <c r="E2444" t="s">
        <v>11</v>
      </c>
      <c r="G2444" t="s">
        <v>74</v>
      </c>
      <c r="H2444" t="s">
        <v>14</v>
      </c>
    </row>
    <row r="2445" spans="1:8" hidden="1" x14ac:dyDescent="0.25">
      <c r="A2445" t="s">
        <v>3514</v>
      </c>
      <c r="B2445" s="1" t="str">
        <f>HYPERLINK("https://asmlis.vasa.lt/Dashboard/Served?ServiceDateFrom=2025-11-24&amp;ServiceDateTo=2025-11-24&amp;DumpsterInvNr=13-P-209515", "13-P-209515")</f>
        <v>13-P-209515</v>
      </c>
      <c r="C2445">
        <v>0.24</v>
      </c>
      <c r="D2445" t="s">
        <v>3515</v>
      </c>
      <c r="E2445" t="s">
        <v>11</v>
      </c>
      <c r="G2445" t="s">
        <v>234</v>
      </c>
      <c r="H2445" t="s">
        <v>14</v>
      </c>
    </row>
    <row r="2446" spans="1:8" hidden="1" x14ac:dyDescent="0.25">
      <c r="A2446" t="s">
        <v>3516</v>
      </c>
      <c r="B2446" s="1" t="str">
        <f>HYPERLINK("https://asmlis.vasa.lt/Dashboard/Served?ServiceDateFrom=2025-11-24&amp;ServiceDateTo=2025-11-24&amp;DumpsterInvNr=13-L-125538", "13-L-125538")</f>
        <v>13-L-125538</v>
      </c>
      <c r="C2446">
        <v>0.24</v>
      </c>
      <c r="D2446" t="s">
        <v>3517</v>
      </c>
      <c r="E2446" t="s">
        <v>11</v>
      </c>
      <c r="G2446" t="s">
        <v>430</v>
      </c>
      <c r="H2446" t="s">
        <v>432</v>
      </c>
    </row>
    <row r="2447" spans="1:8" hidden="1" x14ac:dyDescent="0.25">
      <c r="A2447" t="s">
        <v>3516</v>
      </c>
      <c r="B2447" s="1" t="str">
        <f>HYPERLINK("https://asmlis.vasa.lt/Dashboard/Served?ServiceDateFrom=2025-11-24&amp;ServiceDateTo=2025-11-24&amp;DumpsterInvNr=13-S-500463", "13-S-500463")</f>
        <v>13-S-500463</v>
      </c>
      <c r="C2447">
        <v>0.12</v>
      </c>
      <c r="D2447" t="s">
        <v>3517</v>
      </c>
      <c r="E2447" t="s">
        <v>11</v>
      </c>
      <c r="G2447" t="s">
        <v>2178</v>
      </c>
      <c r="H2447" t="s">
        <v>432</v>
      </c>
    </row>
    <row r="2448" spans="1:8" hidden="1" x14ac:dyDescent="0.25">
      <c r="A2448" t="s">
        <v>3519</v>
      </c>
      <c r="B2448" s="1" t="str">
        <f>HYPERLINK("https://asmlis.vasa.lt/Dashboard/Served?ServiceDateFrom=2025-11-24&amp;ServiceDateTo=2025-11-24&amp;DumpsterInvNr=13-L-106040", "13-L-106040")</f>
        <v>13-L-106040</v>
      </c>
      <c r="C2448">
        <v>0.24</v>
      </c>
      <c r="D2448" t="s">
        <v>3520</v>
      </c>
      <c r="E2448" t="s">
        <v>11</v>
      </c>
      <c r="G2448" t="s">
        <v>1912</v>
      </c>
      <c r="H2448" t="s">
        <v>432</v>
      </c>
    </row>
    <row r="2449" spans="1:8" hidden="1" x14ac:dyDescent="0.25">
      <c r="A2449" t="s">
        <v>3521</v>
      </c>
      <c r="B2449" s="1" t="str">
        <f>HYPERLINK("https://asmlis.vasa.lt/Dashboard/Served?ServiceDateFrom=2025-11-24&amp;ServiceDateTo=2025-11-24&amp;DumpsterInvNr=13-P-503066", "13-P-503066")</f>
        <v>13-P-503066</v>
      </c>
      <c r="C2449">
        <v>0.24</v>
      </c>
      <c r="D2449" t="s">
        <v>3522</v>
      </c>
      <c r="E2449" t="s">
        <v>11</v>
      </c>
      <c r="G2449" t="s">
        <v>2178</v>
      </c>
      <c r="H2449" t="s">
        <v>432</v>
      </c>
    </row>
    <row r="2450" spans="1:8" hidden="1" x14ac:dyDescent="0.25">
      <c r="A2450" t="s">
        <v>3523</v>
      </c>
      <c r="B2450" s="1" t="str">
        <f>HYPERLINK("https://asmlis.vasa.lt/Dashboard/Served?ServiceDateFrom=2025-11-24&amp;ServiceDateTo=2025-11-24&amp;DumpsterInvNr=13-L-105321", "13-L-105321")</f>
        <v>13-L-105321</v>
      </c>
      <c r="C2450">
        <v>5</v>
      </c>
      <c r="D2450" t="s">
        <v>3524</v>
      </c>
      <c r="E2450" t="s">
        <v>11</v>
      </c>
      <c r="F2450" t="s">
        <v>13</v>
      </c>
      <c r="G2450" t="s">
        <v>430</v>
      </c>
      <c r="H2450" t="s">
        <v>432</v>
      </c>
    </row>
    <row r="2451" spans="1:8" hidden="1" x14ac:dyDescent="0.25">
      <c r="A2451" t="s">
        <v>3525</v>
      </c>
      <c r="B2451" s="1" t="str">
        <f>HYPERLINK("https://asmlis.vasa.lt/Dashboard/Served?ServiceDateFrom=2025-11-24&amp;ServiceDateTo=2025-11-24&amp;DumpsterInvNr=13-L-121069", "13-L-121069")</f>
        <v>13-L-121069</v>
      </c>
      <c r="C2451">
        <v>0.77</v>
      </c>
      <c r="D2451" t="s">
        <v>3510</v>
      </c>
      <c r="E2451" t="s">
        <v>11</v>
      </c>
      <c r="G2451" t="s">
        <v>430</v>
      </c>
      <c r="H2451" t="s">
        <v>432</v>
      </c>
    </row>
    <row r="2452" spans="1:8" hidden="1" x14ac:dyDescent="0.25">
      <c r="A2452" t="s">
        <v>3526</v>
      </c>
      <c r="B2452" s="1" t="str">
        <f>HYPERLINK("https://asmlis.vasa.lt/Dashboard/Served?ServiceDateFrom=2025-11-24&amp;ServiceDateTo=2025-11-24&amp;DumpsterInvNr=13-L-138834", "13-L-138834")</f>
        <v>13-L-138834</v>
      </c>
      <c r="C2452">
        <v>5</v>
      </c>
      <c r="D2452" t="s">
        <v>3527</v>
      </c>
      <c r="E2452" t="s">
        <v>11</v>
      </c>
      <c r="F2452" t="s">
        <v>13</v>
      </c>
      <c r="G2452" t="s">
        <v>1912</v>
      </c>
      <c r="H2452" t="s">
        <v>432</v>
      </c>
    </row>
    <row r="2453" spans="1:8" hidden="1" x14ac:dyDescent="0.25">
      <c r="A2453" t="s">
        <v>3528</v>
      </c>
      <c r="B2453" s="1" t="str">
        <f>HYPERLINK("https://asmlis.vasa.lt/Dashboard/Served?ServiceDateFrom=2025-11-24&amp;ServiceDateTo=2025-11-24&amp;DumpsterInvNr=13-P-212455", "13-P-212455")</f>
        <v>13-P-212455</v>
      </c>
      <c r="C2453">
        <v>0.24</v>
      </c>
      <c r="D2453" t="s">
        <v>3529</v>
      </c>
      <c r="E2453" t="s">
        <v>11</v>
      </c>
      <c r="G2453" t="s">
        <v>234</v>
      </c>
      <c r="H2453" t="s">
        <v>14</v>
      </c>
    </row>
    <row r="2454" spans="1:8" hidden="1" x14ac:dyDescent="0.25">
      <c r="A2454" t="s">
        <v>3530</v>
      </c>
      <c r="B2454" s="1" t="str">
        <f>HYPERLINK("https://asmlis.vasa.lt/Dashboard/Served?ServiceDateFrom=2025-11-24&amp;ServiceDateTo=2025-11-24&amp;DumpsterInvNr=13-L-124953", "13-L-124953")</f>
        <v>13-L-124953</v>
      </c>
      <c r="C2454">
        <v>0.12</v>
      </c>
      <c r="D2454" t="s">
        <v>3522</v>
      </c>
      <c r="E2454" t="s">
        <v>11</v>
      </c>
      <c r="G2454" t="s">
        <v>430</v>
      </c>
      <c r="H2454" t="s">
        <v>432</v>
      </c>
    </row>
    <row r="2455" spans="1:8" hidden="1" x14ac:dyDescent="0.25">
      <c r="A2455" t="s">
        <v>3530</v>
      </c>
      <c r="B2455" s="1" t="str">
        <f>HYPERLINK("https://asmlis.vasa.lt/Dashboard/Served?ServiceDateFrom=2025-11-24&amp;ServiceDateTo=2025-11-24&amp;DumpsterInvNr=13-L-131680", "13-L-131680")</f>
        <v>13-L-131680</v>
      </c>
      <c r="C2455">
        <v>0.12</v>
      </c>
      <c r="D2455" t="s">
        <v>3522</v>
      </c>
      <c r="E2455" t="s">
        <v>11</v>
      </c>
      <c r="G2455" t="s">
        <v>430</v>
      </c>
      <c r="H2455" t="s">
        <v>432</v>
      </c>
    </row>
    <row r="2456" spans="1:8" hidden="1" x14ac:dyDescent="0.25">
      <c r="A2456" t="s">
        <v>3530</v>
      </c>
      <c r="B2456" s="1" t="str">
        <f>HYPERLINK("https://asmlis.vasa.lt/Dashboard/Served?ServiceDateFrom=2025-11-24&amp;ServiceDateTo=2025-11-24&amp;DumpsterInvNr=13-L-421735", "13-L-421735")</f>
        <v>13-L-421735</v>
      </c>
      <c r="C2456">
        <v>1.1000000000000001</v>
      </c>
      <c r="D2456" t="s">
        <v>3531</v>
      </c>
      <c r="E2456" t="s">
        <v>11</v>
      </c>
      <c r="G2456" t="s">
        <v>74</v>
      </c>
      <c r="H2456" t="s">
        <v>14</v>
      </c>
    </row>
    <row r="2457" spans="1:8" hidden="1" x14ac:dyDescent="0.25">
      <c r="A2457" t="s">
        <v>3530</v>
      </c>
      <c r="B2457" s="1" t="str">
        <f>HYPERLINK("https://asmlis.vasa.lt/Dashboard/Served?ServiceDateFrom=2025-11-24&amp;ServiceDateTo=2025-11-24&amp;DumpsterInvNr=13-P-416091", "13-P-416091")</f>
        <v>13-P-416091</v>
      </c>
      <c r="C2457">
        <v>0.24</v>
      </c>
      <c r="D2457" t="s">
        <v>3532</v>
      </c>
      <c r="E2457" t="s">
        <v>11</v>
      </c>
      <c r="G2457" t="s">
        <v>264</v>
      </c>
      <c r="H2457" t="s">
        <v>14</v>
      </c>
    </row>
    <row r="2458" spans="1:8" hidden="1" x14ac:dyDescent="0.25">
      <c r="A2458" t="s">
        <v>3533</v>
      </c>
      <c r="B2458" s="1" t="str">
        <f>HYPERLINK("https://asmlis.vasa.lt/Dashboard/Served?ServiceDateFrom=2025-11-24&amp;ServiceDateTo=2025-11-24&amp;DumpsterInvNr=13-L-302945", "13-L-302945")</f>
        <v>13-L-302945</v>
      </c>
      <c r="C2458">
        <v>1.1000000000000001</v>
      </c>
      <c r="D2458" t="s">
        <v>3534</v>
      </c>
      <c r="E2458" t="s">
        <v>11</v>
      </c>
      <c r="G2458" t="s">
        <v>9</v>
      </c>
      <c r="H2458" t="s">
        <v>14</v>
      </c>
    </row>
    <row r="2459" spans="1:8" hidden="1" x14ac:dyDescent="0.25">
      <c r="A2459" t="s">
        <v>3535</v>
      </c>
      <c r="B2459" s="1" t="str">
        <f>HYPERLINK("https://asmlis.vasa.lt/Dashboard/Served?ServiceDateFrom=2025-11-24&amp;ServiceDateTo=2025-11-24&amp;DumpsterInvNr=13-L-222783", "13-L-222783")</f>
        <v>13-L-222783</v>
      </c>
      <c r="C2459">
        <v>1.1000000000000001</v>
      </c>
      <c r="D2459" t="s">
        <v>3536</v>
      </c>
      <c r="E2459" t="s">
        <v>11</v>
      </c>
      <c r="G2459" t="s">
        <v>936</v>
      </c>
      <c r="H2459" t="s">
        <v>938</v>
      </c>
    </row>
    <row r="2460" spans="1:8" hidden="1" x14ac:dyDescent="0.25">
      <c r="A2460" t="s">
        <v>3537</v>
      </c>
      <c r="B2460" s="1" t="str">
        <f>HYPERLINK("https://asmlis.vasa.lt/Dashboard/Served?ServiceDateFrom=2025-11-24&amp;ServiceDateTo=2025-11-24&amp;DumpsterInvNr=13-P-101106", "13-P-101106")</f>
        <v>13-P-101106</v>
      </c>
      <c r="C2460">
        <v>0.12</v>
      </c>
      <c r="D2460" t="s">
        <v>3520</v>
      </c>
      <c r="E2460" t="s">
        <v>11</v>
      </c>
      <c r="G2460" t="s">
        <v>1917</v>
      </c>
      <c r="H2460" t="s">
        <v>432</v>
      </c>
    </row>
    <row r="2461" spans="1:8" hidden="1" x14ac:dyDescent="0.25">
      <c r="A2461" t="s">
        <v>3539</v>
      </c>
      <c r="B2461" s="1" t="str">
        <f>HYPERLINK("https://asmlis.vasa.lt/Dashboard/Served?ServiceDateFrom=2025-11-24&amp;ServiceDateTo=2025-11-24&amp;DumpsterInvNr=13-P-508459", "13-P-508459")</f>
        <v>13-P-508459</v>
      </c>
      <c r="C2461">
        <v>0.24</v>
      </c>
      <c r="D2461" t="s">
        <v>3517</v>
      </c>
      <c r="E2461" t="s">
        <v>11</v>
      </c>
      <c r="G2461" t="s">
        <v>2178</v>
      </c>
      <c r="H2461" t="s">
        <v>432</v>
      </c>
    </row>
    <row r="2462" spans="1:8" hidden="1" x14ac:dyDescent="0.25">
      <c r="A2462" t="s">
        <v>3540</v>
      </c>
      <c r="B2462" s="1" t="str">
        <f>HYPERLINK("https://asmlis.vasa.lt/Dashboard/Served?ServiceDateFrom=2025-11-24&amp;ServiceDateTo=2025-11-24&amp;DumpsterInvNr=13-L-208103", "13-L-208103")</f>
        <v>13-L-208103</v>
      </c>
      <c r="C2462">
        <v>0.77</v>
      </c>
      <c r="D2462" t="s">
        <v>3541</v>
      </c>
      <c r="E2462" t="s">
        <v>11</v>
      </c>
      <c r="G2462" t="s">
        <v>936</v>
      </c>
      <c r="H2462" t="s">
        <v>938</v>
      </c>
    </row>
    <row r="2463" spans="1:8" hidden="1" x14ac:dyDescent="0.25">
      <c r="A2463" t="s">
        <v>3091</v>
      </c>
      <c r="B2463" s="1" t="str">
        <f>HYPERLINK("https://asmlis.vasa.lt/Dashboard/Served?ServiceDateFrom=2025-11-24&amp;ServiceDateTo=2025-11-24&amp;DumpsterInvNr=13-L-423334", "13-L-423334")</f>
        <v>13-L-423334</v>
      </c>
      <c r="C2463">
        <v>1.1000000000000001</v>
      </c>
      <c r="D2463" t="s">
        <v>1613</v>
      </c>
      <c r="E2463" t="s">
        <v>11</v>
      </c>
      <c r="G2463" t="s">
        <v>74</v>
      </c>
      <c r="H2463" t="s">
        <v>14</v>
      </c>
    </row>
    <row r="2464" spans="1:8" hidden="1" x14ac:dyDescent="0.25">
      <c r="A2464" t="s">
        <v>3542</v>
      </c>
      <c r="B2464" s="1" t="str">
        <f>HYPERLINK("https://asmlis.vasa.lt/Dashboard/Served?ServiceDateFrom=2025-11-24&amp;ServiceDateTo=2025-11-24&amp;DumpsterInvNr=13-L-318801", "13-L-318801")</f>
        <v>13-L-318801</v>
      </c>
      <c r="C2464">
        <v>1.1000000000000001</v>
      </c>
      <c r="D2464" t="s">
        <v>3543</v>
      </c>
      <c r="E2464" t="s">
        <v>11</v>
      </c>
      <c r="G2464" t="s">
        <v>9</v>
      </c>
      <c r="H2464" t="s">
        <v>14</v>
      </c>
    </row>
    <row r="2465" spans="1:8" hidden="1" x14ac:dyDescent="0.25">
      <c r="A2465" t="s">
        <v>3544</v>
      </c>
      <c r="B2465" s="1" t="str">
        <f>HYPERLINK("https://asmlis.vasa.lt/Dashboard/Served?ServiceDateFrom=2025-11-24&amp;ServiceDateTo=2025-11-24&amp;DumpsterInvNr=13-S-503759", "13-S-503759")</f>
        <v>13-S-503759</v>
      </c>
      <c r="C2465">
        <v>0.12</v>
      </c>
      <c r="D2465" t="s">
        <v>3522</v>
      </c>
      <c r="E2465" t="s">
        <v>11</v>
      </c>
      <c r="F2465" t="s">
        <v>1209</v>
      </c>
      <c r="G2465" t="s">
        <v>2178</v>
      </c>
      <c r="H2465" t="s">
        <v>432</v>
      </c>
    </row>
    <row r="2466" spans="1:8" hidden="1" x14ac:dyDescent="0.25">
      <c r="A2466" t="s">
        <v>3249</v>
      </c>
      <c r="B2466" s="1" t="str">
        <f>HYPERLINK("https://asmlis.vasa.lt/Dashboard/Served?ServiceDateFrom=2025-11-24&amp;ServiceDateTo=2025-11-24&amp;DumpsterInvNr=13-L-302944", "13-L-302944")</f>
        <v>13-L-302944</v>
      </c>
      <c r="C2466">
        <v>1.1000000000000001</v>
      </c>
      <c r="D2466" t="s">
        <v>3534</v>
      </c>
      <c r="E2466" t="s">
        <v>11</v>
      </c>
      <c r="F2466" t="s">
        <v>13</v>
      </c>
      <c r="G2466" t="s">
        <v>9</v>
      </c>
      <c r="H2466" t="s">
        <v>14</v>
      </c>
    </row>
    <row r="2467" spans="1:8" hidden="1" x14ac:dyDescent="0.25">
      <c r="A2467" t="s">
        <v>3547</v>
      </c>
      <c r="B2467" s="1" t="str">
        <f>HYPERLINK("https://asmlis.vasa.lt/Dashboard/Served?ServiceDateFrom=2025-11-24&amp;ServiceDateTo=2025-11-24&amp;DumpsterInvNr=13-L-124952", "13-L-124952")</f>
        <v>13-L-124952</v>
      </c>
      <c r="C2467">
        <v>0.24</v>
      </c>
      <c r="D2467" t="s">
        <v>3517</v>
      </c>
      <c r="E2467" t="s">
        <v>11</v>
      </c>
      <c r="F2467" t="s">
        <v>1209</v>
      </c>
      <c r="G2467" t="s">
        <v>430</v>
      </c>
      <c r="H2467" t="s">
        <v>432</v>
      </c>
    </row>
    <row r="2468" spans="1:8" hidden="1" x14ac:dyDescent="0.25">
      <c r="A2468" t="s">
        <v>3548</v>
      </c>
      <c r="B2468" s="1" t="str">
        <f>HYPERLINK("https://asmlis.vasa.lt/Dashboard/Served?ServiceDateFrom=2025-11-24&amp;ServiceDateTo=2025-11-24&amp;DumpsterInvNr=13-L-402785", "13-L-402785")</f>
        <v>13-L-402785</v>
      </c>
      <c r="C2468">
        <v>1.1000000000000001</v>
      </c>
      <c r="D2468" t="s">
        <v>1613</v>
      </c>
      <c r="E2468" t="s">
        <v>11</v>
      </c>
      <c r="G2468" t="s">
        <v>74</v>
      </c>
      <c r="H2468" t="s">
        <v>14</v>
      </c>
    </row>
    <row r="2469" spans="1:8" hidden="1" x14ac:dyDescent="0.25">
      <c r="A2469" t="s">
        <v>3549</v>
      </c>
      <c r="B2469" s="1" t="str">
        <f>HYPERLINK("https://asmlis.vasa.lt/Dashboard/Served?ServiceDateFrom=2025-11-24&amp;ServiceDateTo=2025-11-24&amp;DumpsterInvNr=13-S-102388", "13-S-102388")</f>
        <v>13-S-102388</v>
      </c>
      <c r="C2469">
        <v>0.12</v>
      </c>
      <c r="D2469" t="s">
        <v>3520</v>
      </c>
      <c r="E2469" t="s">
        <v>11</v>
      </c>
      <c r="F2469" t="s">
        <v>1209</v>
      </c>
      <c r="G2469" t="s">
        <v>1917</v>
      </c>
      <c r="H2469" t="s">
        <v>432</v>
      </c>
    </row>
    <row r="2470" spans="1:8" hidden="1" x14ac:dyDescent="0.25">
      <c r="A2470" t="s">
        <v>3008</v>
      </c>
      <c r="B2470" s="1" t="str">
        <f>HYPERLINK("https://asmlis.vasa.lt/Dashboard/Served?ServiceDateFrom=2025-11-24&amp;ServiceDateTo=2025-11-24&amp;DumpsterInvNr=13-L-133167", "13-L-133167")</f>
        <v>13-L-133167</v>
      </c>
      <c r="C2470">
        <v>0.24</v>
      </c>
      <c r="D2470" t="s">
        <v>3550</v>
      </c>
      <c r="E2470" t="s">
        <v>11</v>
      </c>
      <c r="F2470" t="s">
        <v>1209</v>
      </c>
      <c r="G2470" t="s">
        <v>1912</v>
      </c>
      <c r="H2470" t="s">
        <v>432</v>
      </c>
    </row>
    <row r="2471" spans="1:8" hidden="1" x14ac:dyDescent="0.25">
      <c r="A2471" t="s">
        <v>3008</v>
      </c>
      <c r="B2471" s="1" t="str">
        <f>HYPERLINK("https://asmlis.vasa.lt/Dashboard/Served?ServiceDateFrom=2025-11-24&amp;ServiceDateTo=2025-11-24&amp;DumpsterInvNr=13-P-103427", "13-P-103427")</f>
        <v>13-P-103427</v>
      </c>
      <c r="C2471">
        <v>0.24</v>
      </c>
      <c r="D2471" t="s">
        <v>3550</v>
      </c>
      <c r="E2471" t="s">
        <v>11</v>
      </c>
      <c r="F2471" t="s">
        <v>1209</v>
      </c>
      <c r="G2471" t="s">
        <v>1917</v>
      </c>
      <c r="H2471" t="s">
        <v>432</v>
      </c>
    </row>
    <row r="2472" spans="1:8" hidden="1" x14ac:dyDescent="0.25">
      <c r="A2472" t="s">
        <v>3083</v>
      </c>
      <c r="B2472" s="1" t="str">
        <f>HYPERLINK("https://asmlis.vasa.lt/Dashboard/Served?ServiceDateFrom=2025-11-24&amp;ServiceDateTo=2025-11-24&amp;DumpsterInvNr=13-L-314797", "13-L-314797")</f>
        <v>13-L-314797</v>
      </c>
      <c r="C2472">
        <v>1.1000000000000001</v>
      </c>
      <c r="D2472" t="s">
        <v>3543</v>
      </c>
      <c r="E2472" t="s">
        <v>11</v>
      </c>
      <c r="G2472" t="s">
        <v>9</v>
      </c>
      <c r="H2472" t="s">
        <v>14</v>
      </c>
    </row>
    <row r="2473" spans="1:8" hidden="1" x14ac:dyDescent="0.25">
      <c r="A2473" t="s">
        <v>3083</v>
      </c>
      <c r="B2473" s="1" t="str">
        <f>HYPERLINK("https://asmlis.vasa.lt/Dashboard/Served?ServiceDateFrom=2025-11-24&amp;ServiceDateTo=2025-11-24&amp;DumpsterInvNr=13-S-103221", "13-S-103221")</f>
        <v>13-S-103221</v>
      </c>
      <c r="C2473">
        <v>0.12</v>
      </c>
      <c r="D2473" t="s">
        <v>3550</v>
      </c>
      <c r="E2473" t="s">
        <v>11</v>
      </c>
      <c r="F2473" t="s">
        <v>1209</v>
      </c>
      <c r="G2473" t="s">
        <v>1917</v>
      </c>
      <c r="H2473" t="s">
        <v>432</v>
      </c>
    </row>
    <row r="2474" spans="1:8" hidden="1" x14ac:dyDescent="0.25">
      <c r="A2474" t="s">
        <v>3511</v>
      </c>
      <c r="B2474" s="1" t="str">
        <f>HYPERLINK("https://asmlis.vasa.lt/Dashboard/Served?ServiceDateFrom=2025-11-24&amp;ServiceDateTo=2025-11-24&amp;DumpsterInvNr=13-L-224559", "13-L-224559")</f>
        <v>13-L-224559</v>
      </c>
      <c r="C2474">
        <v>1.1000000000000001</v>
      </c>
      <c r="D2474" t="s">
        <v>3536</v>
      </c>
      <c r="E2474" t="s">
        <v>11</v>
      </c>
      <c r="G2474" t="s">
        <v>936</v>
      </c>
      <c r="H2474" t="s">
        <v>938</v>
      </c>
    </row>
    <row r="2475" spans="1:8" hidden="1" x14ac:dyDescent="0.25">
      <c r="A2475" t="s">
        <v>3552</v>
      </c>
      <c r="B2475" s="1" t="str">
        <f>HYPERLINK("https://asmlis.vasa.lt/Dashboard/Served?ServiceDateFrom=2025-11-24&amp;ServiceDateTo=2025-11-24&amp;DumpsterInvNr=13-L-223509", "13-L-223509")</f>
        <v>13-L-223509</v>
      </c>
      <c r="C2475">
        <v>1.1000000000000001</v>
      </c>
      <c r="D2475" t="s">
        <v>3541</v>
      </c>
      <c r="E2475" t="s">
        <v>11</v>
      </c>
      <c r="G2475" t="s">
        <v>936</v>
      </c>
      <c r="H2475" t="s">
        <v>938</v>
      </c>
    </row>
    <row r="2476" spans="1:8" hidden="1" x14ac:dyDescent="0.25">
      <c r="A2476" t="s">
        <v>3553</v>
      </c>
      <c r="B2476" s="1" t="str">
        <f>HYPERLINK("https://asmlis.vasa.lt/Dashboard/Served?ServiceDateFrom=2025-11-24&amp;ServiceDateTo=2025-11-24&amp;DumpsterInvNr=13-L-423290", "13-L-423290")</f>
        <v>13-L-423290</v>
      </c>
      <c r="C2476">
        <v>1.1000000000000001</v>
      </c>
      <c r="D2476" t="s">
        <v>3531</v>
      </c>
      <c r="E2476" t="s">
        <v>11</v>
      </c>
      <c r="G2476" t="s">
        <v>74</v>
      </c>
      <c r="H2476" t="s">
        <v>14</v>
      </c>
    </row>
    <row r="2477" spans="1:8" hidden="1" x14ac:dyDescent="0.25">
      <c r="A2477" t="s">
        <v>3106</v>
      </c>
      <c r="B2477" s="1" t="str">
        <f>HYPERLINK("https://asmlis.vasa.lt/Dashboard/Served?ServiceDateFrom=2025-11-24&amp;ServiceDateTo=2025-11-24&amp;DumpsterInvNr=13-L-147092", "13-L-147092")</f>
        <v>13-L-147092</v>
      </c>
      <c r="C2477">
        <v>5</v>
      </c>
      <c r="D2477" t="s">
        <v>3554</v>
      </c>
      <c r="E2477" t="s">
        <v>11</v>
      </c>
      <c r="F2477" t="s">
        <v>13</v>
      </c>
      <c r="G2477" t="s">
        <v>430</v>
      </c>
      <c r="H2477" t="s">
        <v>432</v>
      </c>
    </row>
    <row r="2478" spans="1:8" hidden="1" x14ac:dyDescent="0.25">
      <c r="A2478" t="s">
        <v>3076</v>
      </c>
      <c r="B2478" s="1" t="str">
        <f>HYPERLINK("https://asmlis.vasa.lt/Dashboard/Served?ServiceDateFrom=2025-11-24&amp;ServiceDateTo=2025-11-24&amp;DumpsterInvNr=13-L-415791", "13-L-415791")</f>
        <v>13-L-415791</v>
      </c>
      <c r="C2478">
        <v>1.1000000000000001</v>
      </c>
      <c r="D2478" t="s">
        <v>1661</v>
      </c>
      <c r="E2478" t="s">
        <v>11</v>
      </c>
      <c r="G2478" t="s">
        <v>74</v>
      </c>
      <c r="H2478" t="s">
        <v>14</v>
      </c>
    </row>
    <row r="2479" spans="1:8" hidden="1" x14ac:dyDescent="0.25">
      <c r="A2479" t="s">
        <v>3121</v>
      </c>
      <c r="B2479" s="1" t="str">
        <f>HYPERLINK("https://asmlis.vasa.lt/Dashboard/Served?ServiceDateFrom=2025-11-24&amp;ServiceDateTo=2025-11-24&amp;DumpsterInvNr=13-P-413905", "13-P-413905")</f>
        <v>13-P-413905</v>
      </c>
      <c r="C2479">
        <v>5</v>
      </c>
      <c r="D2479" t="s">
        <v>3555</v>
      </c>
      <c r="E2479" t="s">
        <v>11</v>
      </c>
      <c r="G2479" t="s">
        <v>264</v>
      </c>
      <c r="H2479" t="s">
        <v>14</v>
      </c>
    </row>
    <row r="2480" spans="1:8" hidden="1" x14ac:dyDescent="0.25">
      <c r="A2480" t="s">
        <v>3556</v>
      </c>
      <c r="B2480" s="1" t="str">
        <f>HYPERLINK("https://asmlis.vasa.lt/Dashboard/Served?ServiceDateFrom=2025-11-24&amp;ServiceDateTo=2025-11-24&amp;DumpsterInvNr=13-L-109804", "13-L-109804")</f>
        <v>13-L-109804</v>
      </c>
      <c r="C2480">
        <v>0.12</v>
      </c>
      <c r="D2480" t="s">
        <v>3557</v>
      </c>
      <c r="E2480" t="s">
        <v>11</v>
      </c>
      <c r="G2480" t="s">
        <v>430</v>
      </c>
      <c r="H2480" t="s">
        <v>432</v>
      </c>
    </row>
    <row r="2481" spans="1:8" hidden="1" x14ac:dyDescent="0.25">
      <c r="A2481" t="s">
        <v>3556</v>
      </c>
      <c r="B2481" s="1" t="str">
        <f>HYPERLINK("https://asmlis.vasa.lt/Dashboard/Served?ServiceDateFrom=2025-11-24&amp;ServiceDateTo=2025-11-24&amp;DumpsterInvNr=13-L-124951", "13-L-124951")</f>
        <v>13-L-124951</v>
      </c>
      <c r="C2481">
        <v>0.12</v>
      </c>
      <c r="D2481" t="s">
        <v>3558</v>
      </c>
      <c r="E2481" t="s">
        <v>11</v>
      </c>
      <c r="G2481" t="s">
        <v>430</v>
      </c>
      <c r="H2481" t="s">
        <v>432</v>
      </c>
    </row>
    <row r="2482" spans="1:8" hidden="1" x14ac:dyDescent="0.25">
      <c r="A2482" t="s">
        <v>3556</v>
      </c>
      <c r="B2482" s="1" t="str">
        <f>HYPERLINK("https://asmlis.vasa.lt/Dashboard/Served?ServiceDateFrom=2025-11-24&amp;ServiceDateTo=2025-11-24&amp;DumpsterInvNr=13-L-221723", "13-L-221723")</f>
        <v>13-L-221723</v>
      </c>
      <c r="C2482">
        <v>1.1000000000000001</v>
      </c>
      <c r="D2482" t="s">
        <v>3536</v>
      </c>
      <c r="E2482" t="s">
        <v>11</v>
      </c>
      <c r="G2482" t="s">
        <v>936</v>
      </c>
      <c r="H2482" t="s">
        <v>938</v>
      </c>
    </row>
    <row r="2483" spans="1:8" hidden="1" x14ac:dyDescent="0.25">
      <c r="A2483" t="s">
        <v>3556</v>
      </c>
      <c r="B2483" s="1" t="str">
        <f>HYPERLINK("https://asmlis.vasa.lt/Dashboard/Served?ServiceDateFrom=2025-11-24&amp;ServiceDateTo=2025-11-24&amp;DumpsterInvNr=13-P-300256", "13-P-300256")</f>
        <v>13-P-300256</v>
      </c>
      <c r="C2483">
        <v>1.1000000000000001</v>
      </c>
      <c r="D2483" t="s">
        <v>3559</v>
      </c>
      <c r="E2483" t="s">
        <v>11</v>
      </c>
      <c r="G2483" t="s">
        <v>412</v>
      </c>
      <c r="H2483" t="s">
        <v>14</v>
      </c>
    </row>
    <row r="2484" spans="1:8" hidden="1" x14ac:dyDescent="0.25">
      <c r="A2484" t="s">
        <v>3556</v>
      </c>
      <c r="B2484" s="1" t="str">
        <f>HYPERLINK("https://asmlis.vasa.lt/Dashboard/Served?ServiceDateFrom=2025-11-24&amp;ServiceDateTo=2025-11-24&amp;DumpsterInvNr=13-P-503037", "13-P-503037")</f>
        <v>13-P-503037</v>
      </c>
      <c r="C2484">
        <v>0.24</v>
      </c>
      <c r="D2484" t="s">
        <v>3558</v>
      </c>
      <c r="E2484" t="s">
        <v>11</v>
      </c>
      <c r="G2484" t="s">
        <v>2178</v>
      </c>
      <c r="H2484" t="s">
        <v>432</v>
      </c>
    </row>
    <row r="2485" spans="1:8" hidden="1" x14ac:dyDescent="0.25">
      <c r="A2485" t="s">
        <v>3560</v>
      </c>
      <c r="B2485" s="1" t="str">
        <f>HYPERLINK("https://asmlis.vasa.lt/Dashboard/Served?ServiceDateFrom=2025-11-24&amp;ServiceDateTo=2025-11-24&amp;DumpsterInvNr=13-P-210973", "13-P-210973")</f>
        <v>13-P-210973</v>
      </c>
      <c r="C2485">
        <v>0.24</v>
      </c>
      <c r="D2485" t="s">
        <v>3561</v>
      </c>
      <c r="E2485" t="s">
        <v>11</v>
      </c>
      <c r="F2485" t="s">
        <v>1209</v>
      </c>
      <c r="G2485" t="s">
        <v>234</v>
      </c>
      <c r="H2485" t="s">
        <v>14</v>
      </c>
    </row>
    <row r="2486" spans="1:8" hidden="1" x14ac:dyDescent="0.25">
      <c r="A2486" t="s">
        <v>3454</v>
      </c>
      <c r="B2486" s="1" t="str">
        <f>HYPERLINK("https://asmlis.vasa.lt/Dashboard/Served?ServiceDateFrom=2025-11-24&amp;ServiceDateTo=2025-11-24&amp;DumpsterInvNr=13-P-209511", "13-P-209511")</f>
        <v>13-P-209511</v>
      </c>
      <c r="C2486">
        <v>0.24</v>
      </c>
      <c r="D2486" t="s">
        <v>3562</v>
      </c>
      <c r="E2486" t="s">
        <v>11</v>
      </c>
      <c r="G2486" t="s">
        <v>234</v>
      </c>
      <c r="H2486" t="s">
        <v>14</v>
      </c>
    </row>
    <row r="2487" spans="1:8" hidden="1" x14ac:dyDescent="0.25">
      <c r="A2487" t="s">
        <v>3454</v>
      </c>
      <c r="B2487" s="1" t="str">
        <f>HYPERLINK("https://asmlis.vasa.lt/Dashboard/Served?ServiceDateFrom=2025-11-24&amp;ServiceDateTo=2025-11-24&amp;DumpsterInvNr=13-S-500460", "13-S-500460")</f>
        <v>13-S-500460</v>
      </c>
      <c r="C2487">
        <v>0.12</v>
      </c>
      <c r="D2487" t="s">
        <v>3557</v>
      </c>
      <c r="E2487" t="s">
        <v>11</v>
      </c>
      <c r="F2487" t="s">
        <v>1209</v>
      </c>
      <c r="G2487" t="s">
        <v>2178</v>
      </c>
      <c r="H2487" t="s">
        <v>432</v>
      </c>
    </row>
    <row r="2488" spans="1:8" hidden="1" x14ac:dyDescent="0.25">
      <c r="A2488" t="s">
        <v>3142</v>
      </c>
      <c r="B2488" s="1" t="str">
        <f>HYPERLINK("https://asmlis.vasa.lt/Dashboard/Served?ServiceDateFrom=2025-11-24&amp;ServiceDateTo=2025-11-24&amp;DumpsterInvNr=13-L-220444", "13-L-220444")</f>
        <v>13-L-220444</v>
      </c>
      <c r="C2488">
        <v>1.1000000000000001</v>
      </c>
      <c r="D2488" t="s">
        <v>3536</v>
      </c>
      <c r="E2488" t="s">
        <v>11</v>
      </c>
      <c r="F2488" t="s">
        <v>1209</v>
      </c>
      <c r="G2488" t="s">
        <v>936</v>
      </c>
      <c r="H2488" t="s">
        <v>938</v>
      </c>
    </row>
    <row r="2489" spans="1:8" hidden="1" x14ac:dyDescent="0.25">
      <c r="A2489" t="s">
        <v>3564</v>
      </c>
      <c r="B2489" s="1" t="str">
        <f>HYPERLINK("https://asmlis.vasa.lt/Dashboard/Served?ServiceDateFrom=2025-11-24&amp;ServiceDateTo=2025-11-24&amp;DumpsterInvNr=13-L-212180", "13-L-212180")</f>
        <v>13-L-212180</v>
      </c>
      <c r="C2489">
        <v>0.24</v>
      </c>
      <c r="D2489" t="s">
        <v>3162</v>
      </c>
      <c r="E2489" t="s">
        <v>11</v>
      </c>
      <c r="G2489" t="s">
        <v>936</v>
      </c>
      <c r="H2489" t="s">
        <v>938</v>
      </c>
    </row>
    <row r="2490" spans="1:8" hidden="1" x14ac:dyDescent="0.25">
      <c r="A2490" t="s">
        <v>3564</v>
      </c>
      <c r="B2490" s="1" t="str">
        <f>HYPERLINK("https://asmlis.vasa.lt/Dashboard/Served?ServiceDateFrom=2025-11-24&amp;ServiceDateTo=2025-11-24&amp;DumpsterInvNr=13-P-204781", "13-P-204781")</f>
        <v>13-P-204781</v>
      </c>
      <c r="C2490">
        <v>0.24</v>
      </c>
      <c r="D2490" t="s">
        <v>3565</v>
      </c>
      <c r="E2490" t="s">
        <v>11</v>
      </c>
      <c r="F2490" t="s">
        <v>1209</v>
      </c>
      <c r="G2490" t="s">
        <v>234</v>
      </c>
      <c r="H2490" t="s">
        <v>14</v>
      </c>
    </row>
    <row r="2491" spans="1:8" hidden="1" x14ac:dyDescent="0.25">
      <c r="A2491" t="s">
        <v>3566</v>
      </c>
      <c r="B2491" s="1" t="str">
        <f>HYPERLINK("https://asmlis.vasa.lt/Dashboard/Served?ServiceDateFrom=2025-11-24&amp;ServiceDateTo=2025-11-24&amp;DumpsterInvNr=13-P-508457", "13-P-508457")</f>
        <v>13-P-508457</v>
      </c>
      <c r="C2491">
        <v>0.12</v>
      </c>
      <c r="D2491" t="s">
        <v>3557</v>
      </c>
      <c r="E2491" t="s">
        <v>11</v>
      </c>
      <c r="G2491" t="s">
        <v>2178</v>
      </c>
      <c r="H2491" t="s">
        <v>432</v>
      </c>
    </row>
    <row r="2492" spans="1:8" hidden="1" x14ac:dyDescent="0.25">
      <c r="A2492" t="s">
        <v>3207</v>
      </c>
      <c r="B2492" s="1" t="str">
        <f>HYPERLINK("https://asmlis.vasa.lt/Dashboard/Served?ServiceDateFrom=2025-11-24&amp;ServiceDateTo=2025-11-24&amp;DumpsterInvNr=13-L-424812", "13-L-424812")</f>
        <v>13-L-424812</v>
      </c>
      <c r="C2492">
        <v>5</v>
      </c>
      <c r="D2492" t="s">
        <v>3569</v>
      </c>
      <c r="E2492" t="s">
        <v>11</v>
      </c>
      <c r="G2492" t="s">
        <v>74</v>
      </c>
      <c r="H2492" t="s">
        <v>14</v>
      </c>
    </row>
    <row r="2493" spans="1:8" hidden="1" x14ac:dyDescent="0.25">
      <c r="A2493" t="s">
        <v>3570</v>
      </c>
      <c r="B2493" s="1" t="str">
        <f>HYPERLINK("https://asmlis.vasa.lt/Dashboard/Served?ServiceDateFrom=2025-11-24&amp;ServiceDateTo=2025-11-24&amp;DumpsterInvNr=13-L-301989", "13-L-301989")</f>
        <v>13-L-301989</v>
      </c>
      <c r="C2493">
        <v>1.1000000000000001</v>
      </c>
      <c r="D2493" t="s">
        <v>3571</v>
      </c>
      <c r="E2493" t="s">
        <v>11</v>
      </c>
      <c r="G2493" t="s">
        <v>9</v>
      </c>
      <c r="H2493" t="s">
        <v>14</v>
      </c>
    </row>
    <row r="2494" spans="1:8" hidden="1" x14ac:dyDescent="0.25">
      <c r="A2494" t="s">
        <v>3222</v>
      </c>
      <c r="B2494" s="1" t="str">
        <f>HYPERLINK("https://asmlis.vasa.lt/Dashboard/Served?ServiceDateFrom=2025-11-24&amp;ServiceDateTo=2025-11-24&amp;DumpsterInvNr=13-S-103223", "13-S-103223")</f>
        <v>13-S-103223</v>
      </c>
      <c r="C2494">
        <v>0.12</v>
      </c>
      <c r="D2494" t="s">
        <v>3572</v>
      </c>
      <c r="E2494" t="s">
        <v>11</v>
      </c>
      <c r="F2494" t="s">
        <v>1209</v>
      </c>
      <c r="G2494" t="s">
        <v>1917</v>
      </c>
      <c r="H2494" t="s">
        <v>432</v>
      </c>
    </row>
    <row r="2495" spans="1:8" hidden="1" x14ac:dyDescent="0.25">
      <c r="A2495" t="s">
        <v>3158</v>
      </c>
      <c r="B2495" s="1" t="str">
        <f>HYPERLINK("https://asmlis.vasa.lt/Dashboard/Served?ServiceDateFrom=2025-11-24&amp;ServiceDateTo=2025-11-24&amp;DumpsterInvNr=13-L-139772", "13-L-139772")</f>
        <v>13-L-139772</v>
      </c>
      <c r="C2495">
        <v>5</v>
      </c>
      <c r="D2495" t="s">
        <v>3573</v>
      </c>
      <c r="E2495" t="s">
        <v>11</v>
      </c>
      <c r="F2495" t="s">
        <v>13</v>
      </c>
      <c r="G2495" t="s">
        <v>430</v>
      </c>
      <c r="H2495" t="s">
        <v>432</v>
      </c>
    </row>
    <row r="2496" spans="1:8" hidden="1" x14ac:dyDescent="0.25">
      <c r="A2496" t="s">
        <v>3243</v>
      </c>
      <c r="B2496" s="1" t="str">
        <f>HYPERLINK("https://asmlis.vasa.lt/Dashboard/Served?ServiceDateFrom=2025-11-24&amp;ServiceDateTo=2025-11-24&amp;DumpsterInvNr=13-L-118195", "13-L-118195")</f>
        <v>13-L-118195</v>
      </c>
      <c r="C2496">
        <v>0.24</v>
      </c>
      <c r="D2496" t="s">
        <v>3572</v>
      </c>
      <c r="E2496" t="s">
        <v>11</v>
      </c>
      <c r="G2496" t="s">
        <v>1912</v>
      </c>
      <c r="H2496" t="s">
        <v>432</v>
      </c>
    </row>
    <row r="2497" spans="1:8" hidden="1" x14ac:dyDescent="0.25">
      <c r="A2497" t="s">
        <v>3243</v>
      </c>
      <c r="B2497" s="1" t="str">
        <f>HYPERLINK("https://asmlis.vasa.lt/Dashboard/Served?ServiceDateFrom=2025-11-24&amp;ServiceDateTo=2025-11-24&amp;DumpsterInvNr=13-P-103441", "13-P-103441")</f>
        <v>13-P-103441</v>
      </c>
      <c r="C2497">
        <v>0.24</v>
      </c>
      <c r="D2497" t="s">
        <v>3572</v>
      </c>
      <c r="E2497" t="s">
        <v>11</v>
      </c>
      <c r="G2497" t="s">
        <v>1917</v>
      </c>
      <c r="H2497" t="s">
        <v>432</v>
      </c>
    </row>
    <row r="2498" spans="1:8" hidden="1" x14ac:dyDescent="0.25">
      <c r="A2498" t="s">
        <v>3236</v>
      </c>
      <c r="B2498" s="1" t="str">
        <f>HYPERLINK("https://asmlis.vasa.lt/Dashboard/Served?ServiceDateFrom=2025-11-24&amp;ServiceDateTo=2025-11-24&amp;DumpsterInvNr=13-P-102410", "13-P-102410")</f>
        <v>13-P-102410</v>
      </c>
      <c r="C2498">
        <v>5</v>
      </c>
      <c r="D2498" t="s">
        <v>3575</v>
      </c>
      <c r="E2498" t="s">
        <v>11</v>
      </c>
      <c r="F2498" t="s">
        <v>13</v>
      </c>
      <c r="G2498" t="s">
        <v>1917</v>
      </c>
      <c r="H2498" t="s">
        <v>432</v>
      </c>
    </row>
    <row r="2499" spans="1:8" hidden="1" x14ac:dyDescent="0.25">
      <c r="A2499" t="s">
        <v>3254</v>
      </c>
      <c r="B2499" s="1" t="str">
        <f>HYPERLINK("https://asmlis.vasa.lt/Dashboard/Served?ServiceDateFrom=2025-11-24&amp;ServiceDateTo=2025-11-24&amp;DumpsterInvNr=13-P-416556", "13-P-416556")</f>
        <v>13-P-416556</v>
      </c>
      <c r="C2499">
        <v>0.24</v>
      </c>
      <c r="D2499" t="s">
        <v>3576</v>
      </c>
      <c r="E2499" t="s">
        <v>11</v>
      </c>
      <c r="G2499" t="s">
        <v>264</v>
      </c>
      <c r="H2499" t="s">
        <v>14</v>
      </c>
    </row>
    <row r="2500" spans="1:8" hidden="1" x14ac:dyDescent="0.25">
      <c r="A2500" t="s">
        <v>3229</v>
      </c>
      <c r="B2500" s="1" t="str">
        <f>HYPERLINK("https://asmlis.vasa.lt/Dashboard/Served?ServiceDateFrom=2025-11-24&amp;ServiceDateTo=2025-11-24&amp;DumpsterInvNr=13-P-209555", "13-P-209555")</f>
        <v>13-P-209555</v>
      </c>
      <c r="C2500">
        <v>0.24</v>
      </c>
      <c r="D2500" t="s">
        <v>3578</v>
      </c>
      <c r="E2500" t="s">
        <v>11</v>
      </c>
      <c r="G2500" t="s">
        <v>234</v>
      </c>
      <c r="H2500" t="s">
        <v>14</v>
      </c>
    </row>
    <row r="2501" spans="1:8" hidden="1" x14ac:dyDescent="0.25">
      <c r="A2501" t="s">
        <v>3579</v>
      </c>
      <c r="B2501" s="1" t="str">
        <f>HYPERLINK("https://asmlis.vasa.lt/Dashboard/Served?ServiceDateFrom=2025-11-24&amp;ServiceDateTo=2025-11-24&amp;DumpsterInvNr=13-L-124949", "13-L-124949")</f>
        <v>13-L-124949</v>
      </c>
      <c r="C2501">
        <v>0.12</v>
      </c>
      <c r="D2501" t="s">
        <v>3580</v>
      </c>
      <c r="E2501" t="s">
        <v>11</v>
      </c>
      <c r="G2501" t="s">
        <v>430</v>
      </c>
      <c r="H2501" t="s">
        <v>432</v>
      </c>
    </row>
    <row r="2502" spans="1:8" hidden="1" x14ac:dyDescent="0.25">
      <c r="A2502" t="s">
        <v>3579</v>
      </c>
      <c r="B2502" s="1" t="str">
        <f>HYPERLINK("https://asmlis.vasa.lt/Dashboard/Served?ServiceDateFrom=2025-11-24&amp;ServiceDateTo=2025-11-24&amp;DumpsterInvNr=13-S-401434", "13-S-401434")</f>
        <v>13-S-401434</v>
      </c>
      <c r="C2502">
        <v>0.12</v>
      </c>
      <c r="D2502" t="s">
        <v>3582</v>
      </c>
      <c r="E2502" t="s">
        <v>11</v>
      </c>
      <c r="F2502" t="s">
        <v>1209</v>
      </c>
      <c r="G2502" t="s">
        <v>264</v>
      </c>
      <c r="H2502" t="s">
        <v>14</v>
      </c>
    </row>
    <row r="2503" spans="1:8" hidden="1" x14ac:dyDescent="0.25">
      <c r="A2503" t="s">
        <v>3252</v>
      </c>
      <c r="B2503" s="1" t="str">
        <f>HYPERLINK("https://asmlis.vasa.lt/Dashboard/Served?ServiceDateFrom=2025-11-24&amp;ServiceDateTo=2025-11-24&amp;DumpsterInvNr=13-T-000080", "13-T-000080")</f>
        <v>13-T-000080</v>
      </c>
      <c r="C2503">
        <v>2.5</v>
      </c>
      <c r="D2503" t="s">
        <v>3584</v>
      </c>
      <c r="E2503" t="s">
        <v>11</v>
      </c>
      <c r="F2503" t="s">
        <v>13</v>
      </c>
      <c r="G2503" t="s">
        <v>1899</v>
      </c>
      <c r="H2503" t="s">
        <v>432</v>
      </c>
    </row>
    <row r="2504" spans="1:8" hidden="1" x14ac:dyDescent="0.25">
      <c r="A2504" t="s">
        <v>3585</v>
      </c>
      <c r="B2504" s="1" t="str">
        <f>HYPERLINK("https://asmlis.vasa.lt/Dashboard/Served?ServiceDateFrom=2025-11-24&amp;ServiceDateTo=2025-11-24&amp;DumpsterInvNr=13-P-508458", "13-P-508458")</f>
        <v>13-P-508458</v>
      </c>
      <c r="C2504">
        <v>0.12</v>
      </c>
      <c r="D2504" t="s">
        <v>3580</v>
      </c>
      <c r="E2504" t="s">
        <v>11</v>
      </c>
      <c r="G2504" t="s">
        <v>2178</v>
      </c>
      <c r="H2504" t="s">
        <v>432</v>
      </c>
    </row>
    <row r="2505" spans="1:8" hidden="1" x14ac:dyDescent="0.25">
      <c r="A2505" t="s">
        <v>3343</v>
      </c>
      <c r="B2505" s="1" t="str">
        <f>HYPERLINK("https://asmlis.vasa.lt/Dashboard/Served?ServiceDateFrom=2025-11-24&amp;ServiceDateTo=2025-11-24&amp;DumpsterInvNr=13-T-000079", "13-T-000079")</f>
        <v>13-T-000079</v>
      </c>
      <c r="C2505">
        <v>2.5</v>
      </c>
      <c r="D2505" t="s">
        <v>3584</v>
      </c>
      <c r="E2505" t="s">
        <v>11</v>
      </c>
      <c r="F2505" t="s">
        <v>13</v>
      </c>
      <c r="G2505" t="s">
        <v>1899</v>
      </c>
      <c r="H2505" t="s">
        <v>432</v>
      </c>
    </row>
    <row r="2506" spans="1:8" hidden="1" x14ac:dyDescent="0.25">
      <c r="A2506" t="s">
        <v>3343</v>
      </c>
      <c r="B2506" s="1" t="str">
        <f>HYPERLINK("https://asmlis.vasa.lt/Dashboard/Served?ServiceDateFrom=2025-11-24&amp;ServiceDateTo=2025-11-24&amp;DumpsterInvNr=13-P-300309", "13-P-300309")</f>
        <v>13-P-300309</v>
      </c>
      <c r="C2506">
        <v>1.1000000000000001</v>
      </c>
      <c r="D2506" t="s">
        <v>3559</v>
      </c>
      <c r="E2506" t="s">
        <v>11</v>
      </c>
      <c r="F2506" t="s">
        <v>13</v>
      </c>
      <c r="G2506" t="s">
        <v>412</v>
      </c>
      <c r="H2506" t="s">
        <v>14</v>
      </c>
    </row>
    <row r="2507" spans="1:8" hidden="1" x14ac:dyDescent="0.25">
      <c r="A2507" t="s">
        <v>3343</v>
      </c>
      <c r="B2507" s="1" t="str">
        <f>HYPERLINK("https://asmlis.vasa.lt/Dashboard/Served?ServiceDateFrom=2025-11-24&amp;ServiceDateTo=2025-11-24&amp;DumpsterInvNr=13-P-408929", "13-P-408929")</f>
        <v>13-P-408929</v>
      </c>
      <c r="C2507">
        <v>0.24</v>
      </c>
      <c r="D2507" t="s">
        <v>3582</v>
      </c>
      <c r="E2507" t="s">
        <v>11</v>
      </c>
      <c r="F2507" t="s">
        <v>1209</v>
      </c>
      <c r="G2507" t="s">
        <v>264</v>
      </c>
      <c r="H2507" t="s">
        <v>14</v>
      </c>
    </row>
    <row r="2508" spans="1:8" hidden="1" x14ac:dyDescent="0.25">
      <c r="A2508" t="s">
        <v>3587</v>
      </c>
      <c r="B2508" s="1" t="str">
        <f>HYPERLINK("https://asmlis.vasa.lt/Dashboard/Served?ServiceDateFrom=2025-11-24&amp;ServiceDateTo=2025-11-24&amp;DumpsterInvNr=13-L-317929", "13-L-317929")</f>
        <v>13-L-317929</v>
      </c>
      <c r="C2508">
        <v>1.1000000000000001</v>
      </c>
      <c r="D2508" t="s">
        <v>3571</v>
      </c>
      <c r="E2508" t="s">
        <v>11</v>
      </c>
      <c r="G2508" t="s">
        <v>9</v>
      </c>
      <c r="H2508" t="s">
        <v>14</v>
      </c>
    </row>
    <row r="2509" spans="1:8" hidden="1" x14ac:dyDescent="0.25">
      <c r="A2509" t="s">
        <v>3387</v>
      </c>
      <c r="B2509" s="1" t="str">
        <f>HYPERLINK("https://asmlis.vasa.lt/Dashboard/Served?ServiceDateFrom=2025-11-24&amp;ServiceDateTo=2025-11-24&amp;DumpsterInvNr=13-P-300311", "13-P-300311")</f>
        <v>13-P-300311</v>
      </c>
      <c r="C2509">
        <v>1.1000000000000001</v>
      </c>
      <c r="D2509" t="s">
        <v>3559</v>
      </c>
      <c r="E2509" t="s">
        <v>11</v>
      </c>
      <c r="F2509" t="s">
        <v>13</v>
      </c>
      <c r="G2509" t="s">
        <v>412</v>
      </c>
      <c r="H2509" t="s">
        <v>14</v>
      </c>
    </row>
    <row r="2510" spans="1:8" hidden="1" x14ac:dyDescent="0.25">
      <c r="A2510" t="s">
        <v>3588</v>
      </c>
      <c r="B2510" s="1" t="str">
        <f>HYPERLINK("https://asmlis.vasa.lt/Dashboard/Served?ServiceDateFrom=2025-11-24&amp;ServiceDateTo=2025-11-24&amp;DumpsterInvNr=13-P-302047", "13-P-302047")</f>
        <v>13-P-302047</v>
      </c>
      <c r="C2510">
        <v>1.1000000000000001</v>
      </c>
      <c r="D2510" t="s">
        <v>3559</v>
      </c>
      <c r="E2510" t="s">
        <v>11</v>
      </c>
      <c r="F2510" t="s">
        <v>13</v>
      </c>
      <c r="G2510" t="s">
        <v>412</v>
      </c>
      <c r="H2510" t="s">
        <v>14</v>
      </c>
    </row>
    <row r="2511" spans="1:8" hidden="1" x14ac:dyDescent="0.25">
      <c r="A2511" t="s">
        <v>3588</v>
      </c>
      <c r="B2511" s="1" t="str">
        <f>HYPERLINK("https://asmlis.vasa.lt/Dashboard/Served?ServiceDateFrom=2025-11-24&amp;ServiceDateTo=2025-11-24&amp;DumpsterInvNr=13-P-433249", "13-P-433249")</f>
        <v>13-P-433249</v>
      </c>
      <c r="C2511">
        <v>0.24</v>
      </c>
      <c r="D2511" t="s">
        <v>3589</v>
      </c>
      <c r="E2511" t="s">
        <v>11</v>
      </c>
      <c r="F2511" t="s">
        <v>1209</v>
      </c>
      <c r="G2511" t="s">
        <v>264</v>
      </c>
      <c r="H2511" t="s">
        <v>14</v>
      </c>
    </row>
    <row r="2512" spans="1:8" hidden="1" x14ac:dyDescent="0.25">
      <c r="A2512" t="s">
        <v>3296</v>
      </c>
      <c r="B2512" s="1" t="str">
        <f>HYPERLINK("https://asmlis.vasa.lt/Dashboard/Served?ServiceDateFrom=2025-11-24&amp;ServiceDateTo=2025-11-24&amp;DumpsterInvNr=13-L-221472", "13-L-221472")</f>
        <v>13-L-221472</v>
      </c>
      <c r="C2512">
        <v>1.1000000000000001</v>
      </c>
      <c r="D2512" t="s">
        <v>3591</v>
      </c>
      <c r="E2512" t="s">
        <v>11</v>
      </c>
      <c r="G2512" t="s">
        <v>936</v>
      </c>
      <c r="H2512" t="s">
        <v>938</v>
      </c>
    </row>
    <row r="2513" spans="1:8" hidden="1" x14ac:dyDescent="0.25">
      <c r="A2513" t="s">
        <v>3592</v>
      </c>
      <c r="B2513" s="1" t="str">
        <f>HYPERLINK("https://asmlis.vasa.lt/Dashboard/Served?ServiceDateFrom=2025-11-24&amp;ServiceDateTo=2025-11-24&amp;DumpsterInvNr=13-P-300294", "13-P-300294")</f>
        <v>13-P-300294</v>
      </c>
      <c r="C2513">
        <v>1.1000000000000001</v>
      </c>
      <c r="D2513" t="s">
        <v>3559</v>
      </c>
      <c r="E2513" t="s">
        <v>11</v>
      </c>
      <c r="F2513" t="s">
        <v>13</v>
      </c>
      <c r="G2513" t="s">
        <v>412</v>
      </c>
      <c r="H2513" t="s">
        <v>14</v>
      </c>
    </row>
    <row r="2514" spans="1:8" hidden="1" x14ac:dyDescent="0.25">
      <c r="A2514" t="s">
        <v>3592</v>
      </c>
      <c r="B2514" s="1" t="str">
        <f>HYPERLINK("https://asmlis.vasa.lt/Dashboard/Served?ServiceDateFrom=2025-11-24&amp;ServiceDateTo=2025-11-24&amp;DumpsterInvNr=13-P-412923", "13-P-412923")</f>
        <v>13-P-412923</v>
      </c>
      <c r="C2514">
        <v>0.24</v>
      </c>
      <c r="D2514" t="s">
        <v>3593</v>
      </c>
      <c r="E2514" t="s">
        <v>11</v>
      </c>
      <c r="F2514" t="s">
        <v>1209</v>
      </c>
      <c r="G2514" t="s">
        <v>264</v>
      </c>
      <c r="H2514" t="s">
        <v>14</v>
      </c>
    </row>
    <row r="2515" spans="1:8" hidden="1" x14ac:dyDescent="0.25">
      <c r="A2515" t="s">
        <v>2343</v>
      </c>
      <c r="B2515" s="1" t="str">
        <f>HYPERLINK("https://asmlis.vasa.lt/Dashboard/Served?ServiceDateFrom=2025-11-24&amp;ServiceDateTo=2025-11-24&amp;DumpsterInvNr=13-S-404798", "13-S-404798")</f>
        <v>13-S-404798</v>
      </c>
      <c r="C2515">
        <v>0.12</v>
      </c>
      <c r="D2515" t="s">
        <v>3593</v>
      </c>
      <c r="E2515" t="s">
        <v>11</v>
      </c>
      <c r="F2515" t="s">
        <v>1209</v>
      </c>
      <c r="G2515" t="s">
        <v>264</v>
      </c>
      <c r="H2515" t="s">
        <v>14</v>
      </c>
    </row>
    <row r="2516" spans="1:8" hidden="1" x14ac:dyDescent="0.25">
      <c r="A2516" t="s">
        <v>3439</v>
      </c>
      <c r="B2516" s="1" t="str">
        <f>HYPERLINK("https://asmlis.vasa.lt/Dashboard/Served?ServiceDateFrom=2025-11-24&amp;ServiceDateTo=2025-11-24&amp;DumpsterInvNr=13-L-228277", "13-L-228277")</f>
        <v>13-L-228277</v>
      </c>
      <c r="C2516">
        <v>1.1000000000000001</v>
      </c>
      <c r="D2516" t="s">
        <v>3541</v>
      </c>
      <c r="E2516" t="s">
        <v>11</v>
      </c>
      <c r="G2516" t="s">
        <v>936</v>
      </c>
      <c r="H2516" t="s">
        <v>938</v>
      </c>
    </row>
    <row r="2517" spans="1:8" hidden="1" x14ac:dyDescent="0.25">
      <c r="A2517" t="s">
        <v>3315</v>
      </c>
      <c r="B2517" s="1" t="str">
        <f>HYPERLINK("https://asmlis.vasa.lt/Dashboard/Served?ServiceDateFrom=2025-11-24&amp;ServiceDateTo=2025-11-24&amp;DumpsterInvNr=13-L-126237", "13-L-126237")</f>
        <v>13-L-126237</v>
      </c>
      <c r="C2517">
        <v>0.24</v>
      </c>
      <c r="D2517" t="s">
        <v>3595</v>
      </c>
      <c r="E2517" t="s">
        <v>11</v>
      </c>
      <c r="G2517" t="s">
        <v>1912</v>
      </c>
      <c r="H2517" t="s">
        <v>432</v>
      </c>
    </row>
    <row r="2518" spans="1:8" hidden="1" x14ac:dyDescent="0.25">
      <c r="A2518" t="s">
        <v>3596</v>
      </c>
      <c r="B2518" s="1" t="str">
        <f>HYPERLINK("https://asmlis.vasa.lt/Dashboard/Served?ServiceDateFrom=2025-11-24&amp;ServiceDateTo=2025-11-24&amp;DumpsterInvNr=13-P-209777", "13-P-209777")</f>
        <v>13-P-209777</v>
      </c>
      <c r="C2518">
        <v>0.24</v>
      </c>
      <c r="D2518" t="s">
        <v>3597</v>
      </c>
      <c r="E2518" t="s">
        <v>11</v>
      </c>
      <c r="G2518" t="s">
        <v>234</v>
      </c>
      <c r="H2518" t="s">
        <v>14</v>
      </c>
    </row>
    <row r="2519" spans="1:8" hidden="1" x14ac:dyDescent="0.25">
      <c r="A2519" t="s">
        <v>3598</v>
      </c>
      <c r="B2519" s="1" t="str">
        <f>HYPERLINK("https://asmlis.vasa.lt/Dashboard/Served?ServiceDateFrom=2025-11-24&amp;ServiceDateTo=2025-11-24&amp;DumpsterInvNr=13-P-103419", "13-P-103419")</f>
        <v>13-P-103419</v>
      </c>
      <c r="C2519">
        <v>0.24</v>
      </c>
      <c r="D2519" t="s">
        <v>3595</v>
      </c>
      <c r="E2519" t="s">
        <v>11</v>
      </c>
      <c r="G2519" t="s">
        <v>1917</v>
      </c>
      <c r="H2519" t="s">
        <v>432</v>
      </c>
    </row>
    <row r="2520" spans="1:8" hidden="1" x14ac:dyDescent="0.25">
      <c r="A2520" t="s">
        <v>3599</v>
      </c>
      <c r="B2520" s="1" t="str">
        <f>HYPERLINK("https://asmlis.vasa.lt/Dashboard/Served?ServiceDateFrom=2025-11-24&amp;ServiceDateTo=2025-11-24&amp;DumpsterInvNr=13-L-206793", "13-L-206793")</f>
        <v>13-L-206793</v>
      </c>
      <c r="C2520">
        <v>1.1000000000000001</v>
      </c>
      <c r="D2520" t="s">
        <v>3541</v>
      </c>
      <c r="E2520" t="s">
        <v>11</v>
      </c>
      <c r="F2520" t="s">
        <v>13</v>
      </c>
      <c r="G2520" t="s">
        <v>936</v>
      </c>
      <c r="H2520" t="s">
        <v>938</v>
      </c>
    </row>
    <row r="2521" spans="1:8" hidden="1" x14ac:dyDescent="0.25">
      <c r="A2521" t="s">
        <v>3490</v>
      </c>
      <c r="B2521" s="1" t="str">
        <f>HYPERLINK("https://asmlis.vasa.lt/Dashboard/Served?ServiceDateFrom=2025-11-24&amp;ServiceDateTo=2025-11-24&amp;DumpsterInvNr=13-L-223750", "13-L-223750")</f>
        <v>13-L-223750</v>
      </c>
      <c r="C2521">
        <v>1.1000000000000001</v>
      </c>
      <c r="D2521" t="s">
        <v>3541</v>
      </c>
      <c r="E2521" t="s">
        <v>11</v>
      </c>
      <c r="F2521" t="s">
        <v>13</v>
      </c>
      <c r="G2521" t="s">
        <v>936</v>
      </c>
      <c r="H2521" t="s">
        <v>938</v>
      </c>
    </row>
    <row r="2522" spans="1:8" hidden="1" x14ac:dyDescent="0.25">
      <c r="A2522" t="s">
        <v>3600</v>
      </c>
      <c r="B2522" s="1" t="str">
        <f>HYPERLINK("https://asmlis.vasa.lt/Dashboard/Served?ServiceDateFrom=2025-11-24&amp;ServiceDateTo=2025-11-24&amp;DumpsterInvNr=13-L-117675", "13-L-117675")</f>
        <v>13-L-117675</v>
      </c>
      <c r="C2522">
        <v>1.1000000000000001</v>
      </c>
      <c r="D2522" t="s">
        <v>3601</v>
      </c>
      <c r="E2522" t="s">
        <v>11</v>
      </c>
      <c r="G2522" t="s">
        <v>1912</v>
      </c>
      <c r="H2522" t="s">
        <v>432</v>
      </c>
    </row>
    <row r="2523" spans="1:8" hidden="1" x14ac:dyDescent="0.25">
      <c r="A2523" t="s">
        <v>3602</v>
      </c>
      <c r="B2523" s="1" t="str">
        <f>HYPERLINK("https://asmlis.vasa.lt/Dashboard/Served?ServiceDateFrom=2025-11-24&amp;ServiceDateTo=2025-11-24&amp;DumpsterInvNr=13-L-224773", "13-L-224773")</f>
        <v>13-L-224773</v>
      </c>
      <c r="C2523">
        <v>1.1000000000000001</v>
      </c>
      <c r="D2523" t="s">
        <v>3541</v>
      </c>
      <c r="E2523" t="s">
        <v>11</v>
      </c>
      <c r="F2523" t="s">
        <v>13</v>
      </c>
      <c r="G2523" t="s">
        <v>936</v>
      </c>
      <c r="H2523" t="s">
        <v>938</v>
      </c>
    </row>
    <row r="2524" spans="1:8" hidden="1" x14ac:dyDescent="0.25">
      <c r="A2524" t="s">
        <v>3330</v>
      </c>
      <c r="B2524" s="1" t="str">
        <f>HYPERLINK("https://asmlis.vasa.lt/Dashboard/Served?ServiceDateFrom=2025-11-24&amp;ServiceDateTo=2025-11-24&amp;DumpsterInvNr=13-S-103283", "13-S-103283")</f>
        <v>13-S-103283</v>
      </c>
      <c r="C2524">
        <v>0.12</v>
      </c>
      <c r="D2524" t="s">
        <v>3595</v>
      </c>
      <c r="E2524" t="s">
        <v>11</v>
      </c>
      <c r="F2524" t="s">
        <v>1209</v>
      </c>
      <c r="G2524" t="s">
        <v>1917</v>
      </c>
      <c r="H2524" t="s">
        <v>432</v>
      </c>
    </row>
    <row r="2525" spans="1:8" hidden="1" x14ac:dyDescent="0.25">
      <c r="A2525" t="s">
        <v>3330</v>
      </c>
      <c r="B2525" s="1" t="str">
        <f>HYPERLINK("https://asmlis.vasa.lt/Dashboard/Served?ServiceDateFrom=2025-11-24&amp;ServiceDateTo=2025-11-24&amp;DumpsterInvNr=13-P-306796", "13-P-306796")</f>
        <v>13-P-306796</v>
      </c>
      <c r="C2525">
        <v>5</v>
      </c>
      <c r="D2525" t="s">
        <v>1331</v>
      </c>
      <c r="E2525" t="s">
        <v>11</v>
      </c>
      <c r="F2525" t="s">
        <v>13</v>
      </c>
      <c r="G2525" t="s">
        <v>412</v>
      </c>
      <c r="H2525" t="s">
        <v>14</v>
      </c>
    </row>
    <row r="2526" spans="1:8" hidden="1" x14ac:dyDescent="0.25">
      <c r="A2526" t="s">
        <v>3603</v>
      </c>
      <c r="B2526" s="1" t="str">
        <f>HYPERLINK("https://asmlis.vasa.lt/Dashboard/Served?ServiceDateFrom=2025-11-24&amp;ServiceDateTo=2025-11-24&amp;DumpsterInvNr=13-L-227753", "13-L-227753")</f>
        <v>13-L-227753</v>
      </c>
      <c r="C2526">
        <v>0.24</v>
      </c>
      <c r="D2526" t="s">
        <v>3155</v>
      </c>
      <c r="E2526" t="s">
        <v>11</v>
      </c>
      <c r="G2526" t="s">
        <v>936</v>
      </c>
      <c r="H2526" t="s">
        <v>938</v>
      </c>
    </row>
    <row r="2527" spans="1:8" hidden="1" x14ac:dyDescent="0.25">
      <c r="A2527" t="s">
        <v>3604</v>
      </c>
      <c r="B2527" s="1" t="str">
        <f>HYPERLINK("https://asmlis.vasa.lt/Dashboard/Served?ServiceDateFrom=2025-11-24&amp;ServiceDateTo=2025-11-24&amp;DumpsterInvNr=13-L-304368", "13-L-304368")</f>
        <v>13-L-304368</v>
      </c>
      <c r="C2527">
        <v>5</v>
      </c>
      <c r="D2527" t="s">
        <v>3605</v>
      </c>
      <c r="E2527" t="s">
        <v>11</v>
      </c>
      <c r="F2527" t="s">
        <v>13</v>
      </c>
      <c r="G2527" t="s">
        <v>9</v>
      </c>
      <c r="H2527" t="s">
        <v>14</v>
      </c>
    </row>
    <row r="2528" spans="1:8" hidden="1" x14ac:dyDescent="0.25">
      <c r="A2528" t="s">
        <v>3606</v>
      </c>
      <c r="B2528" s="1" t="str">
        <f>HYPERLINK("https://asmlis.vasa.lt/Dashboard/Served?ServiceDateFrom=2025-11-24&amp;ServiceDateTo=2025-11-24&amp;DumpsterInvNr=13-P-500450", "13-P-500450")</f>
        <v>13-P-500450</v>
      </c>
      <c r="C2528">
        <v>3</v>
      </c>
      <c r="D2528" t="s">
        <v>3608</v>
      </c>
      <c r="E2528" t="s">
        <v>11</v>
      </c>
      <c r="F2528" t="s">
        <v>13</v>
      </c>
      <c r="G2528" t="s">
        <v>2178</v>
      </c>
      <c r="H2528" t="s">
        <v>432</v>
      </c>
    </row>
    <row r="2529" spans="1:8" hidden="1" x14ac:dyDescent="0.25">
      <c r="A2529" t="s">
        <v>3610</v>
      </c>
      <c r="B2529" s="1" t="str">
        <f>HYPERLINK("https://asmlis.vasa.lt/Dashboard/Served?ServiceDateFrom=2025-11-24&amp;ServiceDateTo=2025-11-24&amp;DumpsterInvNr=13-L-210163", "13-L-210163")</f>
        <v>13-L-210163</v>
      </c>
      <c r="C2529">
        <v>0.12</v>
      </c>
      <c r="D2529" t="s">
        <v>3611</v>
      </c>
      <c r="E2529" t="s">
        <v>11</v>
      </c>
      <c r="G2529" t="s">
        <v>936</v>
      </c>
      <c r="H2529" t="s">
        <v>938</v>
      </c>
    </row>
    <row r="2530" spans="1:8" hidden="1" x14ac:dyDescent="0.25">
      <c r="A2530" t="s">
        <v>3610</v>
      </c>
      <c r="B2530" s="1" t="str">
        <f>HYPERLINK("https://asmlis.vasa.lt/Dashboard/Served?ServiceDateFrom=2025-11-24&amp;ServiceDateTo=2025-11-24&amp;DumpsterInvNr=13-L-223305", "13-L-223305")</f>
        <v>13-L-223305</v>
      </c>
      <c r="C2530">
        <v>1.1000000000000001</v>
      </c>
      <c r="D2530" t="s">
        <v>3541</v>
      </c>
      <c r="E2530" t="s">
        <v>11</v>
      </c>
      <c r="F2530" t="s">
        <v>13</v>
      </c>
      <c r="G2530" t="s">
        <v>936</v>
      </c>
      <c r="H2530" t="s">
        <v>938</v>
      </c>
    </row>
    <row r="2531" spans="1:8" hidden="1" x14ac:dyDescent="0.25">
      <c r="A2531" t="s">
        <v>3610</v>
      </c>
      <c r="B2531" s="1" t="str">
        <f>HYPERLINK("https://asmlis.vasa.lt/Dashboard/Served?ServiceDateFrom=2025-11-24&amp;ServiceDateTo=2025-11-24&amp;DumpsterInvNr=13-P-505050", "13-P-505050")</f>
        <v>13-P-505050</v>
      </c>
      <c r="C2531">
        <v>0.12</v>
      </c>
      <c r="D2531" t="s">
        <v>3612</v>
      </c>
      <c r="E2531" t="s">
        <v>11</v>
      </c>
      <c r="G2531" t="s">
        <v>2178</v>
      </c>
      <c r="H2531" t="s">
        <v>432</v>
      </c>
    </row>
    <row r="2532" spans="1:8" hidden="1" x14ac:dyDescent="0.25">
      <c r="A2532" t="s">
        <v>3613</v>
      </c>
      <c r="B2532" s="1" t="str">
        <f>HYPERLINK("https://asmlis.vasa.lt/Dashboard/Served?ServiceDateFrom=2025-11-24&amp;ServiceDateTo=2025-11-24&amp;DumpsterInvNr=13-L-217685", "13-L-217685")</f>
        <v>13-L-217685</v>
      </c>
      <c r="C2532">
        <v>0.24</v>
      </c>
      <c r="D2532" t="s">
        <v>3614</v>
      </c>
      <c r="E2532" t="s">
        <v>11</v>
      </c>
      <c r="F2532" t="s">
        <v>1209</v>
      </c>
      <c r="G2532" t="s">
        <v>936</v>
      </c>
      <c r="H2532" t="s">
        <v>938</v>
      </c>
    </row>
    <row r="2533" spans="1:8" hidden="1" x14ac:dyDescent="0.25">
      <c r="A2533" t="s">
        <v>3615</v>
      </c>
      <c r="B2533" s="1" t="str">
        <f>HYPERLINK("https://asmlis.vasa.lt/Dashboard/Served?ServiceDateFrom=2025-11-24&amp;ServiceDateTo=2025-11-24&amp;DumpsterInvNr=13-L-303428", "13-L-303428")</f>
        <v>13-L-303428</v>
      </c>
      <c r="C2533">
        <v>0.24</v>
      </c>
      <c r="D2533" t="s">
        <v>3616</v>
      </c>
      <c r="E2533" t="s">
        <v>11</v>
      </c>
      <c r="F2533" t="s">
        <v>13</v>
      </c>
      <c r="G2533" t="s">
        <v>9</v>
      </c>
      <c r="H2533" t="s">
        <v>14</v>
      </c>
    </row>
    <row r="2534" spans="1:8" hidden="1" x14ac:dyDescent="0.25">
      <c r="A2534" t="s">
        <v>3337</v>
      </c>
      <c r="B2534" s="1" t="str">
        <f>HYPERLINK("https://asmlis.vasa.lt/Dashboard/Served?ServiceDateFrom=2025-11-24&amp;ServiceDateTo=2025-11-24&amp;DumpsterInvNr=13-L-214041", "13-L-214041")</f>
        <v>13-L-214041</v>
      </c>
      <c r="C2534">
        <v>1.1000000000000001</v>
      </c>
      <c r="D2534" t="s">
        <v>3591</v>
      </c>
      <c r="E2534" t="s">
        <v>11</v>
      </c>
      <c r="G2534" t="s">
        <v>936</v>
      </c>
      <c r="H2534" t="s">
        <v>938</v>
      </c>
    </row>
    <row r="2535" spans="1:8" hidden="1" x14ac:dyDescent="0.25">
      <c r="A2535" t="s">
        <v>3337</v>
      </c>
      <c r="B2535" s="1" t="str">
        <f>HYPERLINK("https://asmlis.vasa.lt/Dashboard/Served?ServiceDateFrom=2025-11-24&amp;ServiceDateTo=2025-11-24&amp;DumpsterInvNr=13-L-317184", "13-L-317184")</f>
        <v>13-L-317184</v>
      </c>
      <c r="C2535">
        <v>1.1000000000000001</v>
      </c>
      <c r="D2535" t="s">
        <v>3571</v>
      </c>
      <c r="E2535" t="s">
        <v>11</v>
      </c>
      <c r="G2535" t="s">
        <v>9</v>
      </c>
      <c r="H2535" t="s">
        <v>14</v>
      </c>
    </row>
    <row r="2536" spans="1:8" hidden="1" x14ac:dyDescent="0.25">
      <c r="A2536" t="s">
        <v>3617</v>
      </c>
      <c r="B2536" s="1" t="str">
        <f>HYPERLINK("https://asmlis.vasa.lt/Dashboard/Served?ServiceDateFrom=2025-11-24&amp;ServiceDateTo=2025-11-24&amp;DumpsterInvNr=13-S-500461", "13-S-500461")</f>
        <v>13-S-500461</v>
      </c>
      <c r="C2536">
        <v>0.12</v>
      </c>
      <c r="D2536" t="s">
        <v>3612</v>
      </c>
      <c r="E2536" t="s">
        <v>11</v>
      </c>
      <c r="F2536" t="s">
        <v>1209</v>
      </c>
      <c r="G2536" t="s">
        <v>2178</v>
      </c>
      <c r="H2536" t="s">
        <v>432</v>
      </c>
    </row>
    <row r="2537" spans="1:8" hidden="1" x14ac:dyDescent="0.25">
      <c r="A2537" t="s">
        <v>3617</v>
      </c>
      <c r="B2537" s="1" t="str">
        <f>HYPERLINK("https://asmlis.vasa.lt/Dashboard/Served?ServiceDateFrom=2025-11-24&amp;ServiceDateTo=2025-11-24&amp;DumpsterInvNr=13-L-226523", "13-L-226523")</f>
        <v>13-L-226523</v>
      </c>
      <c r="C2537">
        <v>0.24</v>
      </c>
      <c r="D2537" t="s">
        <v>3155</v>
      </c>
      <c r="E2537" t="s">
        <v>11</v>
      </c>
      <c r="F2537" t="s">
        <v>1209</v>
      </c>
      <c r="G2537" t="s">
        <v>936</v>
      </c>
      <c r="H2537" t="s">
        <v>938</v>
      </c>
    </row>
    <row r="2538" spans="1:8" hidden="1" x14ac:dyDescent="0.25">
      <c r="A2538" t="s">
        <v>3619</v>
      </c>
      <c r="B2538" s="1" t="str">
        <f>HYPERLINK("https://asmlis.vasa.lt/Dashboard/Served?ServiceDateFrom=2025-11-24&amp;ServiceDateTo=2025-11-24&amp;DumpsterInvNr=13-L-311325", "13-L-311325")</f>
        <v>13-L-311325</v>
      </c>
      <c r="C2538">
        <v>0.66</v>
      </c>
      <c r="D2538" t="s">
        <v>3616</v>
      </c>
      <c r="E2538" t="s">
        <v>11</v>
      </c>
      <c r="F2538" t="s">
        <v>13</v>
      </c>
      <c r="G2538" t="s">
        <v>9</v>
      </c>
      <c r="H2538" t="s">
        <v>14</v>
      </c>
    </row>
    <row r="2539" spans="1:8" hidden="1" x14ac:dyDescent="0.25">
      <c r="A2539" t="s">
        <v>3620</v>
      </c>
      <c r="B2539" s="1" t="str">
        <f>HYPERLINK("https://asmlis.vasa.lt/Dashboard/Served?ServiceDateFrom=2025-11-24&amp;ServiceDateTo=2025-11-24&amp;DumpsterInvNr=13-L-124950", "13-L-124950")</f>
        <v>13-L-124950</v>
      </c>
      <c r="C2539">
        <v>0.12</v>
      </c>
      <c r="D2539" t="s">
        <v>3612</v>
      </c>
      <c r="E2539" t="s">
        <v>11</v>
      </c>
      <c r="G2539" t="s">
        <v>430</v>
      </c>
      <c r="H2539" t="s">
        <v>432</v>
      </c>
    </row>
    <row r="2540" spans="1:8" hidden="1" x14ac:dyDescent="0.25">
      <c r="A2540" t="s">
        <v>3621</v>
      </c>
      <c r="B2540" s="1" t="str">
        <f>HYPERLINK("https://asmlis.vasa.lt/Dashboard/Served?ServiceDateFrom=2025-11-24&amp;ServiceDateTo=2025-11-24&amp;DumpsterInvNr=13-L-227705", "13-L-227705")</f>
        <v>13-L-227705</v>
      </c>
      <c r="C2540">
        <v>0.24</v>
      </c>
      <c r="D2540" t="s">
        <v>3154</v>
      </c>
      <c r="E2540" t="s">
        <v>11</v>
      </c>
      <c r="F2540" t="s">
        <v>1209</v>
      </c>
      <c r="G2540" t="s">
        <v>936</v>
      </c>
      <c r="H2540" t="s">
        <v>938</v>
      </c>
    </row>
    <row r="2541" spans="1:8" hidden="1" x14ac:dyDescent="0.25">
      <c r="A2541" t="s">
        <v>3622</v>
      </c>
      <c r="B2541" s="1" t="str">
        <f>HYPERLINK("https://asmlis.vasa.lt/Dashboard/Served?ServiceDateFrom=2025-11-24&amp;ServiceDateTo=2025-11-24&amp;DumpsterInvNr=13-L-302334", "13-L-302334")</f>
        <v>13-L-302334</v>
      </c>
      <c r="C2541">
        <v>0.66</v>
      </c>
      <c r="D2541" t="s">
        <v>3623</v>
      </c>
      <c r="E2541" t="s">
        <v>11</v>
      </c>
      <c r="F2541" t="s">
        <v>13</v>
      </c>
      <c r="G2541" t="s">
        <v>9</v>
      </c>
      <c r="H2541" t="s">
        <v>14</v>
      </c>
    </row>
    <row r="2542" spans="1:8" hidden="1" x14ac:dyDescent="0.25">
      <c r="A2542" t="s">
        <v>3351</v>
      </c>
      <c r="B2542" s="1" t="str">
        <f>HYPERLINK("https://asmlis.vasa.lt/Dashboard/Served?ServiceDateFrom=2025-11-24&amp;ServiceDateTo=2025-11-24&amp;DumpsterInvNr=13-P-210877", "13-P-210877")</f>
        <v>13-P-210877</v>
      </c>
      <c r="C2542">
        <v>0.24</v>
      </c>
      <c r="D2542" t="s">
        <v>3624</v>
      </c>
      <c r="E2542" t="s">
        <v>11</v>
      </c>
      <c r="G2542" t="s">
        <v>234</v>
      </c>
      <c r="H2542" t="s">
        <v>14</v>
      </c>
    </row>
    <row r="2543" spans="1:8" hidden="1" x14ac:dyDescent="0.25">
      <c r="A2543" t="s">
        <v>3351</v>
      </c>
      <c r="B2543" s="1" t="str">
        <f>HYPERLINK("https://asmlis.vasa.lt/Dashboard/Served?ServiceDateFrom=2025-11-24&amp;ServiceDateTo=2025-11-24&amp;DumpsterInvNr=13-L-226536", "13-L-226536")</f>
        <v>13-L-226536</v>
      </c>
      <c r="C2543">
        <v>0.24</v>
      </c>
      <c r="D2543" t="s">
        <v>3154</v>
      </c>
      <c r="E2543" t="s">
        <v>11</v>
      </c>
      <c r="F2543" t="s">
        <v>1209</v>
      </c>
      <c r="G2543" t="s">
        <v>936</v>
      </c>
      <c r="H2543" t="s">
        <v>938</v>
      </c>
    </row>
    <row r="2544" spans="1:8" hidden="1" x14ac:dyDescent="0.25">
      <c r="A2544" t="s">
        <v>3377</v>
      </c>
      <c r="B2544" s="1" t="str">
        <f>HYPERLINK("https://asmlis.vasa.lt/Dashboard/Served?ServiceDateFrom=2025-11-24&amp;ServiceDateTo=2025-11-24&amp;DumpsterInvNr=13-S-407306", "13-S-407306")</f>
        <v>13-S-407306</v>
      </c>
      <c r="C2544">
        <v>0.12</v>
      </c>
      <c r="D2544" t="s">
        <v>3625</v>
      </c>
      <c r="E2544" t="s">
        <v>11</v>
      </c>
      <c r="G2544" t="s">
        <v>264</v>
      </c>
      <c r="H2544" t="s">
        <v>14</v>
      </c>
    </row>
    <row r="2545" spans="1:8" hidden="1" x14ac:dyDescent="0.25">
      <c r="A2545" t="s">
        <v>3626</v>
      </c>
      <c r="B2545" s="1" t="str">
        <f>HYPERLINK("https://asmlis.vasa.lt/Dashboard/Served?ServiceDateFrom=2025-11-24&amp;ServiceDateTo=2025-11-24&amp;DumpsterInvNr=13-L-139505", "13-L-139505")</f>
        <v>13-L-139505</v>
      </c>
      <c r="C2545">
        <v>5</v>
      </c>
      <c r="D2545" t="s">
        <v>3627</v>
      </c>
      <c r="E2545" t="s">
        <v>11</v>
      </c>
      <c r="F2545" t="s">
        <v>13</v>
      </c>
      <c r="G2545" t="s">
        <v>430</v>
      </c>
      <c r="H2545" t="s">
        <v>432</v>
      </c>
    </row>
    <row r="2546" spans="1:8" hidden="1" x14ac:dyDescent="0.25">
      <c r="A2546" t="s">
        <v>3626</v>
      </c>
      <c r="B2546" s="1" t="str">
        <f>HYPERLINK("https://asmlis.vasa.lt/Dashboard/Served?ServiceDateFrom=2025-11-24&amp;ServiceDateTo=2025-11-24&amp;DumpsterInvNr=13-P-209556", "13-P-209556")</f>
        <v>13-P-209556</v>
      </c>
      <c r="C2546">
        <v>0.24</v>
      </c>
      <c r="D2546" t="s">
        <v>3629</v>
      </c>
      <c r="E2546" t="s">
        <v>11</v>
      </c>
      <c r="F2546" t="s">
        <v>1209</v>
      </c>
      <c r="G2546" t="s">
        <v>234</v>
      </c>
      <c r="H2546" t="s">
        <v>14</v>
      </c>
    </row>
    <row r="2547" spans="1:8" hidden="1" x14ac:dyDescent="0.25">
      <c r="A2547" t="s">
        <v>3630</v>
      </c>
      <c r="B2547" s="1" t="str">
        <f>HYPERLINK("https://asmlis.vasa.lt/Dashboard/Served?ServiceDateFrom=2025-11-24&amp;ServiceDateTo=2025-11-24&amp;DumpsterInvNr=13-L-121108", "13-L-121108")</f>
        <v>13-L-121108</v>
      </c>
      <c r="C2547">
        <v>1.1000000000000001</v>
      </c>
      <c r="D2547" t="s">
        <v>3631</v>
      </c>
      <c r="E2547" t="s">
        <v>11</v>
      </c>
      <c r="G2547" t="s">
        <v>430</v>
      </c>
      <c r="H2547" t="s">
        <v>432</v>
      </c>
    </row>
    <row r="2548" spans="1:8" hidden="1" x14ac:dyDescent="0.25">
      <c r="A2548" t="s">
        <v>3390</v>
      </c>
      <c r="B2548" s="1" t="str">
        <f>HYPERLINK("https://asmlis.vasa.lt/Dashboard/Served?ServiceDateFrom=2025-11-24&amp;ServiceDateTo=2025-11-24&amp;DumpsterInvNr=13-L-415364", "13-L-415364")</f>
        <v>13-L-415364</v>
      </c>
      <c r="C2548">
        <v>0.24</v>
      </c>
      <c r="D2548" t="s">
        <v>3632</v>
      </c>
      <c r="E2548" t="s">
        <v>11</v>
      </c>
      <c r="G2548" t="s">
        <v>74</v>
      </c>
      <c r="H2548" t="s">
        <v>14</v>
      </c>
    </row>
    <row r="2549" spans="1:8" hidden="1" x14ac:dyDescent="0.25">
      <c r="A2549" t="s">
        <v>3633</v>
      </c>
      <c r="B2549" s="1" t="str">
        <f>HYPERLINK("https://asmlis.vasa.lt/Dashboard/Served?ServiceDateFrom=2025-11-24&amp;ServiceDateTo=2025-11-24&amp;DumpsterInvNr=13-L-119341", "13-L-119341")</f>
        <v>13-L-119341</v>
      </c>
      <c r="C2549">
        <v>0.24</v>
      </c>
      <c r="D2549" t="s">
        <v>3634</v>
      </c>
      <c r="E2549" t="s">
        <v>11</v>
      </c>
      <c r="G2549" t="s">
        <v>1912</v>
      </c>
      <c r="H2549" t="s">
        <v>432</v>
      </c>
    </row>
    <row r="2550" spans="1:8" hidden="1" x14ac:dyDescent="0.25">
      <c r="A2550" t="s">
        <v>3633</v>
      </c>
      <c r="B2550" s="1" t="str">
        <f>HYPERLINK("https://asmlis.vasa.lt/Dashboard/Served?ServiceDateFrom=2025-11-24&amp;ServiceDateTo=2025-11-24&amp;DumpsterInvNr=13-P-103400", "13-P-103400")</f>
        <v>13-P-103400</v>
      </c>
      <c r="C2550">
        <v>0.24</v>
      </c>
      <c r="D2550" t="s">
        <v>3634</v>
      </c>
      <c r="E2550" t="s">
        <v>11</v>
      </c>
      <c r="G2550" t="s">
        <v>1917</v>
      </c>
      <c r="H2550" t="s">
        <v>432</v>
      </c>
    </row>
    <row r="2551" spans="1:8" hidden="1" x14ac:dyDescent="0.25">
      <c r="A2551" t="s">
        <v>3635</v>
      </c>
      <c r="B2551" s="1" t="str">
        <f>HYPERLINK("https://asmlis.vasa.lt/Dashboard/Served?ServiceDateFrom=2025-11-24&amp;ServiceDateTo=2025-11-24&amp;DumpsterInvNr=13-P-401273", "13-P-401273")</f>
        <v>13-P-401273</v>
      </c>
      <c r="C2551">
        <v>0.24</v>
      </c>
      <c r="D2551" t="s">
        <v>3625</v>
      </c>
      <c r="E2551" t="s">
        <v>11</v>
      </c>
      <c r="G2551" t="s">
        <v>264</v>
      </c>
      <c r="H2551" t="s">
        <v>14</v>
      </c>
    </row>
    <row r="2552" spans="1:8" hidden="1" x14ac:dyDescent="0.25">
      <c r="A2552" t="s">
        <v>3441</v>
      </c>
      <c r="B2552" s="1" t="str">
        <f>HYPERLINK("https://asmlis.vasa.lt/Dashboard/Served?ServiceDateFrom=2025-11-24&amp;ServiceDateTo=2025-11-24&amp;DumpsterInvNr=13-P-433123", "13-P-433123")</f>
        <v>13-P-433123</v>
      </c>
      <c r="C2552">
        <v>0.24</v>
      </c>
      <c r="D2552" t="s">
        <v>3636</v>
      </c>
      <c r="E2552" t="s">
        <v>11</v>
      </c>
      <c r="F2552" t="s">
        <v>1209</v>
      </c>
      <c r="G2552" t="s">
        <v>264</v>
      </c>
      <c r="H2552" t="s">
        <v>14</v>
      </c>
    </row>
    <row r="2553" spans="1:8" hidden="1" x14ac:dyDescent="0.25">
      <c r="A2553" t="s">
        <v>3260</v>
      </c>
      <c r="B2553" s="1" t="str">
        <f>HYPERLINK("https://asmlis.vasa.lt/Dashboard/Served?ServiceDateFrom=2025-11-24&amp;ServiceDateTo=2025-11-24&amp;DumpsterInvNr=13-L-302335", "13-L-302335")</f>
        <v>13-L-302335</v>
      </c>
      <c r="C2553">
        <v>0.24</v>
      </c>
      <c r="D2553" t="s">
        <v>3623</v>
      </c>
      <c r="E2553" t="s">
        <v>11</v>
      </c>
      <c r="F2553" t="s">
        <v>13</v>
      </c>
      <c r="G2553" t="s">
        <v>9</v>
      </c>
      <c r="H2553" t="s">
        <v>14</v>
      </c>
    </row>
    <row r="2554" spans="1:8" hidden="1" x14ac:dyDescent="0.25">
      <c r="A2554" t="s">
        <v>3637</v>
      </c>
      <c r="B2554" s="1" t="str">
        <f>HYPERLINK("https://asmlis.vasa.lt/Dashboard/Served?ServiceDateFrom=2025-11-24&amp;ServiceDateTo=2025-11-24&amp;DumpsterInvNr=13-L-218839", "13-L-218839")</f>
        <v>13-L-218839</v>
      </c>
      <c r="C2554">
        <v>1.1000000000000001</v>
      </c>
      <c r="D2554" t="s">
        <v>3591</v>
      </c>
      <c r="E2554" t="s">
        <v>11</v>
      </c>
      <c r="F2554" t="s">
        <v>13</v>
      </c>
      <c r="G2554" t="s">
        <v>936</v>
      </c>
      <c r="H2554" t="s">
        <v>938</v>
      </c>
    </row>
    <row r="2555" spans="1:8" hidden="1" x14ac:dyDescent="0.25">
      <c r="A2555" t="s">
        <v>3638</v>
      </c>
      <c r="B2555" s="1" t="str">
        <f>HYPERLINK("https://asmlis.vasa.lt/Dashboard/Served?ServiceDateFrom=2025-11-24&amp;ServiceDateTo=2025-11-24&amp;DumpsterInvNr=13-L-121107", "13-L-121107")</f>
        <v>13-L-121107</v>
      </c>
      <c r="C2555">
        <v>1.1000000000000001</v>
      </c>
      <c r="D2555" t="s">
        <v>3631</v>
      </c>
      <c r="E2555" t="s">
        <v>11</v>
      </c>
      <c r="G2555" t="s">
        <v>430</v>
      </c>
      <c r="H2555" t="s">
        <v>432</v>
      </c>
    </row>
    <row r="2556" spans="1:8" hidden="1" x14ac:dyDescent="0.25">
      <c r="A2556" t="s">
        <v>3415</v>
      </c>
      <c r="B2556" s="1" t="str">
        <f>HYPERLINK("https://asmlis.vasa.lt/Dashboard/Served?ServiceDateFrom=2025-11-24&amp;ServiceDateTo=2025-11-24&amp;DumpsterInvNr=13-L-120113", "13-L-120113")</f>
        <v>13-L-120113</v>
      </c>
      <c r="C2556">
        <v>0.12</v>
      </c>
      <c r="D2556" t="s">
        <v>3639</v>
      </c>
      <c r="E2556" t="s">
        <v>11</v>
      </c>
      <c r="G2556" t="s">
        <v>1912</v>
      </c>
      <c r="H2556" t="s">
        <v>432</v>
      </c>
    </row>
    <row r="2557" spans="1:8" hidden="1" x14ac:dyDescent="0.25">
      <c r="A2557" t="s">
        <v>3641</v>
      </c>
      <c r="B2557" s="1" t="str">
        <f>HYPERLINK("https://asmlis.vasa.lt/Dashboard/Served?ServiceDateFrom=2025-11-24&amp;ServiceDateTo=2025-11-24&amp;DumpsterInvNr=13-P-209401", "13-P-209401")</f>
        <v>13-P-209401</v>
      </c>
      <c r="C2557">
        <v>0.24</v>
      </c>
      <c r="D2557" t="s">
        <v>3642</v>
      </c>
      <c r="E2557" t="s">
        <v>11</v>
      </c>
      <c r="G2557" t="s">
        <v>234</v>
      </c>
      <c r="H2557" t="s">
        <v>14</v>
      </c>
    </row>
    <row r="2558" spans="1:8" hidden="1" x14ac:dyDescent="0.25">
      <c r="A2558" t="s">
        <v>3643</v>
      </c>
      <c r="B2558" s="1" t="str">
        <f>HYPERLINK("https://asmlis.vasa.lt/Dashboard/Served?ServiceDateFrom=2025-11-24&amp;ServiceDateTo=2025-11-24&amp;DumpsterInvNr=13-L-314955", "13-L-314955")</f>
        <v>13-L-314955</v>
      </c>
      <c r="C2558">
        <v>0.66</v>
      </c>
      <c r="D2558" t="s">
        <v>3644</v>
      </c>
      <c r="E2558" t="s">
        <v>11</v>
      </c>
      <c r="F2558" t="s">
        <v>13</v>
      </c>
      <c r="G2558" t="s">
        <v>9</v>
      </c>
      <c r="H2558" t="s">
        <v>14</v>
      </c>
    </row>
    <row r="2559" spans="1:8" hidden="1" x14ac:dyDescent="0.25">
      <c r="A2559" t="s">
        <v>3645</v>
      </c>
      <c r="B2559" s="1" t="str">
        <f>HYPERLINK("https://asmlis.vasa.lt/Dashboard/Served?ServiceDateFrom=2025-11-24&amp;ServiceDateTo=2025-11-24&amp;DumpsterInvNr=13-P-101127", "13-P-101127")</f>
        <v>13-P-101127</v>
      </c>
      <c r="C2559">
        <v>0.12</v>
      </c>
      <c r="D2559" t="s">
        <v>3639</v>
      </c>
      <c r="E2559" t="s">
        <v>11</v>
      </c>
      <c r="G2559" t="s">
        <v>1917</v>
      </c>
      <c r="H2559" t="s">
        <v>432</v>
      </c>
    </row>
    <row r="2560" spans="1:8" hidden="1" x14ac:dyDescent="0.25">
      <c r="A2560" t="s">
        <v>3646</v>
      </c>
      <c r="B2560" s="1" t="str">
        <f>HYPERLINK("https://asmlis.vasa.lt/Dashboard/Served?ServiceDateFrom=2025-11-24&amp;ServiceDateTo=2025-11-24&amp;DumpsterInvNr=13-L-227676", "13-L-227676")</f>
        <v>13-L-227676</v>
      </c>
      <c r="C2560">
        <v>1.1000000000000001</v>
      </c>
      <c r="D2560" t="s">
        <v>3536</v>
      </c>
      <c r="E2560" t="s">
        <v>11</v>
      </c>
      <c r="G2560" t="s">
        <v>936</v>
      </c>
      <c r="H2560" t="s">
        <v>938</v>
      </c>
    </row>
    <row r="2561" spans="1:8" hidden="1" x14ac:dyDescent="0.25">
      <c r="A2561" t="s">
        <v>3647</v>
      </c>
      <c r="B2561" s="1" t="str">
        <f>HYPERLINK("https://asmlis.vasa.lt/Dashboard/Served?ServiceDateFrom=2025-11-24&amp;ServiceDateTo=2025-11-24&amp;DumpsterInvNr=13-L-303310", "13-L-303310")</f>
        <v>13-L-303310</v>
      </c>
      <c r="C2561">
        <v>0.66</v>
      </c>
      <c r="D2561" t="s">
        <v>3644</v>
      </c>
      <c r="E2561" t="s">
        <v>11</v>
      </c>
      <c r="F2561" t="s">
        <v>13</v>
      </c>
      <c r="G2561" t="s">
        <v>9</v>
      </c>
      <c r="H2561" t="s">
        <v>14</v>
      </c>
    </row>
    <row r="2562" spans="1:8" hidden="1" x14ac:dyDescent="0.25">
      <c r="A2562" t="s">
        <v>3648</v>
      </c>
      <c r="B2562" s="1" t="str">
        <f>HYPERLINK("https://asmlis.vasa.lt/Dashboard/Served?ServiceDateFrom=2025-11-24&amp;ServiceDateTo=2025-11-24&amp;DumpsterInvNr=13-L-124948", "13-L-124948")</f>
        <v>13-L-124948</v>
      </c>
      <c r="C2562">
        <v>0.24</v>
      </c>
      <c r="D2562" t="s">
        <v>3649</v>
      </c>
      <c r="E2562" t="s">
        <v>11</v>
      </c>
      <c r="G2562" t="s">
        <v>430</v>
      </c>
      <c r="H2562" t="s">
        <v>432</v>
      </c>
    </row>
    <row r="2563" spans="1:8" hidden="1" x14ac:dyDescent="0.25">
      <c r="A2563" t="s">
        <v>3436</v>
      </c>
      <c r="B2563" s="1" t="str">
        <f>HYPERLINK("https://asmlis.vasa.lt/Dashboard/Served?ServiceDateFrom=2025-11-24&amp;ServiceDateTo=2025-11-24&amp;DumpsterInvNr=13-L-117679", "13-L-117679")</f>
        <v>13-L-117679</v>
      </c>
      <c r="C2563">
        <v>1.1000000000000001</v>
      </c>
      <c r="D2563" t="s">
        <v>3409</v>
      </c>
      <c r="E2563" t="s">
        <v>11</v>
      </c>
      <c r="G2563" t="s">
        <v>1912</v>
      </c>
      <c r="H2563" t="s">
        <v>432</v>
      </c>
    </row>
    <row r="2564" spans="1:8" hidden="1" x14ac:dyDescent="0.25">
      <c r="A2564" t="s">
        <v>3651</v>
      </c>
      <c r="B2564" s="1" t="str">
        <f>HYPERLINK("https://asmlis.vasa.lt/Dashboard/Served?ServiceDateFrom=2025-11-24&amp;ServiceDateTo=2025-11-24&amp;DumpsterInvNr=13-L-424092", "13-L-424092")</f>
        <v>13-L-424092</v>
      </c>
      <c r="C2564">
        <v>1.1000000000000001</v>
      </c>
      <c r="D2564" t="s">
        <v>1694</v>
      </c>
      <c r="E2564" t="s">
        <v>11</v>
      </c>
      <c r="G2564" t="s">
        <v>74</v>
      </c>
      <c r="H2564" t="s">
        <v>14</v>
      </c>
    </row>
    <row r="2565" spans="1:8" hidden="1" x14ac:dyDescent="0.25">
      <c r="A2565" t="s">
        <v>3652</v>
      </c>
      <c r="B2565" s="1" t="str">
        <f>HYPERLINK("https://asmlis.vasa.lt/Dashboard/Served?ServiceDateFrom=2025-11-24&amp;ServiceDateTo=2025-11-24&amp;DumpsterInvNr=13-P-116459", "13-P-116459")</f>
        <v>13-P-116459</v>
      </c>
      <c r="C2565">
        <v>1.1000000000000001</v>
      </c>
      <c r="D2565" t="s">
        <v>3653</v>
      </c>
      <c r="E2565" t="s">
        <v>11</v>
      </c>
      <c r="G2565" t="s">
        <v>1917</v>
      </c>
      <c r="H2565" t="s">
        <v>432</v>
      </c>
    </row>
    <row r="2566" spans="1:8" hidden="1" x14ac:dyDescent="0.25">
      <c r="A2566" t="s">
        <v>3654</v>
      </c>
      <c r="B2566" s="1" t="str">
        <f>HYPERLINK("https://asmlis.vasa.lt/Dashboard/Served?ServiceDateFrom=2025-11-24&amp;ServiceDateTo=2025-11-24&amp;DumpsterInvNr=13-S-503757", "13-S-503757")</f>
        <v>13-S-503757</v>
      </c>
      <c r="C2566">
        <v>0.12</v>
      </c>
      <c r="D2566" t="s">
        <v>3649</v>
      </c>
      <c r="E2566" t="s">
        <v>11</v>
      </c>
      <c r="F2566" t="s">
        <v>1209</v>
      </c>
      <c r="G2566" t="s">
        <v>2178</v>
      </c>
      <c r="H2566" t="s">
        <v>432</v>
      </c>
    </row>
    <row r="2567" spans="1:8" hidden="1" x14ac:dyDescent="0.25">
      <c r="A2567" t="s">
        <v>3655</v>
      </c>
      <c r="B2567" s="1" t="str">
        <f>HYPERLINK("https://asmlis.vasa.lt/Dashboard/Served?ServiceDateFrom=2025-11-24&amp;ServiceDateTo=2025-11-24&amp;DumpsterInvNr=13-L-103825", "13-L-103825")</f>
        <v>13-L-103825</v>
      </c>
      <c r="C2567">
        <v>0.77</v>
      </c>
      <c r="D2567" t="s">
        <v>3631</v>
      </c>
      <c r="E2567" t="s">
        <v>11</v>
      </c>
      <c r="G2567" t="s">
        <v>430</v>
      </c>
      <c r="H2567" t="s">
        <v>432</v>
      </c>
    </row>
    <row r="2568" spans="1:8" hidden="1" x14ac:dyDescent="0.25">
      <c r="A2568" t="s">
        <v>3655</v>
      </c>
      <c r="B2568" s="1" t="str">
        <f>HYPERLINK("https://asmlis.vasa.lt/Dashboard/Served?ServiceDateFrom=2025-11-24&amp;ServiceDateTo=2025-11-24&amp;DumpsterInvNr=13-P-300561", "13-P-300561")</f>
        <v>13-P-300561</v>
      </c>
      <c r="C2568">
        <v>1.1000000000000001</v>
      </c>
      <c r="D2568" t="s">
        <v>1383</v>
      </c>
      <c r="E2568" t="s">
        <v>11</v>
      </c>
      <c r="F2568" t="s">
        <v>13</v>
      </c>
      <c r="G2568" t="s">
        <v>412</v>
      </c>
      <c r="H2568" t="s">
        <v>14</v>
      </c>
    </row>
    <row r="2569" spans="1:8" hidden="1" x14ac:dyDescent="0.25">
      <c r="A2569" t="s">
        <v>3656</v>
      </c>
      <c r="B2569" s="1" t="str">
        <f>HYPERLINK("https://asmlis.vasa.lt/Dashboard/Served?ServiceDateFrom=2025-11-24&amp;ServiceDateTo=2025-11-24&amp;DumpsterInvNr=13-L-227679", "13-L-227679")</f>
        <v>13-L-227679</v>
      </c>
      <c r="C2569">
        <v>1.1000000000000001</v>
      </c>
      <c r="D2569" t="s">
        <v>3536</v>
      </c>
      <c r="E2569" t="s">
        <v>11</v>
      </c>
      <c r="G2569" t="s">
        <v>936</v>
      </c>
      <c r="H2569" t="s">
        <v>938</v>
      </c>
    </row>
    <row r="2570" spans="1:8" hidden="1" x14ac:dyDescent="0.25">
      <c r="A2570" t="s">
        <v>3657</v>
      </c>
      <c r="B2570" s="1" t="str">
        <f>HYPERLINK("https://asmlis.vasa.lt/Dashboard/Served?ServiceDateFrom=2025-11-24&amp;ServiceDateTo=2025-11-24&amp;DumpsterInvNr=13-L-300292", "13-L-300292")</f>
        <v>13-L-300292</v>
      </c>
      <c r="C2570">
        <v>0.77</v>
      </c>
      <c r="D2570" t="s">
        <v>3658</v>
      </c>
      <c r="E2570" t="s">
        <v>11</v>
      </c>
      <c r="G2570" t="s">
        <v>9</v>
      </c>
      <c r="H2570" t="s">
        <v>14</v>
      </c>
    </row>
    <row r="2571" spans="1:8" hidden="1" x14ac:dyDescent="0.25">
      <c r="A2571" t="s">
        <v>3657</v>
      </c>
      <c r="B2571" s="1" t="str">
        <f>HYPERLINK("https://asmlis.vasa.lt/Dashboard/Served?ServiceDateFrom=2025-11-24&amp;ServiceDateTo=2025-11-24&amp;DumpsterInvNr=13-P-300696", "13-P-300696")</f>
        <v>13-P-300696</v>
      </c>
      <c r="C2571">
        <v>1.1000000000000001</v>
      </c>
      <c r="D2571" t="s">
        <v>1394</v>
      </c>
      <c r="E2571" t="s">
        <v>11</v>
      </c>
      <c r="F2571" t="s">
        <v>13</v>
      </c>
      <c r="G2571" t="s">
        <v>412</v>
      </c>
      <c r="H2571" t="s">
        <v>14</v>
      </c>
    </row>
    <row r="2572" spans="1:8" hidden="1" x14ac:dyDescent="0.25">
      <c r="A2572" t="s">
        <v>3659</v>
      </c>
      <c r="B2572" s="1" t="str">
        <f>HYPERLINK("https://asmlis.vasa.lt/Dashboard/Served?ServiceDateFrom=2025-11-24&amp;ServiceDateTo=2025-11-24&amp;DumpsterInvNr=13-P-415489", "13-P-415489")</f>
        <v>13-P-415489</v>
      </c>
      <c r="C2572">
        <v>0.24</v>
      </c>
      <c r="D2572" t="s">
        <v>3660</v>
      </c>
      <c r="E2572" t="s">
        <v>11</v>
      </c>
      <c r="G2572" t="s">
        <v>264</v>
      </c>
      <c r="H2572" t="s">
        <v>14</v>
      </c>
    </row>
    <row r="2573" spans="1:8" hidden="1" x14ac:dyDescent="0.25">
      <c r="A2573" t="s">
        <v>3659</v>
      </c>
      <c r="B2573" s="1" t="str">
        <f>HYPERLINK("https://asmlis.vasa.lt/Dashboard/Served?ServiceDateFrom=2025-11-24&amp;ServiceDateTo=2025-11-24&amp;DumpsterInvNr=13-P-212668", "13-P-212668")</f>
        <v>13-P-212668</v>
      </c>
      <c r="C2573">
        <v>0.24</v>
      </c>
      <c r="D2573" t="s">
        <v>3661</v>
      </c>
      <c r="E2573" t="s">
        <v>11</v>
      </c>
      <c r="G2573" t="s">
        <v>234</v>
      </c>
      <c r="H2573" t="s">
        <v>14</v>
      </c>
    </row>
    <row r="2574" spans="1:8" hidden="1" x14ac:dyDescent="0.25">
      <c r="A2574" t="s">
        <v>3659</v>
      </c>
      <c r="B2574" s="1" t="str">
        <f>HYPERLINK("https://asmlis.vasa.lt/Dashboard/Served?ServiceDateFrom=2025-11-24&amp;ServiceDateTo=2025-11-24&amp;DumpsterInvNr=13-P-212799", "13-P-212799")</f>
        <v>13-P-212799</v>
      </c>
      <c r="C2574">
        <v>0.24</v>
      </c>
      <c r="D2574" t="s">
        <v>3662</v>
      </c>
      <c r="E2574" t="s">
        <v>11</v>
      </c>
      <c r="G2574" t="s">
        <v>234</v>
      </c>
      <c r="H2574" t="s">
        <v>14</v>
      </c>
    </row>
    <row r="2575" spans="1:8" hidden="1" x14ac:dyDescent="0.25">
      <c r="A2575" t="s">
        <v>3663</v>
      </c>
      <c r="B2575" s="1" t="str">
        <f>HYPERLINK("https://asmlis.vasa.lt/Dashboard/Served?ServiceDateFrom=2025-11-24&amp;ServiceDateTo=2025-11-24&amp;DumpsterInvNr=13-L-133437", "13-L-133437")</f>
        <v>13-L-133437</v>
      </c>
      <c r="C2575">
        <v>5</v>
      </c>
      <c r="D2575" t="s">
        <v>3664</v>
      </c>
      <c r="E2575" t="s">
        <v>11</v>
      </c>
      <c r="F2575" t="s">
        <v>13</v>
      </c>
      <c r="G2575" t="s">
        <v>430</v>
      </c>
      <c r="H2575" t="s">
        <v>432</v>
      </c>
    </row>
    <row r="2576" spans="1:8" hidden="1" x14ac:dyDescent="0.25">
      <c r="A2576" t="s">
        <v>3665</v>
      </c>
      <c r="B2576" s="1" t="str">
        <f>HYPERLINK("https://asmlis.vasa.lt/Dashboard/Served?ServiceDateFrom=2025-11-24&amp;ServiceDateTo=2025-11-24&amp;DumpsterInvNr=13-L-139776", "13-L-139776")</f>
        <v>13-L-139776</v>
      </c>
      <c r="C2576">
        <v>5</v>
      </c>
      <c r="D2576" t="s">
        <v>3666</v>
      </c>
      <c r="E2576" t="s">
        <v>11</v>
      </c>
      <c r="F2576" t="s">
        <v>13</v>
      </c>
      <c r="G2576" t="s">
        <v>430</v>
      </c>
      <c r="H2576" t="s">
        <v>432</v>
      </c>
    </row>
    <row r="2577" spans="1:8" hidden="1" x14ac:dyDescent="0.25">
      <c r="A2577" t="s">
        <v>3667</v>
      </c>
      <c r="B2577" s="1" t="str">
        <f>HYPERLINK("https://asmlis.vasa.lt/Dashboard/Served?ServiceDateFrom=2025-11-24&amp;ServiceDateTo=2025-11-24&amp;DumpsterInvNr=13-L-124947", "13-L-124947")</f>
        <v>13-L-124947</v>
      </c>
      <c r="C2577">
        <v>0.12</v>
      </c>
      <c r="D2577" t="s">
        <v>3668</v>
      </c>
      <c r="E2577" t="s">
        <v>11</v>
      </c>
      <c r="G2577" t="s">
        <v>430</v>
      </c>
      <c r="H2577" t="s">
        <v>432</v>
      </c>
    </row>
    <row r="2578" spans="1:8" hidden="1" x14ac:dyDescent="0.25">
      <c r="A2578" t="s">
        <v>3667</v>
      </c>
      <c r="B2578" s="1" t="str">
        <f>HYPERLINK("https://asmlis.vasa.lt/Dashboard/Served?ServiceDateFrom=2025-11-24&amp;ServiceDateTo=2025-11-24&amp;DumpsterInvNr=13-P-508449", "13-P-508449")</f>
        <v>13-P-508449</v>
      </c>
      <c r="C2578">
        <v>0.12</v>
      </c>
      <c r="D2578" t="s">
        <v>3668</v>
      </c>
      <c r="E2578" t="s">
        <v>11</v>
      </c>
      <c r="G2578" t="s">
        <v>2178</v>
      </c>
      <c r="H2578" t="s">
        <v>432</v>
      </c>
    </row>
    <row r="2579" spans="1:8" hidden="1" x14ac:dyDescent="0.25">
      <c r="A2579" t="s">
        <v>3477</v>
      </c>
      <c r="B2579" s="1" t="str">
        <f>HYPERLINK("https://asmlis.vasa.lt/Dashboard/Served?ServiceDateFrom=2025-11-24&amp;ServiceDateTo=2025-11-24&amp;DumpsterInvNr=13-L-105819", "13-L-105819")</f>
        <v>13-L-105819</v>
      </c>
      <c r="C2579">
        <v>1.1000000000000001</v>
      </c>
      <c r="D2579" t="s">
        <v>3671</v>
      </c>
      <c r="E2579" t="s">
        <v>11</v>
      </c>
      <c r="G2579" t="s">
        <v>430</v>
      </c>
      <c r="H2579" t="s">
        <v>432</v>
      </c>
    </row>
    <row r="2580" spans="1:8" hidden="1" x14ac:dyDescent="0.25">
      <c r="A2580" t="s">
        <v>3477</v>
      </c>
      <c r="B2580" s="1" t="str">
        <f>HYPERLINK("https://asmlis.vasa.lt/Dashboard/Served?ServiceDateFrom=2025-11-24&amp;ServiceDateTo=2025-11-24&amp;DumpsterInvNr=13-P-300555", "13-P-300555")</f>
        <v>13-P-300555</v>
      </c>
      <c r="C2580">
        <v>1.1000000000000001</v>
      </c>
      <c r="D2580" t="s">
        <v>3672</v>
      </c>
      <c r="E2580" t="s">
        <v>11</v>
      </c>
      <c r="F2580" t="s">
        <v>13</v>
      </c>
      <c r="G2580" t="s">
        <v>412</v>
      </c>
      <c r="H2580" t="s">
        <v>14</v>
      </c>
    </row>
    <row r="2581" spans="1:8" hidden="1" x14ac:dyDescent="0.25">
      <c r="A2581" t="s">
        <v>3673</v>
      </c>
      <c r="B2581" s="1" t="str">
        <f>HYPERLINK("https://asmlis.vasa.lt/Dashboard/Served?ServiceDateFrom=2025-11-24&amp;ServiceDateTo=2025-11-24&amp;DumpsterInvNr=13-S-102392", "13-S-102392")</f>
        <v>13-S-102392</v>
      </c>
      <c r="C2581">
        <v>0.12</v>
      </c>
      <c r="D2581" t="s">
        <v>3639</v>
      </c>
      <c r="E2581" t="s">
        <v>11</v>
      </c>
      <c r="F2581" t="s">
        <v>1209</v>
      </c>
      <c r="G2581" t="s">
        <v>1917</v>
      </c>
      <c r="H2581" t="s">
        <v>432</v>
      </c>
    </row>
    <row r="2582" spans="1:8" hidden="1" x14ac:dyDescent="0.25">
      <c r="A2582" t="s">
        <v>3673</v>
      </c>
      <c r="B2582" s="1" t="str">
        <f>HYPERLINK("https://asmlis.vasa.lt/Dashboard/Served?ServiceDateFrom=2025-11-24&amp;ServiceDateTo=2025-11-24&amp;DumpsterInvNr=13-P-503061", "13-P-503061")</f>
        <v>13-P-503061</v>
      </c>
      <c r="C2582">
        <v>0.24</v>
      </c>
      <c r="D2582" t="s">
        <v>3649</v>
      </c>
      <c r="E2582" t="s">
        <v>11</v>
      </c>
      <c r="F2582" t="s">
        <v>1209</v>
      </c>
      <c r="G2582" t="s">
        <v>2178</v>
      </c>
      <c r="H2582" t="s">
        <v>432</v>
      </c>
    </row>
    <row r="2583" spans="1:8" hidden="1" x14ac:dyDescent="0.25">
      <c r="A2583" t="s">
        <v>3674</v>
      </c>
      <c r="B2583" s="1" t="str">
        <f>HYPERLINK("https://asmlis.vasa.lt/Dashboard/Served?ServiceDateFrom=2025-11-24&amp;ServiceDateTo=2025-11-24&amp;DumpsterInvNr=13-L-139775", "13-L-139775")</f>
        <v>13-L-139775</v>
      </c>
      <c r="C2583">
        <v>5</v>
      </c>
      <c r="D2583" t="s">
        <v>3675</v>
      </c>
      <c r="E2583" t="s">
        <v>11</v>
      </c>
      <c r="F2583" t="s">
        <v>13</v>
      </c>
      <c r="G2583" t="s">
        <v>430</v>
      </c>
      <c r="H2583" t="s">
        <v>432</v>
      </c>
    </row>
    <row r="2584" spans="1:8" hidden="1" x14ac:dyDescent="0.25">
      <c r="A2584" t="s">
        <v>3674</v>
      </c>
      <c r="B2584" s="1" t="str">
        <f>HYPERLINK("https://asmlis.vasa.lt/Dashboard/Served?ServiceDateFrom=2025-11-24&amp;ServiceDateTo=2025-11-24&amp;DumpsterInvNr=13-S-103302", "13-S-103302")</f>
        <v>13-S-103302</v>
      </c>
      <c r="C2584">
        <v>0.12</v>
      </c>
      <c r="D2584" t="s">
        <v>3634</v>
      </c>
      <c r="E2584" t="s">
        <v>11</v>
      </c>
      <c r="F2584" t="s">
        <v>1209</v>
      </c>
      <c r="G2584" t="s">
        <v>1917</v>
      </c>
      <c r="H2584" t="s">
        <v>432</v>
      </c>
    </row>
    <row r="2585" spans="1:8" hidden="1" x14ac:dyDescent="0.25">
      <c r="A2585" t="s">
        <v>3479</v>
      </c>
      <c r="B2585" s="1" t="str">
        <f>HYPERLINK("https://asmlis.vasa.lt/Dashboard/Served?ServiceDateFrom=2025-11-24&amp;ServiceDateTo=2025-11-24&amp;DumpsterInvNr=13-L-421114", "13-L-421114")</f>
        <v>13-L-421114</v>
      </c>
      <c r="C2585">
        <v>1.1000000000000001</v>
      </c>
      <c r="D2585" t="s">
        <v>1694</v>
      </c>
      <c r="E2585" t="s">
        <v>11</v>
      </c>
      <c r="G2585" t="s">
        <v>74</v>
      </c>
      <c r="H2585" t="s">
        <v>14</v>
      </c>
    </row>
    <row r="2586" spans="1:8" hidden="1" x14ac:dyDescent="0.25">
      <c r="A2586" t="s">
        <v>3676</v>
      </c>
      <c r="B2586" s="1" t="str">
        <f>HYPERLINK("https://asmlis.vasa.lt/Dashboard/Served?ServiceDateFrom=2025-11-24&amp;ServiceDateTo=2025-11-24&amp;DumpsterInvNr=13-L-139848", "13-L-139848")</f>
        <v>13-L-139848</v>
      </c>
      <c r="C2586">
        <v>5</v>
      </c>
      <c r="D2586" t="s">
        <v>3677</v>
      </c>
      <c r="E2586" t="s">
        <v>11</v>
      </c>
      <c r="F2586" t="s">
        <v>13</v>
      </c>
      <c r="G2586" t="s">
        <v>430</v>
      </c>
      <c r="H2586" t="s">
        <v>432</v>
      </c>
    </row>
    <row r="2587" spans="1:8" hidden="1" x14ac:dyDescent="0.25">
      <c r="A2587" t="s">
        <v>3678</v>
      </c>
      <c r="B2587" s="1" t="str">
        <f>HYPERLINK("https://asmlis.vasa.lt/Dashboard/Served?ServiceDateFrom=2025-11-24&amp;ServiceDateTo=2025-11-24&amp;DumpsterInvNr=13-L-147640", "13-L-147640")</f>
        <v>13-L-147640</v>
      </c>
      <c r="C2587">
        <v>5</v>
      </c>
      <c r="D2587" t="s">
        <v>3680</v>
      </c>
      <c r="E2587" t="s">
        <v>11</v>
      </c>
      <c r="F2587" t="s">
        <v>13</v>
      </c>
      <c r="G2587" t="s">
        <v>1912</v>
      </c>
      <c r="H2587" t="s">
        <v>432</v>
      </c>
    </row>
    <row r="2588" spans="1:8" hidden="1" x14ac:dyDescent="0.25">
      <c r="A2588" t="s">
        <v>3500</v>
      </c>
      <c r="B2588" s="1" t="str">
        <f>HYPERLINK("https://asmlis.vasa.lt/Dashboard/Served?ServiceDateFrom=2025-11-24&amp;ServiceDateTo=2025-11-24&amp;DumpsterInvNr=13-P-208092", "13-P-208092")</f>
        <v>13-P-208092</v>
      </c>
      <c r="C2588">
        <v>0.24</v>
      </c>
      <c r="D2588" t="s">
        <v>3681</v>
      </c>
      <c r="E2588" t="s">
        <v>11</v>
      </c>
      <c r="F2588" t="s">
        <v>1209</v>
      </c>
      <c r="G2588" t="s">
        <v>234</v>
      </c>
      <c r="H2588" t="s">
        <v>14</v>
      </c>
    </row>
    <row r="2589" spans="1:8" hidden="1" x14ac:dyDescent="0.25">
      <c r="A2589" t="s">
        <v>3682</v>
      </c>
      <c r="B2589" s="1" t="str">
        <f>HYPERLINK("https://asmlis.vasa.lt/Dashboard/Served?ServiceDateFrom=2025-11-24&amp;ServiceDateTo=2025-11-24&amp;DumpsterInvNr=13-L-120391", "13-L-120391")</f>
        <v>13-L-120391</v>
      </c>
      <c r="C2589">
        <v>0.24</v>
      </c>
      <c r="D2589" t="s">
        <v>3683</v>
      </c>
      <c r="E2589" t="s">
        <v>11</v>
      </c>
      <c r="F2589" t="s">
        <v>1209</v>
      </c>
      <c r="G2589" t="s">
        <v>1912</v>
      </c>
      <c r="H2589" t="s">
        <v>432</v>
      </c>
    </row>
    <row r="2590" spans="1:8" hidden="1" x14ac:dyDescent="0.25">
      <c r="A2590" t="s">
        <v>3685</v>
      </c>
      <c r="B2590" s="1" t="str">
        <f>HYPERLINK("https://asmlis.vasa.lt/Dashboard/Served?ServiceDateFrom=2025-11-24&amp;ServiceDateTo=2025-11-24&amp;DumpsterInvNr=13-P-103440", "13-P-103440")</f>
        <v>13-P-103440</v>
      </c>
      <c r="C2590">
        <v>0.24</v>
      </c>
      <c r="D2590" t="s">
        <v>3683</v>
      </c>
      <c r="E2590" t="s">
        <v>11</v>
      </c>
      <c r="F2590" t="s">
        <v>1209</v>
      </c>
      <c r="G2590" t="s">
        <v>1917</v>
      </c>
      <c r="H2590" t="s">
        <v>432</v>
      </c>
    </row>
    <row r="2591" spans="1:8" hidden="1" x14ac:dyDescent="0.25">
      <c r="A2591" t="s">
        <v>3518</v>
      </c>
      <c r="B2591" s="1" t="str">
        <f>HYPERLINK("https://asmlis.vasa.lt/Dashboard/Served?ServiceDateFrom=2025-11-24&amp;ServiceDateTo=2025-11-24&amp;DumpsterInvNr=13-L-420275", "13-L-420275")</f>
        <v>13-L-420275</v>
      </c>
      <c r="C2591">
        <v>5</v>
      </c>
      <c r="D2591" t="s">
        <v>3686</v>
      </c>
      <c r="E2591" t="s">
        <v>11</v>
      </c>
      <c r="F2591" t="s">
        <v>13</v>
      </c>
      <c r="G2591" t="s">
        <v>74</v>
      </c>
      <c r="H2591" t="s">
        <v>14</v>
      </c>
    </row>
    <row r="2592" spans="1:8" hidden="1" x14ac:dyDescent="0.25">
      <c r="A2592" t="s">
        <v>3687</v>
      </c>
      <c r="B2592" s="1" t="str">
        <f>HYPERLINK("https://asmlis.vasa.lt/Dashboard/Served?ServiceDateFrom=2025-11-24&amp;ServiceDateTo=2025-11-24&amp;DumpsterInvNr=13-L-124945", "13-L-124945")</f>
        <v>13-L-124945</v>
      </c>
      <c r="C2592">
        <v>0.12</v>
      </c>
      <c r="D2592" t="s">
        <v>3688</v>
      </c>
      <c r="E2592" t="s">
        <v>11</v>
      </c>
      <c r="G2592" t="s">
        <v>430</v>
      </c>
      <c r="H2592" t="s">
        <v>432</v>
      </c>
    </row>
    <row r="2593" spans="1:8" hidden="1" x14ac:dyDescent="0.25">
      <c r="A2593" t="s">
        <v>3687</v>
      </c>
      <c r="B2593" s="1" t="str">
        <f>HYPERLINK("https://asmlis.vasa.lt/Dashboard/Served?ServiceDateFrom=2025-11-24&amp;ServiceDateTo=2025-11-24&amp;DumpsterInvNr=13-P-508450", "13-P-508450")</f>
        <v>13-P-508450</v>
      </c>
      <c r="C2593">
        <v>0.24</v>
      </c>
      <c r="D2593" t="s">
        <v>3688</v>
      </c>
      <c r="E2593" t="s">
        <v>11</v>
      </c>
      <c r="G2593" t="s">
        <v>2178</v>
      </c>
      <c r="H2593" t="s">
        <v>432</v>
      </c>
    </row>
    <row r="2594" spans="1:8" hidden="1" x14ac:dyDescent="0.25">
      <c r="A2594" t="s">
        <v>3687</v>
      </c>
      <c r="B2594" s="1" t="str">
        <f>HYPERLINK("https://asmlis.vasa.lt/Dashboard/Served?ServiceDateFrom=2025-11-24&amp;ServiceDateTo=2025-11-24&amp;DumpsterInvNr=13-S-500455", "13-S-500455")</f>
        <v>13-S-500455</v>
      </c>
      <c r="C2594">
        <v>0.12</v>
      </c>
      <c r="D2594" t="s">
        <v>3688</v>
      </c>
      <c r="E2594" t="s">
        <v>11</v>
      </c>
      <c r="G2594" t="s">
        <v>2178</v>
      </c>
      <c r="H2594" t="s">
        <v>432</v>
      </c>
    </row>
    <row r="2595" spans="1:8" hidden="1" x14ac:dyDescent="0.25">
      <c r="A2595" t="s">
        <v>3692</v>
      </c>
      <c r="B2595" s="1" t="str">
        <f>HYPERLINK("https://asmlis.vasa.lt/Dashboard/Served?ServiceDateFrom=2025-11-24&amp;ServiceDateTo=2025-11-24&amp;DumpsterInvNr=13-L-105822", "13-L-105822")</f>
        <v>13-L-105822</v>
      </c>
      <c r="C2595">
        <v>1.1000000000000001</v>
      </c>
      <c r="D2595" t="s">
        <v>3671</v>
      </c>
      <c r="E2595" t="s">
        <v>11</v>
      </c>
      <c r="G2595" t="s">
        <v>430</v>
      </c>
      <c r="H2595" t="s">
        <v>432</v>
      </c>
    </row>
    <row r="2596" spans="1:8" hidden="1" x14ac:dyDescent="0.25">
      <c r="A2596" t="s">
        <v>3692</v>
      </c>
      <c r="B2596" s="1" t="str">
        <f>HYPERLINK("https://asmlis.vasa.lt/Dashboard/Served?ServiceDateFrom=2025-11-24&amp;ServiceDateTo=2025-11-24&amp;DumpsterInvNr=13-L-103829", "13-L-103829")</f>
        <v>13-L-103829</v>
      </c>
      <c r="C2596">
        <v>1.1000000000000001</v>
      </c>
      <c r="D2596" t="s">
        <v>3693</v>
      </c>
      <c r="E2596" t="s">
        <v>11</v>
      </c>
      <c r="G2596" t="s">
        <v>430</v>
      </c>
      <c r="H2596" t="s">
        <v>432</v>
      </c>
    </row>
    <row r="2597" spans="1:8" hidden="1" x14ac:dyDescent="0.25">
      <c r="A2597" t="s">
        <v>3321</v>
      </c>
      <c r="B2597" s="1" t="str">
        <f>HYPERLINK("https://asmlis.vasa.lt/Dashboard/Served?ServiceDateFrom=2025-11-24&amp;ServiceDateTo=2025-11-24&amp;DumpsterInvNr=13-P-413706", "13-P-413706")</f>
        <v>13-P-413706</v>
      </c>
      <c r="C2597">
        <v>0.24</v>
      </c>
      <c r="D2597" t="s">
        <v>3694</v>
      </c>
      <c r="E2597" t="s">
        <v>11</v>
      </c>
      <c r="G2597" t="s">
        <v>264</v>
      </c>
      <c r="H2597" t="s">
        <v>14</v>
      </c>
    </row>
    <row r="2598" spans="1:8" hidden="1" x14ac:dyDescent="0.25">
      <c r="A2598" t="s">
        <v>3321</v>
      </c>
      <c r="B2598" s="1" t="str">
        <f>HYPERLINK("https://asmlis.vasa.lt/Dashboard/Served?ServiceDateFrom=2025-11-24&amp;ServiceDateTo=2025-11-24&amp;DumpsterInvNr=13-L-227678", "13-L-227678")</f>
        <v>13-L-227678</v>
      </c>
      <c r="C2598">
        <v>1.1000000000000001</v>
      </c>
      <c r="D2598" t="s">
        <v>3536</v>
      </c>
      <c r="E2598" t="s">
        <v>11</v>
      </c>
      <c r="G2598" t="s">
        <v>936</v>
      </c>
      <c r="H2598" t="s">
        <v>938</v>
      </c>
    </row>
    <row r="2599" spans="1:8" hidden="1" x14ac:dyDescent="0.25">
      <c r="A2599" t="s">
        <v>3695</v>
      </c>
      <c r="B2599" s="1" t="str">
        <f>HYPERLINK("https://asmlis.vasa.lt/Dashboard/Served?ServiceDateFrom=2025-11-24&amp;ServiceDateTo=2025-11-24&amp;DumpsterInvNr=13-L-421520", "13-L-421520")</f>
        <v>13-L-421520</v>
      </c>
      <c r="C2599">
        <v>0.77</v>
      </c>
      <c r="D2599" t="s">
        <v>3697</v>
      </c>
      <c r="E2599" t="s">
        <v>11</v>
      </c>
      <c r="G2599" t="s">
        <v>74</v>
      </c>
      <c r="H2599" t="s">
        <v>14</v>
      </c>
    </row>
    <row r="2600" spans="1:8" hidden="1" x14ac:dyDescent="0.25">
      <c r="A2600" t="s">
        <v>3698</v>
      </c>
      <c r="B2600" s="1" t="str">
        <f>HYPERLINK("https://asmlis.vasa.lt/Dashboard/Served?ServiceDateFrom=2025-11-24&amp;ServiceDateTo=2025-11-24&amp;DumpsterInvNr=13-L-318706", "13-L-318706")</f>
        <v>13-L-318706</v>
      </c>
      <c r="C2600">
        <v>0.66</v>
      </c>
      <c r="D2600" t="s">
        <v>3699</v>
      </c>
      <c r="E2600" t="s">
        <v>11</v>
      </c>
      <c r="G2600" t="s">
        <v>9</v>
      </c>
      <c r="H2600" t="s">
        <v>14</v>
      </c>
    </row>
    <row r="2601" spans="1:8" hidden="1" x14ac:dyDescent="0.25">
      <c r="A2601" t="s">
        <v>3698</v>
      </c>
      <c r="B2601" s="1" t="str">
        <f>HYPERLINK("https://asmlis.vasa.lt/Dashboard/Served?ServiceDateFrom=2025-11-24&amp;ServiceDateTo=2025-11-24&amp;DumpsterInvNr=13-L-219917", "13-L-219917")</f>
        <v>13-L-219917</v>
      </c>
      <c r="C2601">
        <v>1.1000000000000001</v>
      </c>
      <c r="D2601" t="s">
        <v>3700</v>
      </c>
      <c r="E2601" t="s">
        <v>11</v>
      </c>
      <c r="F2601" t="s">
        <v>13</v>
      </c>
      <c r="G2601" t="s">
        <v>936</v>
      </c>
      <c r="H2601" t="s">
        <v>938</v>
      </c>
    </row>
    <row r="2602" spans="1:8" hidden="1" x14ac:dyDescent="0.25">
      <c r="A2602" t="s">
        <v>3701</v>
      </c>
      <c r="B2602" s="1" t="str">
        <f>HYPERLINK("https://asmlis.vasa.lt/Dashboard/Served?ServiceDateFrom=2025-11-24&amp;ServiceDateTo=2025-11-24&amp;DumpsterInvNr=13-L-426831", "13-L-426831")</f>
        <v>13-L-426831</v>
      </c>
      <c r="C2602">
        <v>0.77</v>
      </c>
      <c r="D2602" t="s">
        <v>1722</v>
      </c>
      <c r="E2602" t="s">
        <v>11</v>
      </c>
      <c r="G2602" t="s">
        <v>74</v>
      </c>
      <c r="H2602" t="s">
        <v>14</v>
      </c>
    </row>
    <row r="2603" spans="1:8" hidden="1" x14ac:dyDescent="0.25">
      <c r="A2603" t="s">
        <v>3702</v>
      </c>
      <c r="B2603" s="1" t="str">
        <f>HYPERLINK("https://asmlis.vasa.lt/Dashboard/Served?ServiceDateFrom=2025-11-24&amp;ServiceDateTo=2025-11-24&amp;DumpsterInvNr=13-P-413935", "13-P-413935")</f>
        <v>13-P-413935</v>
      </c>
      <c r="C2603">
        <v>5</v>
      </c>
      <c r="D2603" t="s">
        <v>150</v>
      </c>
      <c r="E2603" t="s">
        <v>11</v>
      </c>
      <c r="F2603" t="s">
        <v>13</v>
      </c>
      <c r="G2603" t="s">
        <v>264</v>
      </c>
      <c r="H2603" t="s">
        <v>14</v>
      </c>
    </row>
    <row r="2604" spans="1:8" hidden="1" x14ac:dyDescent="0.25">
      <c r="A2604" t="s">
        <v>3703</v>
      </c>
      <c r="B2604" s="1" t="str">
        <f>HYPERLINK("https://asmlis.vasa.lt/Dashboard/Served?ServiceDateFrom=2025-11-24&amp;ServiceDateTo=2025-11-24&amp;DumpsterInvNr=13-L-206365", "13-L-206365")</f>
        <v>13-L-206365</v>
      </c>
      <c r="C2604">
        <v>0.24</v>
      </c>
      <c r="D2604" t="s">
        <v>3227</v>
      </c>
      <c r="E2604" t="s">
        <v>11</v>
      </c>
      <c r="G2604" t="s">
        <v>936</v>
      </c>
      <c r="H2604" t="s">
        <v>938</v>
      </c>
    </row>
    <row r="2605" spans="1:8" hidden="1" x14ac:dyDescent="0.25">
      <c r="A2605" t="s">
        <v>3703</v>
      </c>
      <c r="B2605" s="1" t="str">
        <f>HYPERLINK("https://asmlis.vasa.lt/Dashboard/Served?ServiceDateFrom=2025-11-24&amp;ServiceDateTo=2025-11-24&amp;DumpsterInvNr=13-S-103282", "13-S-103282")</f>
        <v>13-S-103282</v>
      </c>
      <c r="C2605">
        <v>0.12</v>
      </c>
      <c r="D2605" t="s">
        <v>3704</v>
      </c>
      <c r="E2605" t="s">
        <v>11</v>
      </c>
      <c r="F2605" t="s">
        <v>1209</v>
      </c>
      <c r="G2605" t="s">
        <v>1917</v>
      </c>
      <c r="H2605" t="s">
        <v>432</v>
      </c>
    </row>
    <row r="2606" spans="1:8" hidden="1" x14ac:dyDescent="0.25">
      <c r="A2606" t="s">
        <v>3706</v>
      </c>
      <c r="B2606" s="1" t="str">
        <f>HYPERLINK("https://asmlis.vasa.lt/Dashboard/Served?ServiceDateFrom=2025-11-24&amp;ServiceDateTo=2025-11-24&amp;DumpsterInvNr=13-L-111250", "13-L-111250")</f>
        <v>13-L-111250</v>
      </c>
      <c r="C2606">
        <v>0.24</v>
      </c>
      <c r="D2606" t="s">
        <v>3704</v>
      </c>
      <c r="E2606" t="s">
        <v>11</v>
      </c>
      <c r="G2606" t="s">
        <v>1912</v>
      </c>
      <c r="H2606" t="s">
        <v>432</v>
      </c>
    </row>
    <row r="2607" spans="1:8" hidden="1" x14ac:dyDescent="0.25">
      <c r="A2607" t="s">
        <v>3707</v>
      </c>
      <c r="B2607" s="1" t="str">
        <f>HYPERLINK("https://asmlis.vasa.lt/Dashboard/Served?ServiceDateFrom=2025-11-24&amp;ServiceDateTo=2025-11-24&amp;DumpsterInvNr=13-L-426313", "13-L-426313")</f>
        <v>13-L-426313</v>
      </c>
      <c r="C2607">
        <v>1.1000000000000001</v>
      </c>
      <c r="D2607" t="s">
        <v>3708</v>
      </c>
      <c r="E2607" t="s">
        <v>11</v>
      </c>
      <c r="F2607" t="s">
        <v>13</v>
      </c>
      <c r="G2607" t="s">
        <v>74</v>
      </c>
      <c r="H2607" t="s">
        <v>14</v>
      </c>
    </row>
    <row r="2608" spans="1:8" hidden="1" x14ac:dyDescent="0.25">
      <c r="A2608" t="s">
        <v>3709</v>
      </c>
      <c r="B2608" s="1" t="str">
        <f>HYPERLINK("https://asmlis.vasa.lt/Dashboard/Served?ServiceDateFrom=2025-11-24&amp;ServiceDateTo=2025-11-24&amp;DumpsterInvNr=13-P-408838", "13-P-408838")</f>
        <v>13-P-408838</v>
      </c>
      <c r="C2608">
        <v>1.1000000000000001</v>
      </c>
      <c r="D2608" t="s">
        <v>3710</v>
      </c>
      <c r="E2608" t="s">
        <v>11</v>
      </c>
      <c r="F2608" t="s">
        <v>13</v>
      </c>
      <c r="G2608" t="s">
        <v>264</v>
      </c>
      <c r="H2608" t="s">
        <v>14</v>
      </c>
    </row>
    <row r="2609" spans="1:8" hidden="1" x14ac:dyDescent="0.25">
      <c r="A2609" t="s">
        <v>3711</v>
      </c>
      <c r="B2609" s="1" t="str">
        <f>HYPERLINK("https://asmlis.vasa.lt/Dashboard/Served?ServiceDateFrom=2025-11-24&amp;ServiceDateTo=2025-11-24&amp;DumpsterInvNr=13-L-105820", "13-L-105820")</f>
        <v>13-L-105820</v>
      </c>
      <c r="C2609">
        <v>1.1000000000000001</v>
      </c>
      <c r="D2609" t="s">
        <v>3671</v>
      </c>
      <c r="E2609" t="s">
        <v>11</v>
      </c>
      <c r="G2609" t="s">
        <v>430</v>
      </c>
      <c r="H2609" t="s">
        <v>432</v>
      </c>
    </row>
    <row r="2610" spans="1:8" hidden="1" x14ac:dyDescent="0.25">
      <c r="A2610" t="s">
        <v>3712</v>
      </c>
      <c r="B2610" s="1" t="str">
        <f>HYPERLINK("https://asmlis.vasa.lt/Dashboard/Served?ServiceDateFrom=2025-11-24&amp;ServiceDateTo=2025-11-24&amp;DumpsterInvNr=13-T-000344", "13-T-000344")</f>
        <v>13-T-000344</v>
      </c>
      <c r="C2610">
        <v>2.5</v>
      </c>
      <c r="D2610" t="s">
        <v>3713</v>
      </c>
      <c r="E2610" t="s">
        <v>11</v>
      </c>
      <c r="F2610" t="s">
        <v>13</v>
      </c>
      <c r="G2610" t="s">
        <v>1899</v>
      </c>
      <c r="H2610" t="s">
        <v>432</v>
      </c>
    </row>
    <row r="2611" spans="1:8" hidden="1" x14ac:dyDescent="0.25">
      <c r="A2611" t="s">
        <v>3712</v>
      </c>
      <c r="B2611" s="1" t="str">
        <f>HYPERLINK("https://asmlis.vasa.lt/Dashboard/Served?ServiceDateFrom=2025-11-24&amp;ServiceDateTo=2025-11-24&amp;DumpsterInvNr=13-P-103420", "13-P-103420")</f>
        <v>13-P-103420</v>
      </c>
      <c r="C2611">
        <v>0.24</v>
      </c>
      <c r="D2611" t="s">
        <v>3704</v>
      </c>
      <c r="E2611" t="s">
        <v>11</v>
      </c>
      <c r="G2611" t="s">
        <v>1917</v>
      </c>
      <c r="H2611" t="s">
        <v>432</v>
      </c>
    </row>
    <row r="2612" spans="1:8" hidden="1" x14ac:dyDescent="0.25">
      <c r="A2612" t="s">
        <v>3715</v>
      </c>
      <c r="B2612" s="1" t="str">
        <f>HYPERLINK("https://asmlis.vasa.lt/Dashboard/Served?ServiceDateFrom=2025-11-24&amp;ServiceDateTo=2025-11-24&amp;DumpsterInvNr=13-L-426310", "13-L-426310")</f>
        <v>13-L-426310</v>
      </c>
      <c r="C2612">
        <v>1.1000000000000001</v>
      </c>
      <c r="D2612" t="s">
        <v>3708</v>
      </c>
      <c r="E2612" t="s">
        <v>11</v>
      </c>
      <c r="F2612" t="s">
        <v>13</v>
      </c>
      <c r="G2612" t="s">
        <v>74</v>
      </c>
      <c r="H2612" t="s">
        <v>14</v>
      </c>
    </row>
    <row r="2613" spans="1:8" hidden="1" x14ac:dyDescent="0.25">
      <c r="A2613" t="s">
        <v>3715</v>
      </c>
      <c r="B2613" s="1" t="str">
        <f>HYPERLINK("https://asmlis.vasa.lt/Dashboard/Served?ServiceDateFrom=2025-11-24&amp;ServiceDateTo=2025-11-24&amp;DumpsterInvNr=13-P-502521", "13-P-502521")</f>
        <v>13-P-502521</v>
      </c>
      <c r="C2613">
        <v>3</v>
      </c>
      <c r="D2613" t="s">
        <v>3608</v>
      </c>
      <c r="E2613" t="s">
        <v>11</v>
      </c>
      <c r="F2613" t="s">
        <v>13</v>
      </c>
      <c r="G2613" t="s">
        <v>2178</v>
      </c>
      <c r="H2613" t="s">
        <v>432</v>
      </c>
    </row>
    <row r="2614" spans="1:8" hidden="1" x14ac:dyDescent="0.25">
      <c r="A2614" t="s">
        <v>3061</v>
      </c>
      <c r="B2614" s="1" t="str">
        <f>HYPERLINK("https://asmlis.vasa.lt/Dashboard/Served?ServiceDateFrom=2025-11-24&amp;ServiceDateTo=2025-11-24&amp;DumpsterInvNr=13-L-227677", "13-L-227677")</f>
        <v>13-L-227677</v>
      </c>
      <c r="C2614">
        <v>1.1000000000000001</v>
      </c>
      <c r="D2614" t="s">
        <v>3536</v>
      </c>
      <c r="E2614" t="s">
        <v>11</v>
      </c>
      <c r="G2614" t="s">
        <v>936</v>
      </c>
      <c r="H2614" t="s">
        <v>938</v>
      </c>
    </row>
    <row r="2615" spans="1:8" hidden="1" x14ac:dyDescent="0.25">
      <c r="A2615" t="s">
        <v>3403</v>
      </c>
      <c r="B2615" s="1" t="str">
        <f>HYPERLINK("https://asmlis.vasa.lt/Dashboard/Served?ServiceDateFrom=2025-11-24&amp;ServiceDateTo=2025-11-24&amp;DumpsterInvNr=13-P-302722", "13-P-302722")</f>
        <v>13-P-302722</v>
      </c>
      <c r="C2615">
        <v>0.24</v>
      </c>
      <c r="D2615" t="s">
        <v>3716</v>
      </c>
      <c r="E2615" t="s">
        <v>11</v>
      </c>
      <c r="F2615" t="s">
        <v>13</v>
      </c>
      <c r="G2615" t="s">
        <v>412</v>
      </c>
      <c r="H2615" t="s">
        <v>14</v>
      </c>
    </row>
    <row r="2616" spans="1:8" hidden="1" x14ac:dyDescent="0.25">
      <c r="A2616" t="s">
        <v>3717</v>
      </c>
      <c r="B2616" s="1" t="str">
        <f>HYPERLINK("https://asmlis.vasa.lt/Dashboard/Served?ServiceDateFrom=2025-11-24&amp;ServiceDateTo=2025-11-24&amp;DumpsterInvNr=13-P-306905", "13-P-306905")</f>
        <v>13-P-306905</v>
      </c>
      <c r="C2616">
        <v>0.24</v>
      </c>
      <c r="D2616" t="s">
        <v>3716</v>
      </c>
      <c r="E2616" t="s">
        <v>11</v>
      </c>
      <c r="F2616" t="s">
        <v>13</v>
      </c>
      <c r="G2616" t="s">
        <v>412</v>
      </c>
      <c r="H2616" t="s">
        <v>14</v>
      </c>
    </row>
    <row r="2617" spans="1:8" hidden="1" x14ac:dyDescent="0.25">
      <c r="A2617" t="s">
        <v>3718</v>
      </c>
      <c r="B2617" s="1" t="str">
        <f>HYPERLINK("https://asmlis.vasa.lt/Dashboard/Served?ServiceDateFrom=2025-11-24&amp;ServiceDateTo=2025-11-24&amp;DumpsterInvNr=13-P-212762", "13-P-212762")</f>
        <v>13-P-212762</v>
      </c>
      <c r="C2617">
        <v>0.24</v>
      </c>
      <c r="D2617" t="s">
        <v>3719</v>
      </c>
      <c r="E2617" t="s">
        <v>11</v>
      </c>
      <c r="G2617" t="s">
        <v>234</v>
      </c>
      <c r="H2617" t="s">
        <v>14</v>
      </c>
    </row>
    <row r="2618" spans="1:8" hidden="1" x14ac:dyDescent="0.25">
      <c r="A2618" t="s">
        <v>3720</v>
      </c>
      <c r="B2618" s="1" t="str">
        <f>HYPERLINK("https://asmlis.vasa.lt/Dashboard/Served?ServiceDateFrom=2025-11-24&amp;ServiceDateTo=2025-11-24&amp;DumpsterInvNr=13-P-306904", "13-P-306904")</f>
        <v>13-P-306904</v>
      </c>
      <c r="C2618">
        <v>0.24</v>
      </c>
      <c r="D2618" t="s">
        <v>3716</v>
      </c>
      <c r="E2618" t="s">
        <v>11</v>
      </c>
      <c r="F2618" t="s">
        <v>13</v>
      </c>
      <c r="G2618" t="s">
        <v>412</v>
      </c>
      <c r="H2618" t="s">
        <v>14</v>
      </c>
    </row>
    <row r="2619" spans="1:8" hidden="1" x14ac:dyDescent="0.25">
      <c r="A2619" t="s">
        <v>3618</v>
      </c>
      <c r="B2619" s="1" t="str">
        <f>HYPERLINK("https://asmlis.vasa.lt/Dashboard/Served?ServiceDateFrom=2025-11-24&amp;ServiceDateTo=2025-11-24&amp;DumpsterInvNr=13-L-426312", "13-L-426312")</f>
        <v>13-L-426312</v>
      </c>
      <c r="C2619">
        <v>1.1000000000000001</v>
      </c>
      <c r="D2619" t="s">
        <v>3708</v>
      </c>
      <c r="E2619" t="s">
        <v>11</v>
      </c>
      <c r="F2619" t="s">
        <v>13</v>
      </c>
      <c r="G2619" t="s">
        <v>74</v>
      </c>
      <c r="H2619" t="s">
        <v>14</v>
      </c>
    </row>
    <row r="2620" spans="1:8" hidden="1" x14ac:dyDescent="0.25">
      <c r="A2620" t="s">
        <v>3721</v>
      </c>
      <c r="B2620" s="1" t="str">
        <f>HYPERLINK("https://asmlis.vasa.lt/Dashboard/Served?ServiceDateFrom=2025-11-24&amp;ServiceDateTo=2025-11-24&amp;DumpsterInvNr=13-T-000185", "13-T-000185")</f>
        <v>13-T-000185</v>
      </c>
      <c r="C2620">
        <v>2.5</v>
      </c>
      <c r="D2620" t="s">
        <v>3713</v>
      </c>
      <c r="E2620" t="s">
        <v>11</v>
      </c>
      <c r="F2620" t="s">
        <v>13</v>
      </c>
      <c r="G2620" t="s">
        <v>1899</v>
      </c>
      <c r="H2620" t="s">
        <v>432</v>
      </c>
    </row>
    <row r="2621" spans="1:8" hidden="1" x14ac:dyDescent="0.25">
      <c r="A2621" t="s">
        <v>3721</v>
      </c>
      <c r="B2621" s="1" t="str">
        <f>HYPERLINK("https://asmlis.vasa.lt/Dashboard/Served?ServiceDateFrom=2025-11-24&amp;ServiceDateTo=2025-11-24&amp;DumpsterInvNr=13-P-307008", "13-P-307008")</f>
        <v>13-P-307008</v>
      </c>
      <c r="C2621">
        <v>0.24</v>
      </c>
      <c r="D2621" t="s">
        <v>3716</v>
      </c>
      <c r="E2621" t="s">
        <v>11</v>
      </c>
      <c r="F2621" t="s">
        <v>13</v>
      </c>
      <c r="G2621" t="s">
        <v>412</v>
      </c>
      <c r="H2621" t="s">
        <v>14</v>
      </c>
    </row>
    <row r="2622" spans="1:8" hidden="1" x14ac:dyDescent="0.25">
      <c r="A2622" t="s">
        <v>3722</v>
      </c>
      <c r="B2622" s="1" t="str">
        <f>HYPERLINK("https://asmlis.vasa.lt/Dashboard/Served?ServiceDateFrom=2025-11-24&amp;ServiceDateTo=2025-11-24&amp;DumpsterInvNr=13-P-102454", "13-P-102454")</f>
        <v>13-P-102454</v>
      </c>
      <c r="C2622">
        <v>5</v>
      </c>
      <c r="D2622" t="s">
        <v>3723</v>
      </c>
      <c r="E2622" t="s">
        <v>11</v>
      </c>
      <c r="F2622" t="s">
        <v>13</v>
      </c>
      <c r="G2622" t="s">
        <v>1917</v>
      </c>
      <c r="H2622" t="s">
        <v>432</v>
      </c>
    </row>
    <row r="2623" spans="1:8" hidden="1" x14ac:dyDescent="0.25">
      <c r="A2623" t="s">
        <v>3724</v>
      </c>
      <c r="B2623" s="1" t="str">
        <f>HYPERLINK("https://asmlis.vasa.lt/Dashboard/Served?ServiceDateFrom=2025-11-24&amp;ServiceDateTo=2025-11-24&amp;DumpsterInvNr=13-L-426311", "13-L-426311")</f>
        <v>13-L-426311</v>
      </c>
      <c r="C2623">
        <v>1.1000000000000001</v>
      </c>
      <c r="D2623" t="s">
        <v>3708</v>
      </c>
      <c r="E2623" t="s">
        <v>11</v>
      </c>
      <c r="F2623" t="s">
        <v>13</v>
      </c>
      <c r="G2623" t="s">
        <v>74</v>
      </c>
      <c r="H2623" t="s">
        <v>14</v>
      </c>
    </row>
    <row r="2624" spans="1:8" hidden="1" x14ac:dyDescent="0.25">
      <c r="A2624" t="s">
        <v>3725</v>
      </c>
      <c r="B2624" s="1" t="str">
        <f>HYPERLINK("https://asmlis.vasa.lt/Dashboard/Served?ServiceDateFrom=2025-11-24&amp;ServiceDateTo=2025-11-24&amp;DumpsterInvNr=13-L-105823", "13-L-105823")</f>
        <v>13-L-105823</v>
      </c>
      <c r="C2624">
        <v>1.1000000000000001</v>
      </c>
      <c r="D2624" t="s">
        <v>3671</v>
      </c>
      <c r="E2624" t="s">
        <v>11</v>
      </c>
      <c r="G2624" t="s">
        <v>430</v>
      </c>
      <c r="H2624" t="s">
        <v>432</v>
      </c>
    </row>
    <row r="2625" spans="1:10" hidden="1" x14ac:dyDescent="0.25">
      <c r="A2625" t="s">
        <v>3725</v>
      </c>
      <c r="B2625" s="1" t="str">
        <f>HYPERLINK("https://asmlis.vasa.lt/Dashboard/Served?ServiceDateFrom=2025-11-24&amp;ServiceDateTo=2025-11-24&amp;DumpsterInvNr=13-L-311317", "13-L-311317")</f>
        <v>13-L-311317</v>
      </c>
      <c r="C2625">
        <v>0.66</v>
      </c>
      <c r="D2625" t="s">
        <v>3699</v>
      </c>
      <c r="E2625" t="s">
        <v>11</v>
      </c>
      <c r="G2625" t="s">
        <v>9</v>
      </c>
      <c r="H2625" t="s">
        <v>14</v>
      </c>
    </row>
    <row r="2626" spans="1:10" hidden="1" x14ac:dyDescent="0.25">
      <c r="A2626" t="s">
        <v>3726</v>
      </c>
      <c r="B2626" s="1" t="str">
        <f>HYPERLINK("https://asmlis.vasa.lt/Dashboard/Served?ServiceDateFrom=2025-11-24&amp;ServiceDateTo=2025-11-24&amp;DumpsterInvNr=13-L-227675", "13-L-227675")</f>
        <v>13-L-227675</v>
      </c>
      <c r="C2626">
        <v>1.1000000000000001</v>
      </c>
      <c r="D2626" t="s">
        <v>3536</v>
      </c>
      <c r="E2626" t="s">
        <v>11</v>
      </c>
      <c r="F2626" t="s">
        <v>13</v>
      </c>
      <c r="G2626" t="s">
        <v>936</v>
      </c>
      <c r="H2626" t="s">
        <v>938</v>
      </c>
    </row>
    <row r="2627" spans="1:10" hidden="1" x14ac:dyDescent="0.25">
      <c r="A2627" t="s">
        <v>3726</v>
      </c>
      <c r="B2627" s="1" t="str">
        <f>HYPERLINK("https://asmlis.vasa.lt/Dashboard/Served?ServiceDateFrom=2025-11-24&amp;ServiceDateTo=2025-11-24&amp;DumpsterInvNr=13-L-149439", "13-L-149439")</f>
        <v>13-L-149439</v>
      </c>
      <c r="C2627">
        <v>1.1000000000000001</v>
      </c>
      <c r="D2627" t="s">
        <v>3693</v>
      </c>
      <c r="E2627" t="s">
        <v>11</v>
      </c>
      <c r="G2627" t="s">
        <v>430</v>
      </c>
      <c r="H2627" t="s">
        <v>432</v>
      </c>
    </row>
    <row r="2628" spans="1:10" hidden="1" x14ac:dyDescent="0.25">
      <c r="A2628" t="s">
        <v>3727</v>
      </c>
      <c r="B2628" s="1" t="str">
        <f>HYPERLINK("https://asmlis.vasa.lt/Dashboard/Served?ServiceDateFrom=2025-11-24&amp;ServiceDateTo=2025-11-24&amp;DumpsterInvNr=13-P-412889", "13-P-412889")</f>
        <v>13-P-412889</v>
      </c>
      <c r="C2628">
        <v>0.24</v>
      </c>
      <c r="D2628" t="s">
        <v>3728</v>
      </c>
      <c r="E2628" t="s">
        <v>11</v>
      </c>
      <c r="F2628" t="s">
        <v>1209</v>
      </c>
      <c r="G2628" t="s">
        <v>264</v>
      </c>
      <c r="H2628" t="s">
        <v>14</v>
      </c>
    </row>
    <row r="2629" spans="1:10" hidden="1" x14ac:dyDescent="0.25">
      <c r="A2629" t="s">
        <v>3727</v>
      </c>
      <c r="B2629" s="1" t="str">
        <f>HYPERLINK("https://asmlis.vasa.lt/Dashboard/Served?ServiceDateFrom=2025-11-24&amp;ServiceDateTo=2025-11-24&amp;DumpsterInvNr=13-L-148554", "13-L-148554")</f>
        <v>13-L-148554</v>
      </c>
      <c r="C2629">
        <v>0.24</v>
      </c>
      <c r="D2629" t="s">
        <v>3730</v>
      </c>
      <c r="E2629" t="s">
        <v>11</v>
      </c>
      <c r="G2629" t="s">
        <v>430</v>
      </c>
      <c r="H2629" t="s">
        <v>432</v>
      </c>
    </row>
    <row r="2630" spans="1:10" hidden="1" x14ac:dyDescent="0.25">
      <c r="A2630" t="s">
        <v>3732</v>
      </c>
      <c r="B2630" s="1" t="str">
        <f>HYPERLINK("https://asmlis.vasa.lt/Dashboard/Served?ServiceDateFrom=2025-11-24&amp;ServiceDateTo=2025-11-24&amp;DumpsterInvNr=13-P-413695", "13-P-413695")</f>
        <v>13-P-413695</v>
      </c>
      <c r="C2630">
        <v>0.24</v>
      </c>
      <c r="D2630" t="s">
        <v>3733</v>
      </c>
      <c r="E2630" t="s">
        <v>11</v>
      </c>
      <c r="F2630" t="s">
        <v>1209</v>
      </c>
      <c r="G2630" t="s">
        <v>264</v>
      </c>
      <c r="H2630" t="s">
        <v>14</v>
      </c>
    </row>
    <row r="2631" spans="1:10" hidden="1" x14ac:dyDescent="0.25">
      <c r="A2631" t="s">
        <v>3734</v>
      </c>
      <c r="B2631" s="1" t="str">
        <f>HYPERLINK("https://asmlis.vasa.lt/Dashboard/Served?ServiceDateFrom=2025-11-24&amp;ServiceDateTo=2025-11-24&amp;DumpsterInvNr=13-S-404705", "13-S-404705")</f>
        <v>13-S-404705</v>
      </c>
      <c r="C2631">
        <v>0.12</v>
      </c>
      <c r="D2631" t="s">
        <v>3733</v>
      </c>
      <c r="E2631" t="s">
        <v>11</v>
      </c>
      <c r="F2631" t="s">
        <v>1209</v>
      </c>
      <c r="G2631" t="s">
        <v>264</v>
      </c>
      <c r="H2631" t="s">
        <v>14</v>
      </c>
    </row>
    <row r="2632" spans="1:10" hidden="1" x14ac:dyDescent="0.25">
      <c r="A2632" t="s">
        <v>3735</v>
      </c>
      <c r="B2632" s="1" t="str">
        <f>HYPERLINK("https://asmlis.vasa.lt/Dashboard/Served?ServiceDateFrom=2025-11-24&amp;ServiceDateTo=2025-11-24&amp;DumpsterInvNr=13-L-418282", "13-L-418282")</f>
        <v>13-L-418282</v>
      </c>
      <c r="C2632">
        <v>5</v>
      </c>
      <c r="D2632" t="s">
        <v>3736</v>
      </c>
      <c r="E2632" t="s">
        <v>11</v>
      </c>
      <c r="F2632" t="s">
        <v>13</v>
      </c>
      <c r="G2632" t="s">
        <v>74</v>
      </c>
      <c r="H2632" t="s">
        <v>14</v>
      </c>
    </row>
    <row r="2633" spans="1:10" hidden="1" x14ac:dyDescent="0.25">
      <c r="A2633" t="s">
        <v>3735</v>
      </c>
      <c r="B2633" s="1" t="str">
        <f>HYPERLINK("https://asmlis.vasa.lt/Dashboard/Served?ServiceDateFrom=2025-11-24&amp;ServiceDateTo=2025-11-24&amp;DumpsterInvNr=13-P-508451", "13-P-508451")</f>
        <v>13-P-508451</v>
      </c>
      <c r="C2633">
        <v>0.12</v>
      </c>
      <c r="D2633" t="s">
        <v>3730</v>
      </c>
      <c r="E2633" t="s">
        <v>11</v>
      </c>
      <c r="G2633" t="s">
        <v>2178</v>
      </c>
      <c r="H2633" t="s">
        <v>432</v>
      </c>
    </row>
    <row r="2634" spans="1:10" hidden="1" x14ac:dyDescent="0.25">
      <c r="A2634" t="s">
        <v>3735</v>
      </c>
      <c r="B2634" s="1" t="str">
        <f>HYPERLINK("https://asmlis.vasa.lt/Dashboard/Served?ServiceDateFrom=2025-11-24&amp;ServiceDateTo=2025-11-24&amp;DumpsterInvNr=13-S-500456", "13-S-500456")</f>
        <v>13-S-500456</v>
      </c>
      <c r="C2634">
        <v>0.12</v>
      </c>
      <c r="D2634" t="s">
        <v>3730</v>
      </c>
      <c r="E2634" t="s">
        <v>11</v>
      </c>
      <c r="G2634" t="s">
        <v>2178</v>
      </c>
      <c r="H2634" t="s">
        <v>432</v>
      </c>
    </row>
    <row r="2635" spans="1:10" x14ac:dyDescent="0.25">
      <c r="A2635" t="s">
        <v>3739</v>
      </c>
      <c r="B2635" s="1" t="str">
        <f>HYPERLINK("https://asmlis.vasa.lt/Dashboard/Served?ServiceDateFrom=2025-11-24&amp;ServiceDateTo=2025-11-24&amp;DumpsterInvNr=13-L-422681", "13-L-422681")</f>
        <v>13-L-422681</v>
      </c>
      <c r="C2635">
        <v>0.77</v>
      </c>
      <c r="D2635" t="s">
        <v>3740</v>
      </c>
      <c r="E2635" t="s">
        <v>11</v>
      </c>
      <c r="F2635" t="s">
        <v>1215</v>
      </c>
      <c r="G2635" t="s">
        <v>74</v>
      </c>
      <c r="H2635" t="s">
        <v>14</v>
      </c>
      <c r="J2635" t="s">
        <v>17511</v>
      </c>
    </row>
    <row r="2636" spans="1:10" hidden="1" x14ac:dyDescent="0.25">
      <c r="A2636" t="s">
        <v>3739</v>
      </c>
      <c r="B2636" s="1" t="str">
        <f>HYPERLINK("https://asmlis.vasa.lt/Dashboard/Served?ServiceDateFrom=2025-11-24&amp;ServiceDateTo=2025-11-24&amp;DumpsterInvNr=13-L-227680", "13-L-227680")</f>
        <v>13-L-227680</v>
      </c>
      <c r="C2636">
        <v>1.1000000000000001</v>
      </c>
      <c r="D2636" t="s">
        <v>3536</v>
      </c>
      <c r="E2636" t="s">
        <v>11</v>
      </c>
      <c r="F2636" t="s">
        <v>13</v>
      </c>
      <c r="G2636" t="s">
        <v>936</v>
      </c>
      <c r="H2636" t="s">
        <v>938</v>
      </c>
    </row>
    <row r="2637" spans="1:10" hidden="1" x14ac:dyDescent="0.25">
      <c r="A2637" t="s">
        <v>3742</v>
      </c>
      <c r="B2637" s="1" t="str">
        <f>HYPERLINK("https://asmlis.vasa.lt/Dashboard/Served?ServiceDateFrom=2025-11-24&amp;ServiceDateTo=2025-11-24&amp;DumpsterInvNr=13-L-105827", "13-L-105827")</f>
        <v>13-L-105827</v>
      </c>
      <c r="C2637">
        <v>1.1000000000000001</v>
      </c>
      <c r="D2637" t="s">
        <v>3671</v>
      </c>
      <c r="E2637" t="s">
        <v>11</v>
      </c>
      <c r="G2637" t="s">
        <v>430</v>
      </c>
      <c r="H2637" t="s">
        <v>432</v>
      </c>
    </row>
    <row r="2638" spans="1:10" hidden="1" x14ac:dyDescent="0.25">
      <c r="A2638" t="s">
        <v>1911</v>
      </c>
      <c r="B2638" s="1" t="str">
        <f>HYPERLINK("https://asmlis.vasa.lt/Dashboard/Served?ServiceDateFrom=2025-11-24&amp;ServiceDateTo=2025-11-24&amp;DumpsterInvNr=13-L-128123", "13-L-128123")</f>
        <v>13-L-128123</v>
      </c>
      <c r="C2638">
        <v>0.24</v>
      </c>
      <c r="D2638" t="s">
        <v>3743</v>
      </c>
      <c r="E2638" t="s">
        <v>11</v>
      </c>
      <c r="G2638" t="s">
        <v>1912</v>
      </c>
      <c r="H2638" t="s">
        <v>432</v>
      </c>
    </row>
    <row r="2639" spans="1:10" hidden="1" x14ac:dyDescent="0.25">
      <c r="A2639" t="s">
        <v>1911</v>
      </c>
      <c r="B2639" s="1" t="str">
        <f>HYPERLINK("https://asmlis.vasa.lt/Dashboard/Served?ServiceDateFrom=2025-11-24&amp;ServiceDateTo=2025-11-24&amp;DumpsterInvNr=13-P-300622", "13-P-300622")</f>
        <v>13-P-300622</v>
      </c>
      <c r="C2639">
        <v>1.1000000000000001</v>
      </c>
      <c r="D2639" t="s">
        <v>1451</v>
      </c>
      <c r="E2639" t="s">
        <v>11</v>
      </c>
      <c r="F2639" t="s">
        <v>13</v>
      </c>
      <c r="G2639" t="s">
        <v>412</v>
      </c>
      <c r="H2639" t="s">
        <v>14</v>
      </c>
    </row>
    <row r="2640" spans="1:10" hidden="1" x14ac:dyDescent="0.25">
      <c r="A2640" t="s">
        <v>1911</v>
      </c>
      <c r="B2640" s="1" t="str">
        <f>HYPERLINK("https://asmlis.vasa.lt/Dashboard/Served?ServiceDateFrom=2025-11-24&amp;ServiceDateTo=2025-11-24&amp;DumpsterInvNr=13-S-104156", "13-S-104156")</f>
        <v>13-S-104156</v>
      </c>
      <c r="C2640">
        <v>0.12</v>
      </c>
      <c r="D2640" t="s">
        <v>3743</v>
      </c>
      <c r="E2640" t="s">
        <v>11</v>
      </c>
      <c r="F2640" t="s">
        <v>1209</v>
      </c>
      <c r="G2640" t="s">
        <v>1917</v>
      </c>
      <c r="H2640" t="s">
        <v>432</v>
      </c>
    </row>
    <row r="2641" spans="1:8" hidden="1" x14ac:dyDescent="0.25">
      <c r="A2641" t="s">
        <v>1959</v>
      </c>
      <c r="B2641" s="1" t="str">
        <f>HYPERLINK("https://asmlis.vasa.lt/Dashboard/Served?ServiceDateFrom=2025-11-24&amp;ServiceDateTo=2025-11-24&amp;DumpsterInvNr=13-P-503065", "13-P-503065")</f>
        <v>13-P-503065</v>
      </c>
      <c r="C2641">
        <v>0.24</v>
      </c>
      <c r="D2641" t="s">
        <v>3744</v>
      </c>
      <c r="E2641" t="s">
        <v>11</v>
      </c>
      <c r="F2641" t="s">
        <v>1209</v>
      </c>
      <c r="G2641" t="s">
        <v>2178</v>
      </c>
      <c r="H2641" t="s">
        <v>432</v>
      </c>
    </row>
    <row r="2642" spans="1:8" hidden="1" x14ac:dyDescent="0.25">
      <c r="A2642" t="s">
        <v>2439</v>
      </c>
      <c r="B2642" s="1" t="str">
        <f>HYPERLINK("https://asmlis.vasa.lt/Dashboard/Served?ServiceDateFrom=2025-11-24&amp;ServiceDateTo=2025-11-24&amp;DumpsterInvNr=13-P-300252", "13-P-300252")</f>
        <v>13-P-300252</v>
      </c>
      <c r="C2642">
        <v>1.1000000000000001</v>
      </c>
      <c r="D2642" t="s">
        <v>1451</v>
      </c>
      <c r="E2642" t="s">
        <v>11</v>
      </c>
      <c r="F2642" t="s">
        <v>13</v>
      </c>
      <c r="G2642" t="s">
        <v>412</v>
      </c>
      <c r="H2642" t="s">
        <v>14</v>
      </c>
    </row>
    <row r="2643" spans="1:8" hidden="1" x14ac:dyDescent="0.25">
      <c r="A2643" t="s">
        <v>2439</v>
      </c>
      <c r="B2643" s="1" t="str">
        <f>HYPERLINK("https://asmlis.vasa.lt/Dashboard/Served?ServiceDateFrom=2025-11-24&amp;ServiceDateTo=2025-11-24&amp;DumpsterInvNr=13-S-503758", "13-S-503758")</f>
        <v>13-S-503758</v>
      </c>
      <c r="C2643">
        <v>0.12</v>
      </c>
      <c r="D2643" t="s">
        <v>3744</v>
      </c>
      <c r="E2643" t="s">
        <v>11</v>
      </c>
      <c r="F2643" t="s">
        <v>1209</v>
      </c>
      <c r="G2643" t="s">
        <v>2178</v>
      </c>
      <c r="H2643" t="s">
        <v>432</v>
      </c>
    </row>
    <row r="2644" spans="1:8" hidden="1" x14ac:dyDescent="0.25">
      <c r="A2644" t="s">
        <v>3741</v>
      </c>
      <c r="B2644" s="1" t="str">
        <f>HYPERLINK("https://asmlis.vasa.lt/Dashboard/Served?ServiceDateFrom=2025-11-24&amp;ServiceDateTo=2025-11-24&amp;DumpsterInvNr=13-P-503047", "13-P-503047")</f>
        <v>13-P-503047</v>
      </c>
      <c r="C2644">
        <v>0.24</v>
      </c>
      <c r="D2644" t="s">
        <v>3744</v>
      </c>
      <c r="E2644" t="s">
        <v>11</v>
      </c>
      <c r="F2644" t="s">
        <v>1209</v>
      </c>
      <c r="G2644" t="s">
        <v>2178</v>
      </c>
      <c r="H2644" t="s">
        <v>432</v>
      </c>
    </row>
    <row r="2645" spans="1:8" hidden="1" x14ac:dyDescent="0.25">
      <c r="A2645" t="s">
        <v>3746</v>
      </c>
      <c r="B2645" s="1" t="str">
        <f>HYPERLINK("https://asmlis.vasa.lt/Dashboard/Served?ServiceDateFrom=2025-11-24&amp;ServiceDateTo=2025-11-24&amp;DumpsterInvNr=13-P-413156", "13-P-413156")</f>
        <v>13-P-413156</v>
      </c>
      <c r="C2645">
        <v>0.24</v>
      </c>
      <c r="D2645" t="s">
        <v>3747</v>
      </c>
      <c r="E2645" t="s">
        <v>11</v>
      </c>
      <c r="G2645" t="s">
        <v>264</v>
      </c>
      <c r="H2645" t="s">
        <v>14</v>
      </c>
    </row>
    <row r="2646" spans="1:8" hidden="1" x14ac:dyDescent="0.25">
      <c r="A2646" t="s">
        <v>3746</v>
      </c>
      <c r="B2646" s="1" t="str">
        <f>HYPERLINK("https://asmlis.vasa.lt/Dashboard/Served?ServiceDateFrom=2025-11-24&amp;ServiceDateTo=2025-11-24&amp;DumpsterInvNr=13-P-209778", "13-P-209778")</f>
        <v>13-P-209778</v>
      </c>
      <c r="C2646">
        <v>0.24</v>
      </c>
      <c r="D2646" t="s">
        <v>3748</v>
      </c>
      <c r="E2646" t="s">
        <v>11</v>
      </c>
      <c r="G2646" t="s">
        <v>234</v>
      </c>
      <c r="H2646" t="s">
        <v>14</v>
      </c>
    </row>
    <row r="2647" spans="1:8" hidden="1" x14ac:dyDescent="0.25">
      <c r="A2647" t="s">
        <v>3746</v>
      </c>
      <c r="B2647" s="1" t="str">
        <f>HYPERLINK("https://asmlis.vasa.lt/Dashboard/Served?ServiceDateFrom=2025-11-24&amp;ServiceDateTo=2025-11-24&amp;DumpsterInvNr=13-P-101103", "13-P-101103")</f>
        <v>13-P-101103</v>
      </c>
      <c r="C2647">
        <v>0.24</v>
      </c>
      <c r="D2647" t="s">
        <v>3743</v>
      </c>
      <c r="E2647" t="s">
        <v>11</v>
      </c>
      <c r="G2647" t="s">
        <v>1917</v>
      </c>
      <c r="H2647" t="s">
        <v>432</v>
      </c>
    </row>
    <row r="2648" spans="1:8" hidden="1" x14ac:dyDescent="0.25">
      <c r="A2648" t="s">
        <v>3749</v>
      </c>
      <c r="B2648" s="1" t="str">
        <f>HYPERLINK("https://asmlis.vasa.lt/Dashboard/Served?ServiceDateFrom=2025-11-24&amp;ServiceDateTo=2025-11-24&amp;DumpsterInvNr=13-L-416217", "13-L-416217")</f>
        <v>13-L-416217</v>
      </c>
      <c r="C2648">
        <v>5</v>
      </c>
      <c r="D2648" t="s">
        <v>3750</v>
      </c>
      <c r="E2648" t="s">
        <v>11</v>
      </c>
      <c r="F2648" t="s">
        <v>13</v>
      </c>
      <c r="G2648" t="s">
        <v>74</v>
      </c>
      <c r="H2648" t="s">
        <v>14</v>
      </c>
    </row>
    <row r="2649" spans="1:8" hidden="1" x14ac:dyDescent="0.25">
      <c r="A2649" t="s">
        <v>3749</v>
      </c>
      <c r="B2649" s="1" t="str">
        <f>HYPERLINK("https://asmlis.vasa.lt/Dashboard/Served?ServiceDateFrom=2025-11-24&amp;ServiceDateTo=2025-11-24&amp;DumpsterInvNr=13-P-116359", "13-P-116359")</f>
        <v>13-P-116359</v>
      </c>
      <c r="C2649">
        <v>1.1000000000000001</v>
      </c>
      <c r="D2649" t="s">
        <v>3751</v>
      </c>
      <c r="E2649" t="s">
        <v>11</v>
      </c>
      <c r="G2649" t="s">
        <v>1917</v>
      </c>
      <c r="H2649" t="s">
        <v>432</v>
      </c>
    </row>
    <row r="2650" spans="1:8" hidden="1" x14ac:dyDescent="0.25">
      <c r="A2650" t="s">
        <v>3752</v>
      </c>
      <c r="B2650" s="1" t="str">
        <f>HYPERLINK("https://asmlis.vasa.lt/Dashboard/Served?ServiceDateFrom=2025-11-24&amp;ServiceDateTo=2025-11-24&amp;DumpsterInvNr=13-L-130896", "13-L-130896")</f>
        <v>13-L-130896</v>
      </c>
      <c r="C2650">
        <v>0.24</v>
      </c>
      <c r="D2650" t="s">
        <v>3744</v>
      </c>
      <c r="E2650" t="s">
        <v>11</v>
      </c>
      <c r="F2650" t="s">
        <v>1209</v>
      </c>
      <c r="G2650" t="s">
        <v>430</v>
      </c>
      <c r="H2650" t="s">
        <v>432</v>
      </c>
    </row>
    <row r="2651" spans="1:8" hidden="1" x14ac:dyDescent="0.25">
      <c r="A2651" t="s">
        <v>3753</v>
      </c>
      <c r="B2651" s="1" t="str">
        <f>HYPERLINK("https://asmlis.vasa.lt/Dashboard/Served?ServiceDateFrom=2025-11-24&amp;ServiceDateTo=2025-11-24&amp;DumpsterInvNr=13-L-103826", "13-L-103826")</f>
        <v>13-L-103826</v>
      </c>
      <c r="C2651">
        <v>1.1000000000000001</v>
      </c>
      <c r="D2651" t="s">
        <v>3693</v>
      </c>
      <c r="E2651" t="s">
        <v>11</v>
      </c>
      <c r="G2651" t="s">
        <v>430</v>
      </c>
      <c r="H2651" t="s">
        <v>432</v>
      </c>
    </row>
    <row r="2652" spans="1:8" hidden="1" x14ac:dyDescent="0.25">
      <c r="A2652" t="s">
        <v>3754</v>
      </c>
      <c r="B2652" s="1" t="str">
        <f>HYPERLINK("https://asmlis.vasa.lt/Dashboard/Served?ServiceDateFrom=2025-11-24&amp;ServiceDateTo=2025-11-24&amp;DumpsterInvNr=13-P-306065", "13-P-306065")</f>
        <v>13-P-306065</v>
      </c>
      <c r="C2652">
        <v>3</v>
      </c>
      <c r="D2652" t="s">
        <v>1371</v>
      </c>
      <c r="E2652" t="s">
        <v>11</v>
      </c>
      <c r="G2652" t="s">
        <v>412</v>
      </c>
      <c r="H2652" t="s">
        <v>14</v>
      </c>
    </row>
    <row r="2653" spans="1:8" hidden="1" x14ac:dyDescent="0.25">
      <c r="A2653" t="s">
        <v>3755</v>
      </c>
      <c r="B2653" s="1" t="str">
        <f>HYPERLINK("https://asmlis.vasa.lt/Dashboard/Served?ServiceDateFrom=2025-11-24&amp;ServiceDateTo=2025-11-24&amp;DumpsterInvNr=13-L-418285", "13-L-418285")</f>
        <v>13-L-418285</v>
      </c>
      <c r="C2653">
        <v>5</v>
      </c>
      <c r="D2653" t="s">
        <v>2231</v>
      </c>
      <c r="E2653" t="s">
        <v>11</v>
      </c>
      <c r="F2653" t="s">
        <v>13</v>
      </c>
      <c r="G2653" t="s">
        <v>74</v>
      </c>
      <c r="H2653" t="s">
        <v>14</v>
      </c>
    </row>
    <row r="2654" spans="1:8" hidden="1" x14ac:dyDescent="0.25">
      <c r="A2654" t="s">
        <v>3756</v>
      </c>
      <c r="B2654" s="1" t="str">
        <f>HYPERLINK("https://asmlis.vasa.lt/Dashboard/Served?ServiceDateFrom=2025-11-24&amp;ServiceDateTo=2025-11-24&amp;DumpsterInvNr=13-L-222280", "13-L-222280")</f>
        <v>13-L-222280</v>
      </c>
      <c r="C2654">
        <v>1.1000000000000001</v>
      </c>
      <c r="D2654" t="s">
        <v>3700</v>
      </c>
      <c r="E2654" t="s">
        <v>11</v>
      </c>
      <c r="G2654" t="s">
        <v>936</v>
      </c>
      <c r="H2654" t="s">
        <v>938</v>
      </c>
    </row>
    <row r="2655" spans="1:8" hidden="1" x14ac:dyDescent="0.25">
      <c r="A2655" t="s">
        <v>3757</v>
      </c>
      <c r="B2655" s="1" t="str">
        <f>HYPERLINK("https://asmlis.vasa.lt/Dashboard/Served?ServiceDateFrom=2025-11-24&amp;ServiceDateTo=2025-11-24&amp;DumpsterInvNr=13-L-146879", "13-L-146879")</f>
        <v>13-L-146879</v>
      </c>
      <c r="C2655">
        <v>5</v>
      </c>
      <c r="D2655" t="s">
        <v>3758</v>
      </c>
      <c r="E2655" t="s">
        <v>11</v>
      </c>
      <c r="F2655" t="s">
        <v>13</v>
      </c>
      <c r="G2655" t="s">
        <v>430</v>
      </c>
      <c r="H2655" t="s">
        <v>432</v>
      </c>
    </row>
    <row r="2656" spans="1:8" hidden="1" x14ac:dyDescent="0.25">
      <c r="A2656" t="s">
        <v>3759</v>
      </c>
      <c r="B2656" s="1" t="str">
        <f>HYPERLINK("https://asmlis.vasa.lt/Dashboard/Served?ServiceDateFrom=2025-11-24&amp;ServiceDateTo=2025-11-24&amp;DumpsterInvNr=13-L-105826", "13-L-105826")</f>
        <v>13-L-105826</v>
      </c>
      <c r="C2656">
        <v>1.1000000000000001</v>
      </c>
      <c r="D2656" t="s">
        <v>3671</v>
      </c>
      <c r="E2656" t="s">
        <v>11</v>
      </c>
      <c r="G2656" t="s">
        <v>430</v>
      </c>
      <c r="H2656" t="s">
        <v>432</v>
      </c>
    </row>
    <row r="2657" spans="1:8" hidden="1" x14ac:dyDescent="0.25">
      <c r="A2657" t="s">
        <v>3759</v>
      </c>
      <c r="B2657" s="1" t="str">
        <f>HYPERLINK("https://asmlis.vasa.lt/Dashboard/Served?ServiceDateFrom=2025-11-24&amp;ServiceDateTo=2025-11-24&amp;DumpsterInvNr=13-P-300536", "13-P-300536")</f>
        <v>13-P-300536</v>
      </c>
      <c r="C2657">
        <v>1.1000000000000001</v>
      </c>
      <c r="D2657" t="s">
        <v>3716</v>
      </c>
      <c r="E2657" t="s">
        <v>11</v>
      </c>
      <c r="F2657" t="s">
        <v>13</v>
      </c>
      <c r="G2657" t="s">
        <v>412</v>
      </c>
      <c r="H2657" t="s">
        <v>14</v>
      </c>
    </row>
    <row r="2658" spans="1:8" hidden="1" x14ac:dyDescent="0.25">
      <c r="A2658" t="s">
        <v>3761</v>
      </c>
      <c r="B2658" s="1" t="str">
        <f>HYPERLINK("https://asmlis.vasa.lt/Dashboard/Served?ServiceDateFrom=2025-11-24&amp;ServiceDateTo=2025-11-24&amp;DumpsterInvNr=13-L-144824", "13-L-144824")</f>
        <v>13-L-144824</v>
      </c>
      <c r="C2658">
        <v>5</v>
      </c>
      <c r="D2658" t="s">
        <v>3762</v>
      </c>
      <c r="E2658" t="s">
        <v>11</v>
      </c>
      <c r="F2658" t="s">
        <v>13</v>
      </c>
      <c r="G2658" t="s">
        <v>430</v>
      </c>
      <c r="H2658" t="s">
        <v>432</v>
      </c>
    </row>
    <row r="2659" spans="1:8" hidden="1" x14ac:dyDescent="0.25">
      <c r="A2659" t="s">
        <v>3763</v>
      </c>
      <c r="B2659" s="1" t="str">
        <f>HYPERLINK("https://asmlis.vasa.lt/Dashboard/Served?ServiceDateFrom=2025-11-24&amp;ServiceDateTo=2025-11-24&amp;DumpsterInvNr=13-L-421513", "13-L-421513")</f>
        <v>13-L-421513</v>
      </c>
      <c r="C2659">
        <v>1.1000000000000001</v>
      </c>
      <c r="D2659" t="s">
        <v>3764</v>
      </c>
      <c r="E2659" t="s">
        <v>11</v>
      </c>
      <c r="G2659" t="s">
        <v>74</v>
      </c>
      <c r="H2659" t="s">
        <v>14</v>
      </c>
    </row>
    <row r="2660" spans="1:8" hidden="1" x14ac:dyDescent="0.25">
      <c r="A2660" t="s">
        <v>3765</v>
      </c>
      <c r="B2660" s="1" t="str">
        <f>HYPERLINK("https://asmlis.vasa.lt/Dashboard/Served?ServiceDateFrom=2025-11-24&amp;ServiceDateTo=2025-11-24&amp;DumpsterInvNr=13-L-140912", "13-L-140912")</f>
        <v>13-L-140912</v>
      </c>
      <c r="C2660">
        <v>5</v>
      </c>
      <c r="D2660" t="s">
        <v>3766</v>
      </c>
      <c r="E2660" t="s">
        <v>11</v>
      </c>
      <c r="F2660" t="s">
        <v>13</v>
      </c>
      <c r="G2660" t="s">
        <v>1912</v>
      </c>
      <c r="H2660" t="s">
        <v>432</v>
      </c>
    </row>
    <row r="2661" spans="1:8" hidden="1" x14ac:dyDescent="0.25">
      <c r="A2661" t="s">
        <v>3767</v>
      </c>
      <c r="B2661" s="1" t="str">
        <f>HYPERLINK("https://asmlis.vasa.lt/Dashboard/Served?ServiceDateFrom=2025-11-24&amp;ServiceDateTo=2025-11-24&amp;DumpsterInvNr=13-L-213510", "13-L-213510")</f>
        <v>13-L-213510</v>
      </c>
      <c r="C2661">
        <v>0.12</v>
      </c>
      <c r="D2661" t="s">
        <v>3288</v>
      </c>
      <c r="E2661" t="s">
        <v>11</v>
      </c>
      <c r="G2661" t="s">
        <v>936</v>
      </c>
      <c r="H2661" t="s">
        <v>938</v>
      </c>
    </row>
    <row r="2662" spans="1:8" hidden="1" x14ac:dyDescent="0.25">
      <c r="A2662" t="s">
        <v>3768</v>
      </c>
      <c r="B2662" s="1" t="str">
        <f>HYPERLINK("https://asmlis.vasa.lt/Dashboard/Served?ServiceDateFrom=2025-11-24&amp;ServiceDateTo=2025-11-24&amp;DumpsterInvNr=13-L-103827", "13-L-103827")</f>
        <v>13-L-103827</v>
      </c>
      <c r="C2662">
        <v>1.1000000000000001</v>
      </c>
      <c r="D2662" t="s">
        <v>3693</v>
      </c>
      <c r="E2662" t="s">
        <v>11</v>
      </c>
      <c r="G2662" t="s">
        <v>430</v>
      </c>
      <c r="H2662" t="s">
        <v>432</v>
      </c>
    </row>
    <row r="2663" spans="1:8" hidden="1" x14ac:dyDescent="0.25">
      <c r="A2663" t="s">
        <v>3768</v>
      </c>
      <c r="B2663" s="1" t="str">
        <f>HYPERLINK("https://asmlis.vasa.lt/Dashboard/Served?ServiceDateFrom=2025-11-24&amp;ServiceDateTo=2025-11-24&amp;DumpsterInvNr=13-P-300648", "13-P-300648")</f>
        <v>13-P-300648</v>
      </c>
      <c r="C2663">
        <v>1.1000000000000001</v>
      </c>
      <c r="D2663" t="s">
        <v>3769</v>
      </c>
      <c r="E2663" t="s">
        <v>11</v>
      </c>
      <c r="F2663" t="s">
        <v>13</v>
      </c>
      <c r="G2663" t="s">
        <v>412</v>
      </c>
      <c r="H2663" t="s">
        <v>14</v>
      </c>
    </row>
    <row r="2664" spans="1:8" hidden="1" x14ac:dyDescent="0.25">
      <c r="A2664" t="s">
        <v>3770</v>
      </c>
      <c r="B2664" s="1" t="str">
        <f>HYPERLINK("https://asmlis.vasa.lt/Dashboard/Served?ServiceDateFrom=2025-11-24&amp;ServiceDateTo=2025-11-24&amp;DumpsterInvNr=13-P-310647", "13-P-310647")</f>
        <v>13-P-310647</v>
      </c>
      <c r="C2664">
        <v>1.1000000000000001</v>
      </c>
      <c r="D2664" t="s">
        <v>3771</v>
      </c>
      <c r="E2664" t="s">
        <v>11</v>
      </c>
      <c r="F2664" t="s">
        <v>13</v>
      </c>
      <c r="G2664" t="s">
        <v>412</v>
      </c>
      <c r="H2664" t="s">
        <v>14</v>
      </c>
    </row>
    <row r="2665" spans="1:8" hidden="1" x14ac:dyDescent="0.25">
      <c r="A2665" t="s">
        <v>3772</v>
      </c>
      <c r="B2665" s="1" t="str">
        <f>HYPERLINK("https://asmlis.vasa.lt/Dashboard/Served?ServiceDateFrom=2025-11-24&amp;ServiceDateTo=2025-11-24&amp;DumpsterInvNr=13-L-422680", "13-L-422680")</f>
        <v>13-L-422680</v>
      </c>
      <c r="C2665">
        <v>0.24</v>
      </c>
      <c r="D2665" t="s">
        <v>3773</v>
      </c>
      <c r="E2665" t="s">
        <v>11</v>
      </c>
      <c r="G2665" t="s">
        <v>74</v>
      </c>
      <c r="H2665" t="s">
        <v>14</v>
      </c>
    </row>
    <row r="2666" spans="1:8" hidden="1" x14ac:dyDescent="0.25">
      <c r="A2666" t="s">
        <v>3774</v>
      </c>
      <c r="B2666" s="1" t="str">
        <f>HYPERLINK("https://asmlis.vasa.lt/Dashboard/Served?ServiceDateFrom=2025-11-24&amp;ServiceDateTo=2025-11-24&amp;DumpsterInvNr=13-P-500615", "13-P-500615")</f>
        <v>13-P-500615</v>
      </c>
      <c r="C2666">
        <v>5</v>
      </c>
      <c r="D2666" t="s">
        <v>3775</v>
      </c>
      <c r="E2666" t="s">
        <v>11</v>
      </c>
      <c r="F2666" t="s">
        <v>13</v>
      </c>
      <c r="G2666" t="s">
        <v>2178</v>
      </c>
      <c r="H2666" t="s">
        <v>432</v>
      </c>
    </row>
    <row r="2667" spans="1:8" hidden="1" x14ac:dyDescent="0.25">
      <c r="A2667" t="s">
        <v>3776</v>
      </c>
      <c r="B2667" s="1" t="str">
        <f>HYPERLINK("https://asmlis.vasa.lt/Dashboard/Served?ServiceDateFrom=2025-11-24&amp;ServiceDateTo=2025-11-24&amp;DumpsterInvNr=13-P-302420", "13-P-302420")</f>
        <v>13-P-302420</v>
      </c>
      <c r="C2667">
        <v>1.1000000000000001</v>
      </c>
      <c r="D2667" t="s">
        <v>3769</v>
      </c>
      <c r="E2667" t="s">
        <v>11</v>
      </c>
      <c r="F2667" t="s">
        <v>13</v>
      </c>
      <c r="G2667" t="s">
        <v>412</v>
      </c>
      <c r="H2667" t="s">
        <v>14</v>
      </c>
    </row>
    <row r="2668" spans="1:8" hidden="1" x14ac:dyDescent="0.25">
      <c r="A2668" t="s">
        <v>3777</v>
      </c>
      <c r="B2668" s="1" t="str">
        <f>HYPERLINK("https://asmlis.vasa.lt/Dashboard/Served?ServiceDateFrom=2025-11-24&amp;ServiceDateTo=2025-11-24&amp;DumpsterInvNr=13-L-213511", "13-L-213511")</f>
        <v>13-L-213511</v>
      </c>
      <c r="C2668">
        <v>0.12</v>
      </c>
      <c r="D2668" t="s">
        <v>3301</v>
      </c>
      <c r="E2668" t="s">
        <v>11</v>
      </c>
      <c r="F2668" t="s">
        <v>1209</v>
      </c>
      <c r="G2668" t="s">
        <v>936</v>
      </c>
      <c r="H2668" t="s">
        <v>938</v>
      </c>
    </row>
    <row r="2669" spans="1:8" hidden="1" x14ac:dyDescent="0.25">
      <c r="A2669" t="s">
        <v>3778</v>
      </c>
      <c r="B2669" s="1" t="str">
        <f>HYPERLINK("https://asmlis.vasa.lt/Dashboard/Served?ServiceDateFrom=2025-11-24&amp;ServiceDateTo=2025-11-24&amp;DumpsterInvNr=13-L-105824", "13-L-105824")</f>
        <v>13-L-105824</v>
      </c>
      <c r="C2669">
        <v>1.1000000000000001</v>
      </c>
      <c r="D2669" t="s">
        <v>3671</v>
      </c>
      <c r="E2669" t="s">
        <v>11</v>
      </c>
      <c r="G2669" t="s">
        <v>430</v>
      </c>
      <c r="H2669" t="s">
        <v>432</v>
      </c>
    </row>
    <row r="2670" spans="1:8" hidden="1" x14ac:dyDescent="0.25">
      <c r="A2670" t="s">
        <v>3779</v>
      </c>
      <c r="B2670" s="1" t="str">
        <f>HYPERLINK("https://asmlis.vasa.lt/Dashboard/Served?ServiceDateFrom=2025-11-24&amp;ServiceDateTo=2025-11-24&amp;DumpsterInvNr=13-L-416214", "13-L-416214")</f>
        <v>13-L-416214</v>
      </c>
      <c r="C2670">
        <v>5</v>
      </c>
      <c r="D2670" t="s">
        <v>2226</v>
      </c>
      <c r="E2670" t="s">
        <v>11</v>
      </c>
      <c r="F2670" t="s">
        <v>13</v>
      </c>
      <c r="G2670" t="s">
        <v>74</v>
      </c>
      <c r="H2670" t="s">
        <v>14</v>
      </c>
    </row>
    <row r="2671" spans="1:8" hidden="1" x14ac:dyDescent="0.25">
      <c r="A2671" t="s">
        <v>3780</v>
      </c>
      <c r="B2671" s="1" t="str">
        <f>HYPERLINK("https://asmlis.vasa.lt/Dashboard/Served?ServiceDateFrom=2025-11-24&amp;ServiceDateTo=2025-11-24&amp;DumpsterInvNr=13-L-215889", "13-L-215889")</f>
        <v>13-L-215889</v>
      </c>
      <c r="C2671">
        <v>1.1000000000000001</v>
      </c>
      <c r="D2671" t="s">
        <v>3700</v>
      </c>
      <c r="E2671" t="s">
        <v>11</v>
      </c>
      <c r="F2671" t="s">
        <v>13</v>
      </c>
      <c r="G2671" t="s">
        <v>936</v>
      </c>
      <c r="H2671" t="s">
        <v>938</v>
      </c>
    </row>
    <row r="2672" spans="1:8" hidden="1" x14ac:dyDescent="0.25">
      <c r="A2672" t="s">
        <v>3780</v>
      </c>
      <c r="B2672" s="1" t="str">
        <f>HYPERLINK("https://asmlis.vasa.lt/Dashboard/Served?ServiceDateFrom=2025-11-24&amp;ServiceDateTo=2025-11-24&amp;DumpsterInvNr=13-P-300678", "13-P-300678")</f>
        <v>13-P-300678</v>
      </c>
      <c r="C2672">
        <v>1.1000000000000001</v>
      </c>
      <c r="D2672" t="s">
        <v>3781</v>
      </c>
      <c r="E2672" t="s">
        <v>11</v>
      </c>
      <c r="G2672" t="s">
        <v>412</v>
      </c>
      <c r="H2672" t="s">
        <v>14</v>
      </c>
    </row>
    <row r="2673" spans="1:8" hidden="1" x14ac:dyDescent="0.25">
      <c r="A2673" t="s">
        <v>3782</v>
      </c>
      <c r="B2673" s="1" t="str">
        <f>HYPERLINK("https://asmlis.vasa.lt/Dashboard/Served?ServiceDateFrom=2025-11-24&amp;ServiceDateTo=2025-11-24&amp;DumpsterInvNr=13-L-136126", "13-L-136126")</f>
        <v>13-L-136126</v>
      </c>
      <c r="C2673">
        <v>5</v>
      </c>
      <c r="D2673" t="s">
        <v>3783</v>
      </c>
      <c r="E2673" t="s">
        <v>11</v>
      </c>
      <c r="F2673" t="s">
        <v>13</v>
      </c>
      <c r="G2673" t="s">
        <v>430</v>
      </c>
      <c r="H2673" t="s">
        <v>432</v>
      </c>
    </row>
    <row r="2674" spans="1:8" hidden="1" x14ac:dyDescent="0.25">
      <c r="A2674" t="s">
        <v>3782</v>
      </c>
      <c r="B2674" s="1" t="str">
        <f>HYPERLINK("https://asmlis.vasa.lt/Dashboard/Served?ServiceDateFrom=2025-11-24&amp;ServiceDateTo=2025-11-24&amp;DumpsterInvNr=13-P-413565", "13-P-413565")</f>
        <v>13-P-413565</v>
      </c>
      <c r="C2674">
        <v>0.24</v>
      </c>
      <c r="D2674" t="s">
        <v>3784</v>
      </c>
      <c r="E2674" t="s">
        <v>11</v>
      </c>
      <c r="G2674" t="s">
        <v>264</v>
      </c>
      <c r="H2674" t="s">
        <v>14</v>
      </c>
    </row>
    <row r="2675" spans="1:8" hidden="1" x14ac:dyDescent="0.25">
      <c r="A2675" t="s">
        <v>3785</v>
      </c>
      <c r="B2675" s="1" t="str">
        <f>HYPERLINK("https://asmlis.vasa.lt/Dashboard/Served?ServiceDateFrom=2025-11-24&amp;ServiceDateTo=2025-11-24&amp;DumpsterInvNr=13-P-210894", "13-P-210894")</f>
        <v>13-P-210894</v>
      </c>
      <c r="C2675">
        <v>0.24</v>
      </c>
      <c r="D2675" t="s">
        <v>3786</v>
      </c>
      <c r="E2675" t="s">
        <v>11</v>
      </c>
      <c r="F2675" t="s">
        <v>1209</v>
      </c>
      <c r="G2675" t="s">
        <v>234</v>
      </c>
      <c r="H2675" t="s">
        <v>14</v>
      </c>
    </row>
    <row r="2676" spans="1:8" hidden="1" x14ac:dyDescent="0.25">
      <c r="A2676" t="s">
        <v>3788</v>
      </c>
      <c r="B2676" s="1" t="str">
        <f>HYPERLINK("https://asmlis.vasa.lt/Dashboard/Served?ServiceDateFrom=2025-11-24&amp;ServiceDateTo=2025-11-24&amp;DumpsterInvNr=13-L-224258", "13-L-224258")</f>
        <v>13-L-224258</v>
      </c>
      <c r="C2676">
        <v>5</v>
      </c>
      <c r="D2676" t="s">
        <v>3789</v>
      </c>
      <c r="E2676" t="s">
        <v>11</v>
      </c>
      <c r="G2676" t="s">
        <v>936</v>
      </c>
      <c r="H2676" t="s">
        <v>938</v>
      </c>
    </row>
    <row r="2677" spans="1:8" hidden="1" x14ac:dyDescent="0.25">
      <c r="A2677" t="s">
        <v>3788</v>
      </c>
      <c r="B2677" s="1" t="str">
        <f>HYPERLINK("https://asmlis.vasa.lt/Dashboard/Served?ServiceDateFrom=2025-11-24&amp;ServiceDateTo=2025-11-24&amp;DumpsterInvNr=13-S-103248", "13-S-103248")</f>
        <v>13-S-103248</v>
      </c>
      <c r="C2677">
        <v>0.12</v>
      </c>
      <c r="D2677" t="s">
        <v>3791</v>
      </c>
      <c r="E2677" t="s">
        <v>11</v>
      </c>
      <c r="F2677" t="s">
        <v>1209</v>
      </c>
      <c r="G2677" t="s">
        <v>1917</v>
      </c>
      <c r="H2677" t="s">
        <v>432</v>
      </c>
    </row>
    <row r="2678" spans="1:8" hidden="1" x14ac:dyDescent="0.25">
      <c r="A2678" t="s">
        <v>3792</v>
      </c>
      <c r="B2678" s="1" t="str">
        <f>HYPERLINK("https://asmlis.vasa.lt/Dashboard/Served?ServiceDateFrom=2025-11-24&amp;ServiceDateTo=2025-11-24&amp;DumpsterInvNr=13-L-422591", "13-L-422591")</f>
        <v>13-L-422591</v>
      </c>
      <c r="C2678">
        <v>0.77</v>
      </c>
      <c r="D2678" t="s">
        <v>3764</v>
      </c>
      <c r="E2678" t="s">
        <v>11</v>
      </c>
      <c r="G2678" t="s">
        <v>74</v>
      </c>
      <c r="H2678" t="s">
        <v>14</v>
      </c>
    </row>
    <row r="2679" spans="1:8" hidden="1" x14ac:dyDescent="0.25">
      <c r="A2679" t="s">
        <v>3793</v>
      </c>
      <c r="B2679" s="1" t="str">
        <f>HYPERLINK("https://asmlis.vasa.lt/Dashboard/Served?ServiceDateFrom=2025-11-24&amp;ServiceDateTo=2025-11-24&amp;DumpsterInvNr=13-S-404701", "13-S-404701")</f>
        <v>13-S-404701</v>
      </c>
      <c r="C2679">
        <v>0.12</v>
      </c>
      <c r="D2679" t="s">
        <v>3784</v>
      </c>
      <c r="E2679" t="s">
        <v>11</v>
      </c>
      <c r="F2679" t="s">
        <v>1209</v>
      </c>
      <c r="G2679" t="s">
        <v>264</v>
      </c>
      <c r="H2679" t="s">
        <v>14</v>
      </c>
    </row>
    <row r="2680" spans="1:8" hidden="1" x14ac:dyDescent="0.25">
      <c r="A2680" t="s">
        <v>3793</v>
      </c>
      <c r="B2680" s="1" t="str">
        <f>HYPERLINK("https://asmlis.vasa.lt/Dashboard/Served?ServiceDateFrom=2025-11-24&amp;ServiceDateTo=2025-11-24&amp;DumpsterInvNr=13-L-426186", "13-L-426186")</f>
        <v>13-L-426186</v>
      </c>
      <c r="C2680">
        <v>1.1000000000000001</v>
      </c>
      <c r="D2680" t="s">
        <v>3794</v>
      </c>
      <c r="E2680" t="s">
        <v>11</v>
      </c>
      <c r="F2680" t="s">
        <v>13</v>
      </c>
      <c r="G2680" t="s">
        <v>74</v>
      </c>
      <c r="H2680" t="s">
        <v>14</v>
      </c>
    </row>
    <row r="2681" spans="1:8" hidden="1" x14ac:dyDescent="0.25">
      <c r="A2681" t="s">
        <v>3795</v>
      </c>
      <c r="B2681" s="1" t="str">
        <f>HYPERLINK("https://asmlis.vasa.lt/Dashboard/Served?ServiceDateFrom=2025-11-24&amp;ServiceDateTo=2025-11-24&amp;DumpsterInvNr=13-L-301390", "13-L-301390")</f>
        <v>13-L-301390</v>
      </c>
      <c r="C2681">
        <v>1.1000000000000001</v>
      </c>
      <c r="D2681" t="s">
        <v>3796</v>
      </c>
      <c r="E2681" t="s">
        <v>11</v>
      </c>
      <c r="G2681" t="s">
        <v>9</v>
      </c>
      <c r="H2681" t="s">
        <v>14</v>
      </c>
    </row>
    <row r="2682" spans="1:8" hidden="1" x14ac:dyDescent="0.25">
      <c r="A2682" t="s">
        <v>3795</v>
      </c>
      <c r="B2682" s="1" t="str">
        <f>HYPERLINK("https://asmlis.vasa.lt/Dashboard/Served?ServiceDateFrom=2025-11-24&amp;ServiceDateTo=2025-11-24&amp;DumpsterInvNr=13-P-412309", "13-P-412309")</f>
        <v>13-P-412309</v>
      </c>
      <c r="C2682">
        <v>0.24</v>
      </c>
      <c r="D2682" t="s">
        <v>3784</v>
      </c>
      <c r="E2682" t="s">
        <v>11</v>
      </c>
      <c r="F2682" t="s">
        <v>1209</v>
      </c>
      <c r="G2682" t="s">
        <v>264</v>
      </c>
      <c r="H2682" t="s">
        <v>14</v>
      </c>
    </row>
    <row r="2683" spans="1:8" hidden="1" x14ac:dyDescent="0.25">
      <c r="A2683" t="s">
        <v>3798</v>
      </c>
      <c r="B2683" s="1" t="str">
        <f>HYPERLINK("https://asmlis.vasa.lt/Dashboard/Served?ServiceDateFrom=2025-11-24&amp;ServiceDateTo=2025-11-24&amp;DumpsterInvNr=13-S-404702", "13-S-404702")</f>
        <v>13-S-404702</v>
      </c>
      <c r="C2683">
        <v>0.12</v>
      </c>
      <c r="D2683" t="s">
        <v>3784</v>
      </c>
      <c r="E2683" t="s">
        <v>11</v>
      </c>
      <c r="F2683" t="s">
        <v>1209</v>
      </c>
      <c r="G2683" t="s">
        <v>264</v>
      </c>
      <c r="H2683" t="s">
        <v>14</v>
      </c>
    </row>
    <row r="2684" spans="1:8" hidden="1" x14ac:dyDescent="0.25">
      <c r="A2684" t="s">
        <v>3799</v>
      </c>
      <c r="B2684" s="1" t="str">
        <f>HYPERLINK("https://asmlis.vasa.lt/Dashboard/Served?ServiceDateFrom=2025-11-24&amp;ServiceDateTo=2025-11-24&amp;DumpsterInvNr=13-L-424724", "13-L-424724")</f>
        <v>13-L-424724</v>
      </c>
      <c r="C2684">
        <v>1.1000000000000001</v>
      </c>
      <c r="D2684" t="s">
        <v>3794</v>
      </c>
      <c r="E2684" t="s">
        <v>11</v>
      </c>
      <c r="F2684" t="s">
        <v>13</v>
      </c>
      <c r="G2684" t="s">
        <v>74</v>
      </c>
      <c r="H2684" t="s">
        <v>14</v>
      </c>
    </row>
    <row r="2685" spans="1:8" hidden="1" x14ac:dyDescent="0.25">
      <c r="A2685" t="s">
        <v>3800</v>
      </c>
      <c r="B2685" s="1" t="str">
        <f>HYPERLINK("https://asmlis.vasa.lt/Dashboard/Served?ServiceDateFrom=2025-11-24&amp;ServiceDateTo=2025-11-24&amp;DumpsterInvNr=13-L-225972", "13-L-225972")</f>
        <v>13-L-225972</v>
      </c>
      <c r="C2685">
        <v>1.1000000000000001</v>
      </c>
      <c r="D2685" t="s">
        <v>3801</v>
      </c>
      <c r="E2685" t="s">
        <v>11</v>
      </c>
      <c r="F2685" t="s">
        <v>13</v>
      </c>
      <c r="G2685" t="s">
        <v>936</v>
      </c>
      <c r="H2685" t="s">
        <v>938</v>
      </c>
    </row>
    <row r="2686" spans="1:8" hidden="1" x14ac:dyDescent="0.25">
      <c r="A2686" t="s">
        <v>3802</v>
      </c>
      <c r="B2686" s="1" t="str">
        <f>HYPERLINK("https://asmlis.vasa.lt/Dashboard/Served?ServiceDateFrom=2025-11-24&amp;ServiceDateTo=2025-11-24&amp;DumpsterInvNr=13-L-421777", "13-L-421777")</f>
        <v>13-L-421777</v>
      </c>
      <c r="C2686">
        <v>0.24</v>
      </c>
      <c r="D2686" t="s">
        <v>3803</v>
      </c>
      <c r="E2686" t="s">
        <v>11</v>
      </c>
      <c r="G2686" t="s">
        <v>74</v>
      </c>
      <c r="H2686" t="s">
        <v>14</v>
      </c>
    </row>
    <row r="2687" spans="1:8" hidden="1" x14ac:dyDescent="0.25">
      <c r="A2687" t="s">
        <v>3804</v>
      </c>
      <c r="B2687" s="1" t="str">
        <f>HYPERLINK("https://asmlis.vasa.lt/Dashboard/Served?ServiceDateFrom=2025-11-24&amp;ServiceDateTo=2025-11-24&amp;DumpsterInvNr=13-L-105821", "13-L-105821")</f>
        <v>13-L-105821</v>
      </c>
      <c r="C2687">
        <v>1.1000000000000001</v>
      </c>
      <c r="D2687" t="s">
        <v>3671</v>
      </c>
      <c r="E2687" t="s">
        <v>11</v>
      </c>
      <c r="G2687" t="s">
        <v>430</v>
      </c>
      <c r="H2687" t="s">
        <v>432</v>
      </c>
    </row>
    <row r="2688" spans="1:8" hidden="1" x14ac:dyDescent="0.25">
      <c r="A2688" t="s">
        <v>3805</v>
      </c>
      <c r="B2688" s="1" t="str">
        <f>HYPERLINK("https://asmlis.vasa.lt/Dashboard/Served?ServiceDateFrom=2025-11-24&amp;ServiceDateTo=2025-11-24&amp;DumpsterInvNr=13-L-421648", "13-L-421648")</f>
        <v>13-L-421648</v>
      </c>
      <c r="C2688">
        <v>1.1000000000000001</v>
      </c>
      <c r="D2688" t="s">
        <v>3806</v>
      </c>
      <c r="E2688" t="s">
        <v>11</v>
      </c>
      <c r="F2688" t="s">
        <v>13</v>
      </c>
      <c r="G2688" t="s">
        <v>74</v>
      </c>
      <c r="H2688" t="s">
        <v>14</v>
      </c>
    </row>
    <row r="2689" spans="1:8" hidden="1" x14ac:dyDescent="0.25">
      <c r="A2689" t="s">
        <v>3807</v>
      </c>
      <c r="B2689" s="1" t="str">
        <f>HYPERLINK("https://asmlis.vasa.lt/Dashboard/Served?ServiceDateFrom=2025-11-24&amp;ServiceDateTo=2025-11-24&amp;DumpsterInvNr=13-L-313522", "13-L-313522")</f>
        <v>13-L-313522</v>
      </c>
      <c r="C2689">
        <v>5</v>
      </c>
      <c r="D2689" t="s">
        <v>3808</v>
      </c>
      <c r="E2689" t="s">
        <v>11</v>
      </c>
      <c r="F2689" t="s">
        <v>13</v>
      </c>
      <c r="G2689" t="s">
        <v>9</v>
      </c>
      <c r="H2689" t="s">
        <v>14</v>
      </c>
    </row>
    <row r="2690" spans="1:8" hidden="1" x14ac:dyDescent="0.25">
      <c r="A2690" t="s">
        <v>3809</v>
      </c>
      <c r="B2690" s="1" t="str">
        <f>HYPERLINK("https://asmlis.vasa.lt/Dashboard/Served?ServiceDateFrom=2025-11-24&amp;ServiceDateTo=2025-11-24&amp;DumpsterInvNr=13-L-421650", "13-L-421650")</f>
        <v>13-L-421650</v>
      </c>
      <c r="C2690">
        <v>1.1000000000000001</v>
      </c>
      <c r="D2690" t="s">
        <v>3806</v>
      </c>
      <c r="E2690" t="s">
        <v>11</v>
      </c>
      <c r="F2690" t="s">
        <v>13</v>
      </c>
      <c r="G2690" t="s">
        <v>74</v>
      </c>
      <c r="H2690" t="s">
        <v>14</v>
      </c>
    </row>
    <row r="2691" spans="1:8" hidden="1" x14ac:dyDescent="0.25">
      <c r="A2691" t="s">
        <v>3809</v>
      </c>
      <c r="B2691" s="1" t="str">
        <f>HYPERLINK("https://asmlis.vasa.lt/Dashboard/Served?ServiceDateFrom=2025-11-24&amp;ServiceDateTo=2025-11-24&amp;DumpsterInvNr=13-L-316686", "13-L-316686")</f>
        <v>13-L-316686</v>
      </c>
      <c r="C2691">
        <v>1.1000000000000001</v>
      </c>
      <c r="D2691" t="s">
        <v>2085</v>
      </c>
      <c r="E2691" t="s">
        <v>11</v>
      </c>
      <c r="G2691" t="s">
        <v>9</v>
      </c>
      <c r="H2691" t="s">
        <v>14</v>
      </c>
    </row>
    <row r="2692" spans="1:8" hidden="1" x14ac:dyDescent="0.25">
      <c r="A2692" t="s">
        <v>3810</v>
      </c>
      <c r="B2692" s="1" t="str">
        <f>HYPERLINK("https://asmlis.vasa.lt/Dashboard/Served?ServiceDateFrom=2025-11-24&amp;ServiceDateTo=2025-11-24&amp;DumpsterInvNr=13-P-300754", "13-P-300754")</f>
        <v>13-P-300754</v>
      </c>
      <c r="C2692">
        <v>3</v>
      </c>
      <c r="D2692" t="s">
        <v>1371</v>
      </c>
      <c r="E2692" t="s">
        <v>11</v>
      </c>
      <c r="F2692" t="s">
        <v>13</v>
      </c>
      <c r="G2692" t="s">
        <v>412</v>
      </c>
      <c r="H2692" t="s">
        <v>14</v>
      </c>
    </row>
    <row r="2693" spans="1:8" hidden="1" x14ac:dyDescent="0.25">
      <c r="A2693" t="s">
        <v>3811</v>
      </c>
      <c r="B2693" s="1" t="str">
        <f>HYPERLINK("https://asmlis.vasa.lt/Dashboard/Served?ServiceDateFrom=2025-11-24&amp;ServiceDateTo=2025-11-24&amp;DumpsterInvNr=13-P-209781", "13-P-209781")</f>
        <v>13-P-209781</v>
      </c>
      <c r="C2693">
        <v>0.24</v>
      </c>
      <c r="D2693" t="s">
        <v>3812</v>
      </c>
      <c r="E2693" t="s">
        <v>11</v>
      </c>
      <c r="G2693" t="s">
        <v>234</v>
      </c>
      <c r="H2693" t="s">
        <v>14</v>
      </c>
    </row>
    <row r="2694" spans="1:8" hidden="1" x14ac:dyDescent="0.25">
      <c r="A2694" t="s">
        <v>3813</v>
      </c>
      <c r="B2694" s="1" t="str">
        <f>HYPERLINK("https://asmlis.vasa.lt/Dashboard/Served?ServiceDateFrom=2025-11-24&amp;ServiceDateTo=2025-11-24&amp;DumpsterInvNr=13-L-404128", "13-L-404128")</f>
        <v>13-L-404128</v>
      </c>
      <c r="C2694">
        <v>5</v>
      </c>
      <c r="D2694" t="s">
        <v>3806</v>
      </c>
      <c r="E2694" t="s">
        <v>11</v>
      </c>
      <c r="F2694" t="s">
        <v>13</v>
      </c>
      <c r="G2694" t="s">
        <v>74</v>
      </c>
      <c r="H2694" t="s">
        <v>14</v>
      </c>
    </row>
    <row r="2695" spans="1:8" hidden="1" x14ac:dyDescent="0.25">
      <c r="A2695" t="s">
        <v>3814</v>
      </c>
      <c r="B2695" s="1" t="str">
        <f>HYPERLINK("https://asmlis.vasa.lt/Dashboard/Served?ServiceDateFrom=2025-11-24&amp;ServiceDateTo=2025-11-24&amp;DumpsterInvNr=13-L-311908", "13-L-311908")</f>
        <v>13-L-311908</v>
      </c>
      <c r="C2695">
        <v>1.1000000000000001</v>
      </c>
      <c r="D2695" t="s">
        <v>1987</v>
      </c>
      <c r="E2695" t="s">
        <v>11</v>
      </c>
      <c r="G2695" t="s">
        <v>9</v>
      </c>
      <c r="H2695" t="s">
        <v>14</v>
      </c>
    </row>
    <row r="2696" spans="1:8" hidden="1" x14ac:dyDescent="0.25">
      <c r="A2696" t="s">
        <v>3815</v>
      </c>
      <c r="B2696" s="1" t="str">
        <f>HYPERLINK("https://asmlis.vasa.lt/Dashboard/Served?ServiceDateFrom=2025-11-24&amp;ServiceDateTo=2025-11-24&amp;DumpsterInvNr=13-L-223411", "13-L-223411")</f>
        <v>13-L-223411</v>
      </c>
      <c r="C2696">
        <v>1.1000000000000001</v>
      </c>
      <c r="D2696" t="s">
        <v>3700</v>
      </c>
      <c r="E2696" t="s">
        <v>11</v>
      </c>
      <c r="F2696" t="s">
        <v>13</v>
      </c>
      <c r="G2696" t="s">
        <v>936</v>
      </c>
      <c r="H2696" t="s">
        <v>938</v>
      </c>
    </row>
    <row r="2697" spans="1:8" hidden="1" x14ac:dyDescent="0.25">
      <c r="A2697" t="s">
        <v>3816</v>
      </c>
      <c r="B2697" s="1" t="str">
        <f>HYPERLINK("https://asmlis.vasa.lt/Dashboard/Served?ServiceDateFrom=2025-11-24&amp;ServiceDateTo=2025-11-24&amp;DumpsterInvNr=13-L-418284", "13-L-418284")</f>
        <v>13-L-418284</v>
      </c>
      <c r="C2697">
        <v>5</v>
      </c>
      <c r="D2697" t="s">
        <v>3817</v>
      </c>
      <c r="E2697" t="s">
        <v>11</v>
      </c>
      <c r="F2697" t="s">
        <v>13</v>
      </c>
      <c r="G2697" t="s">
        <v>74</v>
      </c>
      <c r="H2697" t="s">
        <v>14</v>
      </c>
    </row>
    <row r="2698" spans="1:8" hidden="1" x14ac:dyDescent="0.25">
      <c r="A2698" t="s">
        <v>3818</v>
      </c>
      <c r="B2698" s="1" t="str">
        <f>HYPERLINK("https://asmlis.vasa.lt/Dashboard/Served?ServiceDateFrom=2025-11-24&amp;ServiceDateTo=2025-11-24&amp;DumpsterInvNr=13-L-318432", "13-L-318432")</f>
        <v>13-L-318432</v>
      </c>
      <c r="C2698">
        <v>1.1000000000000001</v>
      </c>
      <c r="D2698" t="s">
        <v>3796</v>
      </c>
      <c r="E2698" t="s">
        <v>11</v>
      </c>
      <c r="F2698" t="s">
        <v>13</v>
      </c>
      <c r="G2698" t="s">
        <v>9</v>
      </c>
      <c r="H2698" t="s">
        <v>14</v>
      </c>
    </row>
    <row r="2699" spans="1:8" hidden="1" x14ac:dyDescent="0.25">
      <c r="A2699" t="s">
        <v>3819</v>
      </c>
      <c r="B2699" s="1" t="str">
        <f>HYPERLINK("https://asmlis.vasa.lt/Dashboard/Served?ServiceDateFrom=2025-11-24&amp;ServiceDateTo=2025-11-24&amp;DumpsterInvNr=13-L-221252", "13-L-221252")</f>
        <v>13-L-221252</v>
      </c>
      <c r="C2699">
        <v>1.1000000000000001</v>
      </c>
      <c r="D2699" t="s">
        <v>3700</v>
      </c>
      <c r="E2699" t="s">
        <v>11</v>
      </c>
      <c r="F2699" t="s">
        <v>13</v>
      </c>
      <c r="G2699" t="s">
        <v>936</v>
      </c>
      <c r="H2699" t="s">
        <v>938</v>
      </c>
    </row>
    <row r="2700" spans="1:8" hidden="1" x14ac:dyDescent="0.25">
      <c r="A2700" t="s">
        <v>3820</v>
      </c>
      <c r="B2700" s="1" t="str">
        <f>HYPERLINK("https://asmlis.vasa.lt/Dashboard/Served?ServiceDateFrom=2025-11-24&amp;ServiceDateTo=2025-11-24&amp;DumpsterInvNr=13-L-209285", "13-L-209285")</f>
        <v>13-L-209285</v>
      </c>
      <c r="C2700">
        <v>0.24</v>
      </c>
      <c r="D2700" t="s">
        <v>3347</v>
      </c>
      <c r="E2700" t="s">
        <v>11</v>
      </c>
      <c r="G2700" t="s">
        <v>936</v>
      </c>
      <c r="H2700" t="s">
        <v>938</v>
      </c>
    </row>
    <row r="2701" spans="1:8" hidden="1" x14ac:dyDescent="0.25">
      <c r="A2701" t="s">
        <v>3821</v>
      </c>
      <c r="B2701" s="1" t="str">
        <f>HYPERLINK("https://asmlis.vasa.lt/Dashboard/Served?ServiceDateFrom=2025-11-24&amp;ServiceDateTo=2025-11-24&amp;DumpsterInvNr=13-P-207715", "13-P-207715")</f>
        <v>13-P-207715</v>
      </c>
      <c r="C2701">
        <v>5</v>
      </c>
      <c r="D2701" t="s">
        <v>3822</v>
      </c>
      <c r="E2701" t="s">
        <v>11</v>
      </c>
      <c r="G2701" t="s">
        <v>234</v>
      </c>
      <c r="H2701" t="s">
        <v>14</v>
      </c>
    </row>
    <row r="2702" spans="1:8" hidden="1" x14ac:dyDescent="0.25">
      <c r="A2702" t="s">
        <v>3823</v>
      </c>
      <c r="B2702" s="1" t="str">
        <f>HYPERLINK("https://asmlis.vasa.lt/Dashboard/Served?ServiceDateFrom=2025-11-24&amp;ServiceDateTo=2025-11-24&amp;DumpsterInvNr=13-L-227625", "13-L-227625")</f>
        <v>13-L-227625</v>
      </c>
      <c r="C2702">
        <v>1.1000000000000001</v>
      </c>
      <c r="D2702" t="s">
        <v>3824</v>
      </c>
      <c r="E2702" t="s">
        <v>11</v>
      </c>
      <c r="G2702" t="s">
        <v>936</v>
      </c>
      <c r="H2702" t="s">
        <v>938</v>
      </c>
    </row>
    <row r="2703" spans="1:8" hidden="1" x14ac:dyDescent="0.25">
      <c r="A2703" t="s">
        <v>3583</v>
      </c>
      <c r="B2703" s="1" t="str">
        <f>HYPERLINK("https://asmlis.vasa.lt/Dashboard/Served?ServiceDateFrom=2025-11-24&amp;ServiceDateTo=2025-11-24&amp;DumpsterInvNr=13-L-105825", "13-L-105825")</f>
        <v>13-L-105825</v>
      </c>
      <c r="C2703">
        <v>1.1000000000000001</v>
      </c>
      <c r="D2703" t="s">
        <v>3671</v>
      </c>
      <c r="E2703" t="s">
        <v>11</v>
      </c>
      <c r="G2703" t="s">
        <v>430</v>
      </c>
      <c r="H2703" t="s">
        <v>432</v>
      </c>
    </row>
    <row r="2704" spans="1:8" hidden="1" x14ac:dyDescent="0.25">
      <c r="A2704" t="s">
        <v>3586</v>
      </c>
      <c r="B2704" s="1" t="str">
        <f>HYPERLINK("https://asmlis.vasa.lt/Dashboard/Served?ServiceDateFrom=2025-11-24&amp;ServiceDateTo=2025-11-24&amp;DumpsterInvNr=13-P-413843", "13-P-413843")</f>
        <v>13-P-413843</v>
      </c>
      <c r="C2704">
        <v>5</v>
      </c>
      <c r="D2704" t="s">
        <v>3826</v>
      </c>
      <c r="E2704" t="s">
        <v>11</v>
      </c>
      <c r="G2704" t="s">
        <v>264</v>
      </c>
      <c r="H2704" t="s">
        <v>14</v>
      </c>
    </row>
    <row r="2705" spans="1:8" hidden="1" x14ac:dyDescent="0.25">
      <c r="A2705" t="s">
        <v>3594</v>
      </c>
      <c r="B2705" s="1" t="str">
        <f>HYPERLINK("https://asmlis.vasa.lt/Dashboard/Served?ServiceDateFrom=2025-11-24&amp;ServiceDateTo=2025-11-24&amp;DumpsterInvNr=13-P-300701", "13-P-300701")</f>
        <v>13-P-300701</v>
      </c>
      <c r="C2705">
        <v>1.1000000000000001</v>
      </c>
      <c r="D2705" t="s">
        <v>3769</v>
      </c>
      <c r="E2705" t="s">
        <v>11</v>
      </c>
      <c r="F2705" t="s">
        <v>13</v>
      </c>
      <c r="G2705" t="s">
        <v>412</v>
      </c>
      <c r="H2705" t="s">
        <v>14</v>
      </c>
    </row>
    <row r="2706" spans="1:8" hidden="1" x14ac:dyDescent="0.25">
      <c r="A2706" t="s">
        <v>3729</v>
      </c>
      <c r="B2706" s="1" t="str">
        <f>HYPERLINK("https://asmlis.vasa.lt/Dashboard/Served?ServiceDateFrom=2025-11-24&amp;ServiceDateTo=2025-11-24&amp;DumpsterInvNr=13-P-300703", "13-P-300703")</f>
        <v>13-P-300703</v>
      </c>
      <c r="C2706">
        <v>1.1000000000000001</v>
      </c>
      <c r="D2706" t="s">
        <v>3769</v>
      </c>
      <c r="E2706" t="s">
        <v>11</v>
      </c>
      <c r="F2706" t="s">
        <v>13</v>
      </c>
      <c r="G2706" t="s">
        <v>412</v>
      </c>
      <c r="H2706" t="s">
        <v>14</v>
      </c>
    </row>
    <row r="2707" spans="1:8" hidden="1" x14ac:dyDescent="0.25">
      <c r="A2707" t="s">
        <v>3797</v>
      </c>
      <c r="B2707" s="1" t="str">
        <f>HYPERLINK("https://asmlis.vasa.lt/Dashboard/Served?ServiceDateFrom=2025-11-24&amp;ServiceDateTo=2025-11-24&amp;DumpsterInvNr=13-P-300697", "13-P-300697")</f>
        <v>13-P-300697</v>
      </c>
      <c r="C2707">
        <v>1.1000000000000001</v>
      </c>
      <c r="D2707" t="s">
        <v>3769</v>
      </c>
      <c r="E2707" t="s">
        <v>11</v>
      </c>
      <c r="F2707" t="s">
        <v>13</v>
      </c>
      <c r="G2707" t="s">
        <v>412</v>
      </c>
      <c r="H2707" t="s">
        <v>14</v>
      </c>
    </row>
    <row r="2708" spans="1:8" hidden="1" x14ac:dyDescent="0.25">
      <c r="A2708" t="s">
        <v>3787</v>
      </c>
      <c r="B2708" s="1" t="str">
        <f>HYPERLINK("https://asmlis.vasa.lt/Dashboard/Served?ServiceDateFrom=2025-11-24&amp;ServiceDateTo=2025-11-24&amp;DumpsterInvNr=13-L-316685", "13-L-316685")</f>
        <v>13-L-316685</v>
      </c>
      <c r="C2708">
        <v>1.1000000000000001</v>
      </c>
      <c r="D2708" t="s">
        <v>2085</v>
      </c>
      <c r="E2708" t="s">
        <v>11</v>
      </c>
      <c r="G2708" t="s">
        <v>9</v>
      </c>
      <c r="H2708" t="s">
        <v>14</v>
      </c>
    </row>
    <row r="2709" spans="1:8" hidden="1" x14ac:dyDescent="0.25">
      <c r="A2709" t="s">
        <v>3787</v>
      </c>
      <c r="B2709" s="1" t="str">
        <f>HYPERLINK("https://asmlis.vasa.lt/Dashboard/Served?ServiceDateFrom=2025-11-24&amp;ServiceDateTo=2025-11-24&amp;DumpsterInvNr=13-P-416372", "13-P-416372")</f>
        <v>13-P-416372</v>
      </c>
      <c r="C2709">
        <v>0.24</v>
      </c>
      <c r="D2709" t="s">
        <v>3827</v>
      </c>
      <c r="E2709" t="s">
        <v>11</v>
      </c>
      <c r="G2709" t="s">
        <v>264</v>
      </c>
      <c r="H2709" t="s">
        <v>14</v>
      </c>
    </row>
    <row r="2710" spans="1:8" hidden="1" x14ac:dyDescent="0.25">
      <c r="A2710" t="s">
        <v>3828</v>
      </c>
      <c r="B2710" s="1" t="str">
        <f>HYPERLINK("https://asmlis.vasa.lt/Dashboard/Served?ServiceDateFrom=2025-11-24&amp;ServiceDateTo=2025-11-24&amp;DumpsterInvNr=13-P-300725", "13-P-300725")</f>
        <v>13-P-300725</v>
      </c>
      <c r="C2710">
        <v>1.1000000000000001</v>
      </c>
      <c r="D2710" t="s">
        <v>3769</v>
      </c>
      <c r="E2710" t="s">
        <v>11</v>
      </c>
      <c r="F2710" t="s">
        <v>13</v>
      </c>
      <c r="G2710" t="s">
        <v>412</v>
      </c>
      <c r="H2710" t="s">
        <v>14</v>
      </c>
    </row>
    <row r="2711" spans="1:8" hidden="1" x14ac:dyDescent="0.25">
      <c r="A2711" t="s">
        <v>3828</v>
      </c>
      <c r="B2711" s="1" t="str">
        <f>HYPERLINK("https://asmlis.vasa.lt/Dashboard/Served?ServiceDateFrom=2025-11-24&amp;ServiceDateTo=2025-11-24&amp;DumpsterInvNr=13-L-228110", "13-L-228110")</f>
        <v>13-L-228110</v>
      </c>
      <c r="C2711">
        <v>0.24</v>
      </c>
      <c r="D2711" t="s">
        <v>3363</v>
      </c>
      <c r="E2711" t="s">
        <v>11</v>
      </c>
      <c r="F2711" t="s">
        <v>1209</v>
      </c>
      <c r="G2711" t="s">
        <v>936</v>
      </c>
      <c r="H2711" t="s">
        <v>938</v>
      </c>
    </row>
    <row r="2712" spans="1:8" hidden="1" x14ac:dyDescent="0.25">
      <c r="A2712" t="s">
        <v>3829</v>
      </c>
      <c r="B2712" s="1" t="str">
        <f>HYPERLINK("https://asmlis.vasa.lt/Dashboard/Served?ServiceDateFrom=2025-11-24&amp;ServiceDateTo=2025-11-24&amp;DumpsterInvNr=13-P-300628", "13-P-300628")</f>
        <v>13-P-300628</v>
      </c>
      <c r="C2712">
        <v>1.1000000000000001</v>
      </c>
      <c r="D2712" t="s">
        <v>3769</v>
      </c>
      <c r="E2712" t="s">
        <v>11</v>
      </c>
      <c r="F2712" t="s">
        <v>13</v>
      </c>
      <c r="G2712" t="s">
        <v>412</v>
      </c>
      <c r="H2712" t="s">
        <v>14</v>
      </c>
    </row>
    <row r="2713" spans="1:8" hidden="1" x14ac:dyDescent="0.25">
      <c r="A2713" t="s">
        <v>3830</v>
      </c>
      <c r="B2713" s="1" t="str">
        <f>HYPERLINK("https://asmlis.vasa.lt/Dashboard/Served?ServiceDateFrom=2025-11-24&amp;ServiceDateTo=2025-11-24&amp;DumpsterInvNr=13-P-300661", "13-P-300661")</f>
        <v>13-P-300661</v>
      </c>
      <c r="C2713">
        <v>1.1000000000000001</v>
      </c>
      <c r="D2713" t="s">
        <v>3769</v>
      </c>
      <c r="E2713" t="s">
        <v>11</v>
      </c>
      <c r="F2713" t="s">
        <v>13</v>
      </c>
      <c r="G2713" t="s">
        <v>412</v>
      </c>
      <c r="H2713" t="s">
        <v>14</v>
      </c>
    </row>
    <row r="2714" spans="1:8" hidden="1" x14ac:dyDescent="0.25">
      <c r="A2714" t="s">
        <v>3831</v>
      </c>
      <c r="B2714" s="1" t="str">
        <f>HYPERLINK("https://asmlis.vasa.lt/Dashboard/Served?ServiceDateFrom=2025-11-24&amp;ServiceDateTo=2025-11-24&amp;DumpsterInvNr=13-L-424759", "13-L-424759")</f>
        <v>13-L-424759</v>
      </c>
      <c r="C2714">
        <v>1.1000000000000001</v>
      </c>
      <c r="D2714" t="s">
        <v>485</v>
      </c>
      <c r="E2714" t="s">
        <v>11</v>
      </c>
      <c r="G2714" t="s">
        <v>74</v>
      </c>
      <c r="H2714" t="s">
        <v>14</v>
      </c>
    </row>
    <row r="2715" spans="1:8" hidden="1" x14ac:dyDescent="0.25">
      <c r="A2715" t="s">
        <v>3832</v>
      </c>
      <c r="B2715" s="1" t="str">
        <f>HYPERLINK("https://asmlis.vasa.lt/Dashboard/Served?ServiceDateFrom=2025-11-24&amp;ServiceDateTo=2025-11-24&amp;DumpsterInvNr=13-P-500627", "13-P-500627")</f>
        <v>13-P-500627</v>
      </c>
      <c r="C2715">
        <v>3</v>
      </c>
      <c r="D2715" t="s">
        <v>3833</v>
      </c>
      <c r="E2715" t="s">
        <v>11</v>
      </c>
      <c r="F2715" t="s">
        <v>13</v>
      </c>
      <c r="G2715" t="s">
        <v>2178</v>
      </c>
      <c r="H2715" t="s">
        <v>432</v>
      </c>
    </row>
    <row r="2716" spans="1:8" hidden="1" x14ac:dyDescent="0.25">
      <c r="A2716" t="s">
        <v>3834</v>
      </c>
      <c r="B2716" s="1" t="str">
        <f>HYPERLINK("https://asmlis.vasa.lt/Dashboard/Served?ServiceDateFrom=2025-11-24&amp;ServiceDateTo=2025-11-24&amp;DumpsterInvNr=13-L-311907", "13-L-311907")</f>
        <v>13-L-311907</v>
      </c>
      <c r="C2716">
        <v>1.1000000000000001</v>
      </c>
      <c r="D2716" t="s">
        <v>1987</v>
      </c>
      <c r="E2716" t="s">
        <v>11</v>
      </c>
      <c r="G2716" t="s">
        <v>9</v>
      </c>
      <c r="H2716" t="s">
        <v>14</v>
      </c>
    </row>
    <row r="2717" spans="1:8" hidden="1" x14ac:dyDescent="0.25">
      <c r="A2717" t="s">
        <v>3835</v>
      </c>
      <c r="B2717" s="1" t="str">
        <f>HYPERLINK("https://asmlis.vasa.lt/Dashboard/Served?ServiceDateFrom=2025-11-24&amp;ServiceDateTo=2025-11-24&amp;DumpsterInvNr=13-L-221522", "13-L-221522")</f>
        <v>13-L-221522</v>
      </c>
      <c r="C2717">
        <v>1.1000000000000001</v>
      </c>
      <c r="D2717" t="s">
        <v>3836</v>
      </c>
      <c r="E2717" t="s">
        <v>11</v>
      </c>
      <c r="G2717" t="s">
        <v>936</v>
      </c>
      <c r="H2717" t="s">
        <v>938</v>
      </c>
    </row>
    <row r="2718" spans="1:8" hidden="1" x14ac:dyDescent="0.25">
      <c r="A2718" t="s">
        <v>3837</v>
      </c>
      <c r="B2718" s="1" t="str">
        <f>HYPERLINK("https://asmlis.vasa.lt/Dashboard/Served?ServiceDateFrom=2025-11-24&amp;ServiceDateTo=2025-11-24&amp;DumpsterInvNr=13-P-500629", "13-P-500629")</f>
        <v>13-P-500629</v>
      </c>
      <c r="C2718">
        <v>3</v>
      </c>
      <c r="D2718" t="s">
        <v>3833</v>
      </c>
      <c r="E2718" t="s">
        <v>11</v>
      </c>
      <c r="F2718" t="s">
        <v>13</v>
      </c>
      <c r="G2718" t="s">
        <v>2178</v>
      </c>
      <c r="H2718" t="s">
        <v>432</v>
      </c>
    </row>
    <row r="2719" spans="1:8" hidden="1" x14ac:dyDescent="0.25">
      <c r="A2719" t="s">
        <v>3838</v>
      </c>
      <c r="B2719" s="1" t="str">
        <f>HYPERLINK("https://asmlis.vasa.lt/Dashboard/Served?ServiceDateFrom=2025-11-24&amp;ServiceDateTo=2025-11-24&amp;DumpsterInvNr=13-L-424617", "13-L-424617")</f>
        <v>13-L-424617</v>
      </c>
      <c r="C2719">
        <v>1.1000000000000001</v>
      </c>
      <c r="D2719" t="s">
        <v>3806</v>
      </c>
      <c r="E2719" t="s">
        <v>11</v>
      </c>
      <c r="F2719" t="s">
        <v>13</v>
      </c>
      <c r="G2719" t="s">
        <v>74</v>
      </c>
      <c r="H2719" t="s">
        <v>14</v>
      </c>
    </row>
    <row r="2720" spans="1:8" hidden="1" x14ac:dyDescent="0.25">
      <c r="A2720" t="s">
        <v>3839</v>
      </c>
      <c r="B2720" s="1" t="str">
        <f>HYPERLINK("https://asmlis.vasa.lt/Dashboard/Served?ServiceDateFrom=2025-11-24&amp;ServiceDateTo=2025-11-24&amp;DumpsterInvNr=13-P-300695", "13-P-300695")</f>
        <v>13-P-300695</v>
      </c>
      <c r="C2720">
        <v>1.1000000000000001</v>
      </c>
      <c r="D2720" t="s">
        <v>3840</v>
      </c>
      <c r="E2720" t="s">
        <v>11</v>
      </c>
      <c r="F2720" t="s">
        <v>13</v>
      </c>
      <c r="G2720" t="s">
        <v>412</v>
      </c>
      <c r="H2720" t="s">
        <v>14</v>
      </c>
    </row>
    <row r="2721" spans="1:8" hidden="1" x14ac:dyDescent="0.25">
      <c r="A2721" t="s">
        <v>3841</v>
      </c>
      <c r="B2721" s="1" t="str">
        <f>HYPERLINK("https://asmlis.vasa.lt/Dashboard/Served?ServiceDateFrom=2025-11-24&amp;ServiceDateTo=2025-11-24&amp;DumpsterInvNr=13-L-220963", "13-L-220963")</f>
        <v>13-L-220963</v>
      </c>
      <c r="C2721">
        <v>1.1000000000000001</v>
      </c>
      <c r="D2721" t="s">
        <v>3824</v>
      </c>
      <c r="E2721" t="s">
        <v>11</v>
      </c>
      <c r="G2721" t="s">
        <v>936</v>
      </c>
      <c r="H2721" t="s">
        <v>938</v>
      </c>
    </row>
    <row r="2722" spans="1:8" hidden="1" x14ac:dyDescent="0.25">
      <c r="A2722" t="s">
        <v>3841</v>
      </c>
      <c r="B2722" s="1" t="str">
        <f>HYPERLINK("https://asmlis.vasa.lt/Dashboard/Served?ServiceDateFrom=2025-11-24&amp;ServiceDateTo=2025-11-24&amp;DumpsterInvNr=13-P-416373", "13-P-416373")</f>
        <v>13-P-416373</v>
      </c>
      <c r="C2722">
        <v>0.24</v>
      </c>
      <c r="D2722" t="s">
        <v>3842</v>
      </c>
      <c r="E2722" t="s">
        <v>11</v>
      </c>
      <c r="G2722" t="s">
        <v>264</v>
      </c>
      <c r="H2722" t="s">
        <v>14</v>
      </c>
    </row>
    <row r="2723" spans="1:8" hidden="1" x14ac:dyDescent="0.25">
      <c r="A2723" t="s">
        <v>3841</v>
      </c>
      <c r="B2723" s="1" t="str">
        <f>HYPERLINK("https://asmlis.vasa.lt/Dashboard/Served?ServiceDateFrom=2025-11-24&amp;ServiceDateTo=2025-11-24&amp;DumpsterInvNr=13-P-209618", "13-P-209618")</f>
        <v>13-P-209618</v>
      </c>
      <c r="C2723">
        <v>0.24</v>
      </c>
      <c r="D2723" t="s">
        <v>3843</v>
      </c>
      <c r="E2723" t="s">
        <v>11</v>
      </c>
      <c r="G2723" t="s">
        <v>234</v>
      </c>
      <c r="H2723" t="s">
        <v>14</v>
      </c>
    </row>
    <row r="2724" spans="1:8" hidden="1" x14ac:dyDescent="0.25">
      <c r="A2724" t="s">
        <v>3844</v>
      </c>
      <c r="B2724" s="1" t="str">
        <f>HYPERLINK("https://asmlis.vasa.lt/Dashboard/Served?ServiceDateFrom=2025-11-24&amp;ServiceDateTo=2025-11-24&amp;DumpsterInvNr=13-P-416412", "13-P-416412")</f>
        <v>13-P-416412</v>
      </c>
      <c r="C2724">
        <v>0.24</v>
      </c>
      <c r="D2724" t="s">
        <v>3845</v>
      </c>
      <c r="E2724" t="s">
        <v>11</v>
      </c>
      <c r="G2724" t="s">
        <v>264</v>
      </c>
      <c r="H2724" t="s">
        <v>14</v>
      </c>
    </row>
    <row r="2725" spans="1:8" hidden="1" x14ac:dyDescent="0.25">
      <c r="A2725" t="s">
        <v>3844</v>
      </c>
      <c r="B2725" s="1" t="str">
        <f>HYPERLINK("https://asmlis.vasa.lt/Dashboard/Served?ServiceDateFrom=2025-11-24&amp;ServiceDateTo=2025-11-24&amp;DumpsterInvNr=13-L-426102", "13-L-426102")</f>
        <v>13-L-426102</v>
      </c>
      <c r="C2725">
        <v>1.1000000000000001</v>
      </c>
      <c r="D2725" t="s">
        <v>3794</v>
      </c>
      <c r="E2725" t="s">
        <v>11</v>
      </c>
      <c r="F2725" t="s">
        <v>13</v>
      </c>
      <c r="G2725" t="s">
        <v>74</v>
      </c>
      <c r="H2725" t="s">
        <v>14</v>
      </c>
    </row>
    <row r="2726" spans="1:8" hidden="1" x14ac:dyDescent="0.25">
      <c r="A2726" t="s">
        <v>3844</v>
      </c>
      <c r="B2726" s="1" t="str">
        <f>HYPERLINK("https://asmlis.vasa.lt/Dashboard/Served?ServiceDateFrom=2025-11-24&amp;ServiceDateTo=2025-11-24&amp;DumpsterInvNr=13-P-408954", "13-P-408954")</f>
        <v>13-P-408954</v>
      </c>
      <c r="C2726">
        <v>0.24</v>
      </c>
      <c r="D2726" t="s">
        <v>3846</v>
      </c>
      <c r="E2726" t="s">
        <v>11</v>
      </c>
      <c r="F2726" t="s">
        <v>1209</v>
      </c>
      <c r="G2726" t="s">
        <v>264</v>
      </c>
      <c r="H2726" t="s">
        <v>14</v>
      </c>
    </row>
    <row r="2727" spans="1:8" hidden="1" x14ac:dyDescent="0.25">
      <c r="A2727" t="s">
        <v>3847</v>
      </c>
      <c r="B2727" s="1" t="str">
        <f>HYPERLINK("https://asmlis.vasa.lt/Dashboard/Served?ServiceDateFrom=2025-11-24&amp;ServiceDateTo=2025-11-24&amp;DumpsterInvNr=13-L-426788", "13-L-426788")</f>
        <v>13-L-426788</v>
      </c>
      <c r="C2727">
        <v>1.1000000000000001</v>
      </c>
      <c r="D2727" t="s">
        <v>3848</v>
      </c>
      <c r="E2727" t="s">
        <v>11</v>
      </c>
      <c r="G2727" t="s">
        <v>74</v>
      </c>
      <c r="H2727" t="s">
        <v>14</v>
      </c>
    </row>
    <row r="2728" spans="1:8" hidden="1" x14ac:dyDescent="0.25">
      <c r="A2728" t="s">
        <v>3847</v>
      </c>
      <c r="B2728" s="1" t="str">
        <f>HYPERLINK("https://asmlis.vasa.lt/Dashboard/Served?ServiceDateFrom=2025-11-24&amp;ServiceDateTo=2025-11-24&amp;DumpsterInvNr=13-L-313744", "13-L-313744")</f>
        <v>13-L-313744</v>
      </c>
      <c r="C2728">
        <v>1.1000000000000001</v>
      </c>
      <c r="D2728" t="s">
        <v>2085</v>
      </c>
      <c r="E2728" t="s">
        <v>11</v>
      </c>
      <c r="G2728" t="s">
        <v>9</v>
      </c>
      <c r="H2728" t="s">
        <v>14</v>
      </c>
    </row>
    <row r="2729" spans="1:8" hidden="1" x14ac:dyDescent="0.25">
      <c r="A2729" t="s">
        <v>3847</v>
      </c>
      <c r="B2729" s="1" t="str">
        <f>HYPERLINK("https://asmlis.vasa.lt/Dashboard/Served?ServiceDateFrom=2025-11-24&amp;ServiceDateTo=2025-11-24&amp;DumpsterInvNr=13-S-410560", "13-S-410560")</f>
        <v>13-S-410560</v>
      </c>
      <c r="C2729">
        <v>0.12</v>
      </c>
      <c r="D2729" t="s">
        <v>3846</v>
      </c>
      <c r="E2729" t="s">
        <v>11</v>
      </c>
      <c r="F2729" t="s">
        <v>1209</v>
      </c>
      <c r="G2729" t="s">
        <v>264</v>
      </c>
      <c r="H2729" t="s">
        <v>14</v>
      </c>
    </row>
    <row r="2730" spans="1:8" hidden="1" x14ac:dyDescent="0.25">
      <c r="A2730" t="s">
        <v>3849</v>
      </c>
      <c r="B2730" s="1" t="str">
        <f>HYPERLINK("https://asmlis.vasa.lt/Dashboard/Served?ServiceDateFrom=2025-11-24&amp;ServiceDateTo=2025-11-24&amp;DumpsterInvNr=13-P-212642", "13-P-212642")</f>
        <v>13-P-212642</v>
      </c>
      <c r="C2730">
        <v>0.24</v>
      </c>
      <c r="D2730" t="s">
        <v>3850</v>
      </c>
      <c r="E2730" t="s">
        <v>11</v>
      </c>
      <c r="F2730" t="s">
        <v>1209</v>
      </c>
      <c r="G2730" t="s">
        <v>234</v>
      </c>
      <c r="H2730" t="s">
        <v>14</v>
      </c>
    </row>
    <row r="2731" spans="1:8" hidden="1" x14ac:dyDescent="0.25">
      <c r="A2731" t="s">
        <v>3851</v>
      </c>
      <c r="B2731" s="1" t="str">
        <f>HYPERLINK("https://asmlis.vasa.lt/Dashboard/Served?ServiceDateFrom=2025-11-24&amp;ServiceDateTo=2025-11-24&amp;DumpsterInvNr=13-L-318934", "13-L-318934")</f>
        <v>13-L-318934</v>
      </c>
      <c r="C2731">
        <v>0.24</v>
      </c>
      <c r="D2731" t="s">
        <v>3852</v>
      </c>
      <c r="E2731" t="s">
        <v>11</v>
      </c>
      <c r="G2731" t="s">
        <v>9</v>
      </c>
      <c r="H2731" t="s">
        <v>14</v>
      </c>
    </row>
    <row r="2732" spans="1:8" hidden="1" x14ac:dyDescent="0.25">
      <c r="A2732" t="s">
        <v>3853</v>
      </c>
      <c r="B2732" s="1" t="str">
        <f>HYPERLINK("https://asmlis.vasa.lt/Dashboard/Served?ServiceDateFrom=2025-11-24&amp;ServiceDateTo=2025-11-24&amp;DumpsterInvNr=13-L-426191", "13-L-426191")</f>
        <v>13-L-426191</v>
      </c>
      <c r="C2732">
        <v>1.1000000000000001</v>
      </c>
      <c r="D2732" t="s">
        <v>3848</v>
      </c>
      <c r="E2732" t="s">
        <v>11</v>
      </c>
      <c r="G2732" t="s">
        <v>74</v>
      </c>
      <c r="H2732" t="s">
        <v>14</v>
      </c>
    </row>
    <row r="2733" spans="1:8" hidden="1" x14ac:dyDescent="0.25">
      <c r="A2733" t="s">
        <v>3854</v>
      </c>
      <c r="B2733" s="1" t="str">
        <f>HYPERLINK("https://asmlis.vasa.lt/Dashboard/Served?ServiceDateFrom=2025-11-24&amp;ServiceDateTo=2025-11-24&amp;DumpsterInvNr=13-L-135702", "13-L-135702")</f>
        <v>13-L-135702</v>
      </c>
      <c r="C2733">
        <v>0.24</v>
      </c>
      <c r="D2733" t="s">
        <v>3855</v>
      </c>
      <c r="E2733" t="s">
        <v>11</v>
      </c>
      <c r="G2733" t="s">
        <v>430</v>
      </c>
      <c r="H2733" t="s">
        <v>432</v>
      </c>
    </row>
    <row r="2734" spans="1:8" hidden="1" x14ac:dyDescent="0.25">
      <c r="A2734" t="s">
        <v>3854</v>
      </c>
      <c r="B2734" s="1" t="str">
        <f>HYPERLINK("https://asmlis.vasa.lt/Dashboard/Served?ServiceDateFrom=2025-11-24&amp;ServiceDateTo=2025-11-24&amp;DumpsterInvNr=13-P-506853", "13-P-506853")</f>
        <v>13-P-506853</v>
      </c>
      <c r="C2734">
        <v>0.24</v>
      </c>
      <c r="D2734" t="s">
        <v>3857</v>
      </c>
      <c r="E2734" t="s">
        <v>11</v>
      </c>
      <c r="G2734" t="s">
        <v>2178</v>
      </c>
      <c r="H2734" t="s">
        <v>432</v>
      </c>
    </row>
    <row r="2735" spans="1:8" hidden="1" x14ac:dyDescent="0.25">
      <c r="A2735" t="s">
        <v>3854</v>
      </c>
      <c r="B2735" s="1" t="str">
        <f>HYPERLINK("https://asmlis.vasa.lt/Dashboard/Served?ServiceDateFrom=2025-11-24&amp;ServiceDateTo=2025-11-24&amp;DumpsterInvNr=13-P-506812", "13-P-506812")</f>
        <v>13-P-506812</v>
      </c>
      <c r="C2735">
        <v>0.24</v>
      </c>
      <c r="D2735" t="s">
        <v>3855</v>
      </c>
      <c r="E2735" t="s">
        <v>11</v>
      </c>
      <c r="G2735" t="s">
        <v>2178</v>
      </c>
      <c r="H2735" t="s">
        <v>432</v>
      </c>
    </row>
    <row r="2736" spans="1:8" hidden="1" x14ac:dyDescent="0.25">
      <c r="A2736" t="s">
        <v>3858</v>
      </c>
      <c r="B2736" s="1" t="str">
        <f>HYPERLINK("https://asmlis.vasa.lt/Dashboard/Served?ServiceDateFrom=2025-11-24&amp;ServiceDateTo=2025-11-24&amp;DumpsterInvNr=13-P-413844", "13-P-413844")</f>
        <v>13-P-413844</v>
      </c>
      <c r="C2736">
        <v>5</v>
      </c>
      <c r="D2736" t="s">
        <v>3826</v>
      </c>
      <c r="E2736" t="s">
        <v>11</v>
      </c>
      <c r="F2736" t="s">
        <v>13</v>
      </c>
      <c r="G2736" t="s">
        <v>264</v>
      </c>
      <c r="H2736" t="s">
        <v>14</v>
      </c>
    </row>
    <row r="2737" spans="1:10" hidden="1" x14ac:dyDescent="0.25">
      <c r="A2737" t="s">
        <v>3859</v>
      </c>
      <c r="B2737" s="1" t="str">
        <f>HYPERLINK("https://asmlis.vasa.lt/Dashboard/Served?ServiceDateFrom=2025-11-24&amp;ServiceDateTo=2025-11-24&amp;DumpsterInvNr=13-L-143543", "13-L-143543")</f>
        <v>13-L-143543</v>
      </c>
      <c r="C2737">
        <v>5</v>
      </c>
      <c r="D2737" t="s">
        <v>3860</v>
      </c>
      <c r="E2737" t="s">
        <v>11</v>
      </c>
      <c r="F2737" t="s">
        <v>13</v>
      </c>
      <c r="G2737" t="s">
        <v>430</v>
      </c>
      <c r="H2737" t="s">
        <v>432</v>
      </c>
    </row>
    <row r="2738" spans="1:10" hidden="1" x14ac:dyDescent="0.25">
      <c r="A2738" t="s">
        <v>3861</v>
      </c>
      <c r="B2738" s="1" t="str">
        <f>HYPERLINK("https://asmlis.vasa.lt/Dashboard/Served?ServiceDateFrom=2025-11-24&amp;ServiceDateTo=2025-11-24&amp;DumpsterInvNr=13-L-206355", "13-L-206355")</f>
        <v>13-L-206355</v>
      </c>
      <c r="C2738">
        <v>0.24</v>
      </c>
      <c r="D2738" t="s">
        <v>3383</v>
      </c>
      <c r="E2738" t="s">
        <v>11</v>
      </c>
      <c r="F2738" t="s">
        <v>1209</v>
      </c>
      <c r="G2738" t="s">
        <v>936</v>
      </c>
      <c r="H2738" t="s">
        <v>938</v>
      </c>
    </row>
    <row r="2739" spans="1:10" hidden="1" x14ac:dyDescent="0.25">
      <c r="A2739" t="s">
        <v>3863</v>
      </c>
      <c r="B2739" s="1" t="str">
        <f>HYPERLINK("https://asmlis.vasa.lt/Dashboard/Served?ServiceDateFrom=2025-11-24&amp;ServiceDateTo=2025-11-24&amp;DumpsterInvNr=13-P-411759", "13-P-411759")</f>
        <v>13-P-411759</v>
      </c>
      <c r="C2739">
        <v>0.24</v>
      </c>
      <c r="D2739" t="s">
        <v>3864</v>
      </c>
      <c r="E2739" t="s">
        <v>11</v>
      </c>
      <c r="G2739" t="s">
        <v>264</v>
      </c>
      <c r="H2739" t="s">
        <v>14</v>
      </c>
    </row>
    <row r="2740" spans="1:10" hidden="1" x14ac:dyDescent="0.25">
      <c r="A2740" t="s">
        <v>3865</v>
      </c>
      <c r="B2740" s="1" t="str">
        <f>HYPERLINK("https://asmlis.vasa.lt/Dashboard/Served?ServiceDateFrom=2025-11-24&amp;ServiceDateTo=2025-11-24&amp;DumpsterInvNr=13-L-420601", "13-L-420601")</f>
        <v>13-L-420601</v>
      </c>
      <c r="C2740">
        <v>1.1000000000000001</v>
      </c>
      <c r="D2740" t="s">
        <v>485</v>
      </c>
      <c r="E2740" t="s">
        <v>11</v>
      </c>
      <c r="G2740" t="s">
        <v>74</v>
      </c>
      <c r="H2740" t="s">
        <v>14</v>
      </c>
    </row>
    <row r="2741" spans="1:10" hidden="1" x14ac:dyDescent="0.25">
      <c r="A2741" t="s">
        <v>3866</v>
      </c>
      <c r="B2741" s="1" t="str">
        <f>HYPERLINK("https://asmlis.vasa.lt/Dashboard/Served?ServiceDateFrom=2025-11-24&amp;ServiceDateTo=2025-11-24&amp;DumpsterInvNr=13-L-133436", "13-L-133436")</f>
        <v>13-L-133436</v>
      </c>
      <c r="C2741">
        <v>5</v>
      </c>
      <c r="D2741" t="s">
        <v>3867</v>
      </c>
      <c r="E2741" t="s">
        <v>11</v>
      </c>
      <c r="F2741" t="s">
        <v>13</v>
      </c>
      <c r="G2741" t="s">
        <v>430</v>
      </c>
      <c r="H2741" t="s">
        <v>432</v>
      </c>
    </row>
    <row r="2742" spans="1:10" hidden="1" x14ac:dyDescent="0.25">
      <c r="A2742" t="s">
        <v>3868</v>
      </c>
      <c r="B2742" s="1" t="str">
        <f>HYPERLINK("https://asmlis.vasa.lt/Dashboard/Served?ServiceDateFrom=2025-11-24&amp;ServiceDateTo=2025-11-24&amp;DumpsterInvNr=13-P-209619", "13-P-209619")</f>
        <v>13-P-209619</v>
      </c>
      <c r="C2742">
        <v>0.24</v>
      </c>
      <c r="D2742" t="s">
        <v>3869</v>
      </c>
      <c r="E2742" t="s">
        <v>11</v>
      </c>
      <c r="G2742" t="s">
        <v>234</v>
      </c>
      <c r="H2742" t="s">
        <v>14</v>
      </c>
    </row>
    <row r="2743" spans="1:10" hidden="1" x14ac:dyDescent="0.25">
      <c r="A2743" t="s">
        <v>3870</v>
      </c>
      <c r="B2743" s="1" t="str">
        <f>HYPERLINK("https://asmlis.vasa.lt/Dashboard/Served?ServiceDateFrom=2025-11-24&amp;ServiceDateTo=2025-11-24&amp;DumpsterInvNr=13-L-121109", "13-L-121109")</f>
        <v>13-L-121109</v>
      </c>
      <c r="C2743">
        <v>1.1000000000000001</v>
      </c>
      <c r="D2743" t="s">
        <v>3872</v>
      </c>
      <c r="E2743" t="s">
        <v>11</v>
      </c>
      <c r="G2743" t="s">
        <v>430</v>
      </c>
      <c r="H2743" t="s">
        <v>432</v>
      </c>
    </row>
    <row r="2744" spans="1:10" hidden="1" x14ac:dyDescent="0.25">
      <c r="A2744" t="s">
        <v>3873</v>
      </c>
      <c r="B2744" s="1" t="str">
        <f>HYPERLINK("https://asmlis.vasa.lt/Dashboard/Served?ServiceDateFrom=2025-11-24&amp;ServiceDateTo=2025-11-24&amp;DumpsterInvNr=13-L-137476", "13-L-137476")</f>
        <v>13-L-137476</v>
      </c>
      <c r="C2744">
        <v>0.24</v>
      </c>
      <c r="D2744" t="s">
        <v>3857</v>
      </c>
      <c r="E2744" t="s">
        <v>11</v>
      </c>
      <c r="F2744" t="s">
        <v>1209</v>
      </c>
      <c r="G2744" t="s">
        <v>430</v>
      </c>
      <c r="H2744" t="s">
        <v>432</v>
      </c>
    </row>
    <row r="2745" spans="1:10" hidden="1" x14ac:dyDescent="0.25">
      <c r="A2745" t="s">
        <v>3874</v>
      </c>
      <c r="B2745" s="1" t="str">
        <f>HYPERLINK("https://asmlis.vasa.lt/Dashboard/Served?ServiceDateFrom=2025-11-24&amp;ServiceDateTo=2025-11-24&amp;DumpsterInvNr=13-L-306126", "13-L-306126")</f>
        <v>13-L-306126</v>
      </c>
      <c r="C2745">
        <v>1.1000000000000001</v>
      </c>
      <c r="D2745" t="s">
        <v>3875</v>
      </c>
      <c r="E2745" t="s">
        <v>11</v>
      </c>
      <c r="G2745" t="s">
        <v>9</v>
      </c>
      <c r="H2745" t="s">
        <v>14</v>
      </c>
    </row>
    <row r="2746" spans="1:10" x14ac:dyDescent="0.25">
      <c r="A2746" t="s">
        <v>3876</v>
      </c>
      <c r="B2746" s="1" t="str">
        <f>HYPERLINK("https://asmlis.vasa.lt/Dashboard/Served?ServiceDateFrom=2025-11-24&amp;ServiceDateTo=2025-11-24&amp;DumpsterInvNr=13-P-401562", "13-P-401562")</f>
        <v>13-P-401562</v>
      </c>
      <c r="C2746">
        <v>0.24</v>
      </c>
      <c r="D2746" t="s">
        <v>3877</v>
      </c>
      <c r="E2746" t="s">
        <v>11</v>
      </c>
      <c r="F2746" t="s">
        <v>1215</v>
      </c>
      <c r="G2746" t="s">
        <v>264</v>
      </c>
      <c r="H2746" t="s">
        <v>14</v>
      </c>
      <c r="J2746" t="s">
        <v>17511</v>
      </c>
    </row>
    <row r="2747" spans="1:10" hidden="1" x14ac:dyDescent="0.25">
      <c r="A2747" t="s">
        <v>3879</v>
      </c>
      <c r="B2747" s="1" t="str">
        <f>HYPERLINK("https://asmlis.vasa.lt/Dashboard/Served?ServiceDateFrom=2025-11-24&amp;ServiceDateTo=2025-11-24&amp;DumpsterInvNr=13-P-304027", "13-P-304027")</f>
        <v>13-P-304027</v>
      </c>
      <c r="C2747">
        <v>5</v>
      </c>
      <c r="D2747" t="s">
        <v>1392</v>
      </c>
      <c r="E2747" t="s">
        <v>11</v>
      </c>
      <c r="F2747" t="s">
        <v>13</v>
      </c>
      <c r="G2747" t="s">
        <v>412</v>
      </c>
      <c r="H2747" t="s">
        <v>14</v>
      </c>
    </row>
    <row r="2748" spans="1:10" hidden="1" x14ac:dyDescent="0.25">
      <c r="A2748" t="s">
        <v>3880</v>
      </c>
      <c r="B2748" s="1" t="str">
        <f>HYPERLINK("https://asmlis.vasa.lt/Dashboard/Served?ServiceDateFrom=2025-11-24&amp;ServiceDateTo=2025-11-24&amp;DumpsterInvNr=13-P-102455", "13-P-102455")</f>
        <v>13-P-102455</v>
      </c>
      <c r="C2748">
        <v>5</v>
      </c>
      <c r="D2748" t="s">
        <v>3881</v>
      </c>
      <c r="E2748" t="s">
        <v>11</v>
      </c>
      <c r="F2748" t="s">
        <v>13</v>
      </c>
      <c r="G2748" t="s">
        <v>1917</v>
      </c>
      <c r="H2748" t="s">
        <v>432</v>
      </c>
    </row>
    <row r="2749" spans="1:10" hidden="1" x14ac:dyDescent="0.25">
      <c r="A2749" t="s">
        <v>3880</v>
      </c>
      <c r="B2749" s="1" t="str">
        <f>HYPERLINK("https://asmlis.vasa.lt/Dashboard/Served?ServiceDateFrom=2025-11-24&amp;ServiceDateTo=2025-11-24&amp;DumpsterInvNr=13-P-500554", "13-P-500554")</f>
        <v>13-P-500554</v>
      </c>
      <c r="C2749">
        <v>5</v>
      </c>
      <c r="D2749" t="s">
        <v>3882</v>
      </c>
      <c r="E2749" t="s">
        <v>11</v>
      </c>
      <c r="F2749" t="s">
        <v>13</v>
      </c>
      <c r="G2749" t="s">
        <v>2178</v>
      </c>
      <c r="H2749" t="s">
        <v>432</v>
      </c>
    </row>
    <row r="2750" spans="1:10" hidden="1" x14ac:dyDescent="0.25">
      <c r="A2750" t="s">
        <v>3883</v>
      </c>
      <c r="B2750" s="1" t="str">
        <f>HYPERLINK("https://asmlis.vasa.lt/Dashboard/Served?ServiceDateFrom=2025-11-24&amp;ServiceDateTo=2025-11-24&amp;DumpsterInvNr=13-P-302596", "13-P-302596")</f>
        <v>13-P-302596</v>
      </c>
      <c r="C2750">
        <v>5</v>
      </c>
      <c r="D2750" t="s">
        <v>1392</v>
      </c>
      <c r="E2750" t="s">
        <v>11</v>
      </c>
      <c r="F2750" t="s">
        <v>13</v>
      </c>
      <c r="G2750" t="s">
        <v>412</v>
      </c>
      <c r="H2750" t="s">
        <v>14</v>
      </c>
    </row>
    <row r="2751" spans="1:10" hidden="1" x14ac:dyDescent="0.25">
      <c r="A2751" t="s">
        <v>3878</v>
      </c>
      <c r="B2751" s="1" t="str">
        <f>HYPERLINK("https://asmlis.vasa.lt/Dashboard/Served?ServiceDateFrom=2025-11-24&amp;ServiceDateTo=2025-11-24&amp;DumpsterInvNr=13-L-312452", "13-L-312452")</f>
        <v>13-L-312452</v>
      </c>
      <c r="C2751">
        <v>5</v>
      </c>
      <c r="D2751" t="s">
        <v>3884</v>
      </c>
      <c r="E2751" t="s">
        <v>11</v>
      </c>
      <c r="G2751" t="s">
        <v>9</v>
      </c>
      <c r="H2751" t="s">
        <v>14</v>
      </c>
    </row>
    <row r="2752" spans="1:10" hidden="1" x14ac:dyDescent="0.25">
      <c r="A2752" t="s">
        <v>3885</v>
      </c>
      <c r="B2752" s="1" t="str">
        <f>HYPERLINK("https://asmlis.vasa.lt/Dashboard/Served?ServiceDateFrom=2025-11-24&amp;ServiceDateTo=2025-11-24&amp;DumpsterInvNr=13-L-424106", "13-L-424106")</f>
        <v>13-L-424106</v>
      </c>
      <c r="C2752">
        <v>1.1000000000000001</v>
      </c>
      <c r="D2752" t="s">
        <v>3848</v>
      </c>
      <c r="E2752" t="s">
        <v>11</v>
      </c>
      <c r="G2752" t="s">
        <v>74</v>
      </c>
      <c r="H2752" t="s">
        <v>14</v>
      </c>
    </row>
    <row r="2753" spans="1:10" hidden="1" x14ac:dyDescent="0.25">
      <c r="A2753" t="s">
        <v>3886</v>
      </c>
      <c r="B2753" s="1" t="str">
        <f>HYPERLINK("https://asmlis.vasa.lt/Dashboard/Served?ServiceDateFrom=2025-11-24&amp;ServiceDateTo=2025-11-24&amp;DumpsterInvNr=13-L-224684", "13-L-224684")</f>
        <v>13-L-224684</v>
      </c>
      <c r="C2753">
        <v>0.24</v>
      </c>
      <c r="D2753" t="s">
        <v>3405</v>
      </c>
      <c r="E2753" t="s">
        <v>11</v>
      </c>
      <c r="G2753" t="s">
        <v>936</v>
      </c>
      <c r="H2753" t="s">
        <v>938</v>
      </c>
    </row>
    <row r="2754" spans="1:10" hidden="1" x14ac:dyDescent="0.25">
      <c r="A2754" t="s">
        <v>3886</v>
      </c>
      <c r="B2754" s="1" t="str">
        <f>HYPERLINK("https://asmlis.vasa.lt/Dashboard/Served?ServiceDateFrom=2025-11-24&amp;ServiceDateTo=2025-11-24&amp;DumpsterInvNr=13-L-207984", "13-L-207984")</f>
        <v>13-L-207984</v>
      </c>
      <c r="C2754">
        <v>0.12</v>
      </c>
      <c r="D2754" t="s">
        <v>3423</v>
      </c>
      <c r="E2754" t="s">
        <v>11</v>
      </c>
      <c r="G2754" t="s">
        <v>936</v>
      </c>
      <c r="H2754" t="s">
        <v>938</v>
      </c>
    </row>
    <row r="2755" spans="1:10" hidden="1" x14ac:dyDescent="0.25">
      <c r="A2755" t="s">
        <v>3888</v>
      </c>
      <c r="B2755" s="1" t="str">
        <f>HYPERLINK("https://asmlis.vasa.lt/Dashboard/Served?ServiceDateFrom=2025-11-24&amp;ServiceDateTo=2025-11-24&amp;DumpsterInvNr=13-L-136527", "13-L-136527")</f>
        <v>13-L-136527</v>
      </c>
      <c r="C2755">
        <v>0.24</v>
      </c>
      <c r="D2755" t="s">
        <v>3889</v>
      </c>
      <c r="E2755" t="s">
        <v>11</v>
      </c>
      <c r="G2755" t="s">
        <v>430</v>
      </c>
      <c r="H2755" t="s">
        <v>432</v>
      </c>
    </row>
    <row r="2756" spans="1:10" hidden="1" x14ac:dyDescent="0.25">
      <c r="A2756" t="s">
        <v>3888</v>
      </c>
      <c r="B2756" s="1" t="str">
        <f>HYPERLINK("https://asmlis.vasa.lt/Dashboard/Served?ServiceDateFrom=2025-11-24&amp;ServiceDateTo=2025-11-24&amp;DumpsterInvNr=13-P-504021", "13-P-504021")</f>
        <v>13-P-504021</v>
      </c>
      <c r="C2756">
        <v>0.24</v>
      </c>
      <c r="D2756" t="s">
        <v>3889</v>
      </c>
      <c r="E2756" t="s">
        <v>11</v>
      </c>
      <c r="G2756" t="s">
        <v>2178</v>
      </c>
      <c r="H2756" t="s">
        <v>432</v>
      </c>
    </row>
    <row r="2757" spans="1:10" hidden="1" x14ac:dyDescent="0.25">
      <c r="A2757" t="s">
        <v>3891</v>
      </c>
      <c r="B2757" s="1" t="str">
        <f>HYPERLINK("https://asmlis.vasa.lt/Dashboard/Served?ServiceDateFrom=2025-11-24&amp;ServiceDateTo=2025-11-24&amp;DumpsterInvNr=13-L-138036", "13-L-138036")</f>
        <v>13-L-138036</v>
      </c>
      <c r="C2757">
        <v>5</v>
      </c>
      <c r="D2757" t="s">
        <v>3892</v>
      </c>
      <c r="E2757" t="s">
        <v>11</v>
      </c>
      <c r="F2757" t="s">
        <v>13</v>
      </c>
      <c r="G2757" t="s">
        <v>1912</v>
      </c>
      <c r="H2757" t="s">
        <v>432</v>
      </c>
    </row>
    <row r="2758" spans="1:10" hidden="1" x14ac:dyDescent="0.25">
      <c r="A2758" t="s">
        <v>3893</v>
      </c>
      <c r="B2758" s="1" t="str">
        <f>HYPERLINK("https://asmlis.vasa.lt/Dashboard/Served?ServiceDateFrom=2025-11-24&amp;ServiceDateTo=2025-11-24&amp;DumpsterInvNr=13-P-416121", "13-P-416121")</f>
        <v>13-P-416121</v>
      </c>
      <c r="C2758">
        <v>1.1000000000000001</v>
      </c>
      <c r="D2758" t="s">
        <v>3894</v>
      </c>
      <c r="E2758" t="s">
        <v>11</v>
      </c>
      <c r="G2758" t="s">
        <v>264</v>
      </c>
      <c r="H2758" t="s">
        <v>14</v>
      </c>
    </row>
    <row r="2759" spans="1:10" hidden="1" x14ac:dyDescent="0.25">
      <c r="A2759" t="s">
        <v>3895</v>
      </c>
      <c r="B2759" s="1" t="str">
        <f>HYPERLINK("https://asmlis.vasa.lt/Dashboard/Served?ServiceDateFrom=2025-11-24&amp;ServiceDateTo=2025-11-24&amp;DumpsterInvNr=13-S-505307", "13-S-505307")</f>
        <v>13-S-505307</v>
      </c>
      <c r="C2759">
        <v>0.12</v>
      </c>
      <c r="D2759" t="s">
        <v>3889</v>
      </c>
      <c r="E2759" t="s">
        <v>11</v>
      </c>
      <c r="F2759" t="s">
        <v>1209</v>
      </c>
      <c r="G2759" t="s">
        <v>2178</v>
      </c>
      <c r="H2759" t="s">
        <v>432</v>
      </c>
    </row>
    <row r="2760" spans="1:10" hidden="1" x14ac:dyDescent="0.25">
      <c r="A2760" t="s">
        <v>3896</v>
      </c>
      <c r="B2760" s="1" t="str">
        <f>HYPERLINK("https://asmlis.vasa.lt/Dashboard/Served?ServiceDateFrom=2025-11-24&amp;ServiceDateTo=2025-11-24&amp;DumpsterInvNr=13-L-421719", "13-L-421719")</f>
        <v>13-L-421719</v>
      </c>
      <c r="C2760">
        <v>1.1000000000000001</v>
      </c>
      <c r="D2760" t="s">
        <v>3848</v>
      </c>
      <c r="E2760" t="s">
        <v>11</v>
      </c>
      <c r="G2760" t="s">
        <v>74</v>
      </c>
      <c r="H2760" t="s">
        <v>14</v>
      </c>
    </row>
    <row r="2761" spans="1:10" hidden="1" x14ac:dyDescent="0.25">
      <c r="A2761" t="s">
        <v>3897</v>
      </c>
      <c r="B2761" s="1" t="str">
        <f>HYPERLINK("https://asmlis.vasa.lt/Dashboard/Served?ServiceDateFrom=2025-11-24&amp;ServiceDateTo=2025-11-24&amp;DumpsterInvNr=13-P-508383", "13-P-508383")</f>
        <v>13-P-508383</v>
      </c>
      <c r="C2761">
        <v>0.24</v>
      </c>
      <c r="D2761" t="s">
        <v>3898</v>
      </c>
      <c r="E2761" t="s">
        <v>11</v>
      </c>
      <c r="G2761" t="s">
        <v>2178</v>
      </c>
      <c r="H2761" t="s">
        <v>432</v>
      </c>
    </row>
    <row r="2762" spans="1:10" hidden="1" x14ac:dyDescent="0.25">
      <c r="A2762" t="s">
        <v>3900</v>
      </c>
      <c r="B2762" s="1" t="str">
        <f>HYPERLINK("https://asmlis.vasa.lt/Dashboard/Served?ServiceDateFrom=2025-11-24&amp;ServiceDateTo=2025-11-24&amp;DumpsterInvNr=13-P-210783", "13-P-210783")</f>
        <v>13-P-210783</v>
      </c>
      <c r="C2762">
        <v>0.24</v>
      </c>
      <c r="D2762" t="s">
        <v>3901</v>
      </c>
      <c r="E2762" t="s">
        <v>11</v>
      </c>
      <c r="G2762" t="s">
        <v>234</v>
      </c>
      <c r="H2762" t="s">
        <v>14</v>
      </c>
    </row>
    <row r="2763" spans="1:10" hidden="1" x14ac:dyDescent="0.25">
      <c r="A2763" t="s">
        <v>3902</v>
      </c>
      <c r="B2763" s="1" t="str">
        <f>HYPERLINK("https://asmlis.vasa.lt/Dashboard/Served?ServiceDateFrom=2025-11-24&amp;ServiceDateTo=2025-11-24&amp;DumpsterInvNr=13-L-136776", "13-L-136776")</f>
        <v>13-L-136776</v>
      </c>
      <c r="C2763">
        <v>0.24</v>
      </c>
      <c r="D2763" t="s">
        <v>3898</v>
      </c>
      <c r="E2763" t="s">
        <v>11</v>
      </c>
      <c r="G2763" t="s">
        <v>430</v>
      </c>
      <c r="H2763" t="s">
        <v>432</v>
      </c>
    </row>
    <row r="2764" spans="1:10" x14ac:dyDescent="0.25">
      <c r="A2764" t="s">
        <v>3904</v>
      </c>
      <c r="B2764" s="1" t="str">
        <f>HYPERLINK("https://asmlis.vasa.lt/Dashboard/Served?ServiceDateFrom=2025-11-24&amp;ServiceDateTo=2025-11-24&amp;DumpsterInvNr=13-S-402202", "13-S-402202")</f>
        <v>13-S-402202</v>
      </c>
      <c r="C2764">
        <v>0.12</v>
      </c>
      <c r="D2764" t="s">
        <v>3905</v>
      </c>
      <c r="E2764" t="s">
        <v>11</v>
      </c>
      <c r="F2764" t="s">
        <v>1215</v>
      </c>
      <c r="G2764" t="s">
        <v>264</v>
      </c>
      <c r="H2764" t="s">
        <v>14</v>
      </c>
      <c r="J2764" t="s">
        <v>17511</v>
      </c>
    </row>
    <row r="2765" spans="1:10" x14ac:dyDescent="0.25">
      <c r="A2765" t="s">
        <v>3906</v>
      </c>
      <c r="B2765" s="1" t="str">
        <f>HYPERLINK("https://asmlis.vasa.lt/Dashboard/Served?ServiceDateFrom=2025-11-24&amp;ServiceDateTo=2025-11-24&amp;DumpsterInvNr=13-P-412038", "13-P-412038")</f>
        <v>13-P-412038</v>
      </c>
      <c r="C2765">
        <v>0.24</v>
      </c>
      <c r="D2765" t="s">
        <v>3905</v>
      </c>
      <c r="E2765" t="s">
        <v>11</v>
      </c>
      <c r="F2765" t="s">
        <v>1215</v>
      </c>
      <c r="G2765" t="s">
        <v>264</v>
      </c>
      <c r="H2765" t="s">
        <v>14</v>
      </c>
      <c r="J2765" t="s">
        <v>17511</v>
      </c>
    </row>
    <row r="2766" spans="1:10" hidden="1" x14ac:dyDescent="0.25">
      <c r="A2766" t="s">
        <v>3907</v>
      </c>
      <c r="B2766" s="1" t="str">
        <f>HYPERLINK("https://asmlis.vasa.lt/Dashboard/Served?ServiceDateFrom=2025-11-24&amp;ServiceDateTo=2025-11-24&amp;DumpsterInvNr=13-P-416155", "13-P-416155")</f>
        <v>13-P-416155</v>
      </c>
      <c r="C2766">
        <v>1.1000000000000001</v>
      </c>
      <c r="D2766" t="s">
        <v>3894</v>
      </c>
      <c r="E2766" t="s">
        <v>11</v>
      </c>
      <c r="F2766" t="s">
        <v>13</v>
      </c>
      <c r="G2766" t="s">
        <v>264</v>
      </c>
      <c r="H2766" t="s">
        <v>14</v>
      </c>
    </row>
    <row r="2767" spans="1:10" hidden="1" x14ac:dyDescent="0.25">
      <c r="A2767" t="s">
        <v>3908</v>
      </c>
      <c r="B2767" s="1" t="str">
        <f>HYPERLINK("https://asmlis.vasa.lt/Dashboard/Served?ServiceDateFrom=2025-11-24&amp;ServiceDateTo=2025-11-24&amp;DumpsterInvNr=13-P-301771", "13-P-301771")</f>
        <v>13-P-301771</v>
      </c>
      <c r="C2767">
        <v>0.77</v>
      </c>
      <c r="D2767" t="s">
        <v>3909</v>
      </c>
      <c r="E2767" t="s">
        <v>11</v>
      </c>
      <c r="G2767" t="s">
        <v>412</v>
      </c>
      <c r="H2767" t="s">
        <v>14</v>
      </c>
    </row>
    <row r="2768" spans="1:10" hidden="1" x14ac:dyDescent="0.25">
      <c r="A2768" t="s">
        <v>3910</v>
      </c>
      <c r="B2768" s="1" t="str">
        <f>HYPERLINK("https://asmlis.vasa.lt/Dashboard/Served?ServiceDateFrom=2025-11-24&amp;ServiceDateTo=2025-11-24&amp;DumpsterInvNr=13-L-310766", "13-L-310766")</f>
        <v>13-L-310766</v>
      </c>
      <c r="C2768">
        <v>0.24</v>
      </c>
      <c r="D2768" t="s">
        <v>3699</v>
      </c>
      <c r="E2768" t="s">
        <v>11</v>
      </c>
      <c r="F2768" t="s">
        <v>13</v>
      </c>
      <c r="G2768" t="s">
        <v>9</v>
      </c>
      <c r="H2768" t="s">
        <v>14</v>
      </c>
    </row>
    <row r="2769" spans="1:8" hidden="1" x14ac:dyDescent="0.25">
      <c r="A2769" t="s">
        <v>3912</v>
      </c>
      <c r="B2769" s="1" t="str">
        <f>HYPERLINK("https://asmlis.vasa.lt/Dashboard/Served?ServiceDateFrom=2025-11-24&amp;ServiceDateTo=2025-11-24&amp;DumpsterInvNr=13-L-423651", "13-L-423651")</f>
        <v>13-L-423651</v>
      </c>
      <c r="C2769">
        <v>1.1000000000000001</v>
      </c>
      <c r="D2769" t="s">
        <v>3848</v>
      </c>
      <c r="E2769" t="s">
        <v>11</v>
      </c>
      <c r="G2769" t="s">
        <v>74</v>
      </c>
      <c r="H2769" t="s">
        <v>14</v>
      </c>
    </row>
    <row r="2770" spans="1:8" hidden="1" x14ac:dyDescent="0.25">
      <c r="A2770" t="s">
        <v>3913</v>
      </c>
      <c r="B2770" s="1" t="str">
        <f>HYPERLINK("https://asmlis.vasa.lt/Dashboard/Served?ServiceDateFrom=2025-11-24&amp;ServiceDateTo=2025-11-24&amp;DumpsterInvNr=13-L-308582", "13-L-308582")</f>
        <v>13-L-308582</v>
      </c>
      <c r="C2770">
        <v>0.24</v>
      </c>
      <c r="D2770" t="s">
        <v>3699</v>
      </c>
      <c r="E2770" t="s">
        <v>11</v>
      </c>
      <c r="F2770" t="s">
        <v>13</v>
      </c>
      <c r="G2770" t="s">
        <v>9</v>
      </c>
      <c r="H2770" t="s">
        <v>14</v>
      </c>
    </row>
    <row r="2771" spans="1:8" hidden="1" x14ac:dyDescent="0.25">
      <c r="A2771" t="s">
        <v>3914</v>
      </c>
      <c r="B2771" s="1" t="str">
        <f>HYPERLINK("https://asmlis.vasa.lt/Dashboard/Served?ServiceDateFrom=2025-11-24&amp;ServiceDateTo=2025-11-24&amp;DumpsterInvNr=13-L-421729", "13-L-421729")</f>
        <v>13-L-421729</v>
      </c>
      <c r="C2771">
        <v>1.1000000000000001</v>
      </c>
      <c r="D2771" t="s">
        <v>3848</v>
      </c>
      <c r="E2771" t="s">
        <v>11</v>
      </c>
      <c r="G2771" t="s">
        <v>74</v>
      </c>
      <c r="H2771" t="s">
        <v>14</v>
      </c>
    </row>
    <row r="2772" spans="1:8" hidden="1" x14ac:dyDescent="0.25">
      <c r="A2772" t="s">
        <v>3916</v>
      </c>
      <c r="B2772" s="1" t="str">
        <f>HYPERLINK("https://asmlis.vasa.lt/Dashboard/Served?ServiceDateFrom=2025-11-24&amp;ServiceDateTo=2025-11-24&amp;DumpsterInvNr=13-P-413971", "13-P-413971")</f>
        <v>13-P-413971</v>
      </c>
      <c r="C2772">
        <v>5</v>
      </c>
      <c r="D2772" t="s">
        <v>426</v>
      </c>
      <c r="E2772" t="s">
        <v>11</v>
      </c>
      <c r="G2772" t="s">
        <v>264</v>
      </c>
      <c r="H2772" t="s">
        <v>14</v>
      </c>
    </row>
    <row r="2773" spans="1:8" hidden="1" x14ac:dyDescent="0.25">
      <c r="A2773" t="s">
        <v>3916</v>
      </c>
      <c r="B2773" s="1" t="str">
        <f>HYPERLINK("https://asmlis.vasa.lt/Dashboard/Served?ServiceDateFrom=2025-11-24&amp;ServiceDateTo=2025-11-24&amp;DumpsterInvNr=13-P-301774", "13-P-301774")</f>
        <v>13-P-301774</v>
      </c>
      <c r="C2773">
        <v>0.77</v>
      </c>
      <c r="D2773" t="s">
        <v>3909</v>
      </c>
      <c r="E2773" t="s">
        <v>11</v>
      </c>
      <c r="G2773" t="s">
        <v>412</v>
      </c>
      <c r="H2773" t="s">
        <v>14</v>
      </c>
    </row>
    <row r="2774" spans="1:8" hidden="1" x14ac:dyDescent="0.25">
      <c r="A2774" t="s">
        <v>3917</v>
      </c>
      <c r="B2774" s="1" t="str">
        <f>HYPERLINK("https://asmlis.vasa.lt/Dashboard/Served?ServiceDateFrom=2025-11-24&amp;ServiceDateTo=2025-11-24&amp;DumpsterInvNr=13-L-115232", "13-L-115232")</f>
        <v>13-L-115232</v>
      </c>
      <c r="C2774">
        <v>0.12</v>
      </c>
      <c r="D2774" t="s">
        <v>3919</v>
      </c>
      <c r="E2774" t="s">
        <v>11</v>
      </c>
      <c r="G2774" t="s">
        <v>430</v>
      </c>
      <c r="H2774" t="s">
        <v>432</v>
      </c>
    </row>
    <row r="2775" spans="1:8" hidden="1" x14ac:dyDescent="0.25">
      <c r="A2775" t="s">
        <v>3917</v>
      </c>
      <c r="B2775" s="1" t="str">
        <f>HYPERLINK("https://asmlis.vasa.lt/Dashboard/Served?ServiceDateFrom=2025-11-24&amp;ServiceDateTo=2025-11-24&amp;DumpsterInvNr=13-S-505638", "13-S-505638")</f>
        <v>13-S-505638</v>
      </c>
      <c r="C2775">
        <v>0.12</v>
      </c>
      <c r="D2775" t="s">
        <v>3919</v>
      </c>
      <c r="E2775" t="s">
        <v>11</v>
      </c>
      <c r="G2775" t="s">
        <v>2178</v>
      </c>
      <c r="H2775" t="s">
        <v>432</v>
      </c>
    </row>
    <row r="2776" spans="1:8" hidden="1" x14ac:dyDescent="0.25">
      <c r="A2776" t="s">
        <v>3921</v>
      </c>
      <c r="B2776" s="1" t="str">
        <f>HYPERLINK("https://asmlis.vasa.lt/Dashboard/Served?ServiceDateFrom=2025-11-24&amp;ServiceDateTo=2025-11-24&amp;DumpsterInvNr=13-P-505052", "13-P-505052")</f>
        <v>13-P-505052</v>
      </c>
      <c r="C2776">
        <v>0.24</v>
      </c>
      <c r="D2776" t="s">
        <v>3919</v>
      </c>
      <c r="E2776" t="s">
        <v>11</v>
      </c>
      <c r="G2776" t="s">
        <v>2178</v>
      </c>
      <c r="H2776" t="s">
        <v>432</v>
      </c>
    </row>
    <row r="2777" spans="1:8" hidden="1" x14ac:dyDescent="0.25">
      <c r="A2777" t="s">
        <v>3923</v>
      </c>
      <c r="B2777" s="1" t="str">
        <f>HYPERLINK("https://asmlis.vasa.lt/Dashboard/Served?ServiceDateFrom=2025-11-24&amp;ServiceDateTo=2025-11-24&amp;DumpsterInvNr=13-L-224774", "13-L-224774")</f>
        <v>13-L-224774</v>
      </c>
      <c r="C2777">
        <v>1.1000000000000001</v>
      </c>
      <c r="D2777" t="s">
        <v>3541</v>
      </c>
      <c r="E2777" t="s">
        <v>11</v>
      </c>
      <c r="G2777" t="s">
        <v>936</v>
      </c>
      <c r="H2777" t="s">
        <v>938</v>
      </c>
    </row>
    <row r="2778" spans="1:8" hidden="1" x14ac:dyDescent="0.25">
      <c r="A2778" t="s">
        <v>3923</v>
      </c>
      <c r="B2778" s="1" t="str">
        <f>HYPERLINK("https://asmlis.vasa.lt/Dashboard/Served?ServiceDateFrom=2025-11-24&amp;ServiceDateTo=2025-11-24&amp;DumpsterInvNr=13-P-209404", "13-P-209404")</f>
        <v>13-P-209404</v>
      </c>
      <c r="C2778">
        <v>0.24</v>
      </c>
      <c r="D2778" t="s">
        <v>3925</v>
      </c>
      <c r="E2778" t="s">
        <v>11</v>
      </c>
      <c r="G2778" t="s">
        <v>234</v>
      </c>
      <c r="H2778" t="s">
        <v>14</v>
      </c>
    </row>
    <row r="2779" spans="1:8" hidden="1" x14ac:dyDescent="0.25">
      <c r="A2779" t="s">
        <v>3926</v>
      </c>
      <c r="B2779" s="1" t="str">
        <f>HYPERLINK("https://asmlis.vasa.lt/Dashboard/Served?ServiceDateFrom=2025-11-24&amp;ServiceDateTo=2025-11-24&amp;DumpsterInvNr=13-L-220330", "13-L-220330")</f>
        <v>13-L-220330</v>
      </c>
      <c r="C2779">
        <v>0.12</v>
      </c>
      <c r="D2779" t="s">
        <v>3927</v>
      </c>
      <c r="E2779" t="s">
        <v>11</v>
      </c>
      <c r="F2779" t="s">
        <v>1209</v>
      </c>
      <c r="G2779" t="s">
        <v>936</v>
      </c>
      <c r="H2779" t="s">
        <v>938</v>
      </c>
    </row>
    <row r="2780" spans="1:8" hidden="1" x14ac:dyDescent="0.25">
      <c r="A2780" t="s">
        <v>3928</v>
      </c>
      <c r="B2780" s="1" t="str">
        <f>HYPERLINK("https://asmlis.vasa.lt/Dashboard/Served?ServiceDateFrom=2025-11-24&amp;ServiceDateTo=2025-11-24&amp;DumpsterInvNr=13-S-404699", "13-S-404699")</f>
        <v>13-S-404699</v>
      </c>
      <c r="C2780">
        <v>0.12</v>
      </c>
      <c r="D2780" t="s">
        <v>3929</v>
      </c>
      <c r="E2780" t="s">
        <v>11</v>
      </c>
      <c r="G2780" t="s">
        <v>264</v>
      </c>
      <c r="H2780" t="s">
        <v>14</v>
      </c>
    </row>
    <row r="2781" spans="1:8" hidden="1" x14ac:dyDescent="0.25">
      <c r="A2781" t="s">
        <v>3928</v>
      </c>
      <c r="B2781" s="1" t="str">
        <f>HYPERLINK("https://asmlis.vasa.lt/Dashboard/Served?ServiceDateFrom=2025-11-24&amp;ServiceDateTo=2025-11-24&amp;DumpsterInvNr=13-P-412901", "13-P-412901")</f>
        <v>13-P-412901</v>
      </c>
      <c r="C2781">
        <v>0.24</v>
      </c>
      <c r="D2781" t="s">
        <v>3929</v>
      </c>
      <c r="E2781" t="s">
        <v>11</v>
      </c>
      <c r="G2781" t="s">
        <v>264</v>
      </c>
      <c r="H2781" t="s">
        <v>14</v>
      </c>
    </row>
    <row r="2782" spans="1:8" hidden="1" x14ac:dyDescent="0.25">
      <c r="A2782" t="s">
        <v>3930</v>
      </c>
      <c r="B2782" s="1" t="str">
        <f>HYPERLINK("https://asmlis.vasa.lt/Dashboard/Served?ServiceDateFrom=2025-11-24&amp;ServiceDateTo=2025-11-24&amp;DumpsterInvNr=13-L-316353", "13-L-316353")</f>
        <v>13-L-316353</v>
      </c>
      <c r="C2782">
        <v>1.1000000000000001</v>
      </c>
      <c r="D2782" t="s">
        <v>3931</v>
      </c>
      <c r="E2782" t="s">
        <v>11</v>
      </c>
      <c r="F2782" t="s">
        <v>13</v>
      </c>
      <c r="G2782" t="s">
        <v>9</v>
      </c>
      <c r="H2782" t="s">
        <v>14</v>
      </c>
    </row>
    <row r="2783" spans="1:8" hidden="1" x14ac:dyDescent="0.25">
      <c r="A2783" t="s">
        <v>3932</v>
      </c>
      <c r="B2783" s="1" t="str">
        <f>HYPERLINK("https://asmlis.vasa.lt/Dashboard/Served?ServiceDateFrom=2025-11-24&amp;ServiceDateTo=2025-11-24&amp;DumpsterInvNr=13-L-306125", "13-L-306125")</f>
        <v>13-L-306125</v>
      </c>
      <c r="C2783">
        <v>1.1000000000000001</v>
      </c>
      <c r="D2783" t="s">
        <v>3875</v>
      </c>
      <c r="E2783" t="s">
        <v>11</v>
      </c>
      <c r="F2783" t="s">
        <v>13</v>
      </c>
      <c r="G2783" t="s">
        <v>9</v>
      </c>
      <c r="H2783" t="s">
        <v>14</v>
      </c>
    </row>
    <row r="2784" spans="1:8" hidden="1" x14ac:dyDescent="0.25">
      <c r="A2784" t="s">
        <v>3933</v>
      </c>
      <c r="B2784" s="1" t="str">
        <f>HYPERLINK("https://asmlis.vasa.lt/Dashboard/Served?ServiceDateFrom=2025-11-24&amp;ServiceDateTo=2025-11-24&amp;DumpsterInvNr=13-L-424863", "13-L-424863")</f>
        <v>13-L-424863</v>
      </c>
      <c r="C2784">
        <v>1.1000000000000001</v>
      </c>
      <c r="D2784" t="s">
        <v>3848</v>
      </c>
      <c r="E2784" t="s">
        <v>11</v>
      </c>
      <c r="F2784" t="s">
        <v>13</v>
      </c>
      <c r="G2784" t="s">
        <v>74</v>
      </c>
      <c r="H2784" t="s">
        <v>14</v>
      </c>
    </row>
    <row r="2785" spans="1:8" hidden="1" x14ac:dyDescent="0.25">
      <c r="A2785" t="s">
        <v>3934</v>
      </c>
      <c r="B2785" s="1" t="str">
        <f>HYPERLINK("https://asmlis.vasa.lt/Dashboard/Served?ServiceDateFrom=2025-11-24&amp;ServiceDateTo=2025-11-24&amp;DumpsterInvNr=13-L-403423", "13-L-403423")</f>
        <v>13-L-403423</v>
      </c>
      <c r="C2785">
        <v>1.1000000000000001</v>
      </c>
      <c r="D2785" t="s">
        <v>519</v>
      </c>
      <c r="E2785" t="s">
        <v>11</v>
      </c>
      <c r="G2785" t="s">
        <v>74</v>
      </c>
      <c r="H2785" t="s">
        <v>14</v>
      </c>
    </row>
    <row r="2786" spans="1:8" hidden="1" x14ac:dyDescent="0.25">
      <c r="A2786" t="s">
        <v>3936</v>
      </c>
      <c r="B2786" s="1" t="str">
        <f>HYPERLINK("https://asmlis.vasa.lt/Dashboard/Served?ServiceDateFrom=2025-11-24&amp;ServiceDateTo=2025-11-24&amp;DumpsterInvNr=13-L-117579", "13-L-117579")</f>
        <v>13-L-117579</v>
      </c>
      <c r="C2786">
        <v>0.77</v>
      </c>
      <c r="D2786" t="s">
        <v>3937</v>
      </c>
      <c r="E2786" t="s">
        <v>11</v>
      </c>
      <c r="G2786" t="s">
        <v>1912</v>
      </c>
      <c r="H2786" t="s">
        <v>432</v>
      </c>
    </row>
    <row r="2787" spans="1:8" hidden="1" x14ac:dyDescent="0.25">
      <c r="A2787" t="s">
        <v>3939</v>
      </c>
      <c r="B2787" s="1" t="str">
        <f>HYPERLINK("https://asmlis.vasa.lt/Dashboard/Served?ServiceDateFrom=2025-11-24&amp;ServiceDateTo=2025-11-24&amp;DumpsterInvNr=13-P-412408", "13-P-412408")</f>
        <v>13-P-412408</v>
      </c>
      <c r="C2787">
        <v>0.24</v>
      </c>
      <c r="D2787" t="s">
        <v>3940</v>
      </c>
      <c r="E2787" t="s">
        <v>11</v>
      </c>
      <c r="G2787" t="s">
        <v>264</v>
      </c>
      <c r="H2787" t="s">
        <v>14</v>
      </c>
    </row>
    <row r="2788" spans="1:8" hidden="1" x14ac:dyDescent="0.25">
      <c r="A2788" t="s">
        <v>3941</v>
      </c>
      <c r="B2788" s="1" t="str">
        <f>HYPERLINK("https://asmlis.vasa.lt/Dashboard/Served?ServiceDateFrom=2025-11-24&amp;ServiceDateTo=2025-11-24&amp;DumpsterInvNr=13-L-222432", "13-L-222432")</f>
        <v>13-L-222432</v>
      </c>
      <c r="C2788">
        <v>0.24</v>
      </c>
      <c r="D2788" t="s">
        <v>3467</v>
      </c>
      <c r="E2788" t="s">
        <v>11</v>
      </c>
      <c r="G2788" t="s">
        <v>936</v>
      </c>
      <c r="H2788" t="s">
        <v>938</v>
      </c>
    </row>
    <row r="2789" spans="1:8" hidden="1" x14ac:dyDescent="0.25">
      <c r="A2789" t="s">
        <v>3942</v>
      </c>
      <c r="B2789" s="1" t="str">
        <f>HYPERLINK("https://asmlis.vasa.lt/Dashboard/Served?ServiceDateFrom=2025-11-24&amp;ServiceDateTo=2025-11-24&amp;DumpsterInvNr=13-T-000116", "13-T-000116")</f>
        <v>13-T-000116</v>
      </c>
      <c r="C2789">
        <v>2.5</v>
      </c>
      <c r="D2789" t="s">
        <v>3943</v>
      </c>
      <c r="E2789" t="s">
        <v>11</v>
      </c>
      <c r="F2789" t="s">
        <v>13</v>
      </c>
      <c r="G2789" t="s">
        <v>1899</v>
      </c>
      <c r="H2789" t="s">
        <v>432</v>
      </c>
    </row>
    <row r="2790" spans="1:8" hidden="1" x14ac:dyDescent="0.25">
      <c r="A2790" t="s">
        <v>3944</v>
      </c>
      <c r="B2790" s="1" t="str">
        <f>HYPERLINK("https://asmlis.vasa.lt/Dashboard/Served?ServiceDateFrom=2025-11-24&amp;ServiceDateTo=2025-11-24&amp;DumpsterInvNr=13-P-505051", "13-P-505051")</f>
        <v>13-P-505051</v>
      </c>
      <c r="C2790">
        <v>0.12</v>
      </c>
      <c r="D2790" t="s">
        <v>3945</v>
      </c>
      <c r="E2790" t="s">
        <v>11</v>
      </c>
      <c r="G2790" t="s">
        <v>2178</v>
      </c>
      <c r="H2790" t="s">
        <v>432</v>
      </c>
    </row>
    <row r="2791" spans="1:8" hidden="1" x14ac:dyDescent="0.25">
      <c r="A2791" t="s">
        <v>3946</v>
      </c>
      <c r="B2791" s="1" t="str">
        <f>HYPERLINK("https://asmlis.vasa.lt/Dashboard/Served?ServiceDateFrom=2025-11-24&amp;ServiceDateTo=2025-11-24&amp;DumpsterInvNr=13-L-121111", "13-L-121111")</f>
        <v>13-L-121111</v>
      </c>
      <c r="C2791">
        <v>0.77</v>
      </c>
      <c r="D2791" t="s">
        <v>3947</v>
      </c>
      <c r="E2791" t="s">
        <v>11</v>
      </c>
      <c r="G2791" t="s">
        <v>430</v>
      </c>
      <c r="H2791" t="s">
        <v>432</v>
      </c>
    </row>
    <row r="2792" spans="1:8" hidden="1" x14ac:dyDescent="0.25">
      <c r="A2792" t="s">
        <v>3948</v>
      </c>
      <c r="B2792" s="1" t="str">
        <f>HYPERLINK("https://asmlis.vasa.lt/Dashboard/Served?ServiceDateFrom=2025-11-24&amp;ServiceDateTo=2025-11-24&amp;DumpsterInvNr=13-T-000115", "13-T-000115")</f>
        <v>13-T-000115</v>
      </c>
      <c r="C2792">
        <v>2.5</v>
      </c>
      <c r="D2792" t="s">
        <v>3943</v>
      </c>
      <c r="E2792" t="s">
        <v>11</v>
      </c>
      <c r="F2792" t="s">
        <v>13</v>
      </c>
      <c r="G2792" t="s">
        <v>1899</v>
      </c>
      <c r="H2792" t="s">
        <v>432</v>
      </c>
    </row>
    <row r="2793" spans="1:8" hidden="1" x14ac:dyDescent="0.25">
      <c r="A2793" t="s">
        <v>3949</v>
      </c>
      <c r="B2793" s="1" t="str">
        <f>HYPERLINK("https://asmlis.vasa.lt/Dashboard/Served?ServiceDateFrom=2025-11-24&amp;ServiceDateTo=2025-11-24&amp;DumpsterInvNr=13-L-128905", "13-L-128905")</f>
        <v>13-L-128905</v>
      </c>
      <c r="C2793">
        <v>0.24</v>
      </c>
      <c r="D2793" t="s">
        <v>3945</v>
      </c>
      <c r="E2793" t="s">
        <v>11</v>
      </c>
      <c r="G2793" t="s">
        <v>430</v>
      </c>
      <c r="H2793" t="s">
        <v>432</v>
      </c>
    </row>
    <row r="2794" spans="1:8" hidden="1" x14ac:dyDescent="0.25">
      <c r="A2794" t="s">
        <v>3949</v>
      </c>
      <c r="B2794" s="1" t="str">
        <f>HYPERLINK("https://asmlis.vasa.lt/Dashboard/Served?ServiceDateFrom=2025-11-24&amp;ServiceDateTo=2025-11-24&amp;DumpsterInvNr=13-L-147093", "13-L-147093")</f>
        <v>13-L-147093</v>
      </c>
      <c r="C2794">
        <v>5</v>
      </c>
      <c r="D2794" t="s">
        <v>3951</v>
      </c>
      <c r="E2794" t="s">
        <v>11</v>
      </c>
      <c r="F2794" t="s">
        <v>13</v>
      </c>
      <c r="G2794" t="s">
        <v>430</v>
      </c>
      <c r="H2794" t="s">
        <v>432</v>
      </c>
    </row>
    <row r="2795" spans="1:8" hidden="1" x14ac:dyDescent="0.25">
      <c r="A2795" t="s">
        <v>3949</v>
      </c>
      <c r="B2795" s="1" t="str">
        <f>HYPERLINK("https://asmlis.vasa.lt/Dashboard/Served?ServiceDateFrom=2025-11-24&amp;ServiceDateTo=2025-11-24&amp;DumpsterInvNr=13-P-301874", "13-P-301874")</f>
        <v>13-P-301874</v>
      </c>
      <c r="C2795">
        <v>0.77</v>
      </c>
      <c r="D2795" t="s">
        <v>3909</v>
      </c>
      <c r="E2795" t="s">
        <v>11</v>
      </c>
      <c r="G2795" t="s">
        <v>412</v>
      </c>
      <c r="H2795" t="s">
        <v>14</v>
      </c>
    </row>
    <row r="2796" spans="1:8" hidden="1" x14ac:dyDescent="0.25">
      <c r="A2796" t="s">
        <v>3952</v>
      </c>
      <c r="B2796" s="1" t="str">
        <f>HYPERLINK("https://asmlis.vasa.lt/Dashboard/Served?ServiceDateFrom=2025-11-24&amp;ServiceDateTo=2025-11-24&amp;DumpsterInvNr=13-L-225146", "13-L-225146")</f>
        <v>13-L-225146</v>
      </c>
      <c r="C2796">
        <v>1.1000000000000001</v>
      </c>
      <c r="D2796" t="s">
        <v>3541</v>
      </c>
      <c r="E2796" t="s">
        <v>11</v>
      </c>
      <c r="F2796" t="s">
        <v>13</v>
      </c>
      <c r="G2796" t="s">
        <v>936</v>
      </c>
      <c r="H2796" t="s">
        <v>938</v>
      </c>
    </row>
    <row r="2797" spans="1:8" hidden="1" x14ac:dyDescent="0.25">
      <c r="A2797" t="s">
        <v>3953</v>
      </c>
      <c r="B2797" s="1" t="str">
        <f>HYPERLINK("https://asmlis.vasa.lt/Dashboard/Served?ServiceDateFrom=2025-11-24&amp;ServiceDateTo=2025-11-24&amp;DumpsterInvNr=13-P-301931", "13-P-301931")</f>
        <v>13-P-301931</v>
      </c>
      <c r="C2797">
        <v>0.77</v>
      </c>
      <c r="D2797" t="s">
        <v>3909</v>
      </c>
      <c r="E2797" t="s">
        <v>11</v>
      </c>
      <c r="G2797" t="s">
        <v>412</v>
      </c>
      <c r="H2797" t="s">
        <v>14</v>
      </c>
    </row>
    <row r="2798" spans="1:8" hidden="1" x14ac:dyDescent="0.25">
      <c r="A2798" t="s">
        <v>2577</v>
      </c>
      <c r="B2798" s="1" t="str">
        <f>HYPERLINK("https://asmlis.vasa.lt/Dashboard/Served?ServiceDateFrom=2025-11-24&amp;ServiceDateTo=2025-11-24&amp;DumpsterInvNr=13-L-317578", "13-L-317578")</f>
        <v>13-L-317578</v>
      </c>
      <c r="C2798">
        <v>0.77</v>
      </c>
      <c r="D2798" t="s">
        <v>3954</v>
      </c>
      <c r="E2798" t="s">
        <v>11</v>
      </c>
      <c r="G2798" t="s">
        <v>9</v>
      </c>
      <c r="H2798" t="s">
        <v>14</v>
      </c>
    </row>
    <row r="2799" spans="1:8" hidden="1" x14ac:dyDescent="0.25">
      <c r="A2799" t="s">
        <v>2663</v>
      </c>
      <c r="B2799" s="1" t="str">
        <f>HYPERLINK("https://asmlis.vasa.lt/Dashboard/Served?ServiceDateFrom=2025-11-24&amp;ServiceDateTo=2025-11-24&amp;DumpsterInvNr=13-S-505629", "13-S-505629")</f>
        <v>13-S-505629</v>
      </c>
      <c r="C2799">
        <v>0.12</v>
      </c>
      <c r="D2799" t="s">
        <v>3945</v>
      </c>
      <c r="E2799" t="s">
        <v>11</v>
      </c>
      <c r="F2799" t="s">
        <v>1209</v>
      </c>
      <c r="G2799" t="s">
        <v>2178</v>
      </c>
      <c r="H2799" t="s">
        <v>432</v>
      </c>
    </row>
    <row r="2800" spans="1:8" hidden="1" x14ac:dyDescent="0.25">
      <c r="A2800" t="s">
        <v>3956</v>
      </c>
      <c r="B2800" s="1" t="str">
        <f>HYPERLINK("https://asmlis.vasa.lt/Dashboard/Served?ServiceDateFrom=2025-11-24&amp;ServiceDateTo=2025-11-24&amp;DumpsterInvNr=13-L-121110", "13-L-121110")</f>
        <v>13-L-121110</v>
      </c>
      <c r="C2800">
        <v>0.77</v>
      </c>
      <c r="D2800" t="s">
        <v>3947</v>
      </c>
      <c r="E2800" t="s">
        <v>11</v>
      </c>
      <c r="G2800" t="s">
        <v>430</v>
      </c>
      <c r="H2800" t="s">
        <v>432</v>
      </c>
    </row>
    <row r="2801" spans="1:8" hidden="1" x14ac:dyDescent="0.25">
      <c r="A2801" t="s">
        <v>3956</v>
      </c>
      <c r="B2801" s="1" t="str">
        <f>HYPERLINK("https://asmlis.vasa.lt/Dashboard/Served?ServiceDateFrom=2025-11-24&amp;ServiceDateTo=2025-11-24&amp;DumpsterInvNr=13-P-500547", "13-P-500547")</f>
        <v>13-P-500547</v>
      </c>
      <c r="C2801">
        <v>5</v>
      </c>
      <c r="D2801" t="s">
        <v>3958</v>
      </c>
      <c r="E2801" t="s">
        <v>11</v>
      </c>
      <c r="F2801" t="s">
        <v>13</v>
      </c>
      <c r="G2801" t="s">
        <v>2178</v>
      </c>
      <c r="H2801" t="s">
        <v>432</v>
      </c>
    </row>
    <row r="2802" spans="1:8" hidden="1" x14ac:dyDescent="0.25">
      <c r="A2802" t="s">
        <v>3960</v>
      </c>
      <c r="B2802" s="1" t="str">
        <f>HYPERLINK("https://asmlis.vasa.lt/Dashboard/Served?ServiceDateFrom=2025-11-24&amp;ServiceDateTo=2025-11-24&amp;DumpsterInvNr=13-L-317868", "13-L-317868")</f>
        <v>13-L-317868</v>
      </c>
      <c r="C2802">
        <v>1.1000000000000001</v>
      </c>
      <c r="D2802" t="s">
        <v>3961</v>
      </c>
      <c r="E2802" t="s">
        <v>11</v>
      </c>
      <c r="G2802" t="s">
        <v>9</v>
      </c>
      <c r="H2802" t="s">
        <v>14</v>
      </c>
    </row>
    <row r="2803" spans="1:8" hidden="1" x14ac:dyDescent="0.25">
      <c r="A2803" t="s">
        <v>3960</v>
      </c>
      <c r="B2803" s="1" t="str">
        <f>HYPERLINK("https://asmlis.vasa.lt/Dashboard/Served?ServiceDateFrom=2025-11-24&amp;ServiceDateTo=2025-11-24&amp;DumpsterInvNr=13-L-216604", "13-L-216604")</f>
        <v>13-L-216604</v>
      </c>
      <c r="C2803">
        <v>1.1000000000000001</v>
      </c>
      <c r="D2803" t="s">
        <v>3541</v>
      </c>
      <c r="E2803" t="s">
        <v>11</v>
      </c>
      <c r="F2803" t="s">
        <v>13</v>
      </c>
      <c r="G2803" t="s">
        <v>936</v>
      </c>
      <c r="H2803" t="s">
        <v>938</v>
      </c>
    </row>
    <row r="2804" spans="1:8" hidden="1" x14ac:dyDescent="0.25">
      <c r="A2804" t="s">
        <v>3962</v>
      </c>
      <c r="B2804" s="1" t="str">
        <f>HYPERLINK("https://asmlis.vasa.lt/Dashboard/Served?ServiceDateFrom=2025-11-24&amp;ServiceDateTo=2025-11-24&amp;DumpsterInvNr=13-P-500630", "13-P-500630")</f>
        <v>13-P-500630</v>
      </c>
      <c r="C2804">
        <v>3</v>
      </c>
      <c r="D2804" t="s">
        <v>3833</v>
      </c>
      <c r="E2804" t="s">
        <v>11</v>
      </c>
      <c r="F2804" t="s">
        <v>13</v>
      </c>
      <c r="G2804" t="s">
        <v>2178</v>
      </c>
      <c r="H2804" t="s">
        <v>432</v>
      </c>
    </row>
    <row r="2805" spans="1:8" hidden="1" x14ac:dyDescent="0.25">
      <c r="A2805" t="s">
        <v>3962</v>
      </c>
      <c r="B2805" s="1" t="str">
        <f>HYPERLINK("https://asmlis.vasa.lt/Dashboard/Served?ServiceDateFrom=2025-11-24&amp;ServiceDateTo=2025-11-24&amp;DumpsterInvNr=13-P-306833", "13-P-306833")</f>
        <v>13-P-306833</v>
      </c>
      <c r="C2805">
        <v>5</v>
      </c>
      <c r="D2805" t="s">
        <v>1424</v>
      </c>
      <c r="E2805" t="s">
        <v>11</v>
      </c>
      <c r="G2805" t="s">
        <v>412</v>
      </c>
      <c r="H2805" t="s">
        <v>14</v>
      </c>
    </row>
    <row r="2806" spans="1:8" hidden="1" x14ac:dyDescent="0.25">
      <c r="A2806" t="s">
        <v>3964</v>
      </c>
      <c r="B2806" s="1" t="str">
        <f>HYPERLINK("https://asmlis.vasa.lt/Dashboard/Served?ServiceDateFrom=2025-11-24&amp;ServiceDateTo=2025-11-24&amp;DumpsterInvNr=13-L-204076", "13-L-204076")</f>
        <v>13-L-204076</v>
      </c>
      <c r="C2806">
        <v>1.1000000000000001</v>
      </c>
      <c r="D2806" t="s">
        <v>3491</v>
      </c>
      <c r="E2806" t="s">
        <v>11</v>
      </c>
      <c r="G2806" t="s">
        <v>936</v>
      </c>
      <c r="H2806" t="s">
        <v>938</v>
      </c>
    </row>
    <row r="2807" spans="1:8" hidden="1" x14ac:dyDescent="0.25">
      <c r="A2807" t="s">
        <v>3964</v>
      </c>
      <c r="B2807" s="1" t="str">
        <f>HYPERLINK("https://asmlis.vasa.lt/Dashboard/Served?ServiceDateFrom=2025-11-24&amp;ServiceDateTo=2025-11-24&amp;DumpsterInvNr=13-P-500626", "13-P-500626")</f>
        <v>13-P-500626</v>
      </c>
      <c r="C2807">
        <v>3</v>
      </c>
      <c r="D2807" t="s">
        <v>3833</v>
      </c>
      <c r="E2807" t="s">
        <v>11</v>
      </c>
      <c r="F2807" t="s">
        <v>13</v>
      </c>
      <c r="G2807" t="s">
        <v>2178</v>
      </c>
      <c r="H2807" t="s">
        <v>432</v>
      </c>
    </row>
    <row r="2808" spans="1:8" hidden="1" x14ac:dyDescent="0.25">
      <c r="A2808" t="s">
        <v>3966</v>
      </c>
      <c r="B2808" s="1" t="str">
        <f>HYPERLINK("https://asmlis.vasa.lt/Dashboard/Served?ServiceDateFrom=2025-11-24&amp;ServiceDateTo=2025-11-24&amp;DumpsterInvNr=13-P-402445", "13-P-402445")</f>
        <v>13-P-402445</v>
      </c>
      <c r="C2808">
        <v>0.24</v>
      </c>
      <c r="D2808" t="s">
        <v>3967</v>
      </c>
      <c r="E2808" t="s">
        <v>11</v>
      </c>
      <c r="G2808" t="s">
        <v>264</v>
      </c>
      <c r="H2808" t="s">
        <v>14</v>
      </c>
    </row>
    <row r="2809" spans="1:8" hidden="1" x14ac:dyDescent="0.25">
      <c r="A2809" t="s">
        <v>3966</v>
      </c>
      <c r="B2809" s="1" t="str">
        <f>HYPERLINK("https://asmlis.vasa.lt/Dashboard/Served?ServiceDateFrom=2025-11-24&amp;ServiceDateTo=2025-11-24&amp;DumpsterInvNr=13-S-410167", "13-S-410167")</f>
        <v>13-S-410167</v>
      </c>
      <c r="C2809">
        <v>0.12</v>
      </c>
      <c r="D2809" t="s">
        <v>3967</v>
      </c>
      <c r="E2809" t="s">
        <v>11</v>
      </c>
      <c r="G2809" t="s">
        <v>264</v>
      </c>
      <c r="H2809" t="s">
        <v>14</v>
      </c>
    </row>
    <row r="2810" spans="1:8" hidden="1" x14ac:dyDescent="0.25">
      <c r="A2810" t="s">
        <v>3968</v>
      </c>
      <c r="B2810" s="1" t="str">
        <f>HYPERLINK("https://asmlis.vasa.lt/Dashboard/Served?ServiceDateFrom=2025-11-24&amp;ServiceDateTo=2025-11-24&amp;DumpsterInvNr=13-L-109811", "13-L-109811")</f>
        <v>13-L-109811</v>
      </c>
      <c r="C2810">
        <v>0.24</v>
      </c>
      <c r="D2810" t="s">
        <v>3969</v>
      </c>
      <c r="E2810" t="s">
        <v>11</v>
      </c>
      <c r="G2810" t="s">
        <v>430</v>
      </c>
      <c r="H2810" t="s">
        <v>432</v>
      </c>
    </row>
    <row r="2811" spans="1:8" hidden="1" x14ac:dyDescent="0.25">
      <c r="A2811" t="s">
        <v>3968</v>
      </c>
      <c r="B2811" s="1" t="str">
        <f>HYPERLINK("https://asmlis.vasa.lt/Dashboard/Served?ServiceDateFrom=2025-11-24&amp;ServiceDateTo=2025-11-24&amp;DumpsterInvNr=13-P-508385", "13-P-508385")</f>
        <v>13-P-508385</v>
      </c>
      <c r="C2811">
        <v>0.12</v>
      </c>
      <c r="D2811" t="s">
        <v>3969</v>
      </c>
      <c r="E2811" t="s">
        <v>11</v>
      </c>
      <c r="G2811" t="s">
        <v>2178</v>
      </c>
      <c r="H2811" t="s">
        <v>432</v>
      </c>
    </row>
    <row r="2812" spans="1:8" hidden="1" x14ac:dyDescent="0.25">
      <c r="A2812" t="s">
        <v>3970</v>
      </c>
      <c r="B2812" s="1" t="str">
        <f>HYPERLINK("https://asmlis.vasa.lt/Dashboard/Served?ServiceDateFrom=2025-11-24&amp;ServiceDateTo=2025-11-24&amp;DumpsterInvNr=13-P-413308", "13-P-413308")</f>
        <v>13-P-413308</v>
      </c>
      <c r="C2812">
        <v>0.24</v>
      </c>
      <c r="D2812" t="s">
        <v>3971</v>
      </c>
      <c r="E2812" t="s">
        <v>11</v>
      </c>
      <c r="G2812" t="s">
        <v>264</v>
      </c>
      <c r="H2812" t="s">
        <v>14</v>
      </c>
    </row>
    <row r="2813" spans="1:8" hidden="1" x14ac:dyDescent="0.25">
      <c r="A2813" t="s">
        <v>3972</v>
      </c>
      <c r="B2813" s="1" t="str">
        <f>HYPERLINK("https://asmlis.vasa.lt/Dashboard/Served?ServiceDateFrom=2025-11-24&amp;ServiceDateTo=2025-11-24&amp;DumpsterInvNr=13-L-133845", "13-L-133845")</f>
        <v>13-L-133845</v>
      </c>
      <c r="C2813">
        <v>5</v>
      </c>
      <c r="D2813" t="s">
        <v>3973</v>
      </c>
      <c r="E2813" t="s">
        <v>11</v>
      </c>
      <c r="F2813" t="s">
        <v>13</v>
      </c>
      <c r="G2813" t="s">
        <v>430</v>
      </c>
      <c r="H2813" t="s">
        <v>432</v>
      </c>
    </row>
    <row r="2814" spans="1:8" hidden="1" x14ac:dyDescent="0.25">
      <c r="A2814" t="s">
        <v>3538</v>
      </c>
      <c r="B2814" s="1" t="str">
        <f>HYPERLINK("https://asmlis.vasa.lt/Dashboard/Served?ServiceDateFrom=2025-11-24&amp;ServiceDateTo=2025-11-24&amp;DumpsterInvNr=13-L-317869", "13-L-317869")</f>
        <v>13-L-317869</v>
      </c>
      <c r="C2814">
        <v>1.1000000000000001</v>
      </c>
      <c r="D2814" t="s">
        <v>3961</v>
      </c>
      <c r="E2814" t="s">
        <v>11</v>
      </c>
      <c r="G2814" t="s">
        <v>9</v>
      </c>
      <c r="H2814" t="s">
        <v>14</v>
      </c>
    </row>
    <row r="2815" spans="1:8" hidden="1" x14ac:dyDescent="0.25">
      <c r="A2815" t="s">
        <v>3538</v>
      </c>
      <c r="B2815" s="1" t="str">
        <f>HYPERLINK("https://asmlis.vasa.lt/Dashboard/Served?ServiceDateFrom=2025-11-24&amp;ServiceDateTo=2025-11-24&amp;DumpsterInvNr=13-L-318002", "13-L-318002")</f>
        <v>13-L-318002</v>
      </c>
      <c r="C2815">
        <v>0.66</v>
      </c>
      <c r="D2815" t="s">
        <v>3974</v>
      </c>
      <c r="E2815" t="s">
        <v>11</v>
      </c>
      <c r="F2815" t="s">
        <v>13</v>
      </c>
      <c r="G2815" t="s">
        <v>9</v>
      </c>
      <c r="H2815" t="s">
        <v>14</v>
      </c>
    </row>
    <row r="2816" spans="1:8" hidden="1" x14ac:dyDescent="0.25">
      <c r="A2816" t="s">
        <v>3975</v>
      </c>
      <c r="B2816" s="1" t="str">
        <f>HYPERLINK("https://asmlis.vasa.lt/Dashboard/Served?ServiceDateFrom=2025-11-24&amp;ServiceDateTo=2025-11-24&amp;DumpsterInvNr=13-L-221813", "13-L-221813")</f>
        <v>13-L-221813</v>
      </c>
      <c r="C2816">
        <v>1.1000000000000001</v>
      </c>
      <c r="D2816" t="s">
        <v>3976</v>
      </c>
      <c r="E2816" t="s">
        <v>11</v>
      </c>
      <c r="G2816" t="s">
        <v>936</v>
      </c>
      <c r="H2816" t="s">
        <v>938</v>
      </c>
    </row>
    <row r="2817" spans="1:8" hidden="1" x14ac:dyDescent="0.25">
      <c r="A2817" t="s">
        <v>3546</v>
      </c>
      <c r="B2817" s="1" t="str">
        <f>HYPERLINK("https://asmlis.vasa.lt/Dashboard/Served?ServiceDateFrom=2025-11-24&amp;ServiceDateTo=2025-11-24&amp;DumpsterInvNr=13-L-312681", "13-L-312681")</f>
        <v>13-L-312681</v>
      </c>
      <c r="C2817">
        <v>0.77</v>
      </c>
      <c r="D2817" t="s">
        <v>3954</v>
      </c>
      <c r="E2817" t="s">
        <v>11</v>
      </c>
      <c r="F2817" t="s">
        <v>13</v>
      </c>
      <c r="G2817" t="s">
        <v>9</v>
      </c>
      <c r="H2817" t="s">
        <v>14</v>
      </c>
    </row>
    <row r="2818" spans="1:8" hidden="1" x14ac:dyDescent="0.25">
      <c r="A2818" t="s">
        <v>3574</v>
      </c>
      <c r="B2818" s="1" t="str">
        <f>HYPERLINK("https://asmlis.vasa.lt/Dashboard/Served?ServiceDateFrom=2025-11-24&amp;ServiceDateTo=2025-11-24&amp;DumpsterInvNr=13-L-317867", "13-L-317867")</f>
        <v>13-L-317867</v>
      </c>
      <c r="C2818">
        <v>1.1000000000000001</v>
      </c>
      <c r="D2818" t="s">
        <v>3961</v>
      </c>
      <c r="E2818" t="s">
        <v>11</v>
      </c>
      <c r="G2818" t="s">
        <v>9</v>
      </c>
      <c r="H2818" t="s">
        <v>14</v>
      </c>
    </row>
    <row r="2819" spans="1:8" hidden="1" x14ac:dyDescent="0.25">
      <c r="A2819" t="s">
        <v>3977</v>
      </c>
      <c r="B2819" s="1" t="str">
        <f>HYPERLINK("https://asmlis.vasa.lt/Dashboard/Served?ServiceDateFrom=2025-11-24&amp;ServiceDateTo=2025-11-24&amp;DumpsterInvNr=13-L-419168", "13-L-419168")</f>
        <v>13-L-419168</v>
      </c>
      <c r="C2819">
        <v>1.1000000000000001</v>
      </c>
      <c r="D2819" t="s">
        <v>3978</v>
      </c>
      <c r="E2819" t="s">
        <v>11</v>
      </c>
      <c r="G2819" t="s">
        <v>74</v>
      </c>
      <c r="H2819" t="s">
        <v>14</v>
      </c>
    </row>
    <row r="2820" spans="1:8" hidden="1" x14ac:dyDescent="0.25">
      <c r="A2820" t="s">
        <v>3628</v>
      </c>
      <c r="B2820" s="1" t="str">
        <f>HYPERLINK("https://asmlis.vasa.lt/Dashboard/Served?ServiceDateFrom=2025-11-24&amp;ServiceDateTo=2025-11-24&amp;DumpsterInvNr=13-S-404700", "13-S-404700")</f>
        <v>13-S-404700</v>
      </c>
      <c r="C2820">
        <v>0.12</v>
      </c>
      <c r="D2820" t="s">
        <v>3971</v>
      </c>
      <c r="E2820" t="s">
        <v>11</v>
      </c>
      <c r="F2820" t="s">
        <v>1209</v>
      </c>
      <c r="G2820" t="s">
        <v>264</v>
      </c>
      <c r="H2820" t="s">
        <v>14</v>
      </c>
    </row>
    <row r="2821" spans="1:8" hidden="1" x14ac:dyDescent="0.25">
      <c r="A2821" t="s">
        <v>3980</v>
      </c>
      <c r="B2821" s="1" t="str">
        <f>HYPERLINK("https://asmlis.vasa.lt/Dashboard/Served?ServiceDateFrom=2025-11-24&amp;ServiceDateTo=2025-11-24&amp;DumpsterInvNr=13-L-138328", "13-L-138328")</f>
        <v>13-L-138328</v>
      </c>
      <c r="C2821">
        <v>1.1000000000000001</v>
      </c>
      <c r="D2821" t="s">
        <v>3671</v>
      </c>
      <c r="E2821" t="s">
        <v>11</v>
      </c>
      <c r="G2821" t="s">
        <v>430</v>
      </c>
      <c r="H2821" t="s">
        <v>432</v>
      </c>
    </row>
    <row r="2822" spans="1:8" hidden="1" x14ac:dyDescent="0.25">
      <c r="A2822" t="s">
        <v>3980</v>
      </c>
      <c r="B2822" s="1" t="str">
        <f>HYPERLINK("https://asmlis.vasa.lt/Dashboard/Served?ServiceDateFrom=2025-11-24&amp;ServiceDateTo=2025-11-24&amp;DumpsterInvNr=13-P-300450", "13-P-300450")</f>
        <v>13-P-300450</v>
      </c>
      <c r="C2822">
        <v>1.1000000000000001</v>
      </c>
      <c r="D2822" t="s">
        <v>3981</v>
      </c>
      <c r="E2822" t="s">
        <v>11</v>
      </c>
      <c r="F2822" t="s">
        <v>13</v>
      </c>
      <c r="G2822" t="s">
        <v>412</v>
      </c>
      <c r="H2822" t="s">
        <v>14</v>
      </c>
    </row>
    <row r="2823" spans="1:8" hidden="1" x14ac:dyDescent="0.25">
      <c r="A2823" t="s">
        <v>3982</v>
      </c>
      <c r="B2823" s="1" t="str">
        <f>HYPERLINK("https://asmlis.vasa.lt/Dashboard/Served?ServiceDateFrom=2025-11-24&amp;ServiceDateTo=2025-11-24&amp;DumpsterInvNr=13-L-305362", "13-L-305362")</f>
        <v>13-L-305362</v>
      </c>
      <c r="C2823">
        <v>0.12</v>
      </c>
      <c r="D2823" t="s">
        <v>3983</v>
      </c>
      <c r="E2823" t="s">
        <v>11</v>
      </c>
      <c r="F2823" t="s">
        <v>13</v>
      </c>
      <c r="G2823" t="s">
        <v>9</v>
      </c>
      <c r="H2823" t="s">
        <v>14</v>
      </c>
    </row>
    <row r="2824" spans="1:8" hidden="1" x14ac:dyDescent="0.25">
      <c r="A2824" t="s">
        <v>3982</v>
      </c>
      <c r="B2824" s="1" t="str">
        <f>HYPERLINK("https://asmlis.vasa.lt/Dashboard/Served?ServiceDateFrom=2025-11-24&amp;ServiceDateTo=2025-11-24&amp;DumpsterInvNr=13-L-415850", "13-L-415850")</f>
        <v>13-L-415850</v>
      </c>
      <c r="C2824">
        <v>1.1000000000000001</v>
      </c>
      <c r="D2824" t="s">
        <v>3978</v>
      </c>
      <c r="E2824" t="s">
        <v>11</v>
      </c>
      <c r="G2824" t="s">
        <v>74</v>
      </c>
      <c r="H2824" t="s">
        <v>14</v>
      </c>
    </row>
    <row r="2825" spans="1:8" hidden="1" x14ac:dyDescent="0.25">
      <c r="A2825" t="s">
        <v>3609</v>
      </c>
      <c r="B2825" s="1" t="str">
        <f>HYPERLINK("https://asmlis.vasa.lt/Dashboard/Served?ServiceDateFrom=2025-11-24&amp;ServiceDateTo=2025-11-24&amp;DumpsterInvNr=13-L-144081", "13-L-144081")</f>
        <v>13-L-144081</v>
      </c>
      <c r="C2825">
        <v>0.24</v>
      </c>
      <c r="D2825" t="s">
        <v>3984</v>
      </c>
      <c r="E2825" t="s">
        <v>11</v>
      </c>
      <c r="G2825" t="s">
        <v>430</v>
      </c>
      <c r="H2825" t="s">
        <v>432</v>
      </c>
    </row>
    <row r="2826" spans="1:8" hidden="1" x14ac:dyDescent="0.25">
      <c r="A2826" t="s">
        <v>3609</v>
      </c>
      <c r="B2826" s="1" t="str">
        <f>HYPERLINK("https://asmlis.vasa.lt/Dashboard/Served?ServiceDateFrom=2025-11-24&amp;ServiceDateTo=2025-11-24&amp;DumpsterInvNr=13-P-301655", "13-P-301655")</f>
        <v>13-P-301655</v>
      </c>
      <c r="C2826">
        <v>1.1000000000000001</v>
      </c>
      <c r="D2826" t="s">
        <v>3981</v>
      </c>
      <c r="E2826" t="s">
        <v>11</v>
      </c>
      <c r="F2826" t="s">
        <v>13</v>
      </c>
      <c r="G2826" t="s">
        <v>412</v>
      </c>
      <c r="H2826" t="s">
        <v>14</v>
      </c>
    </row>
    <row r="2827" spans="1:8" hidden="1" x14ac:dyDescent="0.25">
      <c r="A2827" t="s">
        <v>3985</v>
      </c>
      <c r="B2827" s="1" t="str">
        <f>HYPERLINK("https://asmlis.vasa.lt/Dashboard/Served?ServiceDateFrom=2025-11-24&amp;ServiceDateTo=2025-11-24&amp;DumpsterInvNr=13-P-413930", "13-P-413930")</f>
        <v>13-P-413930</v>
      </c>
      <c r="C2827">
        <v>5</v>
      </c>
      <c r="D2827" t="s">
        <v>401</v>
      </c>
      <c r="E2827" t="s">
        <v>11</v>
      </c>
      <c r="G2827" t="s">
        <v>264</v>
      </c>
      <c r="H2827" t="s">
        <v>14</v>
      </c>
    </row>
    <row r="2828" spans="1:8" hidden="1" x14ac:dyDescent="0.25">
      <c r="A2828" t="s">
        <v>3985</v>
      </c>
      <c r="B2828" s="1" t="str">
        <f>HYPERLINK("https://asmlis.vasa.lt/Dashboard/Served?ServiceDateFrom=2025-11-24&amp;ServiceDateTo=2025-11-24&amp;DumpsterInvNr=13-P-413131", "13-P-413131")</f>
        <v>13-P-413131</v>
      </c>
      <c r="C2828">
        <v>0.24</v>
      </c>
      <c r="D2828" t="s">
        <v>3986</v>
      </c>
      <c r="E2828" t="s">
        <v>11</v>
      </c>
      <c r="G2828" t="s">
        <v>264</v>
      </c>
      <c r="H2828" t="s">
        <v>14</v>
      </c>
    </row>
    <row r="2829" spans="1:8" hidden="1" x14ac:dyDescent="0.25">
      <c r="A2829" t="s">
        <v>3987</v>
      </c>
      <c r="B2829" s="1" t="str">
        <f>HYPERLINK("https://asmlis.vasa.lt/Dashboard/Served?ServiceDateFrom=2025-11-24&amp;ServiceDateTo=2025-11-24&amp;DumpsterInvNr=13-L-408552", "13-L-408552")</f>
        <v>13-L-408552</v>
      </c>
      <c r="C2829">
        <v>0.24</v>
      </c>
      <c r="D2829" t="s">
        <v>3988</v>
      </c>
      <c r="E2829" t="s">
        <v>11</v>
      </c>
      <c r="F2829" t="s">
        <v>1209</v>
      </c>
      <c r="G2829" t="s">
        <v>74</v>
      </c>
      <c r="H2829" t="s">
        <v>14</v>
      </c>
    </row>
    <row r="2830" spans="1:8" hidden="1" x14ac:dyDescent="0.25">
      <c r="A2830" t="s">
        <v>3989</v>
      </c>
      <c r="B2830" s="1" t="str">
        <f>HYPERLINK("https://asmlis.vasa.lt/Dashboard/Served?ServiceDateFrom=2025-11-24&amp;ServiceDateTo=2025-11-24&amp;DumpsterInvNr=13-L-306394", "13-L-306394")</f>
        <v>13-L-306394</v>
      </c>
      <c r="C2830">
        <v>0.24</v>
      </c>
      <c r="D2830" t="s">
        <v>3990</v>
      </c>
      <c r="E2830" t="s">
        <v>11</v>
      </c>
      <c r="F2830" t="s">
        <v>712</v>
      </c>
      <c r="G2830" t="s">
        <v>9</v>
      </c>
      <c r="H2830" t="s">
        <v>14</v>
      </c>
    </row>
    <row r="2831" spans="1:8" hidden="1" x14ac:dyDescent="0.25">
      <c r="A2831" t="s">
        <v>3992</v>
      </c>
      <c r="B2831" s="1" t="str">
        <f>HYPERLINK("https://asmlis.vasa.lt/Dashboard/Served?ServiceDateFrom=2025-11-24&amp;ServiceDateTo=2025-11-24&amp;DumpsterInvNr=13-L-222837", "13-L-222837")</f>
        <v>13-L-222837</v>
      </c>
      <c r="C2831">
        <v>0.24</v>
      </c>
      <c r="D2831" t="s">
        <v>3515</v>
      </c>
      <c r="E2831" t="s">
        <v>11</v>
      </c>
      <c r="G2831" t="s">
        <v>936</v>
      </c>
      <c r="H2831" t="s">
        <v>938</v>
      </c>
    </row>
    <row r="2832" spans="1:8" hidden="1" x14ac:dyDescent="0.25">
      <c r="A2832" t="s">
        <v>3993</v>
      </c>
      <c r="B2832" s="1" t="str">
        <f>HYPERLINK("https://asmlis.vasa.lt/Dashboard/Served?ServiceDateFrom=2025-11-24&amp;ServiceDateTo=2025-11-24&amp;DumpsterInvNr=13-L-413492", "13-L-413492")</f>
        <v>13-L-413492</v>
      </c>
      <c r="C2832">
        <v>0.24</v>
      </c>
      <c r="D2832" t="s">
        <v>3994</v>
      </c>
      <c r="E2832" t="s">
        <v>11</v>
      </c>
      <c r="F2832" t="s">
        <v>1209</v>
      </c>
      <c r="G2832" t="s">
        <v>74</v>
      </c>
      <c r="H2832" t="s">
        <v>14</v>
      </c>
    </row>
    <row r="2833" spans="1:8" hidden="1" x14ac:dyDescent="0.25">
      <c r="A2833" t="s">
        <v>3991</v>
      </c>
      <c r="B2833" s="1" t="str">
        <f>HYPERLINK("https://asmlis.vasa.lt/Dashboard/Served?ServiceDateFrom=2025-11-24&amp;ServiceDateTo=2025-11-24&amp;DumpsterInvNr=13-L-310384", "13-L-310384")</f>
        <v>13-L-310384</v>
      </c>
      <c r="C2833">
        <v>1.1000000000000001</v>
      </c>
      <c r="D2833" t="s">
        <v>3995</v>
      </c>
      <c r="E2833" t="s">
        <v>11</v>
      </c>
      <c r="G2833" t="s">
        <v>9</v>
      </c>
      <c r="H2833" t="s">
        <v>14</v>
      </c>
    </row>
    <row r="2834" spans="1:8" hidden="1" x14ac:dyDescent="0.25">
      <c r="A2834" t="s">
        <v>3991</v>
      </c>
      <c r="B2834" s="1" t="str">
        <f>HYPERLINK("https://asmlis.vasa.lt/Dashboard/Served?ServiceDateFrom=2025-11-24&amp;ServiceDateTo=2025-11-24&amp;DumpsterInvNr=13-S-409584", "13-S-409584")</f>
        <v>13-S-409584</v>
      </c>
      <c r="C2834">
        <v>0.12</v>
      </c>
      <c r="D2834" t="s">
        <v>3986</v>
      </c>
      <c r="E2834" t="s">
        <v>11</v>
      </c>
      <c r="F2834" t="s">
        <v>1209</v>
      </c>
      <c r="G2834" t="s">
        <v>264</v>
      </c>
      <c r="H2834" t="s">
        <v>14</v>
      </c>
    </row>
    <row r="2835" spans="1:8" hidden="1" x14ac:dyDescent="0.25">
      <c r="A2835" t="s">
        <v>3996</v>
      </c>
      <c r="B2835" s="1" t="str">
        <f>HYPERLINK("https://asmlis.vasa.lt/Dashboard/Served?ServiceDateFrom=2025-11-24&amp;ServiceDateTo=2025-11-24&amp;DumpsterInvNr=13-L-109810", "13-L-109810")</f>
        <v>13-L-109810</v>
      </c>
      <c r="C2835">
        <v>0.12</v>
      </c>
      <c r="D2835" t="s">
        <v>3997</v>
      </c>
      <c r="E2835" t="s">
        <v>11</v>
      </c>
      <c r="G2835" t="s">
        <v>430</v>
      </c>
      <c r="H2835" t="s">
        <v>432</v>
      </c>
    </row>
    <row r="2836" spans="1:8" hidden="1" x14ac:dyDescent="0.25">
      <c r="A2836" t="s">
        <v>3996</v>
      </c>
      <c r="B2836" s="1" t="str">
        <f>HYPERLINK("https://asmlis.vasa.lt/Dashboard/Served?ServiceDateFrom=2025-11-24&amp;ServiceDateTo=2025-11-24&amp;DumpsterInvNr=13-L-222431", "13-L-222431")</f>
        <v>13-L-222431</v>
      </c>
      <c r="C2836">
        <v>1.1000000000000001</v>
      </c>
      <c r="D2836" t="s">
        <v>3494</v>
      </c>
      <c r="E2836" t="s">
        <v>11</v>
      </c>
      <c r="F2836" t="s">
        <v>13</v>
      </c>
      <c r="G2836" t="s">
        <v>936</v>
      </c>
      <c r="H2836" t="s">
        <v>938</v>
      </c>
    </row>
    <row r="2837" spans="1:8" hidden="1" x14ac:dyDescent="0.25">
      <c r="A2837" t="s">
        <v>3999</v>
      </c>
      <c r="B2837" s="1" t="str">
        <f>HYPERLINK("https://asmlis.vasa.lt/Dashboard/Served?ServiceDateFrom=2025-11-24&amp;ServiceDateTo=2025-11-24&amp;DumpsterInvNr=13-L-222430", "13-L-222430")</f>
        <v>13-L-222430</v>
      </c>
      <c r="C2837">
        <v>1.1000000000000001</v>
      </c>
      <c r="D2837" t="s">
        <v>3494</v>
      </c>
      <c r="E2837" t="s">
        <v>11</v>
      </c>
      <c r="F2837" t="s">
        <v>13</v>
      </c>
      <c r="G2837" t="s">
        <v>936</v>
      </c>
      <c r="H2837" t="s">
        <v>938</v>
      </c>
    </row>
    <row r="2838" spans="1:8" hidden="1" x14ac:dyDescent="0.25">
      <c r="A2838" t="s">
        <v>3999</v>
      </c>
      <c r="B2838" s="1" t="str">
        <f>HYPERLINK("https://asmlis.vasa.lt/Dashboard/Served?ServiceDateFrom=2025-11-24&amp;ServiceDateTo=2025-11-24&amp;DumpsterInvNr=13-P-508384", "13-P-508384")</f>
        <v>13-P-508384</v>
      </c>
      <c r="C2838">
        <v>0.12</v>
      </c>
      <c r="D2838" t="s">
        <v>3997</v>
      </c>
      <c r="E2838" t="s">
        <v>11</v>
      </c>
      <c r="G2838" t="s">
        <v>2178</v>
      </c>
      <c r="H2838" t="s">
        <v>432</v>
      </c>
    </row>
    <row r="2839" spans="1:8" hidden="1" x14ac:dyDescent="0.25">
      <c r="A2839" t="s">
        <v>4000</v>
      </c>
      <c r="B2839" s="1" t="str">
        <f>HYPERLINK("https://asmlis.vasa.lt/Dashboard/Served?ServiceDateFrom=2025-11-24&amp;ServiceDateTo=2025-11-24&amp;DumpsterInvNr=13-L-307104", "13-L-307104")</f>
        <v>13-L-307104</v>
      </c>
      <c r="C2839">
        <v>0.24</v>
      </c>
      <c r="D2839" t="s">
        <v>3990</v>
      </c>
      <c r="E2839" t="s">
        <v>11</v>
      </c>
      <c r="F2839" t="s">
        <v>712</v>
      </c>
      <c r="G2839" t="s">
        <v>9</v>
      </c>
      <c r="H2839" t="s">
        <v>14</v>
      </c>
    </row>
    <row r="2840" spans="1:8" hidden="1" x14ac:dyDescent="0.25">
      <c r="A2840" t="s">
        <v>4001</v>
      </c>
      <c r="B2840" s="1" t="str">
        <f>HYPERLINK("https://asmlis.vasa.lt/Dashboard/Served?ServiceDateFrom=2025-11-24&amp;ServiceDateTo=2025-11-24&amp;DumpsterInvNr=13-S-503315", "13-S-503315")</f>
        <v>13-S-503315</v>
      </c>
      <c r="C2840">
        <v>0.12</v>
      </c>
      <c r="D2840" t="s">
        <v>4002</v>
      </c>
      <c r="E2840" t="s">
        <v>11</v>
      </c>
      <c r="G2840" t="s">
        <v>2178</v>
      </c>
      <c r="H2840" t="s">
        <v>432</v>
      </c>
    </row>
    <row r="2841" spans="1:8" hidden="1" x14ac:dyDescent="0.25">
      <c r="A2841" t="s">
        <v>3790</v>
      </c>
      <c r="B2841" s="1" t="str">
        <f>HYPERLINK("https://asmlis.vasa.lt/Dashboard/Served?ServiceDateFrom=2025-11-24&amp;ServiceDateTo=2025-11-24&amp;DumpsterInvNr=13-L-418425", "13-L-418425")</f>
        <v>13-L-418425</v>
      </c>
      <c r="C2841">
        <v>1.1000000000000001</v>
      </c>
      <c r="D2841" t="s">
        <v>4003</v>
      </c>
      <c r="E2841" t="s">
        <v>11</v>
      </c>
      <c r="G2841" t="s">
        <v>74</v>
      </c>
      <c r="H2841" t="s">
        <v>14</v>
      </c>
    </row>
    <row r="2842" spans="1:8" hidden="1" x14ac:dyDescent="0.25">
      <c r="A2842" t="s">
        <v>4004</v>
      </c>
      <c r="B2842" s="1" t="str">
        <f>HYPERLINK("https://asmlis.vasa.lt/Dashboard/Served?ServiceDateFrom=2025-11-24&amp;ServiceDateTo=2025-11-24&amp;DumpsterInvNr=13-L-223939", "13-L-223939")</f>
        <v>13-L-223939</v>
      </c>
      <c r="C2842">
        <v>0.24</v>
      </c>
      <c r="D2842" t="s">
        <v>3529</v>
      </c>
      <c r="E2842" t="s">
        <v>11</v>
      </c>
      <c r="G2842" t="s">
        <v>936</v>
      </c>
      <c r="H2842" t="s">
        <v>938</v>
      </c>
    </row>
    <row r="2843" spans="1:8" hidden="1" x14ac:dyDescent="0.25">
      <c r="A2843" t="s">
        <v>4005</v>
      </c>
      <c r="B2843" s="1" t="str">
        <f>HYPERLINK("https://asmlis.vasa.lt/Dashboard/Served?ServiceDateFrom=2025-11-24&amp;ServiceDateTo=2025-11-24&amp;DumpsterInvNr=13-P-206999", "13-P-206999")</f>
        <v>13-P-206999</v>
      </c>
      <c r="C2843">
        <v>2.5</v>
      </c>
      <c r="D2843" t="s">
        <v>4006</v>
      </c>
      <c r="E2843" t="s">
        <v>11</v>
      </c>
      <c r="F2843" t="s">
        <v>13</v>
      </c>
      <c r="G2843" t="s">
        <v>234</v>
      </c>
      <c r="H2843" t="s">
        <v>14</v>
      </c>
    </row>
    <row r="2844" spans="1:8" hidden="1" x14ac:dyDescent="0.25">
      <c r="A2844" t="s">
        <v>4007</v>
      </c>
      <c r="B2844" s="1" t="str">
        <f>HYPERLINK("https://asmlis.vasa.lt/Dashboard/Served?ServiceDateFrom=2025-11-24&amp;ServiceDateTo=2025-11-24&amp;DumpsterInvNr=13-S-402079", "13-S-402079")</f>
        <v>13-S-402079</v>
      </c>
      <c r="C2844">
        <v>0.12</v>
      </c>
      <c r="D2844" t="s">
        <v>4008</v>
      </c>
      <c r="E2844" t="s">
        <v>11</v>
      </c>
      <c r="G2844" t="s">
        <v>264</v>
      </c>
      <c r="H2844" t="s">
        <v>14</v>
      </c>
    </row>
    <row r="2845" spans="1:8" hidden="1" x14ac:dyDescent="0.25">
      <c r="A2845" t="s">
        <v>4009</v>
      </c>
      <c r="B2845" s="1" t="str">
        <f>HYPERLINK("https://asmlis.vasa.lt/Dashboard/Served?ServiceDateFrom=2025-11-24&amp;ServiceDateTo=2025-11-24&amp;DumpsterInvNr=13-P-212369", "13-P-212369")</f>
        <v>13-P-212369</v>
      </c>
      <c r="C2845">
        <v>2.5</v>
      </c>
      <c r="D2845" t="s">
        <v>4006</v>
      </c>
      <c r="E2845" t="s">
        <v>11</v>
      </c>
      <c r="F2845" t="s">
        <v>13</v>
      </c>
      <c r="G2845" t="s">
        <v>234</v>
      </c>
      <c r="H2845" t="s">
        <v>14</v>
      </c>
    </row>
    <row r="2846" spans="1:8" hidden="1" x14ac:dyDescent="0.25">
      <c r="A2846" t="s">
        <v>4010</v>
      </c>
      <c r="B2846" s="1" t="str">
        <f>HYPERLINK("https://asmlis.vasa.lt/Dashboard/Served?ServiceDateFrom=2025-11-24&amp;ServiceDateTo=2025-11-24&amp;DumpsterInvNr=13-L-115233", "13-L-115233")</f>
        <v>13-L-115233</v>
      </c>
      <c r="C2846">
        <v>0.12</v>
      </c>
      <c r="D2846" t="s">
        <v>4011</v>
      </c>
      <c r="E2846" t="s">
        <v>11</v>
      </c>
      <c r="G2846" t="s">
        <v>430</v>
      </c>
      <c r="H2846" t="s">
        <v>432</v>
      </c>
    </row>
    <row r="2847" spans="1:8" hidden="1" x14ac:dyDescent="0.25">
      <c r="A2847" t="s">
        <v>4010</v>
      </c>
      <c r="B2847" s="1" t="str">
        <f>HYPERLINK("https://asmlis.vasa.lt/Dashboard/Served?ServiceDateFrom=2025-11-24&amp;ServiceDateTo=2025-11-24&amp;DumpsterInvNr=13-P-506785", "13-P-506785")</f>
        <v>13-P-506785</v>
      </c>
      <c r="C2847">
        <v>0.24</v>
      </c>
      <c r="D2847" t="s">
        <v>4011</v>
      </c>
      <c r="E2847" t="s">
        <v>11</v>
      </c>
      <c r="G2847" t="s">
        <v>2178</v>
      </c>
      <c r="H2847" t="s">
        <v>432</v>
      </c>
    </row>
    <row r="2848" spans="1:8" hidden="1" x14ac:dyDescent="0.25">
      <c r="A2848" t="s">
        <v>4014</v>
      </c>
      <c r="B2848" s="1" t="str">
        <f>HYPERLINK("https://asmlis.vasa.lt/Dashboard/Served?ServiceDateFrom=2025-11-24&amp;ServiceDateTo=2025-11-24&amp;DumpsterInvNr=13-P-212414", "13-P-212414")</f>
        <v>13-P-212414</v>
      </c>
      <c r="C2848">
        <v>5</v>
      </c>
      <c r="D2848" t="s">
        <v>4016</v>
      </c>
      <c r="E2848" t="s">
        <v>11</v>
      </c>
      <c r="F2848" t="s">
        <v>13</v>
      </c>
      <c r="G2848" t="s">
        <v>234</v>
      </c>
      <c r="H2848" t="s">
        <v>14</v>
      </c>
    </row>
    <row r="2849" spans="1:8" hidden="1" x14ac:dyDescent="0.25">
      <c r="A2849" t="s">
        <v>4017</v>
      </c>
      <c r="B2849" s="1" t="str">
        <f>HYPERLINK("https://asmlis.vasa.lt/Dashboard/Served?ServiceDateFrom=2025-11-24&amp;ServiceDateTo=2025-11-24&amp;DumpsterInvNr=13-L-133434", "13-L-133434")</f>
        <v>13-L-133434</v>
      </c>
      <c r="C2849">
        <v>5</v>
      </c>
      <c r="D2849" t="s">
        <v>4018</v>
      </c>
      <c r="E2849" t="s">
        <v>11</v>
      </c>
      <c r="F2849" t="s">
        <v>13</v>
      </c>
      <c r="G2849" t="s">
        <v>430</v>
      </c>
      <c r="H2849" t="s">
        <v>432</v>
      </c>
    </row>
    <row r="2850" spans="1:8" hidden="1" x14ac:dyDescent="0.25">
      <c r="A2850" t="s">
        <v>4019</v>
      </c>
      <c r="B2850" s="1" t="str">
        <f>HYPERLINK("https://asmlis.vasa.lt/Dashboard/Served?ServiceDateFrom=2025-11-24&amp;ServiceDateTo=2025-11-24&amp;DumpsterInvNr=13-L-115234", "13-L-115234")</f>
        <v>13-L-115234</v>
      </c>
      <c r="C2850">
        <v>0.12</v>
      </c>
      <c r="D2850" t="s">
        <v>4002</v>
      </c>
      <c r="E2850" t="s">
        <v>11</v>
      </c>
      <c r="G2850" t="s">
        <v>430</v>
      </c>
      <c r="H2850" t="s">
        <v>432</v>
      </c>
    </row>
    <row r="2851" spans="1:8" hidden="1" x14ac:dyDescent="0.25">
      <c r="A2851" t="s">
        <v>3862</v>
      </c>
      <c r="B2851" s="1" t="str">
        <f>HYPERLINK("https://asmlis.vasa.lt/Dashboard/Served?ServiceDateFrom=2025-11-24&amp;ServiceDateTo=2025-11-24&amp;DumpsterInvNr=13-L-421864", "13-L-421864")</f>
        <v>13-L-421864</v>
      </c>
      <c r="C2851">
        <v>5</v>
      </c>
      <c r="D2851" t="s">
        <v>4020</v>
      </c>
      <c r="E2851" t="s">
        <v>11</v>
      </c>
      <c r="F2851" t="s">
        <v>13</v>
      </c>
      <c r="G2851" t="s">
        <v>74</v>
      </c>
      <c r="H2851" t="s">
        <v>14</v>
      </c>
    </row>
    <row r="2852" spans="1:8" hidden="1" x14ac:dyDescent="0.25">
      <c r="A2852" t="s">
        <v>4021</v>
      </c>
      <c r="B2852" s="1" t="str">
        <f>HYPERLINK("https://asmlis.vasa.lt/Dashboard/Served?ServiceDateFrom=2025-11-24&amp;ServiceDateTo=2025-11-24&amp;DumpsterInvNr=13-P-102456", "13-P-102456")</f>
        <v>13-P-102456</v>
      </c>
      <c r="C2852">
        <v>5</v>
      </c>
      <c r="D2852" t="s">
        <v>4022</v>
      </c>
      <c r="E2852" t="s">
        <v>11</v>
      </c>
      <c r="F2852" t="s">
        <v>13</v>
      </c>
      <c r="G2852" t="s">
        <v>1917</v>
      </c>
      <c r="H2852" t="s">
        <v>432</v>
      </c>
    </row>
    <row r="2853" spans="1:8" hidden="1" x14ac:dyDescent="0.25">
      <c r="A2853" t="s">
        <v>4023</v>
      </c>
      <c r="B2853" s="1" t="str">
        <f>HYPERLINK("https://asmlis.vasa.lt/Dashboard/Served?ServiceDateFrom=2025-11-24&amp;ServiceDateTo=2025-11-24&amp;DumpsterInvNr=13-S-500732", "13-S-500732")</f>
        <v>13-S-500732</v>
      </c>
      <c r="C2853">
        <v>0.12</v>
      </c>
      <c r="D2853" t="s">
        <v>3969</v>
      </c>
      <c r="E2853" t="s">
        <v>11</v>
      </c>
      <c r="F2853" t="s">
        <v>1209</v>
      </c>
      <c r="G2853" t="s">
        <v>2178</v>
      </c>
      <c r="H2853" t="s">
        <v>432</v>
      </c>
    </row>
    <row r="2854" spans="1:8" hidden="1" x14ac:dyDescent="0.25">
      <c r="A2854" t="s">
        <v>4024</v>
      </c>
      <c r="B2854" s="1" t="str">
        <f>HYPERLINK("https://asmlis.vasa.lt/Dashboard/Served?ServiceDateFrom=2025-11-24&amp;ServiceDateTo=2025-11-24&amp;DumpsterInvNr=13-P-412161", "13-P-412161")</f>
        <v>13-P-412161</v>
      </c>
      <c r="C2854">
        <v>0.24</v>
      </c>
      <c r="D2854" t="s">
        <v>4008</v>
      </c>
      <c r="E2854" t="s">
        <v>11</v>
      </c>
      <c r="G2854" t="s">
        <v>264</v>
      </c>
      <c r="H2854" t="s">
        <v>14</v>
      </c>
    </row>
    <row r="2855" spans="1:8" hidden="1" x14ac:dyDescent="0.25">
      <c r="A2855" t="s">
        <v>4025</v>
      </c>
      <c r="B2855" s="1" t="str">
        <f>HYPERLINK("https://asmlis.vasa.lt/Dashboard/Served?ServiceDateFrom=2025-11-24&amp;ServiceDateTo=2025-11-24&amp;DumpsterInvNr=13-L-138854", "13-L-138854")</f>
        <v>13-L-138854</v>
      </c>
      <c r="C2855">
        <v>5</v>
      </c>
      <c r="D2855" t="s">
        <v>4026</v>
      </c>
      <c r="E2855" t="s">
        <v>11</v>
      </c>
      <c r="F2855" t="s">
        <v>13</v>
      </c>
      <c r="G2855" t="s">
        <v>1912</v>
      </c>
      <c r="H2855" t="s">
        <v>432</v>
      </c>
    </row>
    <row r="2856" spans="1:8" hidden="1" x14ac:dyDescent="0.25">
      <c r="A2856" t="s">
        <v>4027</v>
      </c>
      <c r="B2856" s="1" t="str">
        <f>HYPERLINK("https://asmlis.vasa.lt/Dashboard/Served?ServiceDateFrom=2025-11-24&amp;ServiceDateTo=2025-11-24&amp;DumpsterInvNr=13-L-109805", "13-L-109805")</f>
        <v>13-L-109805</v>
      </c>
      <c r="C2856">
        <v>0.12</v>
      </c>
      <c r="D2856" t="s">
        <v>4028</v>
      </c>
      <c r="E2856" t="s">
        <v>11</v>
      </c>
      <c r="G2856" t="s">
        <v>430</v>
      </c>
      <c r="H2856" t="s">
        <v>432</v>
      </c>
    </row>
    <row r="2857" spans="1:8" hidden="1" x14ac:dyDescent="0.25">
      <c r="A2857" t="s">
        <v>4027</v>
      </c>
      <c r="B2857" s="1" t="str">
        <f>HYPERLINK("https://asmlis.vasa.lt/Dashboard/Served?ServiceDateFrom=2025-11-24&amp;ServiceDateTo=2025-11-24&amp;DumpsterInvNr=13-L-213514", "13-L-213514")</f>
        <v>13-L-213514</v>
      </c>
      <c r="C2857">
        <v>0.24</v>
      </c>
      <c r="D2857" t="s">
        <v>3561</v>
      </c>
      <c r="E2857" t="s">
        <v>11</v>
      </c>
      <c r="G2857" t="s">
        <v>936</v>
      </c>
      <c r="H2857" t="s">
        <v>938</v>
      </c>
    </row>
    <row r="2858" spans="1:8" hidden="1" x14ac:dyDescent="0.25">
      <c r="A2858" t="s">
        <v>4027</v>
      </c>
      <c r="B2858" s="1" t="str">
        <f>HYPERLINK("https://asmlis.vasa.lt/Dashboard/Served?ServiceDateFrom=2025-11-24&amp;ServiceDateTo=2025-11-24&amp;DumpsterInvNr=13-P-306095", "13-P-306095")</f>
        <v>13-P-306095</v>
      </c>
      <c r="C2858">
        <v>2.5</v>
      </c>
      <c r="D2858" t="s">
        <v>2286</v>
      </c>
      <c r="E2858" t="s">
        <v>11</v>
      </c>
      <c r="F2858" t="s">
        <v>13</v>
      </c>
      <c r="G2858" t="s">
        <v>412</v>
      </c>
      <c r="H2858" t="s">
        <v>14</v>
      </c>
    </row>
    <row r="2859" spans="1:8" hidden="1" x14ac:dyDescent="0.25">
      <c r="A2859" t="s">
        <v>4029</v>
      </c>
      <c r="B2859" s="1" t="str">
        <f>HYPERLINK("https://asmlis.vasa.lt/Dashboard/Served?ServiceDateFrom=2025-11-24&amp;ServiceDateTo=2025-11-24&amp;DumpsterInvNr=13-L-315142", "13-L-315142")</f>
        <v>13-L-315142</v>
      </c>
      <c r="C2859">
        <v>1.1000000000000001</v>
      </c>
      <c r="D2859" t="s">
        <v>3995</v>
      </c>
      <c r="E2859" t="s">
        <v>11</v>
      </c>
      <c r="G2859" t="s">
        <v>9</v>
      </c>
      <c r="H2859" t="s">
        <v>14</v>
      </c>
    </row>
    <row r="2860" spans="1:8" hidden="1" x14ac:dyDescent="0.25">
      <c r="A2860" t="s">
        <v>4030</v>
      </c>
      <c r="B2860" s="1" t="str">
        <f>HYPERLINK("https://asmlis.vasa.lt/Dashboard/Served?ServiceDateFrom=2025-11-24&amp;ServiceDateTo=2025-11-24&amp;DumpsterInvNr=13-L-132643", "13-L-132643")</f>
        <v>13-L-132643</v>
      </c>
      <c r="C2860">
        <v>0.12</v>
      </c>
      <c r="D2860" t="s">
        <v>4031</v>
      </c>
      <c r="E2860" t="s">
        <v>11</v>
      </c>
      <c r="G2860" t="s">
        <v>430</v>
      </c>
      <c r="H2860" t="s">
        <v>432</v>
      </c>
    </row>
    <row r="2861" spans="1:8" hidden="1" x14ac:dyDescent="0.25">
      <c r="A2861" t="s">
        <v>4032</v>
      </c>
      <c r="B2861" s="1" t="str">
        <f>HYPERLINK("https://asmlis.vasa.lt/Dashboard/Served?ServiceDateFrom=2025-11-24&amp;ServiceDateTo=2025-11-24&amp;DumpsterInvNr=13-P-412119", "13-P-412119")</f>
        <v>13-P-412119</v>
      </c>
      <c r="C2861">
        <v>0.24</v>
      </c>
      <c r="D2861" t="s">
        <v>4033</v>
      </c>
      <c r="E2861" t="s">
        <v>11</v>
      </c>
      <c r="G2861" t="s">
        <v>264</v>
      </c>
      <c r="H2861" t="s">
        <v>14</v>
      </c>
    </row>
    <row r="2862" spans="1:8" hidden="1" x14ac:dyDescent="0.25">
      <c r="A2862" t="s">
        <v>4034</v>
      </c>
      <c r="B2862" s="1" t="str">
        <f>HYPERLINK("https://asmlis.vasa.lt/Dashboard/Served?ServiceDateFrom=2025-11-24&amp;ServiceDateTo=2025-11-24&amp;DumpsterInvNr=13-P-306851", "13-P-306851")</f>
        <v>13-P-306851</v>
      </c>
      <c r="C2862">
        <v>0.77</v>
      </c>
      <c r="D2862" t="s">
        <v>4035</v>
      </c>
      <c r="E2862" t="s">
        <v>11</v>
      </c>
      <c r="F2862" t="s">
        <v>13</v>
      </c>
      <c r="G2862" t="s">
        <v>412</v>
      </c>
      <c r="H2862" t="s">
        <v>14</v>
      </c>
    </row>
    <row r="2863" spans="1:8" hidden="1" x14ac:dyDescent="0.25">
      <c r="A2863" t="s">
        <v>4036</v>
      </c>
      <c r="B2863" s="1" t="str">
        <f>HYPERLINK("https://asmlis.vasa.lt/Dashboard/Served?ServiceDateFrom=2025-11-24&amp;ServiceDateTo=2025-11-24&amp;DumpsterInvNr=13-P-505053", "13-P-505053")</f>
        <v>13-P-505053</v>
      </c>
      <c r="C2863">
        <v>0.24</v>
      </c>
      <c r="D2863" t="s">
        <v>4002</v>
      </c>
      <c r="E2863" t="s">
        <v>11</v>
      </c>
      <c r="G2863" t="s">
        <v>2178</v>
      </c>
      <c r="H2863" t="s">
        <v>432</v>
      </c>
    </row>
    <row r="2864" spans="1:8" hidden="1" x14ac:dyDescent="0.25">
      <c r="A2864" t="s">
        <v>4037</v>
      </c>
      <c r="B2864" s="1" t="str">
        <f>HYPERLINK("https://asmlis.vasa.lt/Dashboard/Served?ServiceDateFrom=2025-11-24&amp;ServiceDateTo=2025-11-24&amp;DumpsterInvNr=13-L-314308", "13-L-314308")</f>
        <v>13-L-314308</v>
      </c>
      <c r="C2864">
        <v>5</v>
      </c>
      <c r="D2864" t="s">
        <v>1156</v>
      </c>
      <c r="E2864" t="s">
        <v>11</v>
      </c>
      <c r="F2864" t="s">
        <v>13</v>
      </c>
      <c r="G2864" t="s">
        <v>9</v>
      </c>
      <c r="H2864" t="s">
        <v>14</v>
      </c>
    </row>
    <row r="2865" spans="1:8" hidden="1" x14ac:dyDescent="0.25">
      <c r="A2865" t="s">
        <v>4038</v>
      </c>
      <c r="B2865" s="1" t="str">
        <f>HYPERLINK("https://asmlis.vasa.lt/Dashboard/Served?ServiceDateFrom=2025-11-24&amp;ServiceDateTo=2025-11-24&amp;DumpsterInvNr=13-L-213512", "13-L-213512")</f>
        <v>13-L-213512</v>
      </c>
      <c r="C2865">
        <v>0.12</v>
      </c>
      <c r="D2865" t="s">
        <v>4039</v>
      </c>
      <c r="E2865" t="s">
        <v>11</v>
      </c>
      <c r="F2865" t="s">
        <v>1209</v>
      </c>
      <c r="G2865" t="s">
        <v>936</v>
      </c>
      <c r="H2865" t="s">
        <v>938</v>
      </c>
    </row>
    <row r="2866" spans="1:8" hidden="1" x14ac:dyDescent="0.25">
      <c r="A2866" t="s">
        <v>4040</v>
      </c>
      <c r="B2866" s="1" t="str">
        <f>HYPERLINK("https://asmlis.vasa.lt/Dashboard/Served?ServiceDateFrom=2025-11-24&amp;ServiceDateTo=2025-11-24&amp;DumpsterInvNr=13-S-402101", "13-S-402101")</f>
        <v>13-S-402101</v>
      </c>
      <c r="C2866">
        <v>0.12</v>
      </c>
      <c r="D2866" t="s">
        <v>4033</v>
      </c>
      <c r="E2866" t="s">
        <v>11</v>
      </c>
      <c r="F2866" t="s">
        <v>1209</v>
      </c>
      <c r="G2866" t="s">
        <v>264</v>
      </c>
      <c r="H2866" t="s">
        <v>14</v>
      </c>
    </row>
    <row r="2867" spans="1:8" hidden="1" x14ac:dyDescent="0.25">
      <c r="A2867" t="s">
        <v>4042</v>
      </c>
      <c r="B2867" s="1" t="str">
        <f>HYPERLINK("https://asmlis.vasa.lt/Dashboard/Served?ServiceDateFrom=2025-11-24&amp;ServiceDateTo=2025-11-24&amp;DumpsterInvNr=13-L-213513", "13-L-213513")</f>
        <v>13-L-213513</v>
      </c>
      <c r="C2867">
        <v>0.24</v>
      </c>
      <c r="D2867" t="s">
        <v>4043</v>
      </c>
      <c r="E2867" t="s">
        <v>11</v>
      </c>
      <c r="F2867" t="s">
        <v>1209</v>
      </c>
      <c r="G2867" t="s">
        <v>936</v>
      </c>
      <c r="H2867" t="s">
        <v>938</v>
      </c>
    </row>
    <row r="2868" spans="1:8" hidden="1" x14ac:dyDescent="0.25">
      <c r="A2868" t="s">
        <v>4045</v>
      </c>
      <c r="B2868" s="1" t="str">
        <f>HYPERLINK("https://asmlis.vasa.lt/Dashboard/Served?ServiceDateFrom=2025-11-24&amp;ServiceDateTo=2025-11-24&amp;DumpsterInvNr=13-P-416133", "13-P-416133")</f>
        <v>13-P-416133</v>
      </c>
      <c r="C2868">
        <v>1.1000000000000001</v>
      </c>
      <c r="D2868" t="s">
        <v>4046</v>
      </c>
      <c r="E2868" t="s">
        <v>11</v>
      </c>
      <c r="G2868" t="s">
        <v>264</v>
      </c>
      <c r="H2868" t="s">
        <v>14</v>
      </c>
    </row>
    <row r="2869" spans="1:8" hidden="1" x14ac:dyDescent="0.25">
      <c r="A2869" t="s">
        <v>4047</v>
      </c>
      <c r="B2869" s="1" t="str">
        <f>HYPERLINK("https://asmlis.vasa.lt/Dashboard/Served?ServiceDateFrom=2025-11-24&amp;ServiceDateTo=2025-11-24&amp;DumpsterInvNr=13-P-506793", "13-P-506793")</f>
        <v>13-P-506793</v>
      </c>
      <c r="C2869">
        <v>0.24</v>
      </c>
      <c r="D2869" t="s">
        <v>4048</v>
      </c>
      <c r="E2869" t="s">
        <v>11</v>
      </c>
      <c r="G2869" t="s">
        <v>2178</v>
      </c>
      <c r="H2869" t="s">
        <v>432</v>
      </c>
    </row>
    <row r="2870" spans="1:8" hidden="1" x14ac:dyDescent="0.25">
      <c r="A2870" t="s">
        <v>4049</v>
      </c>
      <c r="B2870" s="1" t="str">
        <f>HYPERLINK("https://asmlis.vasa.lt/Dashboard/Served?ServiceDateFrom=2025-11-24&amp;ServiceDateTo=2025-11-24&amp;DumpsterInvNr=13-L-222111", "13-L-222111")</f>
        <v>13-L-222111</v>
      </c>
      <c r="C2870">
        <v>1.1000000000000001</v>
      </c>
      <c r="D2870" t="s">
        <v>4050</v>
      </c>
      <c r="E2870" t="s">
        <v>11</v>
      </c>
      <c r="G2870" t="s">
        <v>936</v>
      </c>
      <c r="H2870" t="s">
        <v>938</v>
      </c>
    </row>
    <row r="2871" spans="1:8" hidden="1" x14ac:dyDescent="0.25">
      <c r="A2871" t="s">
        <v>2815</v>
      </c>
      <c r="B2871" s="1" t="str">
        <f>HYPERLINK("https://asmlis.vasa.lt/Dashboard/Served?ServiceDateFrom=2025-11-24&amp;ServiceDateTo=2025-11-24&amp;DumpsterInvNr=13-P-300569", "13-P-300569")</f>
        <v>13-P-300569</v>
      </c>
      <c r="C2871">
        <v>1.1000000000000001</v>
      </c>
      <c r="D2871" t="s">
        <v>1802</v>
      </c>
      <c r="E2871" t="s">
        <v>11</v>
      </c>
      <c r="F2871" t="s">
        <v>13</v>
      </c>
      <c r="G2871" t="s">
        <v>412</v>
      </c>
      <c r="H2871" t="s">
        <v>14</v>
      </c>
    </row>
    <row r="2872" spans="1:8" hidden="1" x14ac:dyDescent="0.25">
      <c r="A2872" t="s">
        <v>3924</v>
      </c>
      <c r="B2872" s="1" t="str">
        <f>HYPERLINK("https://asmlis.vasa.lt/Dashboard/Served?ServiceDateFrom=2025-11-24&amp;ServiceDateTo=2025-11-24&amp;DumpsterInvNr=13-L-312219", "13-L-312219")</f>
        <v>13-L-312219</v>
      </c>
      <c r="C2872">
        <v>0.24</v>
      </c>
      <c r="D2872" t="s">
        <v>4051</v>
      </c>
      <c r="E2872" t="s">
        <v>11</v>
      </c>
      <c r="F2872" t="s">
        <v>13</v>
      </c>
      <c r="G2872" t="s">
        <v>9</v>
      </c>
      <c r="H2872" t="s">
        <v>14</v>
      </c>
    </row>
    <row r="2873" spans="1:8" hidden="1" x14ac:dyDescent="0.25">
      <c r="A2873" t="s">
        <v>3924</v>
      </c>
      <c r="B2873" s="1" t="str">
        <f>HYPERLINK("https://asmlis.vasa.lt/Dashboard/Served?ServiceDateFrom=2025-11-24&amp;ServiceDateTo=2025-11-24&amp;DumpsterInvNr=13-L-319663", "13-L-319663")</f>
        <v>13-L-319663</v>
      </c>
      <c r="C2873">
        <v>1.1000000000000001</v>
      </c>
      <c r="D2873" t="s">
        <v>4052</v>
      </c>
      <c r="E2873" t="s">
        <v>11</v>
      </c>
      <c r="G2873" t="s">
        <v>9</v>
      </c>
      <c r="H2873" t="s">
        <v>14</v>
      </c>
    </row>
    <row r="2874" spans="1:8" hidden="1" x14ac:dyDescent="0.25">
      <c r="A2874" t="s">
        <v>4053</v>
      </c>
      <c r="B2874" s="1" t="str">
        <f>HYPERLINK("https://asmlis.vasa.lt/Dashboard/Served?ServiceDateFrom=2025-11-24&amp;ServiceDateTo=2025-11-24&amp;DumpsterInvNr=13-L-212651", "13-L-212651")</f>
        <v>13-L-212651</v>
      </c>
      <c r="C2874">
        <v>1.1000000000000001</v>
      </c>
      <c r="D2874" t="s">
        <v>4054</v>
      </c>
      <c r="E2874" t="s">
        <v>11</v>
      </c>
      <c r="G2874" t="s">
        <v>936</v>
      </c>
      <c r="H2874" t="s">
        <v>938</v>
      </c>
    </row>
    <row r="2875" spans="1:8" hidden="1" x14ac:dyDescent="0.25">
      <c r="A2875" t="s">
        <v>4055</v>
      </c>
      <c r="B2875" s="1" t="str">
        <f>HYPERLINK("https://asmlis.vasa.lt/Dashboard/Served?ServiceDateFrom=2025-11-24&amp;ServiceDateTo=2025-11-24&amp;DumpsterInvNr=13-L-109809", "13-L-109809")</f>
        <v>13-L-109809</v>
      </c>
      <c r="C2875">
        <v>0.24</v>
      </c>
      <c r="D2875" t="s">
        <v>4048</v>
      </c>
      <c r="E2875" t="s">
        <v>11</v>
      </c>
      <c r="G2875" t="s">
        <v>430</v>
      </c>
      <c r="H2875" t="s">
        <v>432</v>
      </c>
    </row>
    <row r="2876" spans="1:8" hidden="1" x14ac:dyDescent="0.25">
      <c r="A2876" t="s">
        <v>4056</v>
      </c>
      <c r="B2876" s="1" t="str">
        <f>HYPERLINK("https://asmlis.vasa.lt/Dashboard/Served?ServiceDateFrom=2025-11-24&amp;ServiceDateTo=2025-11-24&amp;DumpsterInvNr=13-L-309379", "13-L-309379")</f>
        <v>13-L-309379</v>
      </c>
      <c r="C2876">
        <v>0.24</v>
      </c>
      <c r="D2876" t="s">
        <v>4051</v>
      </c>
      <c r="E2876" t="s">
        <v>11</v>
      </c>
      <c r="F2876" t="s">
        <v>13</v>
      </c>
      <c r="G2876" t="s">
        <v>9</v>
      </c>
      <c r="H2876" t="s">
        <v>14</v>
      </c>
    </row>
    <row r="2877" spans="1:8" hidden="1" x14ac:dyDescent="0.25">
      <c r="A2877" t="s">
        <v>4056</v>
      </c>
      <c r="B2877" s="1" t="str">
        <f>HYPERLINK("https://asmlis.vasa.lt/Dashboard/Served?ServiceDateFrom=2025-11-24&amp;ServiceDateTo=2025-11-24&amp;DumpsterInvNr=13-L-315393", "13-L-315393")</f>
        <v>13-L-315393</v>
      </c>
      <c r="C2877">
        <v>1.1000000000000001</v>
      </c>
      <c r="D2877" t="s">
        <v>3995</v>
      </c>
      <c r="E2877" t="s">
        <v>11</v>
      </c>
      <c r="G2877" t="s">
        <v>9</v>
      </c>
      <c r="H2877" t="s">
        <v>14</v>
      </c>
    </row>
    <row r="2878" spans="1:8" hidden="1" x14ac:dyDescent="0.25">
      <c r="A2878" t="s">
        <v>4057</v>
      </c>
      <c r="B2878" s="1" t="str">
        <f>HYPERLINK("https://asmlis.vasa.lt/Dashboard/Served?ServiceDateFrom=2025-11-24&amp;ServiceDateTo=2025-11-24&amp;DumpsterInvNr=13-L-218011", "13-L-218011")</f>
        <v>13-L-218011</v>
      </c>
      <c r="C2878">
        <v>0.12</v>
      </c>
      <c r="D2878" t="s">
        <v>3562</v>
      </c>
      <c r="E2878" t="s">
        <v>11</v>
      </c>
      <c r="G2878" t="s">
        <v>936</v>
      </c>
      <c r="H2878" t="s">
        <v>938</v>
      </c>
    </row>
    <row r="2879" spans="1:8" hidden="1" x14ac:dyDescent="0.25">
      <c r="A2879" t="s">
        <v>4057</v>
      </c>
      <c r="B2879" s="1" t="str">
        <f>HYPERLINK("https://asmlis.vasa.lt/Dashboard/Served?ServiceDateFrom=2025-11-24&amp;ServiceDateTo=2025-11-24&amp;DumpsterInvNr=13-P-502720", "13-P-502720")</f>
        <v>13-P-502720</v>
      </c>
      <c r="C2879">
        <v>0.24</v>
      </c>
      <c r="D2879" t="s">
        <v>4028</v>
      </c>
      <c r="E2879" t="s">
        <v>11</v>
      </c>
      <c r="G2879" t="s">
        <v>2178</v>
      </c>
      <c r="H2879" t="s">
        <v>432</v>
      </c>
    </row>
    <row r="2880" spans="1:8" hidden="1" x14ac:dyDescent="0.25">
      <c r="A2880" t="s">
        <v>3979</v>
      </c>
      <c r="B2880" s="1" t="str">
        <f>HYPERLINK("https://asmlis.vasa.lt/Dashboard/Served?ServiceDateFrom=2025-11-24&amp;ServiceDateTo=2025-11-24&amp;DumpsterInvNr=13-L-424888", "13-L-424888")</f>
        <v>13-L-424888</v>
      </c>
      <c r="C2880">
        <v>1.1000000000000001</v>
      </c>
      <c r="D2880" t="s">
        <v>4058</v>
      </c>
      <c r="E2880" t="s">
        <v>11</v>
      </c>
      <c r="F2880" t="s">
        <v>13</v>
      </c>
      <c r="G2880" t="s">
        <v>74</v>
      </c>
      <c r="H2880" t="s">
        <v>14</v>
      </c>
    </row>
    <row r="2881" spans="1:8" hidden="1" x14ac:dyDescent="0.25">
      <c r="A2881" t="s">
        <v>4041</v>
      </c>
      <c r="B2881" s="1" t="str">
        <f>HYPERLINK("https://asmlis.vasa.lt/Dashboard/Served?ServiceDateFrom=2025-11-24&amp;ServiceDateTo=2025-11-24&amp;DumpsterInvNr=13-L-220313", "13-L-220313")</f>
        <v>13-L-220313</v>
      </c>
      <c r="C2881">
        <v>0.24</v>
      </c>
      <c r="D2881" t="s">
        <v>3565</v>
      </c>
      <c r="E2881" t="s">
        <v>11</v>
      </c>
      <c r="F2881" t="s">
        <v>1209</v>
      </c>
      <c r="G2881" t="s">
        <v>936</v>
      </c>
      <c r="H2881" t="s">
        <v>938</v>
      </c>
    </row>
    <row r="2882" spans="1:8" hidden="1" x14ac:dyDescent="0.25">
      <c r="A2882" t="s">
        <v>4059</v>
      </c>
      <c r="B2882" s="1" t="str">
        <f>HYPERLINK("https://asmlis.vasa.lt/Dashboard/Served?ServiceDateFrom=2025-11-24&amp;ServiceDateTo=2025-11-24&amp;DumpsterInvNr=13-P-506774", "13-P-506774")</f>
        <v>13-P-506774</v>
      </c>
      <c r="C2882">
        <v>0.24</v>
      </c>
      <c r="D2882" t="s">
        <v>3984</v>
      </c>
      <c r="E2882" t="s">
        <v>11</v>
      </c>
      <c r="F2882" t="s">
        <v>1209</v>
      </c>
      <c r="G2882" t="s">
        <v>2178</v>
      </c>
      <c r="H2882" t="s">
        <v>432</v>
      </c>
    </row>
    <row r="2883" spans="1:8" hidden="1" x14ac:dyDescent="0.25">
      <c r="A2883" t="s">
        <v>4060</v>
      </c>
      <c r="B2883" s="1" t="str">
        <f>HYPERLINK("https://asmlis.vasa.lt/Dashboard/Served?ServiceDateFrom=2025-11-24&amp;ServiceDateTo=2025-11-24&amp;DumpsterInvNr=13-P-212416", "13-P-212416")</f>
        <v>13-P-212416</v>
      </c>
      <c r="C2883">
        <v>0.24</v>
      </c>
      <c r="D2883" t="s">
        <v>4061</v>
      </c>
      <c r="E2883" t="s">
        <v>11</v>
      </c>
      <c r="G2883" t="s">
        <v>234</v>
      </c>
      <c r="H2883" t="s">
        <v>14</v>
      </c>
    </row>
    <row r="2884" spans="1:8" hidden="1" x14ac:dyDescent="0.25">
      <c r="A2884" t="s">
        <v>4062</v>
      </c>
      <c r="B2884" s="1" t="str">
        <f>HYPERLINK("https://asmlis.vasa.lt/Dashboard/Served?ServiceDateFrom=2025-11-24&amp;ServiceDateTo=2025-11-24&amp;DumpsterInvNr=13-L-126214", "13-L-126214")</f>
        <v>13-L-126214</v>
      </c>
      <c r="C2884">
        <v>0.12</v>
      </c>
      <c r="D2884" t="s">
        <v>4063</v>
      </c>
      <c r="E2884" t="s">
        <v>11</v>
      </c>
      <c r="G2884" t="s">
        <v>430</v>
      </c>
      <c r="H2884" t="s">
        <v>432</v>
      </c>
    </row>
    <row r="2885" spans="1:8" hidden="1" x14ac:dyDescent="0.25">
      <c r="A2885" t="s">
        <v>4064</v>
      </c>
      <c r="B2885" s="1" t="str">
        <f>HYPERLINK("https://asmlis.vasa.lt/Dashboard/Served?ServiceDateFrom=2025-11-24&amp;ServiceDateTo=2025-11-24&amp;DumpsterInvNr=13-L-319620", "13-L-319620")</f>
        <v>13-L-319620</v>
      </c>
      <c r="C2885">
        <v>0.77</v>
      </c>
      <c r="D2885" t="s">
        <v>4065</v>
      </c>
      <c r="E2885" t="s">
        <v>11</v>
      </c>
      <c r="G2885" t="s">
        <v>9</v>
      </c>
      <c r="H2885" t="s">
        <v>14</v>
      </c>
    </row>
    <row r="2886" spans="1:8" hidden="1" x14ac:dyDescent="0.25">
      <c r="A2886" t="s">
        <v>4064</v>
      </c>
      <c r="B2886" s="1" t="str">
        <f>HYPERLINK("https://asmlis.vasa.lt/Dashboard/Served?ServiceDateFrom=2025-11-24&amp;ServiceDateTo=2025-11-24&amp;DumpsterInvNr=13-L-413809", "13-L-413809")</f>
        <v>13-L-413809</v>
      </c>
      <c r="C2886">
        <v>0.77</v>
      </c>
      <c r="D2886" t="s">
        <v>4066</v>
      </c>
      <c r="E2886" t="s">
        <v>11</v>
      </c>
      <c r="G2886" t="s">
        <v>74</v>
      </c>
      <c r="H2886" t="s">
        <v>14</v>
      </c>
    </row>
    <row r="2887" spans="1:8" hidden="1" x14ac:dyDescent="0.25">
      <c r="A2887" t="s">
        <v>4067</v>
      </c>
      <c r="B2887" s="1" t="str">
        <f>HYPERLINK("https://asmlis.vasa.lt/Dashboard/Served?ServiceDateFrom=2025-11-24&amp;ServiceDateTo=2025-11-24&amp;DumpsterInvNr=13-L-125901", "13-L-125901")</f>
        <v>13-L-125901</v>
      </c>
      <c r="C2887">
        <v>0.24</v>
      </c>
      <c r="D2887" t="s">
        <v>4068</v>
      </c>
      <c r="E2887" t="s">
        <v>11</v>
      </c>
      <c r="G2887" t="s">
        <v>1912</v>
      </c>
      <c r="H2887" t="s">
        <v>432</v>
      </c>
    </row>
    <row r="2888" spans="1:8" hidden="1" x14ac:dyDescent="0.25">
      <c r="A2888" t="s">
        <v>4067</v>
      </c>
      <c r="B2888" s="1" t="str">
        <f>HYPERLINK("https://asmlis.vasa.lt/Dashboard/Served?ServiceDateFrom=2025-11-24&amp;ServiceDateTo=2025-11-24&amp;DumpsterInvNr=13-P-506822", "13-P-506822")</f>
        <v>13-P-506822</v>
      </c>
      <c r="C2888">
        <v>0.24</v>
      </c>
      <c r="D2888" t="s">
        <v>4063</v>
      </c>
      <c r="E2888" t="s">
        <v>11</v>
      </c>
      <c r="G2888" t="s">
        <v>2178</v>
      </c>
      <c r="H2888" t="s">
        <v>432</v>
      </c>
    </row>
    <row r="2889" spans="1:8" hidden="1" x14ac:dyDescent="0.25">
      <c r="A2889" t="s">
        <v>4070</v>
      </c>
      <c r="B2889" s="1" t="str">
        <f>HYPERLINK("https://asmlis.vasa.lt/Dashboard/Served?ServiceDateFrom=2025-11-24&amp;ServiceDateTo=2025-11-24&amp;DumpsterInvNr=13-L-205090", "13-L-205090")</f>
        <v>13-L-205090</v>
      </c>
      <c r="C2889">
        <v>0.24</v>
      </c>
      <c r="D2889" t="s">
        <v>3578</v>
      </c>
      <c r="E2889" t="s">
        <v>11</v>
      </c>
      <c r="G2889" t="s">
        <v>936</v>
      </c>
      <c r="H2889" t="s">
        <v>938</v>
      </c>
    </row>
    <row r="2890" spans="1:8" hidden="1" x14ac:dyDescent="0.25">
      <c r="A2890" t="s">
        <v>4071</v>
      </c>
      <c r="B2890" s="1" t="str">
        <f>HYPERLINK("https://asmlis.vasa.lt/Dashboard/Served?ServiceDateFrom=2025-11-24&amp;ServiceDateTo=2025-11-24&amp;DumpsterInvNr=13-P-502719", "13-P-502719")</f>
        <v>13-P-502719</v>
      </c>
      <c r="C2890">
        <v>0.24</v>
      </c>
      <c r="D2890" t="s">
        <v>4072</v>
      </c>
      <c r="E2890" t="s">
        <v>11</v>
      </c>
      <c r="F2890" t="s">
        <v>1209</v>
      </c>
      <c r="G2890" t="s">
        <v>2178</v>
      </c>
      <c r="H2890" t="s">
        <v>432</v>
      </c>
    </row>
    <row r="2891" spans="1:8" hidden="1" x14ac:dyDescent="0.25">
      <c r="A2891" t="s">
        <v>4071</v>
      </c>
      <c r="B2891" s="1" t="str">
        <f>HYPERLINK("https://asmlis.vasa.lt/Dashboard/Served?ServiceDateFrom=2025-11-24&amp;ServiceDateTo=2025-11-24&amp;DumpsterInvNr=13-P-505054", "13-P-505054")</f>
        <v>13-P-505054</v>
      </c>
      <c r="C2891">
        <v>0.12</v>
      </c>
      <c r="D2891" t="s">
        <v>4074</v>
      </c>
      <c r="E2891" t="s">
        <v>11</v>
      </c>
      <c r="F2891" t="s">
        <v>1209</v>
      </c>
      <c r="G2891" t="s">
        <v>2178</v>
      </c>
      <c r="H2891" t="s">
        <v>432</v>
      </c>
    </row>
    <row r="2892" spans="1:8" hidden="1" x14ac:dyDescent="0.25">
      <c r="A2892" t="s">
        <v>4075</v>
      </c>
      <c r="B2892" s="1" t="str">
        <f>HYPERLINK("https://asmlis.vasa.lt/Dashboard/Served?ServiceDateFrom=2025-11-24&amp;ServiceDateTo=2025-11-24&amp;DumpsterInvNr=13-P-505055", "13-P-505055")</f>
        <v>13-P-505055</v>
      </c>
      <c r="C2892">
        <v>0.24</v>
      </c>
      <c r="D2892" t="s">
        <v>4076</v>
      </c>
      <c r="E2892" t="s">
        <v>11</v>
      </c>
      <c r="F2892" t="s">
        <v>1209</v>
      </c>
      <c r="G2892" t="s">
        <v>2178</v>
      </c>
      <c r="H2892" t="s">
        <v>432</v>
      </c>
    </row>
    <row r="2893" spans="1:8" hidden="1" x14ac:dyDescent="0.25">
      <c r="A2893" t="s">
        <v>4077</v>
      </c>
      <c r="B2893" s="1" t="str">
        <f>HYPERLINK("https://asmlis.vasa.lt/Dashboard/Served?ServiceDateFrom=2025-11-24&amp;ServiceDateTo=2025-11-24&amp;DumpsterInvNr=13-L-317591", "13-L-317591")</f>
        <v>13-L-317591</v>
      </c>
      <c r="C2893">
        <v>1.1000000000000001</v>
      </c>
      <c r="D2893" t="s">
        <v>3995</v>
      </c>
      <c r="E2893" t="s">
        <v>11</v>
      </c>
      <c r="G2893" t="s">
        <v>9</v>
      </c>
      <c r="H2893" t="s">
        <v>14</v>
      </c>
    </row>
    <row r="2894" spans="1:8" hidden="1" x14ac:dyDescent="0.25">
      <c r="A2894" t="s">
        <v>4078</v>
      </c>
      <c r="B2894" s="1" t="str">
        <f>HYPERLINK("https://asmlis.vasa.lt/Dashboard/Served?ServiceDateFrom=2025-11-24&amp;ServiceDateTo=2025-11-24&amp;DumpsterInvNr=13-P-306915", "13-P-306915")</f>
        <v>13-P-306915</v>
      </c>
      <c r="C2894">
        <v>1.1000000000000001</v>
      </c>
      <c r="D2894" t="s">
        <v>4079</v>
      </c>
      <c r="E2894" t="s">
        <v>11</v>
      </c>
      <c r="F2894" t="s">
        <v>13</v>
      </c>
      <c r="G2894" t="s">
        <v>412</v>
      </c>
      <c r="H2894" t="s">
        <v>14</v>
      </c>
    </row>
    <row r="2895" spans="1:8" hidden="1" x14ac:dyDescent="0.25">
      <c r="A2895" t="s">
        <v>4080</v>
      </c>
      <c r="B2895" s="1" t="str">
        <f>HYPERLINK("https://asmlis.vasa.lt/Dashboard/Served?ServiceDateFrom=2025-11-24&amp;ServiceDateTo=2025-11-24&amp;DumpsterInvNr=13-P-416367", "13-P-416367")</f>
        <v>13-P-416367</v>
      </c>
      <c r="C2895">
        <v>0.24</v>
      </c>
      <c r="D2895" t="s">
        <v>4081</v>
      </c>
      <c r="E2895" t="s">
        <v>11</v>
      </c>
      <c r="G2895" t="s">
        <v>264</v>
      </c>
      <c r="H2895" t="s">
        <v>14</v>
      </c>
    </row>
    <row r="2896" spans="1:8" hidden="1" x14ac:dyDescent="0.25">
      <c r="A2896" t="s">
        <v>4080</v>
      </c>
      <c r="B2896" s="1" t="str">
        <f>HYPERLINK("https://asmlis.vasa.lt/Dashboard/Served?ServiceDateFrom=2025-11-24&amp;ServiceDateTo=2025-11-24&amp;DumpsterInvNr=13-P-500505", "13-P-500505")</f>
        <v>13-P-500505</v>
      </c>
      <c r="C2896">
        <v>5</v>
      </c>
      <c r="D2896" t="s">
        <v>4082</v>
      </c>
      <c r="E2896" t="s">
        <v>11</v>
      </c>
      <c r="F2896" t="s">
        <v>13</v>
      </c>
      <c r="G2896" t="s">
        <v>2178</v>
      </c>
      <c r="H2896" t="s">
        <v>432</v>
      </c>
    </row>
    <row r="2897" spans="1:8" hidden="1" x14ac:dyDescent="0.25">
      <c r="A2897" t="s">
        <v>4083</v>
      </c>
      <c r="B2897" s="1" t="str">
        <f>HYPERLINK("https://asmlis.vasa.lt/Dashboard/Served?ServiceDateFrom=2025-11-24&amp;ServiceDateTo=2025-11-24&amp;DumpsterInvNr=13-L-131629", "13-L-131629")</f>
        <v>13-L-131629</v>
      </c>
      <c r="C2897">
        <v>0.24</v>
      </c>
      <c r="D2897" t="s">
        <v>4072</v>
      </c>
      <c r="E2897" t="s">
        <v>11</v>
      </c>
      <c r="F2897" t="s">
        <v>1209</v>
      </c>
      <c r="G2897" t="s">
        <v>430</v>
      </c>
      <c r="H2897" t="s">
        <v>432</v>
      </c>
    </row>
    <row r="2898" spans="1:8" hidden="1" x14ac:dyDescent="0.25">
      <c r="A2898" t="s">
        <v>4085</v>
      </c>
      <c r="B2898" s="1" t="str">
        <f>HYPERLINK("https://asmlis.vasa.lt/Dashboard/Served?ServiceDateFrom=2025-11-24&amp;ServiceDateTo=2025-11-24&amp;DumpsterInvNr=13-L-221456", "13-L-221456")</f>
        <v>13-L-221456</v>
      </c>
      <c r="C2898">
        <v>0.77</v>
      </c>
      <c r="D2898" t="s">
        <v>3541</v>
      </c>
      <c r="E2898" t="s">
        <v>11</v>
      </c>
      <c r="G2898" t="s">
        <v>936</v>
      </c>
      <c r="H2898" t="s">
        <v>938</v>
      </c>
    </row>
    <row r="2899" spans="1:8" hidden="1" x14ac:dyDescent="0.25">
      <c r="A2899" t="s">
        <v>4085</v>
      </c>
      <c r="B2899" s="1" t="str">
        <f>HYPERLINK("https://asmlis.vasa.lt/Dashboard/Served?ServiceDateFrom=2025-11-24&amp;ServiceDateTo=2025-11-24&amp;DumpsterInvNr=13-P-506784", "13-P-506784")</f>
        <v>13-P-506784</v>
      </c>
      <c r="C2899">
        <v>0.24</v>
      </c>
      <c r="D2899" t="s">
        <v>4031</v>
      </c>
      <c r="E2899" t="s">
        <v>11</v>
      </c>
      <c r="F2899" t="s">
        <v>1209</v>
      </c>
      <c r="G2899" t="s">
        <v>2178</v>
      </c>
      <c r="H2899" t="s">
        <v>432</v>
      </c>
    </row>
    <row r="2900" spans="1:8" hidden="1" x14ac:dyDescent="0.25">
      <c r="A2900" t="s">
        <v>4087</v>
      </c>
      <c r="B2900" s="1" t="str">
        <f>HYPERLINK("https://asmlis.vasa.lt/Dashboard/Served?ServiceDateFrom=2025-11-24&amp;ServiceDateTo=2025-11-24&amp;DumpsterInvNr=13-P-111106", "13-P-111106")</f>
        <v>13-P-111106</v>
      </c>
      <c r="C2900">
        <v>1.1000000000000001</v>
      </c>
      <c r="D2900" t="s">
        <v>4088</v>
      </c>
      <c r="E2900" t="s">
        <v>11</v>
      </c>
      <c r="G2900" t="s">
        <v>1917</v>
      </c>
      <c r="H2900" t="s">
        <v>432</v>
      </c>
    </row>
    <row r="2901" spans="1:8" hidden="1" x14ac:dyDescent="0.25">
      <c r="A2901" t="s">
        <v>4089</v>
      </c>
      <c r="B2901" s="1" t="str">
        <f>HYPERLINK("https://asmlis.vasa.lt/Dashboard/Served?ServiceDateFrom=2025-11-24&amp;ServiceDateTo=2025-11-24&amp;DumpsterInvNr=13-L-133453", "13-L-133453")</f>
        <v>13-L-133453</v>
      </c>
      <c r="C2901">
        <v>5</v>
      </c>
      <c r="D2901" t="s">
        <v>4090</v>
      </c>
      <c r="E2901" t="s">
        <v>11</v>
      </c>
      <c r="F2901" t="s">
        <v>13</v>
      </c>
      <c r="G2901" t="s">
        <v>430</v>
      </c>
      <c r="H2901" t="s">
        <v>432</v>
      </c>
    </row>
    <row r="2902" spans="1:8" hidden="1" x14ac:dyDescent="0.25">
      <c r="A2902" t="s">
        <v>4089</v>
      </c>
      <c r="B2902" s="1" t="str">
        <f>HYPERLINK("https://asmlis.vasa.lt/Dashboard/Served?ServiceDateFrom=2025-11-24&amp;ServiceDateTo=2025-11-24&amp;DumpsterInvNr=13-L-213517", "13-L-213517")</f>
        <v>13-L-213517</v>
      </c>
      <c r="C2902">
        <v>0.12</v>
      </c>
      <c r="D2902" t="s">
        <v>3629</v>
      </c>
      <c r="E2902" t="s">
        <v>11</v>
      </c>
      <c r="G2902" t="s">
        <v>936</v>
      </c>
      <c r="H2902" t="s">
        <v>938</v>
      </c>
    </row>
    <row r="2903" spans="1:8" hidden="1" x14ac:dyDescent="0.25">
      <c r="A2903" t="s">
        <v>4091</v>
      </c>
      <c r="B2903" s="1" t="str">
        <f>HYPERLINK("https://asmlis.vasa.lt/Dashboard/Served?ServiceDateFrom=2025-11-24&amp;ServiceDateTo=2025-11-24&amp;DumpsterInvNr=13-L-138855", "13-L-138855")</f>
        <v>13-L-138855</v>
      </c>
      <c r="C2903">
        <v>5</v>
      </c>
      <c r="D2903" t="s">
        <v>4092</v>
      </c>
      <c r="E2903" t="s">
        <v>11</v>
      </c>
      <c r="F2903" t="s">
        <v>13</v>
      </c>
      <c r="G2903" t="s">
        <v>1912</v>
      </c>
      <c r="H2903" t="s">
        <v>432</v>
      </c>
    </row>
    <row r="2904" spans="1:8" hidden="1" x14ac:dyDescent="0.25">
      <c r="A2904" t="s">
        <v>4094</v>
      </c>
      <c r="B2904" s="1" t="str">
        <f>HYPERLINK("https://asmlis.vasa.lt/Dashboard/Served?ServiceDateFrom=2025-11-24&amp;ServiceDateTo=2025-11-24&amp;DumpsterInvNr=13-P-416374", "13-P-416374")</f>
        <v>13-P-416374</v>
      </c>
      <c r="C2904">
        <v>0.24</v>
      </c>
      <c r="D2904" t="s">
        <v>4095</v>
      </c>
      <c r="E2904" t="s">
        <v>11</v>
      </c>
      <c r="F2904" t="s">
        <v>1209</v>
      </c>
      <c r="G2904" t="s">
        <v>264</v>
      </c>
      <c r="H2904" t="s">
        <v>14</v>
      </c>
    </row>
    <row r="2905" spans="1:8" hidden="1" x14ac:dyDescent="0.25">
      <c r="A2905" t="s">
        <v>4094</v>
      </c>
      <c r="B2905" s="1" t="str">
        <f>HYPERLINK("https://asmlis.vasa.lt/Dashboard/Served?ServiceDateFrom=2025-11-24&amp;ServiceDateTo=2025-11-24&amp;DumpsterInvNr=13-S-402156", "13-S-402156")</f>
        <v>13-S-402156</v>
      </c>
      <c r="C2905">
        <v>0.12</v>
      </c>
      <c r="D2905" t="s">
        <v>4095</v>
      </c>
      <c r="E2905" t="s">
        <v>11</v>
      </c>
      <c r="F2905" t="s">
        <v>1209</v>
      </c>
      <c r="G2905" t="s">
        <v>264</v>
      </c>
      <c r="H2905" t="s">
        <v>14</v>
      </c>
    </row>
    <row r="2906" spans="1:8" hidden="1" x14ac:dyDescent="0.25">
      <c r="A2906" t="s">
        <v>3551</v>
      </c>
      <c r="B2906" s="1" t="str">
        <f>HYPERLINK("https://asmlis.vasa.lt/Dashboard/Served?ServiceDateFrom=2025-11-24&amp;ServiceDateTo=2025-11-24&amp;DumpsterInvNr=13-L-139774", "13-L-139774")</f>
        <v>13-L-139774</v>
      </c>
      <c r="C2906">
        <v>5</v>
      </c>
      <c r="D2906" t="s">
        <v>4096</v>
      </c>
      <c r="E2906" t="s">
        <v>11</v>
      </c>
      <c r="F2906" t="s">
        <v>13</v>
      </c>
      <c r="G2906" t="s">
        <v>430</v>
      </c>
      <c r="H2906" t="s">
        <v>432</v>
      </c>
    </row>
    <row r="2907" spans="1:8" hidden="1" x14ac:dyDescent="0.25">
      <c r="A2907" t="s">
        <v>3563</v>
      </c>
      <c r="B2907" s="1" t="str">
        <f>HYPERLINK("https://asmlis.vasa.lt/Dashboard/Served?ServiceDateFrom=2025-11-24&amp;ServiceDateTo=2025-11-24&amp;DumpsterInvNr=13-P-300360", "13-P-300360")</f>
        <v>13-P-300360</v>
      </c>
      <c r="C2907">
        <v>1.1000000000000001</v>
      </c>
      <c r="D2907" t="s">
        <v>4097</v>
      </c>
      <c r="E2907" t="s">
        <v>11</v>
      </c>
      <c r="F2907" t="s">
        <v>13</v>
      </c>
      <c r="G2907" t="s">
        <v>412</v>
      </c>
      <c r="H2907" t="s">
        <v>14</v>
      </c>
    </row>
    <row r="2908" spans="1:8" hidden="1" x14ac:dyDescent="0.25">
      <c r="A2908" t="s">
        <v>4098</v>
      </c>
      <c r="B2908" s="1" t="str">
        <f>HYPERLINK("https://asmlis.vasa.lt/Dashboard/Served?ServiceDateFrom=2025-11-24&amp;ServiceDateTo=2025-11-24&amp;DumpsterInvNr=13-L-426569", "13-L-426569")</f>
        <v>13-L-426569</v>
      </c>
      <c r="C2908">
        <v>1.1000000000000001</v>
      </c>
      <c r="D2908" t="s">
        <v>4099</v>
      </c>
      <c r="E2908" t="s">
        <v>11</v>
      </c>
      <c r="G2908" t="s">
        <v>74</v>
      </c>
      <c r="H2908" t="s">
        <v>14</v>
      </c>
    </row>
    <row r="2909" spans="1:8" hidden="1" x14ac:dyDescent="0.25">
      <c r="A2909" t="s">
        <v>3568</v>
      </c>
      <c r="B2909" s="1" t="str">
        <f>HYPERLINK("https://asmlis.vasa.lt/Dashboard/Served?ServiceDateFrom=2025-11-24&amp;ServiceDateTo=2025-11-24&amp;DumpsterInvNr=13-L-109808", "13-L-109808")</f>
        <v>13-L-109808</v>
      </c>
      <c r="C2909">
        <v>0.12</v>
      </c>
      <c r="D2909" t="s">
        <v>4101</v>
      </c>
      <c r="E2909" t="s">
        <v>11</v>
      </c>
      <c r="G2909" t="s">
        <v>430</v>
      </c>
      <c r="H2909" t="s">
        <v>432</v>
      </c>
    </row>
    <row r="2910" spans="1:8" hidden="1" x14ac:dyDescent="0.25">
      <c r="A2910" t="s">
        <v>3568</v>
      </c>
      <c r="B2910" s="1" t="str">
        <f>HYPERLINK("https://asmlis.vasa.lt/Dashboard/Served?ServiceDateFrom=2025-11-24&amp;ServiceDateTo=2025-11-24&amp;DumpsterInvNr=13-P-505056", "13-P-505056")</f>
        <v>13-P-505056</v>
      </c>
      <c r="C2910">
        <v>0.12</v>
      </c>
      <c r="D2910" t="s">
        <v>4101</v>
      </c>
      <c r="E2910" t="s">
        <v>11</v>
      </c>
      <c r="G2910" t="s">
        <v>2178</v>
      </c>
      <c r="H2910" t="s">
        <v>432</v>
      </c>
    </row>
    <row r="2911" spans="1:8" hidden="1" x14ac:dyDescent="0.25">
      <c r="A2911" t="s">
        <v>3568</v>
      </c>
      <c r="B2911" s="1" t="str">
        <f>HYPERLINK("https://asmlis.vasa.lt/Dashboard/Served?ServiceDateFrom=2025-11-24&amp;ServiceDateTo=2025-11-24&amp;DumpsterInvNr=13-S-505640", "13-S-505640")</f>
        <v>13-S-505640</v>
      </c>
      <c r="C2911">
        <v>0.12</v>
      </c>
      <c r="D2911" t="s">
        <v>4101</v>
      </c>
      <c r="E2911" t="s">
        <v>11</v>
      </c>
      <c r="G2911" t="s">
        <v>2178</v>
      </c>
      <c r="H2911" t="s">
        <v>432</v>
      </c>
    </row>
    <row r="2912" spans="1:8" hidden="1" x14ac:dyDescent="0.25">
      <c r="A2912" t="s">
        <v>3581</v>
      </c>
      <c r="B2912" s="1" t="str">
        <f>HYPERLINK("https://asmlis.vasa.lt/Dashboard/Served?ServiceDateFrom=2025-11-24&amp;ServiceDateTo=2025-11-24&amp;DumpsterInvNr=13-L-315392", "13-L-315392")</f>
        <v>13-L-315392</v>
      </c>
      <c r="C2912">
        <v>0.77</v>
      </c>
      <c r="D2912" t="s">
        <v>3995</v>
      </c>
      <c r="E2912" t="s">
        <v>11</v>
      </c>
      <c r="G2912" t="s">
        <v>9</v>
      </c>
      <c r="H2912" t="s">
        <v>14</v>
      </c>
    </row>
    <row r="2913" spans="1:8" hidden="1" x14ac:dyDescent="0.25">
      <c r="A2913" t="s">
        <v>4104</v>
      </c>
      <c r="B2913" s="1" t="str">
        <f>HYPERLINK("https://asmlis.vasa.lt/Dashboard/Served?ServiceDateFrom=2025-11-24&amp;ServiceDateTo=2025-11-24&amp;DumpsterInvNr=13-L-143123", "13-L-143123")</f>
        <v>13-L-143123</v>
      </c>
      <c r="C2913">
        <v>5</v>
      </c>
      <c r="D2913" t="s">
        <v>4105</v>
      </c>
      <c r="E2913" t="s">
        <v>11</v>
      </c>
      <c r="F2913" t="s">
        <v>13</v>
      </c>
      <c r="G2913" t="s">
        <v>430</v>
      </c>
      <c r="H2913" t="s">
        <v>432</v>
      </c>
    </row>
    <row r="2914" spans="1:8" hidden="1" x14ac:dyDescent="0.25">
      <c r="A2914" t="s">
        <v>4106</v>
      </c>
      <c r="B2914" s="1" t="str">
        <f>HYPERLINK("https://asmlis.vasa.lt/Dashboard/Served?ServiceDateFrom=2025-11-24&amp;ServiceDateTo=2025-11-24&amp;DumpsterInvNr=13-P-207200", "13-P-207200")</f>
        <v>13-P-207200</v>
      </c>
      <c r="C2914">
        <v>0.24</v>
      </c>
      <c r="D2914" t="s">
        <v>4107</v>
      </c>
      <c r="E2914" t="s">
        <v>11</v>
      </c>
      <c r="G2914" t="s">
        <v>234</v>
      </c>
      <c r="H2914" t="s">
        <v>14</v>
      </c>
    </row>
    <row r="2915" spans="1:8" hidden="1" x14ac:dyDescent="0.25">
      <c r="A2915" t="s">
        <v>4108</v>
      </c>
      <c r="B2915" s="1" t="str">
        <f>HYPERLINK("https://asmlis.vasa.lt/Dashboard/Served?ServiceDateFrom=2025-11-24&amp;ServiceDateTo=2025-11-24&amp;DumpsterInvNr=13-L-123915", "13-L-123915")</f>
        <v>13-L-123915</v>
      </c>
      <c r="C2915">
        <v>0.12</v>
      </c>
      <c r="D2915" t="s">
        <v>4110</v>
      </c>
      <c r="E2915" t="s">
        <v>11</v>
      </c>
      <c r="F2915" t="s">
        <v>1209</v>
      </c>
      <c r="G2915" t="s">
        <v>1912</v>
      </c>
      <c r="H2915" t="s">
        <v>432</v>
      </c>
    </row>
    <row r="2916" spans="1:8" hidden="1" x14ac:dyDescent="0.25">
      <c r="A2916" t="s">
        <v>4108</v>
      </c>
      <c r="B2916" s="1" t="str">
        <f>HYPERLINK("https://asmlis.vasa.lt/Dashboard/Served?ServiceDateFrom=2025-11-24&amp;ServiceDateTo=2025-11-24&amp;DumpsterInvNr=13-P-114912", "13-P-114912")</f>
        <v>13-P-114912</v>
      </c>
      <c r="C2916">
        <v>0.24</v>
      </c>
      <c r="D2916" t="s">
        <v>4110</v>
      </c>
      <c r="E2916" t="s">
        <v>11</v>
      </c>
      <c r="G2916" t="s">
        <v>1917</v>
      </c>
      <c r="H2916" t="s">
        <v>432</v>
      </c>
    </row>
    <row r="2917" spans="1:8" hidden="1" x14ac:dyDescent="0.25">
      <c r="A2917" t="s">
        <v>4108</v>
      </c>
      <c r="B2917" s="1" t="str">
        <f>HYPERLINK("https://asmlis.vasa.lt/Dashboard/Served?ServiceDateFrom=2025-11-24&amp;ServiceDateTo=2025-11-24&amp;DumpsterInvNr=13-P-413894", "13-P-413894")</f>
        <v>13-P-413894</v>
      </c>
      <c r="C2917">
        <v>5</v>
      </c>
      <c r="D2917" t="s">
        <v>4112</v>
      </c>
      <c r="E2917" t="s">
        <v>11</v>
      </c>
      <c r="G2917" t="s">
        <v>264</v>
      </c>
      <c r="H2917" t="s">
        <v>14</v>
      </c>
    </row>
    <row r="2918" spans="1:8" hidden="1" x14ac:dyDescent="0.25">
      <c r="A2918" t="s">
        <v>4113</v>
      </c>
      <c r="B2918" s="1" t="str">
        <f>HYPERLINK("https://asmlis.vasa.lt/Dashboard/Served?ServiceDateFrom=2025-11-24&amp;ServiceDateTo=2025-11-24&amp;DumpsterInvNr=13-P-403012", "13-P-403012")</f>
        <v>13-P-403012</v>
      </c>
      <c r="C2918">
        <v>0.24</v>
      </c>
      <c r="D2918" t="s">
        <v>4114</v>
      </c>
      <c r="E2918" t="s">
        <v>11</v>
      </c>
      <c r="G2918" t="s">
        <v>264</v>
      </c>
      <c r="H2918" t="s">
        <v>14</v>
      </c>
    </row>
    <row r="2919" spans="1:8" hidden="1" x14ac:dyDescent="0.25">
      <c r="A2919" t="s">
        <v>4115</v>
      </c>
      <c r="B2919" s="1" t="str">
        <f>HYPERLINK("https://asmlis.vasa.lt/Dashboard/Served?ServiceDateFrom=2025-11-24&amp;ServiceDateTo=2025-11-24&amp;DumpsterInvNr=13-L-106352", "13-L-106352")</f>
        <v>13-L-106352</v>
      </c>
      <c r="C2919">
        <v>0.77</v>
      </c>
      <c r="D2919" t="s">
        <v>4116</v>
      </c>
      <c r="E2919" t="s">
        <v>11</v>
      </c>
      <c r="G2919" t="s">
        <v>1912</v>
      </c>
      <c r="H2919" t="s">
        <v>432</v>
      </c>
    </row>
    <row r="2920" spans="1:8" hidden="1" x14ac:dyDescent="0.25">
      <c r="A2920" t="s">
        <v>4118</v>
      </c>
      <c r="B2920" s="1" t="str">
        <f>HYPERLINK("https://asmlis.vasa.lt/Dashboard/Served?ServiceDateFrom=2025-11-24&amp;ServiceDateTo=2025-11-24&amp;DumpsterInvNr=13-P-412874", "13-P-412874")</f>
        <v>13-P-412874</v>
      </c>
      <c r="C2920">
        <v>0.24</v>
      </c>
      <c r="D2920" t="s">
        <v>4119</v>
      </c>
      <c r="E2920" t="s">
        <v>11</v>
      </c>
      <c r="G2920" t="s">
        <v>264</v>
      </c>
      <c r="H2920" t="s">
        <v>14</v>
      </c>
    </row>
    <row r="2921" spans="1:8" hidden="1" x14ac:dyDescent="0.25">
      <c r="A2921" t="s">
        <v>4120</v>
      </c>
      <c r="B2921" s="1" t="str">
        <f>HYPERLINK("https://asmlis.vasa.lt/Dashboard/Served?ServiceDateFrom=2025-11-24&amp;ServiceDateTo=2025-11-24&amp;DumpsterInvNr=13-P-302462", "13-P-302462")</f>
        <v>13-P-302462</v>
      </c>
      <c r="C2921">
        <v>5</v>
      </c>
      <c r="D2921" t="s">
        <v>1749</v>
      </c>
      <c r="E2921" t="s">
        <v>11</v>
      </c>
      <c r="F2921" t="s">
        <v>13</v>
      </c>
      <c r="G2921" t="s">
        <v>412</v>
      </c>
      <c r="H2921" t="s">
        <v>14</v>
      </c>
    </row>
    <row r="2922" spans="1:8" hidden="1" x14ac:dyDescent="0.25">
      <c r="A2922" t="s">
        <v>4121</v>
      </c>
      <c r="B2922" s="1" t="str">
        <f>HYPERLINK("https://asmlis.vasa.lt/Dashboard/Served?ServiceDateFrom=2025-11-24&amp;ServiceDateTo=2025-11-24&amp;DumpsterInvNr=13-L-135277", "13-L-135277")</f>
        <v>13-L-135277</v>
      </c>
      <c r="C2922">
        <v>0.24</v>
      </c>
      <c r="D2922" t="s">
        <v>4122</v>
      </c>
      <c r="E2922" t="s">
        <v>11</v>
      </c>
      <c r="G2922" t="s">
        <v>430</v>
      </c>
      <c r="H2922" t="s">
        <v>432</v>
      </c>
    </row>
    <row r="2923" spans="1:8" hidden="1" x14ac:dyDescent="0.25">
      <c r="A2923" t="s">
        <v>4121</v>
      </c>
      <c r="B2923" s="1" t="str">
        <f>HYPERLINK("https://asmlis.vasa.lt/Dashboard/Served?ServiceDateFrom=2025-11-24&amp;ServiceDateTo=2025-11-24&amp;DumpsterInvNr=13-P-302460", "13-P-302460")</f>
        <v>13-P-302460</v>
      </c>
      <c r="C2923">
        <v>5</v>
      </c>
      <c r="D2923" t="s">
        <v>1749</v>
      </c>
      <c r="E2923" t="s">
        <v>11</v>
      </c>
      <c r="F2923" t="s">
        <v>13</v>
      </c>
      <c r="G2923" t="s">
        <v>412</v>
      </c>
      <c r="H2923" t="s">
        <v>14</v>
      </c>
    </row>
    <row r="2924" spans="1:8" hidden="1" x14ac:dyDescent="0.25">
      <c r="A2924" t="s">
        <v>4121</v>
      </c>
      <c r="B2924" s="1" t="str">
        <f>HYPERLINK("https://asmlis.vasa.lt/Dashboard/Served?ServiceDateFrom=2025-11-24&amp;ServiceDateTo=2025-11-24&amp;DumpsterInvNr=13-P-502718", "13-P-502718")</f>
        <v>13-P-502718</v>
      </c>
      <c r="C2924">
        <v>0.24</v>
      </c>
      <c r="D2924" t="s">
        <v>4122</v>
      </c>
      <c r="E2924" t="s">
        <v>11</v>
      </c>
      <c r="G2924" t="s">
        <v>2178</v>
      </c>
      <c r="H2924" t="s">
        <v>432</v>
      </c>
    </row>
    <row r="2925" spans="1:8" hidden="1" x14ac:dyDescent="0.25">
      <c r="A2925" t="s">
        <v>4125</v>
      </c>
      <c r="B2925" s="1" t="str">
        <f>HYPERLINK("https://asmlis.vasa.lt/Dashboard/Served?ServiceDateFrom=2025-11-24&amp;ServiceDateTo=2025-11-24&amp;DumpsterInvNr=13-P-416321", "13-P-416321")</f>
        <v>13-P-416321</v>
      </c>
      <c r="C2925">
        <v>1.1000000000000001</v>
      </c>
      <c r="D2925" t="s">
        <v>4003</v>
      </c>
      <c r="E2925" t="s">
        <v>11</v>
      </c>
      <c r="G2925" t="s">
        <v>264</v>
      </c>
      <c r="H2925" t="s">
        <v>14</v>
      </c>
    </row>
    <row r="2926" spans="1:8" hidden="1" x14ac:dyDescent="0.25">
      <c r="A2926" t="s">
        <v>4125</v>
      </c>
      <c r="B2926" s="1" t="str">
        <f>HYPERLINK("https://asmlis.vasa.lt/Dashboard/Served?ServiceDateFrom=2025-11-24&amp;ServiceDateTo=2025-11-24&amp;DumpsterInvNr=13-P-509199", "13-P-509199")</f>
        <v>13-P-509199</v>
      </c>
      <c r="C2926">
        <v>2.5</v>
      </c>
      <c r="D2926" t="s">
        <v>4126</v>
      </c>
      <c r="E2926" t="s">
        <v>11</v>
      </c>
      <c r="F2926" t="s">
        <v>13</v>
      </c>
      <c r="G2926" t="s">
        <v>2178</v>
      </c>
      <c r="H2926" t="s">
        <v>432</v>
      </c>
    </row>
    <row r="2927" spans="1:8" hidden="1" x14ac:dyDescent="0.25">
      <c r="A2927" t="s">
        <v>4127</v>
      </c>
      <c r="B2927" s="1" t="str">
        <f>HYPERLINK("https://asmlis.vasa.lt/Dashboard/Served?ServiceDateFrom=2025-11-24&amp;ServiceDateTo=2025-11-24&amp;DumpsterInvNr=13-L-132767", "13-L-132767")</f>
        <v>13-L-132767</v>
      </c>
      <c r="C2927">
        <v>0.12</v>
      </c>
      <c r="D2927" t="s">
        <v>4076</v>
      </c>
      <c r="E2927" t="s">
        <v>11</v>
      </c>
      <c r="G2927" t="s">
        <v>430</v>
      </c>
      <c r="H2927" t="s">
        <v>432</v>
      </c>
    </row>
    <row r="2928" spans="1:8" hidden="1" x14ac:dyDescent="0.25">
      <c r="A2928" t="s">
        <v>4128</v>
      </c>
      <c r="B2928" s="1" t="str">
        <f>HYPERLINK("https://asmlis.vasa.lt/Dashboard/Served?ServiceDateFrom=2025-11-24&amp;ServiceDateTo=2025-11-24&amp;DumpsterInvNr=13-P-413771", "13-P-413771")</f>
        <v>13-P-413771</v>
      </c>
      <c r="C2928">
        <v>5</v>
      </c>
      <c r="D2928" t="s">
        <v>186</v>
      </c>
      <c r="E2928" t="s">
        <v>11</v>
      </c>
      <c r="F2928" t="s">
        <v>13</v>
      </c>
      <c r="G2928" t="s">
        <v>264</v>
      </c>
      <c r="H2928" t="s">
        <v>14</v>
      </c>
    </row>
    <row r="2929" spans="1:8" hidden="1" x14ac:dyDescent="0.25">
      <c r="A2929" t="s">
        <v>4129</v>
      </c>
      <c r="B2929" s="1" t="str">
        <f>HYPERLINK("https://asmlis.vasa.lt/Dashboard/Served?ServiceDateFrom=2025-11-24&amp;ServiceDateTo=2025-11-24&amp;DumpsterInvNr=13-L-427043", "13-L-427043")</f>
        <v>13-L-427043</v>
      </c>
      <c r="C2929">
        <v>5</v>
      </c>
      <c r="D2929" t="s">
        <v>2183</v>
      </c>
      <c r="E2929" t="s">
        <v>11</v>
      </c>
      <c r="F2929" t="s">
        <v>13</v>
      </c>
      <c r="G2929" t="s">
        <v>74</v>
      </c>
      <c r="H2929" t="s">
        <v>14</v>
      </c>
    </row>
    <row r="2930" spans="1:8" hidden="1" x14ac:dyDescent="0.25">
      <c r="A2930" t="s">
        <v>4130</v>
      </c>
      <c r="B2930" s="1" t="str">
        <f>HYPERLINK("https://asmlis.vasa.lt/Dashboard/Served?ServiceDateFrom=2025-11-24&amp;ServiceDateTo=2025-11-24&amp;DumpsterInvNr=13-L-223047", "13-L-223047")</f>
        <v>13-L-223047</v>
      </c>
      <c r="C2930">
        <v>5</v>
      </c>
      <c r="D2930" t="s">
        <v>2190</v>
      </c>
      <c r="E2930" t="s">
        <v>11</v>
      </c>
      <c r="G2930" t="s">
        <v>936</v>
      </c>
      <c r="H2930" t="s">
        <v>938</v>
      </c>
    </row>
    <row r="2931" spans="1:8" hidden="1" x14ac:dyDescent="0.25">
      <c r="A2931" t="s">
        <v>4130</v>
      </c>
      <c r="B2931" s="1" t="str">
        <f>HYPERLINK("https://asmlis.vasa.lt/Dashboard/Served?ServiceDateFrom=2025-11-24&amp;ServiceDateTo=2025-11-24&amp;DumpsterInvNr=13-L-315808", "13-L-315808")</f>
        <v>13-L-315808</v>
      </c>
      <c r="C2931">
        <v>1.1000000000000001</v>
      </c>
      <c r="D2931" t="s">
        <v>4131</v>
      </c>
      <c r="E2931" t="s">
        <v>11</v>
      </c>
      <c r="G2931" t="s">
        <v>9</v>
      </c>
      <c r="H2931" t="s">
        <v>14</v>
      </c>
    </row>
    <row r="2932" spans="1:8" hidden="1" x14ac:dyDescent="0.25">
      <c r="A2932" t="s">
        <v>4132</v>
      </c>
      <c r="B2932" s="1" t="str">
        <f>HYPERLINK("https://asmlis.vasa.lt/Dashboard/Served?ServiceDateFrom=2025-11-24&amp;ServiceDateTo=2025-11-24&amp;DumpsterInvNr=13-L-420939", "13-L-420939")</f>
        <v>13-L-420939</v>
      </c>
      <c r="C2932">
        <v>5</v>
      </c>
      <c r="D2932" t="s">
        <v>2183</v>
      </c>
      <c r="E2932" t="s">
        <v>11</v>
      </c>
      <c r="F2932" t="s">
        <v>13</v>
      </c>
      <c r="G2932" t="s">
        <v>74</v>
      </c>
      <c r="H2932" t="s">
        <v>14</v>
      </c>
    </row>
    <row r="2933" spans="1:8" hidden="1" x14ac:dyDescent="0.25">
      <c r="A2933" t="s">
        <v>4133</v>
      </c>
      <c r="B2933" s="1" t="str">
        <f>HYPERLINK("https://asmlis.vasa.lt/Dashboard/Served?ServiceDateFrom=2025-11-24&amp;ServiceDateTo=2025-11-24&amp;DumpsterInvNr=13-L-302981", "13-L-302981")</f>
        <v>13-L-302981</v>
      </c>
      <c r="C2933">
        <v>0.66</v>
      </c>
      <c r="D2933" t="s">
        <v>4134</v>
      </c>
      <c r="E2933" t="s">
        <v>11</v>
      </c>
      <c r="F2933" t="s">
        <v>13</v>
      </c>
      <c r="G2933" t="s">
        <v>9</v>
      </c>
      <c r="H2933" t="s">
        <v>14</v>
      </c>
    </row>
    <row r="2934" spans="1:8" hidden="1" x14ac:dyDescent="0.25">
      <c r="A2934" t="s">
        <v>4135</v>
      </c>
      <c r="B2934" s="1" t="str">
        <f>HYPERLINK("https://asmlis.vasa.lt/Dashboard/Served?ServiceDateFrom=2025-11-24&amp;ServiceDateTo=2025-11-24&amp;DumpsterInvNr=13-P-416497", "13-P-416497")</f>
        <v>13-P-416497</v>
      </c>
      <c r="C2934">
        <v>5</v>
      </c>
      <c r="D2934" t="s">
        <v>4112</v>
      </c>
      <c r="E2934" t="s">
        <v>11</v>
      </c>
      <c r="F2934" t="s">
        <v>13</v>
      </c>
      <c r="G2934" t="s">
        <v>264</v>
      </c>
      <c r="H2934" t="s">
        <v>14</v>
      </c>
    </row>
    <row r="2935" spans="1:8" hidden="1" x14ac:dyDescent="0.25">
      <c r="A2935" t="s">
        <v>4136</v>
      </c>
      <c r="B2935" s="1" t="str">
        <f>HYPERLINK("https://asmlis.vasa.lt/Dashboard/Served?ServiceDateFrom=2025-11-24&amp;ServiceDateTo=2025-11-24&amp;DumpsterInvNr=13-L-311750", "13-L-311750")</f>
        <v>13-L-311750</v>
      </c>
      <c r="C2935">
        <v>0.66</v>
      </c>
      <c r="D2935" t="s">
        <v>4134</v>
      </c>
      <c r="E2935" t="s">
        <v>11</v>
      </c>
      <c r="F2935" t="s">
        <v>13</v>
      </c>
      <c r="G2935" t="s">
        <v>9</v>
      </c>
      <c r="H2935" t="s">
        <v>14</v>
      </c>
    </row>
    <row r="2936" spans="1:8" hidden="1" x14ac:dyDescent="0.25">
      <c r="A2936" t="s">
        <v>4137</v>
      </c>
      <c r="B2936" s="1" t="str">
        <f>HYPERLINK("https://asmlis.vasa.lt/Dashboard/Served?ServiceDateFrom=2025-11-24&amp;ServiceDateTo=2025-11-24&amp;DumpsterInvNr=13-L-127558", "13-L-127558")</f>
        <v>13-L-127558</v>
      </c>
      <c r="C2936">
        <v>0.12</v>
      </c>
      <c r="D2936" t="s">
        <v>4138</v>
      </c>
      <c r="E2936" t="s">
        <v>11</v>
      </c>
      <c r="F2936" t="s">
        <v>1209</v>
      </c>
      <c r="G2936" t="s">
        <v>1912</v>
      </c>
      <c r="H2936" t="s">
        <v>432</v>
      </c>
    </row>
    <row r="2937" spans="1:8" hidden="1" x14ac:dyDescent="0.25">
      <c r="A2937" t="s">
        <v>4137</v>
      </c>
      <c r="B2937" s="1" t="str">
        <f>HYPERLINK("https://asmlis.vasa.lt/Dashboard/Served?ServiceDateFrom=2025-11-24&amp;ServiceDateTo=2025-11-24&amp;DumpsterInvNr=13-L-225825", "13-L-225825")</f>
        <v>13-L-225825</v>
      </c>
      <c r="C2937">
        <v>0.24</v>
      </c>
      <c r="D2937" t="s">
        <v>3681</v>
      </c>
      <c r="E2937" t="s">
        <v>11</v>
      </c>
      <c r="G2937" t="s">
        <v>936</v>
      </c>
      <c r="H2937" t="s">
        <v>938</v>
      </c>
    </row>
    <row r="2938" spans="1:8" hidden="1" x14ac:dyDescent="0.25">
      <c r="A2938" t="s">
        <v>4139</v>
      </c>
      <c r="B2938" s="1" t="str">
        <f>HYPERLINK("https://asmlis.vasa.lt/Dashboard/Served?ServiceDateFrom=2025-11-24&amp;ServiceDateTo=2025-11-24&amp;DumpsterInvNr=13-P-300492", "13-P-300492")</f>
        <v>13-P-300492</v>
      </c>
      <c r="C2938">
        <v>1.1000000000000001</v>
      </c>
      <c r="D2938" t="s">
        <v>719</v>
      </c>
      <c r="E2938" t="s">
        <v>11</v>
      </c>
      <c r="F2938" t="s">
        <v>13</v>
      </c>
      <c r="G2938" t="s">
        <v>412</v>
      </c>
      <c r="H2938" t="s">
        <v>14</v>
      </c>
    </row>
    <row r="2939" spans="1:8" hidden="1" x14ac:dyDescent="0.25">
      <c r="A2939" t="s">
        <v>4140</v>
      </c>
      <c r="B2939" s="1" t="str">
        <f>HYPERLINK("https://asmlis.vasa.lt/Dashboard/Served?ServiceDateFrom=2025-11-24&amp;ServiceDateTo=2025-11-24&amp;DumpsterInvNr=13-L-225910", "13-L-225910")</f>
        <v>13-L-225910</v>
      </c>
      <c r="C2939">
        <v>0.24</v>
      </c>
      <c r="D2939" t="s">
        <v>3661</v>
      </c>
      <c r="E2939" t="s">
        <v>11</v>
      </c>
      <c r="G2939" t="s">
        <v>936</v>
      </c>
      <c r="H2939" t="s">
        <v>938</v>
      </c>
    </row>
    <row r="2940" spans="1:8" hidden="1" x14ac:dyDescent="0.25">
      <c r="A2940" t="s">
        <v>4141</v>
      </c>
      <c r="B2940" s="1" t="str">
        <f>HYPERLINK("https://asmlis.vasa.lt/Dashboard/Served?ServiceDateFrom=2025-11-24&amp;ServiceDateTo=2025-11-24&amp;DumpsterInvNr=13-S-506061", "13-S-506061")</f>
        <v>13-S-506061</v>
      </c>
      <c r="C2940">
        <v>0.12</v>
      </c>
      <c r="D2940" t="s">
        <v>4122</v>
      </c>
      <c r="E2940" t="s">
        <v>11</v>
      </c>
      <c r="F2940" t="s">
        <v>1209</v>
      </c>
      <c r="G2940" t="s">
        <v>2178</v>
      </c>
      <c r="H2940" t="s">
        <v>432</v>
      </c>
    </row>
    <row r="2941" spans="1:8" hidden="1" x14ac:dyDescent="0.25">
      <c r="A2941" t="s">
        <v>4142</v>
      </c>
      <c r="B2941" s="1" t="str">
        <f>HYPERLINK("https://asmlis.vasa.lt/Dashboard/Served?ServiceDateFrom=2025-11-24&amp;ServiceDateTo=2025-11-24&amp;DumpsterInvNr=13-P-212995", "13-P-212995")</f>
        <v>13-P-212995</v>
      </c>
      <c r="C2941">
        <v>0.24</v>
      </c>
      <c r="D2941" t="s">
        <v>4143</v>
      </c>
      <c r="E2941" t="s">
        <v>11</v>
      </c>
      <c r="G2941" t="s">
        <v>234</v>
      </c>
      <c r="H2941" t="s">
        <v>14</v>
      </c>
    </row>
    <row r="2942" spans="1:8" hidden="1" x14ac:dyDescent="0.25">
      <c r="A2942" t="s">
        <v>4144</v>
      </c>
      <c r="B2942" s="1" t="str">
        <f>HYPERLINK("https://asmlis.vasa.lt/Dashboard/Served?ServiceDateFrom=2025-11-24&amp;ServiceDateTo=2025-11-24&amp;DumpsterInvNr=13-P-431380", "13-P-431380")</f>
        <v>13-P-431380</v>
      </c>
      <c r="C2942">
        <v>0.24</v>
      </c>
      <c r="D2942" t="s">
        <v>4145</v>
      </c>
      <c r="E2942" t="s">
        <v>11</v>
      </c>
      <c r="G2942" t="s">
        <v>264</v>
      </c>
      <c r="H2942" t="s">
        <v>14</v>
      </c>
    </row>
    <row r="2943" spans="1:8" hidden="1" x14ac:dyDescent="0.25">
      <c r="A2943" t="s">
        <v>4144</v>
      </c>
      <c r="B2943" s="1" t="str">
        <f>HYPERLINK("https://asmlis.vasa.lt/Dashboard/Served?ServiceDateFrom=2025-11-24&amp;ServiceDateTo=2025-11-24&amp;DumpsterInvNr=13-L-225934", "13-L-225934")</f>
        <v>13-L-225934</v>
      </c>
      <c r="C2943">
        <v>0.24</v>
      </c>
      <c r="D2943" t="s">
        <v>3662</v>
      </c>
      <c r="E2943" t="s">
        <v>11</v>
      </c>
      <c r="G2943" t="s">
        <v>936</v>
      </c>
      <c r="H2943" t="s">
        <v>938</v>
      </c>
    </row>
    <row r="2944" spans="1:8" hidden="1" x14ac:dyDescent="0.25">
      <c r="A2944" t="s">
        <v>4146</v>
      </c>
      <c r="B2944" s="1" t="str">
        <f>HYPERLINK("https://asmlis.vasa.lt/Dashboard/Served?ServiceDateFrom=2025-11-24&amp;ServiceDateTo=2025-11-24&amp;DumpsterInvNr=13-L-136695", "13-L-136695")</f>
        <v>13-L-136695</v>
      </c>
      <c r="C2944">
        <v>5</v>
      </c>
      <c r="D2944" t="s">
        <v>4147</v>
      </c>
      <c r="E2944" t="s">
        <v>11</v>
      </c>
      <c r="F2944" t="s">
        <v>13</v>
      </c>
      <c r="G2944" t="s">
        <v>430</v>
      </c>
      <c r="H2944" t="s">
        <v>432</v>
      </c>
    </row>
    <row r="2945" spans="1:8" hidden="1" x14ac:dyDescent="0.25">
      <c r="A2945" t="s">
        <v>4146</v>
      </c>
      <c r="B2945" s="1" t="str">
        <f>HYPERLINK("https://asmlis.vasa.lt/Dashboard/Served?ServiceDateFrom=2025-11-24&amp;ServiceDateTo=2025-11-24&amp;DumpsterInvNr=13-L-225277", "13-L-225277")</f>
        <v>13-L-225277</v>
      </c>
      <c r="C2945">
        <v>0.24</v>
      </c>
      <c r="D2945" t="s">
        <v>4148</v>
      </c>
      <c r="E2945" t="s">
        <v>11</v>
      </c>
      <c r="F2945" t="s">
        <v>1209</v>
      </c>
      <c r="G2945" t="s">
        <v>936</v>
      </c>
      <c r="H2945" t="s">
        <v>938</v>
      </c>
    </row>
    <row r="2946" spans="1:8" hidden="1" x14ac:dyDescent="0.25">
      <c r="A2946" t="s">
        <v>3650</v>
      </c>
      <c r="B2946" s="1" t="str">
        <f>HYPERLINK("https://asmlis.vasa.lt/Dashboard/Served?ServiceDateFrom=2025-11-24&amp;ServiceDateTo=2025-11-24&amp;DumpsterInvNr=13-P-115025", "13-P-115025")</f>
        <v>13-P-115025</v>
      </c>
      <c r="C2946">
        <v>4</v>
      </c>
      <c r="D2946" t="s">
        <v>4150</v>
      </c>
      <c r="E2946" t="s">
        <v>11</v>
      </c>
      <c r="F2946" t="s">
        <v>13</v>
      </c>
      <c r="G2946" t="s">
        <v>1917</v>
      </c>
      <c r="H2946" t="s">
        <v>432</v>
      </c>
    </row>
    <row r="2947" spans="1:8" hidden="1" x14ac:dyDescent="0.25">
      <c r="A2947" t="s">
        <v>4151</v>
      </c>
      <c r="B2947" s="1" t="str">
        <f>HYPERLINK("https://asmlis.vasa.lt/Dashboard/Served?ServiceDateFrom=2025-11-24&amp;ServiceDateTo=2025-11-24&amp;DumpsterInvNr=13-P-212307", "13-P-212307")</f>
        <v>13-P-212307</v>
      </c>
      <c r="C2947">
        <v>5</v>
      </c>
      <c r="D2947" t="s">
        <v>4152</v>
      </c>
      <c r="E2947" t="s">
        <v>11</v>
      </c>
      <c r="G2947" t="s">
        <v>234</v>
      </c>
      <c r="H2947" t="s">
        <v>14</v>
      </c>
    </row>
    <row r="2948" spans="1:8" hidden="1" x14ac:dyDescent="0.25">
      <c r="A2948" t="s">
        <v>3640</v>
      </c>
      <c r="B2948" s="1" t="str">
        <f>HYPERLINK("https://asmlis.vasa.lt/Dashboard/Served?ServiceDateFrom=2025-11-24&amp;ServiceDateTo=2025-11-24&amp;DumpsterInvNr=13-P-115024", "13-P-115024")</f>
        <v>13-P-115024</v>
      </c>
      <c r="C2948">
        <v>4</v>
      </c>
      <c r="D2948" t="s">
        <v>4150</v>
      </c>
      <c r="E2948" t="s">
        <v>11</v>
      </c>
      <c r="F2948" t="s">
        <v>13</v>
      </c>
      <c r="G2948" t="s">
        <v>1917</v>
      </c>
      <c r="H2948" t="s">
        <v>432</v>
      </c>
    </row>
    <row r="2949" spans="1:8" hidden="1" x14ac:dyDescent="0.25">
      <c r="A2949" t="s">
        <v>3669</v>
      </c>
      <c r="B2949" s="1" t="str">
        <f>HYPERLINK("https://asmlis.vasa.lt/Dashboard/Served?ServiceDateFrom=2025-11-24&amp;ServiceDateTo=2025-11-24&amp;DumpsterInvNr=13-L-112077", "13-L-112077")</f>
        <v>13-L-112077</v>
      </c>
      <c r="C2949">
        <v>0.12</v>
      </c>
      <c r="D2949" t="s">
        <v>4074</v>
      </c>
      <c r="E2949" t="s">
        <v>11</v>
      </c>
      <c r="G2949" t="s">
        <v>430</v>
      </c>
      <c r="H2949" t="s">
        <v>432</v>
      </c>
    </row>
    <row r="2950" spans="1:8" hidden="1" x14ac:dyDescent="0.25">
      <c r="A2950" t="s">
        <v>3684</v>
      </c>
      <c r="B2950" s="1" t="str">
        <f>HYPERLINK("https://asmlis.vasa.lt/Dashboard/Served?ServiceDateFrom=2025-11-24&amp;ServiceDateTo=2025-11-24&amp;DumpsterInvNr=13-L-314964", "13-L-314964")</f>
        <v>13-L-314964</v>
      </c>
      <c r="C2950">
        <v>5</v>
      </c>
      <c r="D2950" t="s">
        <v>829</v>
      </c>
      <c r="E2950" t="s">
        <v>11</v>
      </c>
      <c r="F2950" t="s">
        <v>13</v>
      </c>
      <c r="G2950" t="s">
        <v>9</v>
      </c>
      <c r="H2950" t="s">
        <v>14</v>
      </c>
    </row>
    <row r="2951" spans="1:8" hidden="1" x14ac:dyDescent="0.25">
      <c r="A2951" t="s">
        <v>3670</v>
      </c>
      <c r="B2951" s="1" t="str">
        <f>HYPERLINK("https://asmlis.vasa.lt/Dashboard/Served?ServiceDateFrom=2025-11-24&amp;ServiceDateTo=2025-11-24&amp;DumpsterInvNr=13-L-315809", "13-L-315809")</f>
        <v>13-L-315809</v>
      </c>
      <c r="C2951">
        <v>1.1000000000000001</v>
      </c>
      <c r="D2951" t="s">
        <v>4131</v>
      </c>
      <c r="E2951" t="s">
        <v>11</v>
      </c>
      <c r="F2951" t="s">
        <v>13</v>
      </c>
      <c r="G2951" t="s">
        <v>9</v>
      </c>
      <c r="H2951" t="s">
        <v>14</v>
      </c>
    </row>
    <row r="2952" spans="1:8" hidden="1" x14ac:dyDescent="0.25">
      <c r="A2952" t="s">
        <v>3670</v>
      </c>
      <c r="B2952" s="1" t="str">
        <f>HYPERLINK("https://asmlis.vasa.lt/Dashboard/Served?ServiceDateFrom=2025-11-24&amp;ServiceDateTo=2025-11-24&amp;DumpsterInvNr=13-P-115023", "13-P-115023")</f>
        <v>13-P-115023</v>
      </c>
      <c r="C2952">
        <v>4</v>
      </c>
      <c r="D2952" t="s">
        <v>4150</v>
      </c>
      <c r="E2952" t="s">
        <v>11</v>
      </c>
      <c r="F2952" t="s">
        <v>13</v>
      </c>
      <c r="G2952" t="s">
        <v>1917</v>
      </c>
      <c r="H2952" t="s">
        <v>432</v>
      </c>
    </row>
    <row r="2953" spans="1:8" hidden="1" x14ac:dyDescent="0.25">
      <c r="A2953" t="s">
        <v>4154</v>
      </c>
      <c r="B2953" s="1" t="str">
        <f>HYPERLINK("https://asmlis.vasa.lt/Dashboard/Served?ServiceDateFrom=2025-11-24&amp;ServiceDateTo=2025-11-24&amp;DumpsterInvNr=13-L-207057", "13-L-207057")</f>
        <v>13-L-207057</v>
      </c>
      <c r="C2953">
        <v>0.24</v>
      </c>
      <c r="D2953" t="s">
        <v>4155</v>
      </c>
      <c r="E2953" t="s">
        <v>11</v>
      </c>
      <c r="G2953" t="s">
        <v>936</v>
      </c>
      <c r="H2953" t="s">
        <v>938</v>
      </c>
    </row>
    <row r="2954" spans="1:8" hidden="1" x14ac:dyDescent="0.25">
      <c r="A2954" t="s">
        <v>3689</v>
      </c>
      <c r="B2954" s="1" t="str">
        <f>HYPERLINK("https://asmlis.vasa.lt/Dashboard/Served?ServiceDateFrom=2025-11-24&amp;ServiceDateTo=2025-11-24&amp;DumpsterInvNr=13-L-109807", "13-L-109807")</f>
        <v>13-L-109807</v>
      </c>
      <c r="C2954">
        <v>0.12</v>
      </c>
      <c r="D2954" t="s">
        <v>4156</v>
      </c>
      <c r="E2954" t="s">
        <v>11</v>
      </c>
      <c r="F2954" t="s">
        <v>1209</v>
      </c>
      <c r="G2954" t="s">
        <v>430</v>
      </c>
      <c r="H2954" t="s">
        <v>432</v>
      </c>
    </row>
    <row r="2955" spans="1:8" hidden="1" x14ac:dyDescent="0.25">
      <c r="A2955" t="s">
        <v>3705</v>
      </c>
      <c r="B2955" s="1" t="str">
        <f>HYPERLINK("https://asmlis.vasa.lt/Dashboard/Served?ServiceDateFrom=2025-11-24&amp;ServiceDateTo=2025-11-24&amp;DumpsterInvNr=13-P-115027", "13-P-115027")</f>
        <v>13-P-115027</v>
      </c>
      <c r="C2955">
        <v>4</v>
      </c>
      <c r="D2955" t="s">
        <v>4150</v>
      </c>
      <c r="E2955" t="s">
        <v>11</v>
      </c>
      <c r="F2955" t="s">
        <v>13</v>
      </c>
      <c r="G2955" t="s">
        <v>1917</v>
      </c>
      <c r="H2955" t="s">
        <v>432</v>
      </c>
    </row>
    <row r="2956" spans="1:8" hidden="1" x14ac:dyDescent="0.25">
      <c r="A2956" t="s">
        <v>4158</v>
      </c>
      <c r="B2956" s="1" t="str">
        <f>HYPERLINK("https://asmlis.vasa.lt/Dashboard/Served?ServiceDateFrom=2025-11-24&amp;ServiceDateTo=2025-11-24&amp;DumpsterInvNr=13-P-502717", "13-P-502717")</f>
        <v>13-P-502717</v>
      </c>
      <c r="C2956">
        <v>0.24</v>
      </c>
      <c r="D2956" t="s">
        <v>4156</v>
      </c>
      <c r="E2956" t="s">
        <v>11</v>
      </c>
      <c r="F2956" t="s">
        <v>1209</v>
      </c>
      <c r="G2956" t="s">
        <v>2178</v>
      </c>
      <c r="H2956" t="s">
        <v>432</v>
      </c>
    </row>
    <row r="2957" spans="1:8" hidden="1" x14ac:dyDescent="0.25">
      <c r="A2957" t="s">
        <v>4158</v>
      </c>
      <c r="B2957" s="1" t="str">
        <f>HYPERLINK("https://asmlis.vasa.lt/Dashboard/Served?ServiceDateFrom=2025-11-24&amp;ServiceDateTo=2025-11-24&amp;DumpsterInvNr=13-S-504964", "13-S-504964")</f>
        <v>13-S-504964</v>
      </c>
      <c r="C2957">
        <v>0.12</v>
      </c>
      <c r="D2957" t="s">
        <v>4156</v>
      </c>
      <c r="E2957" t="s">
        <v>11</v>
      </c>
      <c r="F2957" t="s">
        <v>1209</v>
      </c>
      <c r="G2957" t="s">
        <v>2178</v>
      </c>
      <c r="H2957" t="s">
        <v>432</v>
      </c>
    </row>
    <row r="2958" spans="1:8" hidden="1" x14ac:dyDescent="0.25">
      <c r="A2958" t="s">
        <v>4159</v>
      </c>
      <c r="B2958" s="1" t="str">
        <f>HYPERLINK("https://asmlis.vasa.lt/Dashboard/Served?ServiceDateFrom=2025-11-24&amp;ServiceDateTo=2025-11-24&amp;DumpsterInvNr=13-L-106534", "13-L-106534")</f>
        <v>13-L-106534</v>
      </c>
      <c r="C2958">
        <v>0.77</v>
      </c>
      <c r="D2958" t="s">
        <v>4160</v>
      </c>
      <c r="E2958" t="s">
        <v>11</v>
      </c>
      <c r="G2958" t="s">
        <v>1912</v>
      </c>
      <c r="H2958" t="s">
        <v>432</v>
      </c>
    </row>
    <row r="2959" spans="1:8" hidden="1" x14ac:dyDescent="0.25">
      <c r="A2959" t="s">
        <v>4159</v>
      </c>
      <c r="B2959" s="1" t="str">
        <f>HYPERLINK("https://asmlis.vasa.lt/Dashboard/Served?ServiceDateFrom=2025-11-24&amp;ServiceDateTo=2025-11-24&amp;DumpsterInvNr=13-P-404072", "13-P-404072")</f>
        <v>13-P-404072</v>
      </c>
      <c r="C2959">
        <v>0.24</v>
      </c>
      <c r="D2959" t="s">
        <v>4162</v>
      </c>
      <c r="E2959" t="s">
        <v>11</v>
      </c>
      <c r="G2959" t="s">
        <v>264</v>
      </c>
      <c r="H2959" t="s">
        <v>14</v>
      </c>
    </row>
    <row r="2960" spans="1:8" hidden="1" x14ac:dyDescent="0.25">
      <c r="A2960" t="s">
        <v>4163</v>
      </c>
      <c r="B2960" s="1" t="str">
        <f>HYPERLINK("https://asmlis.vasa.lt/Dashboard/Served?ServiceDateFrom=2025-11-24&amp;ServiceDateTo=2025-11-24&amp;DumpsterInvNr=13-P-115022", "13-P-115022")</f>
        <v>13-P-115022</v>
      </c>
      <c r="C2960">
        <v>4</v>
      </c>
      <c r="D2960" t="s">
        <v>4150</v>
      </c>
      <c r="E2960" t="s">
        <v>11</v>
      </c>
      <c r="F2960" t="s">
        <v>13</v>
      </c>
      <c r="G2960" t="s">
        <v>1917</v>
      </c>
      <c r="H2960" t="s">
        <v>432</v>
      </c>
    </row>
    <row r="2961" spans="1:8" hidden="1" x14ac:dyDescent="0.25">
      <c r="A2961" t="s">
        <v>4164</v>
      </c>
      <c r="B2961" s="1" t="str">
        <f>HYPERLINK("https://asmlis.vasa.lt/Dashboard/Served?ServiceDateFrom=2025-11-24&amp;ServiceDateTo=2025-11-24&amp;DumpsterInvNr=13-P-115026", "13-P-115026")</f>
        <v>13-P-115026</v>
      </c>
      <c r="C2961">
        <v>4</v>
      </c>
      <c r="D2961" t="s">
        <v>4150</v>
      </c>
      <c r="E2961" t="s">
        <v>11</v>
      </c>
      <c r="F2961" t="s">
        <v>13</v>
      </c>
      <c r="G2961" t="s">
        <v>1917</v>
      </c>
      <c r="H2961" t="s">
        <v>432</v>
      </c>
    </row>
    <row r="2962" spans="1:8" hidden="1" x14ac:dyDescent="0.25">
      <c r="A2962" t="s">
        <v>3714</v>
      </c>
      <c r="B2962" s="1" t="str">
        <f>HYPERLINK("https://asmlis.vasa.lt/Dashboard/Served?ServiceDateFrom=2025-11-24&amp;ServiceDateTo=2025-11-24&amp;DumpsterInvNr=13-P-503071", "13-P-503071")</f>
        <v>13-P-503071</v>
      </c>
      <c r="C2962">
        <v>5</v>
      </c>
      <c r="D2962" t="s">
        <v>4166</v>
      </c>
      <c r="E2962" t="s">
        <v>11</v>
      </c>
      <c r="F2962" t="s">
        <v>13</v>
      </c>
      <c r="G2962" t="s">
        <v>2178</v>
      </c>
      <c r="H2962" t="s">
        <v>432</v>
      </c>
    </row>
    <row r="2963" spans="1:8" hidden="1" x14ac:dyDescent="0.25">
      <c r="A2963" t="s">
        <v>3691</v>
      </c>
      <c r="B2963" s="1" t="str">
        <f>HYPERLINK("https://asmlis.vasa.lt/Dashboard/Served?ServiceDateFrom=2025-11-24&amp;ServiceDateTo=2025-11-24&amp;DumpsterInvNr=13-L-315872", "13-L-315872")</f>
        <v>13-L-315872</v>
      </c>
      <c r="C2963">
        <v>1.1000000000000001</v>
      </c>
      <c r="D2963" t="s">
        <v>4167</v>
      </c>
      <c r="E2963" t="s">
        <v>11</v>
      </c>
      <c r="G2963" t="s">
        <v>9</v>
      </c>
      <c r="H2963" t="s">
        <v>14</v>
      </c>
    </row>
    <row r="2964" spans="1:8" hidden="1" x14ac:dyDescent="0.25">
      <c r="A2964" t="s">
        <v>3731</v>
      </c>
      <c r="B2964" s="1" t="str">
        <f>HYPERLINK("https://asmlis.vasa.lt/Dashboard/Served?ServiceDateFrom=2025-11-24&amp;ServiceDateTo=2025-11-24&amp;DumpsterInvNr=13-L-313719", "13-L-313719")</f>
        <v>13-L-313719</v>
      </c>
      <c r="C2964">
        <v>0.24</v>
      </c>
      <c r="D2964" t="s">
        <v>4168</v>
      </c>
      <c r="E2964" t="s">
        <v>11</v>
      </c>
      <c r="F2964" t="s">
        <v>13</v>
      </c>
      <c r="G2964" t="s">
        <v>9</v>
      </c>
      <c r="H2964" t="s">
        <v>14</v>
      </c>
    </row>
    <row r="2965" spans="1:8" hidden="1" x14ac:dyDescent="0.25">
      <c r="A2965" t="s">
        <v>4169</v>
      </c>
      <c r="B2965" s="1" t="str">
        <f>HYPERLINK("https://asmlis.vasa.lt/Dashboard/Served?ServiceDateFrom=2025-11-24&amp;ServiceDateTo=2025-11-24&amp;DumpsterInvNr=13-P-210855", "13-P-210855")</f>
        <v>13-P-210855</v>
      </c>
      <c r="C2965">
        <v>0.24</v>
      </c>
      <c r="D2965" t="s">
        <v>4170</v>
      </c>
      <c r="E2965" t="s">
        <v>11</v>
      </c>
      <c r="G2965" t="s">
        <v>234</v>
      </c>
      <c r="H2965" t="s">
        <v>14</v>
      </c>
    </row>
    <row r="2966" spans="1:8" hidden="1" x14ac:dyDescent="0.25">
      <c r="A2966" t="s">
        <v>3738</v>
      </c>
      <c r="B2966" s="1" t="str">
        <f>HYPERLINK("https://asmlis.vasa.lt/Dashboard/Served?ServiceDateFrom=2025-11-24&amp;ServiceDateTo=2025-11-24&amp;DumpsterInvNr=PRG207014", "PRG207014")</f>
        <v>PRG207014</v>
      </c>
      <c r="C2966">
        <v>20</v>
      </c>
      <c r="D2966" t="s">
        <v>4171</v>
      </c>
      <c r="E2966" t="s">
        <v>11</v>
      </c>
      <c r="G2966" t="s">
        <v>74</v>
      </c>
      <c r="H2966" t="s">
        <v>14</v>
      </c>
    </row>
    <row r="2967" spans="1:8" hidden="1" x14ac:dyDescent="0.25">
      <c r="A2967" t="s">
        <v>3738</v>
      </c>
      <c r="B2967" s="1" t="str">
        <f>HYPERLINK("https://asmlis.vasa.lt/Dashboard/Served?ServiceDateFrom=2025-11-24&amp;ServiceDateTo=2025-11-24&amp;DumpsterInvNr=PRG181003", "PRG181003")</f>
        <v>PRG181003</v>
      </c>
      <c r="C2967">
        <v>18</v>
      </c>
      <c r="D2967" t="s">
        <v>4171</v>
      </c>
      <c r="E2967" t="s">
        <v>11</v>
      </c>
      <c r="G2967" t="s">
        <v>74</v>
      </c>
      <c r="H2967" t="s">
        <v>14</v>
      </c>
    </row>
    <row r="2968" spans="1:8" hidden="1" x14ac:dyDescent="0.25">
      <c r="A2968" t="s">
        <v>4172</v>
      </c>
      <c r="B2968" s="1" t="str">
        <f>HYPERLINK("https://asmlis.vasa.lt/Dashboard/Served?ServiceDateFrom=2025-11-24&amp;ServiceDateTo=2025-11-24&amp;DumpsterInvNr=13-L-106533", "13-L-106533")</f>
        <v>13-L-106533</v>
      </c>
      <c r="C2968">
        <v>0.77</v>
      </c>
      <c r="D2968" t="s">
        <v>4173</v>
      </c>
      <c r="E2968" t="s">
        <v>11</v>
      </c>
      <c r="G2968" t="s">
        <v>1912</v>
      </c>
      <c r="H2968" t="s">
        <v>432</v>
      </c>
    </row>
    <row r="2969" spans="1:8" hidden="1" x14ac:dyDescent="0.25">
      <c r="A2969" t="s">
        <v>4172</v>
      </c>
      <c r="B2969" s="1" t="str">
        <f>HYPERLINK("https://asmlis.vasa.lt/Dashboard/Served?ServiceDateFrom=2025-11-24&amp;ServiceDateTo=2025-11-24&amp;DumpsterInvNr=13-L-147473", "13-L-147473")</f>
        <v>13-L-147473</v>
      </c>
      <c r="C2969">
        <v>5</v>
      </c>
      <c r="D2969" t="s">
        <v>4174</v>
      </c>
      <c r="E2969" t="s">
        <v>11</v>
      </c>
      <c r="F2969" t="s">
        <v>13</v>
      </c>
      <c r="G2969" t="s">
        <v>430</v>
      </c>
      <c r="H2969" t="s">
        <v>432</v>
      </c>
    </row>
    <row r="2970" spans="1:8" hidden="1" x14ac:dyDescent="0.25">
      <c r="A2970" t="s">
        <v>3737</v>
      </c>
      <c r="B2970" s="1" t="str">
        <f>HYPERLINK("https://asmlis.vasa.lt/Dashboard/Served?ServiceDateFrom=2025-11-24&amp;ServiceDateTo=2025-11-24&amp;DumpsterInvNr=13-T-000145", "13-T-000145")</f>
        <v>13-T-000145</v>
      </c>
      <c r="C2970">
        <v>2.5</v>
      </c>
      <c r="D2970" t="s">
        <v>4175</v>
      </c>
      <c r="E2970" t="s">
        <v>11</v>
      </c>
      <c r="F2970" t="s">
        <v>13</v>
      </c>
      <c r="G2970" t="s">
        <v>1899</v>
      </c>
      <c r="H2970" t="s">
        <v>432</v>
      </c>
    </row>
    <row r="2971" spans="1:8" hidden="1" x14ac:dyDescent="0.25">
      <c r="A2971" t="s">
        <v>4176</v>
      </c>
      <c r="B2971" s="1" t="str">
        <f>HYPERLINK("https://asmlis.vasa.lt/Dashboard/Served?ServiceDateFrom=2025-11-24&amp;ServiceDateTo=2025-11-24&amp;DumpsterInvNr=13-L-136016", "13-L-136016")</f>
        <v>13-L-136016</v>
      </c>
      <c r="C2971">
        <v>0.24</v>
      </c>
      <c r="D2971" t="s">
        <v>4177</v>
      </c>
      <c r="E2971" t="s">
        <v>11</v>
      </c>
      <c r="G2971" t="s">
        <v>1912</v>
      </c>
      <c r="H2971" t="s">
        <v>432</v>
      </c>
    </row>
    <row r="2972" spans="1:8" hidden="1" x14ac:dyDescent="0.25">
      <c r="A2972" t="s">
        <v>4176</v>
      </c>
      <c r="B2972" s="1" t="str">
        <f>HYPERLINK("https://asmlis.vasa.lt/Dashboard/Served?ServiceDateFrom=2025-11-24&amp;ServiceDateTo=2025-11-24&amp;DumpsterInvNr=13-L-416266", "13-L-416266")</f>
        <v>13-L-416266</v>
      </c>
      <c r="C2972">
        <v>0.24</v>
      </c>
      <c r="D2972" t="s">
        <v>2183</v>
      </c>
      <c r="E2972" t="s">
        <v>11</v>
      </c>
      <c r="F2972" t="s">
        <v>13</v>
      </c>
      <c r="G2972" t="s">
        <v>74</v>
      </c>
      <c r="H2972" t="s">
        <v>14</v>
      </c>
    </row>
    <row r="2973" spans="1:8" hidden="1" x14ac:dyDescent="0.25">
      <c r="A2973" t="s">
        <v>4176</v>
      </c>
      <c r="B2973" s="1" t="str">
        <f>HYPERLINK("https://asmlis.vasa.lt/Dashboard/Served?ServiceDateFrom=2025-11-24&amp;ServiceDateTo=2025-11-24&amp;DumpsterInvNr=13-S-210637", "13-S-210637")</f>
        <v>13-S-210637</v>
      </c>
      <c r="C2973">
        <v>0.12</v>
      </c>
      <c r="D2973" t="s">
        <v>4170</v>
      </c>
      <c r="E2973" t="s">
        <v>11</v>
      </c>
      <c r="F2973" t="s">
        <v>1209</v>
      </c>
      <c r="G2973" t="s">
        <v>234</v>
      </c>
      <c r="H2973" t="s">
        <v>14</v>
      </c>
    </row>
    <row r="2974" spans="1:8" hidden="1" x14ac:dyDescent="0.25">
      <c r="A2974" t="s">
        <v>4179</v>
      </c>
      <c r="B2974" s="1" t="str">
        <f>HYPERLINK("https://asmlis.vasa.lt/Dashboard/Served?ServiceDateFrom=2025-11-24&amp;ServiceDateTo=2025-11-24&amp;DumpsterInvNr=13-L-108765", "13-L-108765")</f>
        <v>13-L-108765</v>
      </c>
      <c r="C2974">
        <v>0.24</v>
      </c>
      <c r="D2974" t="s">
        <v>4180</v>
      </c>
      <c r="E2974" t="s">
        <v>11</v>
      </c>
      <c r="G2974" t="s">
        <v>430</v>
      </c>
      <c r="H2974" t="s">
        <v>432</v>
      </c>
    </row>
    <row r="2975" spans="1:8" hidden="1" x14ac:dyDescent="0.25">
      <c r="A2975" t="s">
        <v>4179</v>
      </c>
      <c r="B2975" s="1" t="str">
        <f>HYPERLINK("https://asmlis.vasa.lt/Dashboard/Served?ServiceDateFrom=2025-11-24&amp;ServiceDateTo=2025-11-24&amp;DumpsterInvNr=13-L-134901", "13-L-134901")</f>
        <v>13-L-134901</v>
      </c>
      <c r="C2975">
        <v>0.24</v>
      </c>
      <c r="D2975" t="s">
        <v>4181</v>
      </c>
      <c r="E2975" t="s">
        <v>11</v>
      </c>
      <c r="G2975" t="s">
        <v>430</v>
      </c>
      <c r="H2975" t="s">
        <v>432</v>
      </c>
    </row>
    <row r="2976" spans="1:8" hidden="1" x14ac:dyDescent="0.25">
      <c r="A2976" t="s">
        <v>4179</v>
      </c>
      <c r="B2976" s="1" t="str">
        <f>HYPERLINK("https://asmlis.vasa.lt/Dashboard/Served?ServiceDateFrom=2025-11-24&amp;ServiceDateTo=2025-11-24&amp;DumpsterInvNr=13-L-424939", "13-L-424939")</f>
        <v>13-L-424939</v>
      </c>
      <c r="C2976">
        <v>0.24</v>
      </c>
      <c r="D2976" t="s">
        <v>2183</v>
      </c>
      <c r="E2976" t="s">
        <v>11</v>
      </c>
      <c r="F2976" t="s">
        <v>13</v>
      </c>
      <c r="G2976" t="s">
        <v>74</v>
      </c>
      <c r="H2976" t="s">
        <v>14</v>
      </c>
    </row>
    <row r="2977" spans="1:8" hidden="1" x14ac:dyDescent="0.25">
      <c r="A2977" t="s">
        <v>4179</v>
      </c>
      <c r="B2977" s="1" t="str">
        <f>HYPERLINK("https://asmlis.vasa.lt/Dashboard/Served?ServiceDateFrom=2025-11-24&amp;ServiceDateTo=2025-11-24&amp;DumpsterInvNr=13-P-114910", "13-P-114910")</f>
        <v>13-P-114910</v>
      </c>
      <c r="C2977">
        <v>0.24</v>
      </c>
      <c r="D2977" t="s">
        <v>4177</v>
      </c>
      <c r="E2977" t="s">
        <v>11</v>
      </c>
      <c r="G2977" t="s">
        <v>1917</v>
      </c>
      <c r="H2977" t="s">
        <v>432</v>
      </c>
    </row>
    <row r="2978" spans="1:8" hidden="1" x14ac:dyDescent="0.25">
      <c r="A2978" t="s">
        <v>4182</v>
      </c>
      <c r="B2978" s="1" t="str">
        <f>HYPERLINK("https://asmlis.vasa.lt/Dashboard/Served?ServiceDateFrom=2025-11-24&amp;ServiceDateTo=2025-11-24&amp;DumpsterInvNr=13-L-214302", "13-L-214302")</f>
        <v>13-L-214302</v>
      </c>
      <c r="C2978">
        <v>1.1000000000000001</v>
      </c>
      <c r="D2978" t="s">
        <v>4183</v>
      </c>
      <c r="E2978" t="s">
        <v>12</v>
      </c>
      <c r="G2978" t="s">
        <v>936</v>
      </c>
      <c r="H2978" t="s">
        <v>938</v>
      </c>
    </row>
    <row r="2979" spans="1:8" hidden="1" x14ac:dyDescent="0.25">
      <c r="A2979" t="s">
        <v>4184</v>
      </c>
      <c r="B2979" s="1" t="str">
        <f>HYPERLINK("https://asmlis.vasa.lt/Dashboard/Served?ServiceDateFrom=2025-11-24&amp;ServiceDateTo=2025-11-24&amp;DumpsterInvNr=13-L-213366", "13-L-213366")</f>
        <v>13-L-213366</v>
      </c>
      <c r="C2979">
        <v>1.1000000000000001</v>
      </c>
      <c r="D2979" t="s">
        <v>3541</v>
      </c>
      <c r="E2979" t="s">
        <v>11</v>
      </c>
      <c r="G2979" t="s">
        <v>936</v>
      </c>
      <c r="H2979" t="s">
        <v>938</v>
      </c>
    </row>
    <row r="2980" spans="1:8" hidden="1" x14ac:dyDescent="0.25">
      <c r="A2980" t="s">
        <v>4185</v>
      </c>
      <c r="B2980" s="1" t="str">
        <f>HYPERLINK("https://asmlis.vasa.lt/Dashboard/Served?ServiceDateFrom=2025-11-24&amp;ServiceDateTo=2025-11-24&amp;DumpsterInvNr=13-T-000146", "13-T-000146")</f>
        <v>13-T-000146</v>
      </c>
      <c r="C2980">
        <v>2.5</v>
      </c>
      <c r="D2980" t="s">
        <v>4175</v>
      </c>
      <c r="E2980" t="s">
        <v>11</v>
      </c>
      <c r="F2980" t="s">
        <v>13</v>
      </c>
      <c r="G2980" t="s">
        <v>1899</v>
      </c>
      <c r="H2980" t="s">
        <v>432</v>
      </c>
    </row>
    <row r="2981" spans="1:8" hidden="1" x14ac:dyDescent="0.25">
      <c r="A2981" t="s">
        <v>3856</v>
      </c>
      <c r="B2981" s="1" t="str">
        <f>HYPERLINK("https://asmlis.vasa.lt/Dashboard/Served?ServiceDateFrom=2025-11-24&amp;ServiceDateTo=2025-11-24&amp;DumpsterInvNr=13-P-502926", "13-P-502926")</f>
        <v>13-P-502926</v>
      </c>
      <c r="C2981">
        <v>0.24</v>
      </c>
      <c r="D2981" t="s">
        <v>4181</v>
      </c>
      <c r="E2981" t="s">
        <v>11</v>
      </c>
      <c r="G2981" t="s">
        <v>2178</v>
      </c>
      <c r="H2981" t="s">
        <v>432</v>
      </c>
    </row>
    <row r="2982" spans="1:8" hidden="1" x14ac:dyDescent="0.25">
      <c r="A2982" t="s">
        <v>4187</v>
      </c>
      <c r="B2982" s="1" t="str">
        <f>HYPERLINK("https://asmlis.vasa.lt/Dashboard/Served?ServiceDateFrom=2025-11-24&amp;ServiceDateTo=2025-11-24&amp;DumpsterInvNr=13-L-132886", "13-L-132886")</f>
        <v>13-L-132886</v>
      </c>
      <c r="C2982">
        <v>0.77</v>
      </c>
      <c r="D2982" t="s">
        <v>4188</v>
      </c>
      <c r="E2982" t="s">
        <v>11</v>
      </c>
      <c r="G2982" t="s">
        <v>430</v>
      </c>
      <c r="H2982" t="s">
        <v>432</v>
      </c>
    </row>
    <row r="2983" spans="1:8" hidden="1" x14ac:dyDescent="0.25">
      <c r="A2983" t="s">
        <v>4153</v>
      </c>
      <c r="B2983" s="1" t="str">
        <f>HYPERLINK("https://asmlis.vasa.lt/Dashboard/Served?ServiceDateFrom=2025-11-24&amp;ServiceDateTo=2025-11-24&amp;DumpsterInvNr=13-L-227273", "13-L-227273")</f>
        <v>13-L-227273</v>
      </c>
      <c r="C2983">
        <v>0.24</v>
      </c>
      <c r="D2983" t="s">
        <v>3719</v>
      </c>
      <c r="E2983" t="s">
        <v>11</v>
      </c>
      <c r="G2983" t="s">
        <v>936</v>
      </c>
      <c r="H2983" t="s">
        <v>938</v>
      </c>
    </row>
    <row r="2984" spans="1:8" hidden="1" x14ac:dyDescent="0.25">
      <c r="A2984" t="s">
        <v>4157</v>
      </c>
      <c r="B2984" s="1" t="str">
        <f>HYPERLINK("https://asmlis.vasa.lt/Dashboard/Served?ServiceDateFrom=2025-11-24&amp;ServiceDateTo=2025-11-24&amp;DumpsterInvNr=13-L-146184", "13-L-146184")</f>
        <v>13-L-146184</v>
      </c>
      <c r="C2984">
        <v>1.1000000000000001</v>
      </c>
      <c r="D2984" t="s">
        <v>4189</v>
      </c>
      <c r="E2984" t="s">
        <v>11</v>
      </c>
      <c r="G2984" t="s">
        <v>430</v>
      </c>
      <c r="H2984" t="s">
        <v>432</v>
      </c>
    </row>
    <row r="2985" spans="1:8" hidden="1" x14ac:dyDescent="0.25">
      <c r="A2985" t="s">
        <v>4157</v>
      </c>
      <c r="B2985" s="1" t="str">
        <f>HYPERLINK("https://asmlis.vasa.lt/Dashboard/Served?ServiceDateFrom=2025-11-24&amp;ServiceDateTo=2025-11-24&amp;DumpsterInvNr=13-P-212818", "13-P-212818")</f>
        <v>13-P-212818</v>
      </c>
      <c r="C2985">
        <v>5</v>
      </c>
      <c r="D2985" t="s">
        <v>4152</v>
      </c>
      <c r="E2985" t="s">
        <v>11</v>
      </c>
      <c r="F2985" t="s">
        <v>13</v>
      </c>
      <c r="G2985" t="s">
        <v>234</v>
      </c>
      <c r="H2985" t="s">
        <v>14</v>
      </c>
    </row>
    <row r="2986" spans="1:8" hidden="1" x14ac:dyDescent="0.25">
      <c r="A2986" t="s">
        <v>4165</v>
      </c>
      <c r="B2986" s="1" t="str">
        <f>HYPERLINK("https://asmlis.vasa.lt/Dashboard/Served?ServiceDateFrom=2025-11-24&amp;ServiceDateTo=2025-11-24&amp;DumpsterInvNr=13-L-311941", "13-L-311941")</f>
        <v>13-L-311941</v>
      </c>
      <c r="C2986">
        <v>0.12</v>
      </c>
      <c r="D2986" t="s">
        <v>4190</v>
      </c>
      <c r="E2986" t="s">
        <v>11</v>
      </c>
      <c r="G2986" t="s">
        <v>9</v>
      </c>
      <c r="H2986" t="s">
        <v>14</v>
      </c>
    </row>
    <row r="2987" spans="1:8" hidden="1" x14ac:dyDescent="0.25">
      <c r="A2987" t="s">
        <v>4191</v>
      </c>
      <c r="B2987" s="1" t="str">
        <f>HYPERLINK("https://asmlis.vasa.lt/Dashboard/Served?ServiceDateFrom=2025-11-24&amp;ServiceDateTo=2025-11-24&amp;DumpsterInvNr=13-L-136742", "13-L-136742")</f>
        <v>13-L-136742</v>
      </c>
      <c r="C2987">
        <v>5</v>
      </c>
      <c r="D2987" t="s">
        <v>4192</v>
      </c>
      <c r="E2987" t="s">
        <v>11</v>
      </c>
      <c r="F2987" t="s">
        <v>13</v>
      </c>
      <c r="G2987" t="s">
        <v>430</v>
      </c>
      <c r="H2987" t="s">
        <v>432</v>
      </c>
    </row>
    <row r="2988" spans="1:8" hidden="1" x14ac:dyDescent="0.25">
      <c r="A2988" t="s">
        <v>4193</v>
      </c>
      <c r="B2988" s="1" t="str">
        <f>HYPERLINK("https://asmlis.vasa.lt/Dashboard/Served?ServiceDateFrom=2025-11-24&amp;ServiceDateTo=2025-11-24&amp;DumpsterInvNr=13-L-128507", "13-L-128507")</f>
        <v>13-L-128507</v>
      </c>
      <c r="C2988">
        <v>0.24</v>
      </c>
      <c r="D2988" t="s">
        <v>4194</v>
      </c>
      <c r="E2988" t="s">
        <v>11</v>
      </c>
      <c r="G2988" t="s">
        <v>430</v>
      </c>
      <c r="H2988" t="s">
        <v>432</v>
      </c>
    </row>
    <row r="2989" spans="1:8" hidden="1" x14ac:dyDescent="0.25">
      <c r="A2989" t="s">
        <v>4193</v>
      </c>
      <c r="B2989" s="1" t="str">
        <f>HYPERLINK("https://asmlis.vasa.lt/Dashboard/Served?ServiceDateFrom=2025-11-24&amp;ServiceDateTo=2025-11-24&amp;DumpsterInvNr=13-L-207433", "13-L-207433")</f>
        <v>13-L-207433</v>
      </c>
      <c r="C2989">
        <v>0.24</v>
      </c>
      <c r="D2989" t="s">
        <v>3624</v>
      </c>
      <c r="E2989" t="s">
        <v>11</v>
      </c>
      <c r="F2989" t="s">
        <v>1209</v>
      </c>
      <c r="G2989" t="s">
        <v>936</v>
      </c>
      <c r="H2989" t="s">
        <v>938</v>
      </c>
    </row>
    <row r="2990" spans="1:8" hidden="1" x14ac:dyDescent="0.25">
      <c r="A2990" t="s">
        <v>4193</v>
      </c>
      <c r="B2990" s="1" t="str">
        <f>HYPERLINK("https://asmlis.vasa.lt/Dashboard/Served?ServiceDateFrom=2025-11-24&amp;ServiceDateTo=2025-11-24&amp;DumpsterInvNr=13-P-502927", "13-P-502927")</f>
        <v>13-P-502927</v>
      </c>
      <c r="C2990">
        <v>0.24</v>
      </c>
      <c r="D2990" t="s">
        <v>4194</v>
      </c>
      <c r="E2990" t="s">
        <v>11</v>
      </c>
      <c r="G2990" t="s">
        <v>2178</v>
      </c>
      <c r="H2990" t="s">
        <v>432</v>
      </c>
    </row>
    <row r="2991" spans="1:8" hidden="1" x14ac:dyDescent="0.25">
      <c r="A2991" t="s">
        <v>3760</v>
      </c>
      <c r="B2991" s="1" t="str">
        <f>HYPERLINK("https://asmlis.vasa.lt/Dashboard/Served?ServiceDateFrom=2025-11-24&amp;ServiceDateTo=2025-11-24&amp;DumpsterInvNr=13-P-404071", "13-P-404071")</f>
        <v>13-P-404071</v>
      </c>
      <c r="C2991">
        <v>0.24</v>
      </c>
      <c r="D2991" t="s">
        <v>4195</v>
      </c>
      <c r="E2991" t="s">
        <v>11</v>
      </c>
      <c r="G2991" t="s">
        <v>264</v>
      </c>
      <c r="H2991" t="s">
        <v>14</v>
      </c>
    </row>
    <row r="2992" spans="1:8" hidden="1" x14ac:dyDescent="0.25">
      <c r="A2992" t="s">
        <v>4196</v>
      </c>
      <c r="B2992" s="1" t="str">
        <f>HYPERLINK("https://asmlis.vasa.lt/Dashboard/Served?ServiceDateFrom=2025-11-24&amp;ServiceDateTo=2025-11-24&amp;DumpsterInvNr=13-L-213061", "13-L-213061")</f>
        <v>13-L-213061</v>
      </c>
      <c r="C2992">
        <v>0.24</v>
      </c>
      <c r="D2992" t="s">
        <v>3642</v>
      </c>
      <c r="E2992" t="s">
        <v>11</v>
      </c>
      <c r="F2992" t="s">
        <v>1209</v>
      </c>
      <c r="G2992" t="s">
        <v>936</v>
      </c>
      <c r="H2992" t="s">
        <v>938</v>
      </c>
    </row>
    <row r="2993" spans="1:8" hidden="1" x14ac:dyDescent="0.25">
      <c r="A2993" t="s">
        <v>3825</v>
      </c>
      <c r="B2993" s="1" t="str">
        <f>HYPERLINK("https://asmlis.vasa.lt/Dashboard/Served?ServiceDateFrom=2025-11-24&amp;ServiceDateTo=2025-11-24&amp;DumpsterInvNr=13-P-502950", "13-P-502950")</f>
        <v>13-P-502950</v>
      </c>
      <c r="C2993">
        <v>0.24</v>
      </c>
      <c r="D2993" t="s">
        <v>4197</v>
      </c>
      <c r="E2993" t="s">
        <v>11</v>
      </c>
      <c r="G2993" t="s">
        <v>2178</v>
      </c>
      <c r="H2993" t="s">
        <v>432</v>
      </c>
    </row>
    <row r="2994" spans="1:8" hidden="1" x14ac:dyDescent="0.25">
      <c r="A2994" t="s">
        <v>4093</v>
      </c>
      <c r="B2994" s="1" t="str">
        <f>HYPERLINK("https://asmlis.vasa.lt/Dashboard/Served?ServiceDateFrom=2025-11-24&amp;ServiceDateTo=2025-11-24&amp;DumpsterInvNr=13-L-141973", "13-L-141973")</f>
        <v>13-L-141973</v>
      </c>
      <c r="C2994">
        <v>0.24</v>
      </c>
      <c r="D2994" t="s">
        <v>4198</v>
      </c>
      <c r="E2994" t="s">
        <v>11</v>
      </c>
      <c r="F2994" t="s">
        <v>1209</v>
      </c>
      <c r="G2994" t="s">
        <v>1912</v>
      </c>
      <c r="H2994" t="s">
        <v>432</v>
      </c>
    </row>
    <row r="2995" spans="1:8" hidden="1" x14ac:dyDescent="0.25">
      <c r="A2995" t="s">
        <v>4093</v>
      </c>
      <c r="B2995" s="1" t="str">
        <f>HYPERLINK("https://asmlis.vasa.lt/Dashboard/Served?ServiceDateFrom=2025-11-24&amp;ServiceDateTo=2025-11-24&amp;DumpsterInvNr=13-T-000078", "13-T-000078")</f>
        <v>13-T-000078</v>
      </c>
      <c r="C2995">
        <v>2.5</v>
      </c>
      <c r="D2995" t="s">
        <v>4199</v>
      </c>
      <c r="E2995" t="s">
        <v>11</v>
      </c>
      <c r="F2995" t="s">
        <v>13</v>
      </c>
      <c r="G2995" t="s">
        <v>1899</v>
      </c>
      <c r="H2995" t="s">
        <v>432</v>
      </c>
    </row>
    <row r="2996" spans="1:8" hidden="1" x14ac:dyDescent="0.25">
      <c r="A2996" t="s">
        <v>4200</v>
      </c>
      <c r="B2996" s="1" t="str">
        <f>HYPERLINK("https://asmlis.vasa.lt/Dashboard/Served?ServiceDateFrom=2025-11-24&amp;ServiceDateTo=2025-11-24&amp;DumpsterInvNr=13-L-424128", "13-L-424128")</f>
        <v>13-L-424128</v>
      </c>
      <c r="C2996">
        <v>1.1000000000000001</v>
      </c>
      <c r="D2996" t="s">
        <v>435</v>
      </c>
      <c r="E2996" t="s">
        <v>11</v>
      </c>
      <c r="G2996" t="s">
        <v>74</v>
      </c>
      <c r="H2996" t="s">
        <v>14</v>
      </c>
    </row>
    <row r="2997" spans="1:8" hidden="1" x14ac:dyDescent="0.25">
      <c r="A2997" t="s">
        <v>4201</v>
      </c>
      <c r="B2997" s="1" t="str">
        <f>HYPERLINK("https://asmlis.vasa.lt/Dashboard/Served?ServiceDateFrom=2025-11-24&amp;ServiceDateTo=2025-11-24&amp;DumpsterInvNr=13-L-207633", "13-L-207633")</f>
        <v>13-L-207633</v>
      </c>
      <c r="C2997">
        <v>0.12</v>
      </c>
      <c r="D2997" t="s">
        <v>4202</v>
      </c>
      <c r="E2997" t="s">
        <v>11</v>
      </c>
      <c r="F2997" t="s">
        <v>1209</v>
      </c>
      <c r="G2997" t="s">
        <v>936</v>
      </c>
      <c r="H2997" t="s">
        <v>938</v>
      </c>
    </row>
    <row r="2998" spans="1:8" hidden="1" x14ac:dyDescent="0.25">
      <c r="A2998" t="s">
        <v>4203</v>
      </c>
      <c r="B2998" s="1" t="str">
        <f>HYPERLINK("https://asmlis.vasa.lt/Dashboard/Served?ServiceDateFrom=2025-11-24&amp;ServiceDateTo=2025-11-24&amp;DumpsterInvNr=13-T-000077", "13-T-000077")</f>
        <v>13-T-000077</v>
      </c>
      <c r="C2998">
        <v>2.5</v>
      </c>
      <c r="D2998" t="s">
        <v>4199</v>
      </c>
      <c r="E2998" t="s">
        <v>11</v>
      </c>
      <c r="F2998" t="s">
        <v>13</v>
      </c>
      <c r="G2998" t="s">
        <v>1899</v>
      </c>
      <c r="H2998" t="s">
        <v>432</v>
      </c>
    </row>
    <row r="2999" spans="1:8" hidden="1" x14ac:dyDescent="0.25">
      <c r="A2999" t="s">
        <v>4204</v>
      </c>
      <c r="B2999" s="1" t="str">
        <f>HYPERLINK("https://asmlis.vasa.lt/Dashboard/Served?ServiceDateFrom=2025-11-24&amp;ServiceDateTo=2025-11-24&amp;DumpsterInvNr=13-P-209745", "13-P-209745")</f>
        <v>13-P-209745</v>
      </c>
      <c r="C2999">
        <v>0.24</v>
      </c>
      <c r="D2999" t="s">
        <v>4205</v>
      </c>
      <c r="E2999" t="s">
        <v>11</v>
      </c>
      <c r="G2999" t="s">
        <v>234</v>
      </c>
      <c r="H2999" t="s">
        <v>14</v>
      </c>
    </row>
    <row r="3000" spans="1:8" hidden="1" x14ac:dyDescent="0.25">
      <c r="A3000" t="s">
        <v>4206</v>
      </c>
      <c r="B3000" s="1" t="str">
        <f>HYPERLINK("https://asmlis.vasa.lt/Dashboard/Served?ServiceDateFrom=2025-11-24&amp;ServiceDateTo=2025-11-24&amp;DumpsterInvNr=13-L-111229", "13-L-111229")</f>
        <v>13-L-111229</v>
      </c>
      <c r="C3000">
        <v>0.12</v>
      </c>
      <c r="D3000" t="s">
        <v>4207</v>
      </c>
      <c r="E3000" t="s">
        <v>11</v>
      </c>
      <c r="F3000" t="s">
        <v>1209</v>
      </c>
      <c r="G3000" t="s">
        <v>1912</v>
      </c>
      <c r="H3000" t="s">
        <v>432</v>
      </c>
    </row>
    <row r="3001" spans="1:8" hidden="1" x14ac:dyDescent="0.25">
      <c r="A3001" t="s">
        <v>4208</v>
      </c>
      <c r="B3001" s="1" t="str">
        <f>HYPERLINK("https://asmlis.vasa.lt/Dashboard/Served?ServiceDateFrom=2025-11-24&amp;ServiceDateTo=2025-11-24&amp;DumpsterInvNr=13-S-431406", "13-S-431406")</f>
        <v>13-S-431406</v>
      </c>
      <c r="C3001">
        <v>0.12</v>
      </c>
      <c r="D3001" t="s">
        <v>4145</v>
      </c>
      <c r="E3001" t="s">
        <v>11</v>
      </c>
      <c r="F3001" t="s">
        <v>1209</v>
      </c>
      <c r="G3001" t="s">
        <v>264</v>
      </c>
      <c r="H3001" t="s">
        <v>14</v>
      </c>
    </row>
    <row r="3002" spans="1:8" hidden="1" x14ac:dyDescent="0.25">
      <c r="A3002" t="s">
        <v>4209</v>
      </c>
      <c r="B3002" s="1" t="str">
        <f>HYPERLINK("https://asmlis.vasa.lt/Dashboard/Served?ServiceDateFrom=2025-11-24&amp;ServiceDateTo=2025-11-24&amp;DumpsterInvNr=13-P-408868", "13-P-408868")</f>
        <v>13-P-408868</v>
      </c>
      <c r="C3002">
        <v>1.1000000000000001</v>
      </c>
      <c r="D3002" t="s">
        <v>4210</v>
      </c>
      <c r="E3002" t="s">
        <v>11</v>
      </c>
      <c r="F3002" t="s">
        <v>13</v>
      </c>
      <c r="G3002" t="s">
        <v>264</v>
      </c>
      <c r="H3002" t="s">
        <v>14</v>
      </c>
    </row>
    <row r="3003" spans="1:8" hidden="1" x14ac:dyDescent="0.25">
      <c r="A3003" t="s">
        <v>4211</v>
      </c>
      <c r="B3003" s="1" t="str">
        <f>HYPERLINK("https://asmlis.vasa.lt/Dashboard/Served?ServiceDateFrom=2025-11-24&amp;ServiceDateTo=2025-11-24&amp;DumpsterInvNr=13-L-120046", "13-L-120046")</f>
        <v>13-L-120046</v>
      </c>
      <c r="C3003">
        <v>0.24</v>
      </c>
      <c r="D3003" t="s">
        <v>4212</v>
      </c>
      <c r="E3003" t="s">
        <v>11</v>
      </c>
      <c r="F3003" t="s">
        <v>1209</v>
      </c>
      <c r="G3003" t="s">
        <v>1912</v>
      </c>
      <c r="H3003" t="s">
        <v>432</v>
      </c>
    </row>
    <row r="3004" spans="1:8" hidden="1" x14ac:dyDescent="0.25">
      <c r="A3004" t="s">
        <v>4213</v>
      </c>
      <c r="B3004" s="1" t="str">
        <f>HYPERLINK("https://asmlis.vasa.lt/Dashboard/Served?ServiceDateFrom=2025-11-24&amp;ServiceDateTo=2025-11-24&amp;DumpsterInvNr=13-S-503682", "13-S-503682")</f>
        <v>13-S-503682</v>
      </c>
      <c r="C3004">
        <v>0.12</v>
      </c>
      <c r="D3004" t="s">
        <v>4197</v>
      </c>
      <c r="E3004" t="s">
        <v>11</v>
      </c>
      <c r="G3004" t="s">
        <v>2178</v>
      </c>
      <c r="H3004" t="s">
        <v>432</v>
      </c>
    </row>
    <row r="3005" spans="1:8" hidden="1" x14ac:dyDescent="0.25">
      <c r="A3005" t="s">
        <v>4214</v>
      </c>
      <c r="B3005" s="1" t="str">
        <f>HYPERLINK("https://asmlis.vasa.lt/Dashboard/Served?ServiceDateFrom=2025-11-24&amp;ServiceDateTo=2025-11-24&amp;DumpsterInvNr=13-L-302976", "13-L-302976")</f>
        <v>13-L-302976</v>
      </c>
      <c r="C3005">
        <v>1.1000000000000001</v>
      </c>
      <c r="D3005" t="s">
        <v>4216</v>
      </c>
      <c r="E3005" t="s">
        <v>11</v>
      </c>
      <c r="G3005" t="s">
        <v>9</v>
      </c>
      <c r="H3005" t="s">
        <v>14</v>
      </c>
    </row>
    <row r="3006" spans="1:8" hidden="1" x14ac:dyDescent="0.25">
      <c r="A3006" t="s">
        <v>4214</v>
      </c>
      <c r="B3006" s="1" t="str">
        <f>HYPERLINK("https://asmlis.vasa.lt/Dashboard/Served?ServiceDateFrom=2025-11-24&amp;ServiceDateTo=2025-11-24&amp;DumpsterInvNr=13-L-302978", "13-L-302978")</f>
        <v>13-L-302978</v>
      </c>
      <c r="C3006">
        <v>1.1000000000000001</v>
      </c>
      <c r="D3006" t="s">
        <v>4216</v>
      </c>
      <c r="E3006" t="s">
        <v>11</v>
      </c>
      <c r="G3006" t="s">
        <v>9</v>
      </c>
      <c r="H3006" t="s">
        <v>14</v>
      </c>
    </row>
    <row r="3007" spans="1:8" hidden="1" x14ac:dyDescent="0.25">
      <c r="A3007" t="s">
        <v>4214</v>
      </c>
      <c r="B3007" s="1" t="str">
        <f>HYPERLINK("https://asmlis.vasa.lt/Dashboard/Served?ServiceDateFrom=2025-11-24&amp;ServiceDateTo=2025-11-24&amp;DumpsterInvNr=13-S-503673", "13-S-503673")</f>
        <v>13-S-503673</v>
      </c>
      <c r="C3007">
        <v>0.12</v>
      </c>
      <c r="D3007" t="s">
        <v>4194</v>
      </c>
      <c r="E3007" t="s">
        <v>11</v>
      </c>
      <c r="G3007" t="s">
        <v>2178</v>
      </c>
      <c r="H3007" t="s">
        <v>432</v>
      </c>
    </row>
    <row r="3008" spans="1:8" hidden="1" x14ac:dyDescent="0.25">
      <c r="A3008" t="s">
        <v>4217</v>
      </c>
      <c r="B3008" s="1" t="str">
        <f>HYPERLINK("https://asmlis.vasa.lt/Dashboard/Served?ServiceDateFrom=2025-11-24&amp;ServiceDateTo=2025-11-24&amp;DumpsterInvNr=13-L-137600", "13-L-137600")</f>
        <v>13-L-137600</v>
      </c>
      <c r="C3008">
        <v>5</v>
      </c>
      <c r="D3008" t="s">
        <v>4218</v>
      </c>
      <c r="E3008" t="s">
        <v>11</v>
      </c>
      <c r="F3008" t="s">
        <v>13</v>
      </c>
      <c r="G3008" t="s">
        <v>430</v>
      </c>
      <c r="H3008" t="s">
        <v>432</v>
      </c>
    </row>
    <row r="3009" spans="1:8" hidden="1" x14ac:dyDescent="0.25">
      <c r="A3009" t="s">
        <v>4219</v>
      </c>
      <c r="B3009" s="1" t="str">
        <f>HYPERLINK("https://asmlis.vasa.lt/Dashboard/Served?ServiceDateFrom=2025-11-24&amp;ServiceDateTo=2025-11-24&amp;DumpsterInvNr=13-L-137601", "13-L-137601")</f>
        <v>13-L-137601</v>
      </c>
      <c r="C3009">
        <v>5</v>
      </c>
      <c r="D3009" t="s">
        <v>4218</v>
      </c>
      <c r="E3009" t="s">
        <v>11</v>
      </c>
      <c r="F3009" t="s">
        <v>13</v>
      </c>
      <c r="G3009" t="s">
        <v>430</v>
      </c>
      <c r="H3009" t="s">
        <v>432</v>
      </c>
    </row>
    <row r="3010" spans="1:8" hidden="1" x14ac:dyDescent="0.25">
      <c r="A3010" t="s">
        <v>4220</v>
      </c>
      <c r="B3010" s="1" t="str">
        <f>HYPERLINK("https://asmlis.vasa.lt/Dashboard/Served?ServiceDateFrom=2025-11-24&amp;ServiceDateTo=2025-11-24&amp;DumpsterInvNr=13-L-421685", "13-L-421685")</f>
        <v>13-L-421685</v>
      </c>
      <c r="C3010">
        <v>1.1000000000000001</v>
      </c>
      <c r="D3010" t="s">
        <v>4221</v>
      </c>
      <c r="E3010" t="s">
        <v>11</v>
      </c>
      <c r="G3010" t="s">
        <v>74</v>
      </c>
      <c r="H3010" t="s">
        <v>14</v>
      </c>
    </row>
    <row r="3011" spans="1:8" hidden="1" x14ac:dyDescent="0.25">
      <c r="A3011" t="s">
        <v>4222</v>
      </c>
      <c r="B3011" s="1" t="str">
        <f>HYPERLINK("https://asmlis.vasa.lt/Dashboard/Served?ServiceDateFrom=2025-11-24&amp;ServiceDateTo=2025-11-24&amp;DumpsterInvNr=13-L-138037", "13-L-138037")</f>
        <v>13-L-138037</v>
      </c>
      <c r="C3011">
        <v>5</v>
      </c>
      <c r="D3011" t="s">
        <v>4223</v>
      </c>
      <c r="E3011" t="s">
        <v>11</v>
      </c>
      <c r="F3011" t="s">
        <v>13</v>
      </c>
      <c r="G3011" t="s">
        <v>1912</v>
      </c>
      <c r="H3011" t="s">
        <v>432</v>
      </c>
    </row>
    <row r="3012" spans="1:8" hidden="1" x14ac:dyDescent="0.25">
      <c r="A3012" t="s">
        <v>4224</v>
      </c>
      <c r="B3012" s="1" t="str">
        <f>HYPERLINK("https://asmlis.vasa.lt/Dashboard/Served?ServiceDateFrom=2025-11-24&amp;ServiceDateTo=2025-11-24&amp;DumpsterInvNr=13-L-313823", "13-L-313823")</f>
        <v>13-L-313823</v>
      </c>
      <c r="C3012">
        <v>1.1000000000000001</v>
      </c>
      <c r="D3012" t="s">
        <v>2828</v>
      </c>
      <c r="E3012" t="s">
        <v>11</v>
      </c>
      <c r="G3012" t="s">
        <v>9</v>
      </c>
      <c r="H3012" t="s">
        <v>14</v>
      </c>
    </row>
    <row r="3013" spans="1:8" hidden="1" x14ac:dyDescent="0.25">
      <c r="A3013" t="s">
        <v>4224</v>
      </c>
      <c r="B3013" s="1" t="str">
        <f>HYPERLINK("https://asmlis.vasa.lt/Dashboard/Served?ServiceDateFrom=2025-11-24&amp;ServiceDateTo=2025-11-24&amp;DumpsterInvNr=13-S-406487", "13-S-406487")</f>
        <v>13-S-406487</v>
      </c>
      <c r="C3013">
        <v>0.12</v>
      </c>
      <c r="D3013" t="s">
        <v>4114</v>
      </c>
      <c r="E3013" t="s">
        <v>11</v>
      </c>
      <c r="F3013" t="s">
        <v>1209</v>
      </c>
      <c r="G3013" t="s">
        <v>264</v>
      </c>
      <c r="H3013" t="s">
        <v>14</v>
      </c>
    </row>
    <row r="3014" spans="1:8" hidden="1" x14ac:dyDescent="0.25">
      <c r="A3014" t="s">
        <v>4225</v>
      </c>
      <c r="B3014" s="1" t="str">
        <f>HYPERLINK("https://asmlis.vasa.lt/Dashboard/Served?ServiceDateFrom=2025-11-24&amp;ServiceDateTo=2025-11-24&amp;DumpsterInvNr=13-L-208101", "13-L-208101")</f>
        <v>13-L-208101</v>
      </c>
      <c r="C3014">
        <v>0.77</v>
      </c>
      <c r="D3014" t="s">
        <v>3541</v>
      </c>
      <c r="E3014" t="s">
        <v>11</v>
      </c>
      <c r="G3014" t="s">
        <v>936</v>
      </c>
      <c r="H3014" t="s">
        <v>938</v>
      </c>
    </row>
    <row r="3015" spans="1:8" hidden="1" x14ac:dyDescent="0.25">
      <c r="A3015" t="s">
        <v>4226</v>
      </c>
      <c r="B3015" s="1" t="str">
        <f>HYPERLINK("https://asmlis.vasa.lt/Dashboard/Served?ServiceDateFrom=2025-11-24&amp;ServiceDateTo=2025-11-24&amp;DumpsterInvNr=13-L-130973", "13-L-130973")</f>
        <v>13-L-130973</v>
      </c>
      <c r="C3015">
        <v>0.24</v>
      </c>
      <c r="D3015" t="s">
        <v>4227</v>
      </c>
      <c r="E3015" t="s">
        <v>11</v>
      </c>
      <c r="G3015" t="s">
        <v>430</v>
      </c>
      <c r="H3015" t="s">
        <v>432</v>
      </c>
    </row>
    <row r="3016" spans="1:8" hidden="1" x14ac:dyDescent="0.25">
      <c r="A3016" t="s">
        <v>4226</v>
      </c>
      <c r="B3016" s="1" t="str">
        <f>HYPERLINK("https://asmlis.vasa.lt/Dashboard/Served?ServiceDateFrom=2025-11-24&amp;ServiceDateTo=2025-11-24&amp;DumpsterInvNr=13-P-502924", "13-P-502924")</f>
        <v>13-P-502924</v>
      </c>
      <c r="C3016">
        <v>0.24</v>
      </c>
      <c r="D3016" t="s">
        <v>4227</v>
      </c>
      <c r="E3016" t="s">
        <v>11</v>
      </c>
      <c r="G3016" t="s">
        <v>2178</v>
      </c>
      <c r="H3016" t="s">
        <v>432</v>
      </c>
    </row>
    <row r="3017" spans="1:8" hidden="1" x14ac:dyDescent="0.25">
      <c r="A3017" t="s">
        <v>4226</v>
      </c>
      <c r="B3017" s="1" t="str">
        <f>HYPERLINK("https://asmlis.vasa.lt/Dashboard/Served?ServiceDateFrom=2025-11-24&amp;ServiceDateTo=2025-11-24&amp;DumpsterInvNr=13-P-209834", "13-P-209834")</f>
        <v>13-P-209834</v>
      </c>
      <c r="C3017">
        <v>5</v>
      </c>
      <c r="D3017" t="s">
        <v>4228</v>
      </c>
      <c r="E3017" t="s">
        <v>11</v>
      </c>
      <c r="F3017" t="s">
        <v>13</v>
      </c>
      <c r="G3017" t="s">
        <v>234</v>
      </c>
      <c r="H3017" t="s">
        <v>14</v>
      </c>
    </row>
    <row r="3018" spans="1:8" hidden="1" x14ac:dyDescent="0.25">
      <c r="A3018" t="s">
        <v>4229</v>
      </c>
      <c r="B3018" s="1" t="str">
        <f>HYPERLINK("https://asmlis.vasa.lt/Dashboard/Served?ServiceDateFrom=2025-11-24&amp;ServiceDateTo=2025-11-24&amp;DumpsterInvNr=13-P-115609", "13-P-115609")</f>
        <v>13-P-115609</v>
      </c>
      <c r="C3018">
        <v>1.1000000000000001</v>
      </c>
      <c r="D3018" t="s">
        <v>4230</v>
      </c>
      <c r="E3018" t="s">
        <v>11</v>
      </c>
      <c r="G3018" t="s">
        <v>1917</v>
      </c>
      <c r="H3018" t="s">
        <v>432</v>
      </c>
    </row>
    <row r="3019" spans="1:8" hidden="1" x14ac:dyDescent="0.25">
      <c r="A3019" t="s">
        <v>4231</v>
      </c>
      <c r="B3019" s="1" t="str">
        <f>HYPERLINK("https://asmlis.vasa.lt/Dashboard/Served?ServiceDateFrom=2025-11-24&amp;ServiceDateTo=2025-11-24&amp;DumpsterInvNr=13-P-209835", "13-P-209835")</f>
        <v>13-P-209835</v>
      </c>
      <c r="C3019">
        <v>5</v>
      </c>
      <c r="D3019" t="s">
        <v>4228</v>
      </c>
      <c r="E3019" t="s">
        <v>11</v>
      </c>
      <c r="F3019" t="s">
        <v>13</v>
      </c>
      <c r="G3019" t="s">
        <v>234</v>
      </c>
      <c r="H3019" t="s">
        <v>14</v>
      </c>
    </row>
    <row r="3020" spans="1:8" hidden="1" x14ac:dyDescent="0.25">
      <c r="A3020" t="s">
        <v>4232</v>
      </c>
      <c r="B3020" s="1" t="str">
        <f>HYPERLINK("https://asmlis.vasa.lt/Dashboard/Served?ServiceDateFrom=2025-11-24&amp;ServiceDateTo=2025-11-24&amp;DumpsterInvNr=13-L-420998", "13-L-420998")</f>
        <v>13-L-420998</v>
      </c>
      <c r="C3020">
        <v>1.1000000000000001</v>
      </c>
      <c r="D3020" t="s">
        <v>4175</v>
      </c>
      <c r="E3020" t="s">
        <v>11</v>
      </c>
      <c r="G3020" t="s">
        <v>74</v>
      </c>
      <c r="H3020" t="s">
        <v>14</v>
      </c>
    </row>
    <row r="3021" spans="1:8" hidden="1" x14ac:dyDescent="0.25">
      <c r="A3021" t="s">
        <v>4232</v>
      </c>
      <c r="B3021" s="1" t="str">
        <f>HYPERLINK("https://asmlis.vasa.lt/Dashboard/Served?ServiceDateFrom=2025-11-24&amp;ServiceDateTo=2025-11-24&amp;DumpsterInvNr=13-S-503667", "13-S-503667")</f>
        <v>13-S-503667</v>
      </c>
      <c r="C3021">
        <v>0.12</v>
      </c>
      <c r="D3021" t="s">
        <v>4180</v>
      </c>
      <c r="E3021" t="s">
        <v>11</v>
      </c>
      <c r="F3021" t="s">
        <v>1209</v>
      </c>
      <c r="G3021" t="s">
        <v>2178</v>
      </c>
      <c r="H3021" t="s">
        <v>432</v>
      </c>
    </row>
    <row r="3022" spans="1:8" hidden="1" x14ac:dyDescent="0.25">
      <c r="A3022" t="s">
        <v>4233</v>
      </c>
      <c r="B3022" s="1" t="str">
        <f>HYPERLINK("https://asmlis.vasa.lt/Dashboard/Served?ServiceDateFrom=2025-11-24&amp;ServiceDateTo=2025-11-24&amp;DumpsterInvNr=13-P-205212", "13-P-205212")</f>
        <v>13-P-205212</v>
      </c>
      <c r="C3022">
        <v>0.24</v>
      </c>
      <c r="D3022" t="s">
        <v>4234</v>
      </c>
      <c r="E3022" t="s">
        <v>11</v>
      </c>
      <c r="G3022" t="s">
        <v>234</v>
      </c>
      <c r="H3022" t="s">
        <v>14</v>
      </c>
    </row>
    <row r="3023" spans="1:8" hidden="1" x14ac:dyDescent="0.25">
      <c r="A3023" t="s">
        <v>4235</v>
      </c>
      <c r="B3023" s="1" t="str">
        <f>HYPERLINK("https://asmlis.vasa.lt/Dashboard/Served?ServiceDateFrom=2025-11-24&amp;ServiceDateTo=2025-11-24&amp;DumpsterInvNr=13-P-302190", "13-P-302190")</f>
        <v>13-P-302190</v>
      </c>
      <c r="C3023">
        <v>1.1000000000000001</v>
      </c>
      <c r="D3023" t="s">
        <v>717</v>
      </c>
      <c r="E3023" t="s">
        <v>11</v>
      </c>
      <c r="G3023" t="s">
        <v>412</v>
      </c>
      <c r="H3023" t="s">
        <v>14</v>
      </c>
    </row>
    <row r="3024" spans="1:8" hidden="1" x14ac:dyDescent="0.25">
      <c r="A3024" t="s">
        <v>4237</v>
      </c>
      <c r="B3024" s="1" t="str">
        <f>HYPERLINK("https://asmlis.vasa.lt/Dashboard/Served?ServiceDateFrom=2025-11-24&amp;ServiceDateTo=2025-11-24&amp;DumpsterInvNr=13-L-413319", "13-L-413319")</f>
        <v>13-L-413319</v>
      </c>
      <c r="C3024">
        <v>5</v>
      </c>
      <c r="D3024" t="s">
        <v>2678</v>
      </c>
      <c r="E3024" t="s">
        <v>11</v>
      </c>
      <c r="G3024" t="s">
        <v>74</v>
      </c>
      <c r="H3024" t="s">
        <v>14</v>
      </c>
    </row>
    <row r="3025" spans="1:10" hidden="1" x14ac:dyDescent="0.25">
      <c r="A3025" t="s">
        <v>4238</v>
      </c>
      <c r="B3025" s="1" t="str">
        <f>HYPERLINK("https://asmlis.vasa.lt/Dashboard/Served?ServiceDateFrom=2025-11-24&amp;ServiceDateTo=2025-11-24&amp;DumpsterInvNr=13-P-405421", "13-P-405421")</f>
        <v>13-P-405421</v>
      </c>
      <c r="C3025">
        <v>1.3</v>
      </c>
      <c r="D3025" t="s">
        <v>4239</v>
      </c>
      <c r="E3025" t="s">
        <v>11</v>
      </c>
      <c r="F3025" t="s">
        <v>13</v>
      </c>
      <c r="G3025" t="s">
        <v>264</v>
      </c>
      <c r="H3025" t="s">
        <v>14</v>
      </c>
    </row>
    <row r="3026" spans="1:10" hidden="1" x14ac:dyDescent="0.25">
      <c r="A3026" t="s">
        <v>4240</v>
      </c>
      <c r="B3026" s="1" t="str">
        <f>HYPERLINK("https://asmlis.vasa.lt/Dashboard/Served?ServiceDateFrom=2025-11-24&amp;ServiceDateTo=2025-11-24&amp;DumpsterInvNr=13-L-137286", "13-L-137286")</f>
        <v>13-L-137286</v>
      </c>
      <c r="C3026">
        <v>0.24</v>
      </c>
      <c r="D3026" t="s">
        <v>4241</v>
      </c>
      <c r="E3026" t="s">
        <v>11</v>
      </c>
      <c r="G3026" t="s">
        <v>430</v>
      </c>
      <c r="H3026" t="s">
        <v>432</v>
      </c>
    </row>
    <row r="3027" spans="1:10" hidden="1" x14ac:dyDescent="0.25">
      <c r="A3027" t="s">
        <v>4240</v>
      </c>
      <c r="B3027" s="1" t="str">
        <f>HYPERLINK("https://asmlis.vasa.lt/Dashboard/Served?ServiceDateFrom=2025-11-24&amp;ServiceDateTo=2025-11-24&amp;DumpsterInvNr=13-L-128683", "13-L-128683")</f>
        <v>13-L-128683</v>
      </c>
      <c r="C3027">
        <v>0.24</v>
      </c>
      <c r="D3027" t="s">
        <v>4197</v>
      </c>
      <c r="E3027" t="s">
        <v>11</v>
      </c>
      <c r="G3027" t="s">
        <v>430</v>
      </c>
      <c r="H3027" t="s">
        <v>432</v>
      </c>
    </row>
    <row r="3028" spans="1:10" hidden="1" x14ac:dyDescent="0.25">
      <c r="A3028" t="s">
        <v>4240</v>
      </c>
      <c r="B3028" s="1" t="str">
        <f>HYPERLINK("https://asmlis.vasa.lt/Dashboard/Served?ServiceDateFrom=2025-11-24&amp;ServiceDateTo=2025-11-24&amp;DumpsterInvNr=13-P-302189", "13-P-302189")</f>
        <v>13-P-302189</v>
      </c>
      <c r="C3028">
        <v>1.1000000000000001</v>
      </c>
      <c r="D3028" t="s">
        <v>717</v>
      </c>
      <c r="E3028" t="s">
        <v>11</v>
      </c>
      <c r="F3028" t="s">
        <v>13</v>
      </c>
      <c r="G3028" t="s">
        <v>412</v>
      </c>
      <c r="H3028" t="s">
        <v>14</v>
      </c>
    </row>
    <row r="3029" spans="1:10" hidden="1" x14ac:dyDescent="0.25">
      <c r="A3029" t="s">
        <v>4242</v>
      </c>
      <c r="B3029" s="1" t="str">
        <f>HYPERLINK("https://asmlis.vasa.lt/Dashboard/Served?ServiceDateFrom=2025-11-24&amp;ServiceDateTo=2025-11-24&amp;DumpsterInvNr=13-S-206441", "13-S-206441")</f>
        <v>13-S-206441</v>
      </c>
      <c r="C3029">
        <v>0.12</v>
      </c>
      <c r="D3029" t="s">
        <v>4234</v>
      </c>
      <c r="E3029" t="s">
        <v>11</v>
      </c>
      <c r="G3029" t="s">
        <v>234</v>
      </c>
      <c r="H3029" t="s">
        <v>14</v>
      </c>
    </row>
    <row r="3030" spans="1:10" hidden="1" x14ac:dyDescent="0.25">
      <c r="A3030" t="s">
        <v>4243</v>
      </c>
      <c r="B3030" s="1" t="str">
        <f>HYPERLINK("https://asmlis.vasa.lt/Dashboard/Served?ServiceDateFrom=2025-11-24&amp;ServiceDateTo=2025-11-24&amp;DumpsterInvNr=13-L-310366", "13-L-310366")</f>
        <v>13-L-310366</v>
      </c>
      <c r="C3030">
        <v>1.1000000000000001</v>
      </c>
      <c r="D3030" t="s">
        <v>2828</v>
      </c>
      <c r="E3030" t="s">
        <v>11</v>
      </c>
      <c r="G3030" t="s">
        <v>9</v>
      </c>
      <c r="H3030" t="s">
        <v>14</v>
      </c>
    </row>
    <row r="3031" spans="1:10" hidden="1" x14ac:dyDescent="0.25">
      <c r="A3031" t="s">
        <v>4243</v>
      </c>
      <c r="B3031" s="1" t="str">
        <f>HYPERLINK("https://asmlis.vasa.lt/Dashboard/Served?ServiceDateFrom=2025-11-24&amp;ServiceDateTo=2025-11-24&amp;DumpsterInvNr=13-P-502940", "13-P-502940")</f>
        <v>13-P-502940</v>
      </c>
      <c r="C3031">
        <v>0.24</v>
      </c>
      <c r="D3031" t="s">
        <v>4241</v>
      </c>
      <c r="E3031" t="s">
        <v>11</v>
      </c>
      <c r="G3031" t="s">
        <v>2178</v>
      </c>
      <c r="H3031" t="s">
        <v>432</v>
      </c>
    </row>
    <row r="3032" spans="1:10" hidden="1" x14ac:dyDescent="0.25">
      <c r="A3032" t="s">
        <v>4044</v>
      </c>
      <c r="B3032" s="1" t="str">
        <f>HYPERLINK("https://asmlis.vasa.lt/Dashboard/Served?ServiceDateFrom=2025-11-24&amp;ServiceDateTo=2025-11-24&amp;DumpsterInvNr=13-P-501759", "13-P-501759")</f>
        <v>13-P-501759</v>
      </c>
      <c r="C3032">
        <v>4</v>
      </c>
      <c r="D3032" t="s">
        <v>4126</v>
      </c>
      <c r="E3032" t="s">
        <v>11</v>
      </c>
      <c r="F3032" t="s">
        <v>13</v>
      </c>
      <c r="G3032" t="s">
        <v>2178</v>
      </c>
      <c r="H3032" t="s">
        <v>432</v>
      </c>
    </row>
    <row r="3033" spans="1:10" hidden="1" x14ac:dyDescent="0.25">
      <c r="A3033" t="s">
        <v>4149</v>
      </c>
      <c r="B3033" s="1" t="str">
        <f>HYPERLINK("https://asmlis.vasa.lt/Dashboard/Served?ServiceDateFrom=2025-11-24&amp;ServiceDateTo=2025-11-24&amp;DumpsterInvNr=13-P-502939", "13-P-502939")</f>
        <v>13-P-502939</v>
      </c>
      <c r="C3033">
        <v>0.24</v>
      </c>
      <c r="D3033" t="s">
        <v>4180</v>
      </c>
      <c r="E3033" t="s">
        <v>11</v>
      </c>
      <c r="F3033" t="s">
        <v>1209</v>
      </c>
      <c r="G3033" t="s">
        <v>2178</v>
      </c>
      <c r="H3033" t="s">
        <v>432</v>
      </c>
    </row>
    <row r="3034" spans="1:10" x14ac:dyDescent="0.25">
      <c r="A3034" t="s">
        <v>4244</v>
      </c>
      <c r="B3034" s="1" t="str">
        <f>HYPERLINK("https://asmlis.vasa.lt/Dashboard/Served?ServiceDateFrom=2025-11-24&amp;ServiceDateTo=2025-11-24&amp;DumpsterInvNr=13-P-404434", "13-P-404434")</f>
        <v>13-P-404434</v>
      </c>
      <c r="C3034">
        <v>0.24</v>
      </c>
      <c r="D3034" t="s">
        <v>4245</v>
      </c>
      <c r="E3034" t="s">
        <v>11</v>
      </c>
      <c r="F3034" t="s">
        <v>1215</v>
      </c>
      <c r="G3034" t="s">
        <v>264</v>
      </c>
      <c r="H3034" t="s">
        <v>14</v>
      </c>
      <c r="J3034" t="s">
        <v>17511</v>
      </c>
    </row>
    <row r="3035" spans="1:10" x14ac:dyDescent="0.25">
      <c r="A3035" t="s">
        <v>4244</v>
      </c>
      <c r="B3035" s="1" t="str">
        <f>HYPERLINK("https://asmlis.vasa.lt/Dashboard/Served?ServiceDateFrom=2025-11-24&amp;ServiceDateTo=2025-11-24&amp;DumpsterInvNr=13-P-404438", "13-P-404438")</f>
        <v>13-P-404438</v>
      </c>
      <c r="C3035">
        <v>0.24</v>
      </c>
      <c r="D3035" t="s">
        <v>4247</v>
      </c>
      <c r="E3035" t="s">
        <v>11</v>
      </c>
      <c r="F3035" t="s">
        <v>1215</v>
      </c>
      <c r="G3035" t="s">
        <v>264</v>
      </c>
      <c r="H3035" t="s">
        <v>14</v>
      </c>
      <c r="J3035" t="s">
        <v>17511</v>
      </c>
    </row>
    <row r="3036" spans="1:10" x14ac:dyDescent="0.25">
      <c r="A3036" t="s">
        <v>4244</v>
      </c>
      <c r="B3036" s="1" t="str">
        <f>HYPERLINK("https://asmlis.vasa.lt/Dashboard/Served?ServiceDateFrom=2025-11-24&amp;ServiceDateTo=2025-11-24&amp;DumpsterInvNr=13-P-404439", "13-P-404439")</f>
        <v>13-P-404439</v>
      </c>
      <c r="C3036">
        <v>0.12</v>
      </c>
      <c r="D3036" t="s">
        <v>4248</v>
      </c>
      <c r="E3036" t="s">
        <v>11</v>
      </c>
      <c r="F3036" t="s">
        <v>1215</v>
      </c>
      <c r="G3036" t="s">
        <v>264</v>
      </c>
      <c r="H3036" t="s">
        <v>14</v>
      </c>
      <c r="J3036" t="s">
        <v>17511</v>
      </c>
    </row>
    <row r="3037" spans="1:10" x14ac:dyDescent="0.25">
      <c r="A3037" t="s">
        <v>4244</v>
      </c>
      <c r="B3037" s="1" t="str">
        <f>HYPERLINK("https://asmlis.vasa.lt/Dashboard/Served?ServiceDateFrom=2025-11-24&amp;ServiceDateTo=2025-11-24&amp;DumpsterInvNr=13-S-411717", "13-S-411717")</f>
        <v>13-S-411717</v>
      </c>
      <c r="C3037">
        <v>0.12</v>
      </c>
      <c r="D3037" t="s">
        <v>4245</v>
      </c>
      <c r="E3037" t="s">
        <v>11</v>
      </c>
      <c r="F3037" t="s">
        <v>1215</v>
      </c>
      <c r="G3037" t="s">
        <v>264</v>
      </c>
      <c r="H3037" t="s">
        <v>14</v>
      </c>
      <c r="J3037" t="s">
        <v>17511</v>
      </c>
    </row>
    <row r="3038" spans="1:10" x14ac:dyDescent="0.25">
      <c r="A3038" t="s">
        <v>4244</v>
      </c>
      <c r="B3038" s="1" t="str">
        <f>HYPERLINK("https://asmlis.vasa.lt/Dashboard/Served?ServiceDateFrom=2025-11-24&amp;ServiceDateTo=2025-11-24&amp;DumpsterInvNr=13-S-411712", "13-S-411712")</f>
        <v>13-S-411712</v>
      </c>
      <c r="C3038">
        <v>0.12</v>
      </c>
      <c r="D3038" t="s">
        <v>4247</v>
      </c>
      <c r="E3038" t="s">
        <v>11</v>
      </c>
      <c r="F3038" t="s">
        <v>1215</v>
      </c>
      <c r="G3038" t="s">
        <v>264</v>
      </c>
      <c r="H3038" t="s">
        <v>14</v>
      </c>
      <c r="J3038" t="s">
        <v>17511</v>
      </c>
    </row>
    <row r="3039" spans="1:10" x14ac:dyDescent="0.25">
      <c r="A3039" t="s">
        <v>4244</v>
      </c>
      <c r="B3039" s="1" t="str">
        <f>HYPERLINK("https://asmlis.vasa.lt/Dashboard/Served?ServiceDateFrom=2025-11-24&amp;ServiceDateTo=2025-11-24&amp;DumpsterInvNr=13-S-408503", "13-S-408503")</f>
        <v>13-S-408503</v>
      </c>
      <c r="C3039">
        <v>0.12</v>
      </c>
      <c r="D3039" t="s">
        <v>4249</v>
      </c>
      <c r="E3039" t="s">
        <v>11</v>
      </c>
      <c r="F3039" t="s">
        <v>1215</v>
      </c>
      <c r="G3039" t="s">
        <v>264</v>
      </c>
      <c r="H3039" t="s">
        <v>14</v>
      </c>
      <c r="J3039" t="s">
        <v>17511</v>
      </c>
    </row>
    <row r="3040" spans="1:10" x14ac:dyDescent="0.25">
      <c r="A3040" t="s">
        <v>4244</v>
      </c>
      <c r="B3040" s="1" t="str">
        <f>HYPERLINK("https://asmlis.vasa.lt/Dashboard/Served?ServiceDateFrom=2025-11-24&amp;ServiceDateTo=2025-11-24&amp;DumpsterInvNr=13-P-435018", "13-P-435018")</f>
        <v>13-P-435018</v>
      </c>
      <c r="C3040">
        <v>0.24</v>
      </c>
      <c r="D3040" t="s">
        <v>4250</v>
      </c>
      <c r="E3040" t="s">
        <v>11</v>
      </c>
      <c r="F3040" t="s">
        <v>1215</v>
      </c>
      <c r="G3040" t="s">
        <v>264</v>
      </c>
      <c r="H3040" t="s">
        <v>14</v>
      </c>
      <c r="J3040" t="s">
        <v>17511</v>
      </c>
    </row>
    <row r="3041" spans="1:10" x14ac:dyDescent="0.25">
      <c r="A3041" t="s">
        <v>4244</v>
      </c>
      <c r="B3041" s="1" t="str">
        <f>HYPERLINK("https://asmlis.vasa.lt/Dashboard/Served?ServiceDateFrom=2025-11-24&amp;ServiceDateTo=2025-11-24&amp;DumpsterInvNr=13-P-408712", "13-P-408712")</f>
        <v>13-P-408712</v>
      </c>
      <c r="C3041">
        <v>0.12</v>
      </c>
      <c r="D3041" t="s">
        <v>4249</v>
      </c>
      <c r="E3041" t="s">
        <v>11</v>
      </c>
      <c r="F3041" t="s">
        <v>1215</v>
      </c>
      <c r="G3041" t="s">
        <v>264</v>
      </c>
      <c r="H3041" t="s">
        <v>14</v>
      </c>
      <c r="J3041" t="s">
        <v>17511</v>
      </c>
    </row>
    <row r="3042" spans="1:10" x14ac:dyDescent="0.25">
      <c r="A3042" t="s">
        <v>4244</v>
      </c>
      <c r="B3042" s="1" t="str">
        <f>HYPERLINK("https://asmlis.vasa.lt/Dashboard/Served?ServiceDateFrom=2025-11-24&amp;ServiceDateTo=2025-11-24&amp;DumpsterInvNr=13-P-402468", "13-P-402468")</f>
        <v>13-P-402468</v>
      </c>
      <c r="C3042">
        <v>0.24</v>
      </c>
      <c r="D3042" t="s">
        <v>4251</v>
      </c>
      <c r="E3042" t="s">
        <v>11</v>
      </c>
      <c r="F3042" t="s">
        <v>1215</v>
      </c>
      <c r="G3042" t="s">
        <v>264</v>
      </c>
      <c r="H3042" t="s">
        <v>14</v>
      </c>
      <c r="J3042" t="s">
        <v>17511</v>
      </c>
    </row>
    <row r="3043" spans="1:10" x14ac:dyDescent="0.25">
      <c r="A3043" t="s">
        <v>4244</v>
      </c>
      <c r="B3043" s="1" t="str">
        <f>HYPERLINK("https://asmlis.vasa.lt/Dashboard/Served?ServiceDateFrom=2025-11-24&amp;ServiceDateTo=2025-11-24&amp;DumpsterInvNr=13-S-410093", "13-S-410093")</f>
        <v>13-S-410093</v>
      </c>
      <c r="C3043">
        <v>0.12</v>
      </c>
      <c r="D3043" t="s">
        <v>4251</v>
      </c>
      <c r="E3043" t="s">
        <v>11</v>
      </c>
      <c r="F3043" t="s">
        <v>1215</v>
      </c>
      <c r="G3043" t="s">
        <v>264</v>
      </c>
      <c r="H3043" t="s">
        <v>14</v>
      </c>
      <c r="J3043" t="s">
        <v>17511</v>
      </c>
    </row>
    <row r="3044" spans="1:10" hidden="1" x14ac:dyDescent="0.25">
      <c r="A3044" t="s">
        <v>4252</v>
      </c>
      <c r="B3044" s="1" t="str">
        <f>HYPERLINK("https://asmlis.vasa.lt/Dashboard/Served?ServiceDateFrom=2025-11-24&amp;ServiceDateTo=2025-11-24&amp;DumpsterInvNr=13-L-424050", "13-L-424050")</f>
        <v>13-L-424050</v>
      </c>
      <c r="C3044">
        <v>1.1000000000000001</v>
      </c>
      <c r="D3044" t="s">
        <v>4221</v>
      </c>
      <c r="E3044" t="s">
        <v>11</v>
      </c>
      <c r="G3044" t="s">
        <v>74</v>
      </c>
      <c r="H3044" t="s">
        <v>14</v>
      </c>
    </row>
    <row r="3045" spans="1:10" hidden="1" x14ac:dyDescent="0.25">
      <c r="A3045" t="s">
        <v>4253</v>
      </c>
      <c r="B3045" s="1" t="str">
        <f>HYPERLINK("https://asmlis.vasa.lt/Dashboard/Served?ServiceDateFrom=2025-11-24&amp;ServiceDateTo=2025-11-24&amp;DumpsterInvNr=13-P-305447", "13-P-305447")</f>
        <v>13-P-305447</v>
      </c>
      <c r="C3045">
        <v>2.5</v>
      </c>
      <c r="D3045" t="s">
        <v>4254</v>
      </c>
      <c r="E3045" t="s">
        <v>11</v>
      </c>
      <c r="G3045" t="s">
        <v>412</v>
      </c>
      <c r="H3045" t="s">
        <v>14</v>
      </c>
    </row>
    <row r="3046" spans="1:10" hidden="1" x14ac:dyDescent="0.25">
      <c r="A3046" t="s">
        <v>4255</v>
      </c>
      <c r="B3046" s="1" t="str">
        <f>HYPERLINK("https://asmlis.vasa.lt/Dashboard/Served?ServiceDateFrom=2025-11-24&amp;ServiceDateTo=2025-11-24&amp;DumpsterInvNr=13-L-128032", "13-L-128032")</f>
        <v>13-L-128032</v>
      </c>
      <c r="C3046">
        <v>0.12</v>
      </c>
      <c r="D3046" t="s">
        <v>4256</v>
      </c>
      <c r="E3046" t="s">
        <v>11</v>
      </c>
      <c r="G3046" t="s">
        <v>430</v>
      </c>
      <c r="H3046" t="s">
        <v>432</v>
      </c>
    </row>
    <row r="3047" spans="1:10" hidden="1" x14ac:dyDescent="0.25">
      <c r="A3047" t="s">
        <v>4255</v>
      </c>
      <c r="B3047" s="1" t="str">
        <f>HYPERLINK("https://asmlis.vasa.lt/Dashboard/Served?ServiceDateFrom=2025-11-24&amp;ServiceDateTo=2025-11-24&amp;DumpsterInvNr=13-S-503680", "13-S-503680")</f>
        <v>13-S-503680</v>
      </c>
      <c r="C3047">
        <v>0.12</v>
      </c>
      <c r="D3047" t="s">
        <v>4257</v>
      </c>
      <c r="E3047" t="s">
        <v>11</v>
      </c>
      <c r="G3047" t="s">
        <v>2178</v>
      </c>
      <c r="H3047" t="s">
        <v>432</v>
      </c>
    </row>
    <row r="3048" spans="1:10" hidden="1" x14ac:dyDescent="0.25">
      <c r="A3048" t="s">
        <v>2856</v>
      </c>
      <c r="B3048" s="1" t="str">
        <f>HYPERLINK("https://asmlis.vasa.lt/Dashboard/Served?ServiceDateFrom=2025-11-24&amp;ServiceDateTo=2025-11-24&amp;DumpsterInvNr=13-P-500507", "13-P-500507")</f>
        <v>13-P-500507</v>
      </c>
      <c r="C3048">
        <v>5</v>
      </c>
      <c r="D3048" t="s">
        <v>4259</v>
      </c>
      <c r="E3048" t="s">
        <v>11</v>
      </c>
      <c r="F3048" t="s">
        <v>13</v>
      </c>
      <c r="G3048" t="s">
        <v>2178</v>
      </c>
      <c r="H3048" t="s">
        <v>432</v>
      </c>
    </row>
    <row r="3049" spans="1:10" hidden="1" x14ac:dyDescent="0.25">
      <c r="A3049" t="s">
        <v>2894</v>
      </c>
      <c r="B3049" s="1" t="str">
        <f>HYPERLINK("https://asmlis.vasa.lt/Dashboard/Served?ServiceDateFrom=2025-11-24&amp;ServiceDateTo=2025-11-24&amp;DumpsterInvNr=13-P-115612", "13-P-115612")</f>
        <v>13-P-115612</v>
      </c>
      <c r="C3049">
        <v>1.1000000000000001</v>
      </c>
      <c r="D3049" t="s">
        <v>4260</v>
      </c>
      <c r="E3049" t="s">
        <v>11</v>
      </c>
      <c r="G3049" t="s">
        <v>1917</v>
      </c>
      <c r="H3049" t="s">
        <v>432</v>
      </c>
    </row>
    <row r="3050" spans="1:10" hidden="1" x14ac:dyDescent="0.25">
      <c r="A3050" t="s">
        <v>4261</v>
      </c>
      <c r="B3050" s="1" t="str">
        <f>HYPERLINK("https://asmlis.vasa.lt/Dashboard/Served?ServiceDateFrom=2025-11-24&amp;ServiceDateTo=2025-11-24&amp;DumpsterInvNr=13-P-502944", "13-P-502944")</f>
        <v>13-P-502944</v>
      </c>
      <c r="C3050">
        <v>0.24</v>
      </c>
      <c r="D3050" t="s">
        <v>4256</v>
      </c>
      <c r="E3050" t="s">
        <v>11</v>
      </c>
      <c r="G3050" t="s">
        <v>2178</v>
      </c>
      <c r="H3050" t="s">
        <v>432</v>
      </c>
    </row>
    <row r="3051" spans="1:10" hidden="1" x14ac:dyDescent="0.25">
      <c r="A3051" t="s">
        <v>4262</v>
      </c>
      <c r="B3051" s="1" t="str">
        <f>HYPERLINK("https://asmlis.vasa.lt/Dashboard/Served?ServiceDateFrom=2025-11-24&amp;ServiceDateTo=2025-11-24&amp;DumpsterInvNr=13-L-416090", "13-L-416090")</f>
        <v>13-L-416090</v>
      </c>
      <c r="C3051">
        <v>1.1000000000000001</v>
      </c>
      <c r="D3051" t="s">
        <v>4175</v>
      </c>
      <c r="E3051" t="s">
        <v>11</v>
      </c>
      <c r="G3051" t="s">
        <v>74</v>
      </c>
      <c r="H3051" t="s">
        <v>14</v>
      </c>
    </row>
    <row r="3052" spans="1:10" hidden="1" x14ac:dyDescent="0.25">
      <c r="A3052" t="s">
        <v>4263</v>
      </c>
      <c r="B3052" s="1" t="str">
        <f>HYPERLINK("https://asmlis.vasa.lt/Dashboard/Served?ServiceDateFrom=2025-11-24&amp;ServiceDateTo=2025-11-24&amp;DumpsterInvNr=13-S-503666", "13-S-503666")</f>
        <v>13-S-503666</v>
      </c>
      <c r="C3052">
        <v>0.12</v>
      </c>
      <c r="D3052" t="s">
        <v>4241</v>
      </c>
      <c r="E3052" t="s">
        <v>11</v>
      </c>
      <c r="F3052" t="s">
        <v>1209</v>
      </c>
      <c r="G3052" t="s">
        <v>2178</v>
      </c>
      <c r="H3052" t="s">
        <v>432</v>
      </c>
    </row>
    <row r="3053" spans="1:10" hidden="1" x14ac:dyDescent="0.25">
      <c r="A3053" t="s">
        <v>4264</v>
      </c>
      <c r="B3053" s="1" t="str">
        <f>HYPERLINK("https://asmlis.vasa.lt/Dashboard/Served?ServiceDateFrom=2025-11-24&amp;ServiceDateTo=2025-11-24&amp;DumpsterInvNr=13-P-402014", "13-P-402014")</f>
        <v>13-P-402014</v>
      </c>
      <c r="C3053">
        <v>0.24</v>
      </c>
      <c r="D3053" t="s">
        <v>4265</v>
      </c>
      <c r="E3053" t="s">
        <v>11</v>
      </c>
      <c r="G3053" t="s">
        <v>264</v>
      </c>
      <c r="H3053" t="s">
        <v>14</v>
      </c>
    </row>
    <row r="3054" spans="1:10" hidden="1" x14ac:dyDescent="0.25">
      <c r="A3054" t="s">
        <v>4266</v>
      </c>
      <c r="B3054" s="1" t="str">
        <f>HYPERLINK("https://asmlis.vasa.lt/Dashboard/Served?ServiceDateFrom=2025-11-24&amp;ServiceDateTo=2025-11-24&amp;DumpsterInvNr=13-L-312789", "13-L-312789")</f>
        <v>13-L-312789</v>
      </c>
      <c r="C3054">
        <v>1.1000000000000001</v>
      </c>
      <c r="D3054" t="s">
        <v>2828</v>
      </c>
      <c r="E3054" t="s">
        <v>11</v>
      </c>
      <c r="G3054" t="s">
        <v>9</v>
      </c>
      <c r="H3054" t="s">
        <v>14</v>
      </c>
    </row>
    <row r="3055" spans="1:10" hidden="1" x14ac:dyDescent="0.25">
      <c r="A3055" t="s">
        <v>4267</v>
      </c>
      <c r="B3055" s="1" t="str">
        <f>HYPERLINK("https://asmlis.vasa.lt/Dashboard/Served?ServiceDateFrom=2025-11-24&amp;ServiceDateTo=2025-11-24&amp;DumpsterInvNr=13-L-104681", "13-L-104681")</f>
        <v>13-L-104681</v>
      </c>
      <c r="C3055">
        <v>1.1000000000000001</v>
      </c>
      <c r="D3055" t="s">
        <v>4268</v>
      </c>
      <c r="E3055" t="s">
        <v>11</v>
      </c>
      <c r="G3055" t="s">
        <v>430</v>
      </c>
      <c r="H3055" t="s">
        <v>432</v>
      </c>
    </row>
    <row r="3056" spans="1:10" hidden="1" x14ac:dyDescent="0.25">
      <c r="A3056" t="s">
        <v>4267</v>
      </c>
      <c r="B3056" s="1" t="str">
        <f>HYPERLINK("https://asmlis.vasa.lt/Dashboard/Served?ServiceDateFrom=2025-11-24&amp;ServiceDateTo=2025-11-24&amp;DumpsterInvNr=13-P-402075", "13-P-402075")</f>
        <v>13-P-402075</v>
      </c>
      <c r="C3056">
        <v>0.24</v>
      </c>
      <c r="D3056" t="s">
        <v>4269</v>
      </c>
      <c r="E3056" t="s">
        <v>11</v>
      </c>
      <c r="G3056" t="s">
        <v>264</v>
      </c>
      <c r="H3056" t="s">
        <v>14</v>
      </c>
    </row>
    <row r="3057" spans="1:8" hidden="1" x14ac:dyDescent="0.25">
      <c r="A3057" t="s">
        <v>4270</v>
      </c>
      <c r="B3057" s="1" t="str">
        <f>HYPERLINK("https://asmlis.vasa.lt/Dashboard/Served?ServiceDateFrom=2025-11-24&amp;ServiceDateTo=2025-11-24&amp;DumpsterInvNr=13-L-136009", "13-L-136009")</f>
        <v>13-L-136009</v>
      </c>
      <c r="C3057">
        <v>1.1000000000000001</v>
      </c>
      <c r="D3057" t="s">
        <v>4271</v>
      </c>
      <c r="E3057" t="s">
        <v>11</v>
      </c>
      <c r="G3057" t="s">
        <v>430</v>
      </c>
      <c r="H3057" t="s">
        <v>432</v>
      </c>
    </row>
    <row r="3058" spans="1:8" hidden="1" x14ac:dyDescent="0.25">
      <c r="A3058" t="s">
        <v>4272</v>
      </c>
      <c r="B3058" s="1" t="str">
        <f>HYPERLINK("https://asmlis.vasa.lt/Dashboard/Served?ServiceDateFrom=2025-11-24&amp;ServiceDateTo=2025-11-24&amp;DumpsterInvNr=13-L-138859", "13-L-138859")</f>
        <v>13-L-138859</v>
      </c>
      <c r="C3058">
        <v>5</v>
      </c>
      <c r="D3058" t="s">
        <v>4273</v>
      </c>
      <c r="E3058" t="s">
        <v>11</v>
      </c>
      <c r="F3058" t="s">
        <v>13</v>
      </c>
      <c r="G3058" t="s">
        <v>430</v>
      </c>
      <c r="H3058" t="s">
        <v>432</v>
      </c>
    </row>
    <row r="3059" spans="1:8" hidden="1" x14ac:dyDescent="0.25">
      <c r="A3059" t="s">
        <v>4272</v>
      </c>
      <c r="B3059" s="1" t="str">
        <f>HYPERLINK("https://asmlis.vasa.lt/Dashboard/Served?ServiceDateFrom=2025-11-24&amp;ServiceDateTo=2025-11-24&amp;DumpsterInvNr=13-P-210843", "13-P-210843")</f>
        <v>13-P-210843</v>
      </c>
      <c r="C3059">
        <v>0.24</v>
      </c>
      <c r="D3059" t="s">
        <v>4274</v>
      </c>
      <c r="E3059" t="s">
        <v>11</v>
      </c>
      <c r="G3059" t="s">
        <v>234</v>
      </c>
      <c r="H3059" t="s">
        <v>14</v>
      </c>
    </row>
    <row r="3060" spans="1:8" hidden="1" x14ac:dyDescent="0.25">
      <c r="A3060" t="s">
        <v>4275</v>
      </c>
      <c r="B3060" s="1" t="str">
        <f>HYPERLINK("https://asmlis.vasa.lt/Dashboard/Served?ServiceDateFrom=2025-11-24&amp;ServiceDateTo=2025-11-24&amp;DumpsterInvNr=13-P-412324", "13-P-412324")</f>
        <v>13-P-412324</v>
      </c>
      <c r="C3060">
        <v>2.5</v>
      </c>
      <c r="D3060" t="s">
        <v>4276</v>
      </c>
      <c r="E3060" t="s">
        <v>11</v>
      </c>
      <c r="F3060" t="s">
        <v>13</v>
      </c>
      <c r="G3060" t="s">
        <v>264</v>
      </c>
      <c r="H3060" t="s">
        <v>14</v>
      </c>
    </row>
    <row r="3061" spans="1:8" hidden="1" x14ac:dyDescent="0.25">
      <c r="A3061" t="s">
        <v>4277</v>
      </c>
      <c r="B3061" s="1" t="str">
        <f>HYPERLINK("https://asmlis.vasa.lt/Dashboard/Served?ServiceDateFrom=2025-11-24&amp;ServiceDateTo=2025-11-24&amp;DumpsterInvNr=13-L-316521", "13-L-316521")</f>
        <v>13-L-316521</v>
      </c>
      <c r="C3061">
        <v>5</v>
      </c>
      <c r="D3061" t="s">
        <v>809</v>
      </c>
      <c r="E3061" t="s">
        <v>11</v>
      </c>
      <c r="F3061" t="s">
        <v>13</v>
      </c>
      <c r="G3061" t="s">
        <v>9</v>
      </c>
      <c r="H3061" t="s">
        <v>14</v>
      </c>
    </row>
    <row r="3062" spans="1:8" hidden="1" x14ac:dyDescent="0.25">
      <c r="A3062" t="s">
        <v>4278</v>
      </c>
      <c r="B3062" s="1" t="str">
        <f>HYPERLINK("https://asmlis.vasa.lt/Dashboard/Served?ServiceDateFrom=2025-11-24&amp;ServiceDateTo=2025-11-24&amp;DumpsterInvNr=13-P-502066", "13-P-502066")</f>
        <v>13-P-502066</v>
      </c>
      <c r="C3062">
        <v>0.24</v>
      </c>
      <c r="D3062" t="s">
        <v>4257</v>
      </c>
      <c r="E3062" t="s">
        <v>11</v>
      </c>
      <c r="G3062" t="s">
        <v>2178</v>
      </c>
      <c r="H3062" t="s">
        <v>432</v>
      </c>
    </row>
    <row r="3063" spans="1:8" hidden="1" x14ac:dyDescent="0.25">
      <c r="A3063" t="s">
        <v>4279</v>
      </c>
      <c r="B3063" s="1" t="str">
        <f>HYPERLINK("https://asmlis.vasa.lt/Dashboard/Served?ServiceDateFrom=2025-11-24&amp;ServiceDateTo=2025-11-24&amp;DumpsterInvNr=13-L-116821", "13-L-116821")</f>
        <v>13-L-116821</v>
      </c>
      <c r="C3063">
        <v>1.1000000000000001</v>
      </c>
      <c r="D3063" t="s">
        <v>4271</v>
      </c>
      <c r="E3063" t="s">
        <v>11</v>
      </c>
      <c r="G3063" t="s">
        <v>430</v>
      </c>
      <c r="H3063" t="s">
        <v>432</v>
      </c>
    </row>
    <row r="3064" spans="1:8" hidden="1" x14ac:dyDescent="0.25">
      <c r="A3064" t="s">
        <v>4280</v>
      </c>
      <c r="B3064" s="1" t="str">
        <f>HYPERLINK("https://asmlis.vasa.lt/Dashboard/Served?ServiceDateFrom=2025-11-24&amp;ServiceDateTo=2025-11-24&amp;DumpsterInvNr=13-L-140562", "13-L-140562")</f>
        <v>13-L-140562</v>
      </c>
      <c r="C3064">
        <v>0.24</v>
      </c>
      <c r="D3064" t="s">
        <v>4257</v>
      </c>
      <c r="E3064" t="s">
        <v>11</v>
      </c>
      <c r="G3064" t="s">
        <v>430</v>
      </c>
      <c r="H3064" t="s">
        <v>432</v>
      </c>
    </row>
    <row r="3065" spans="1:8" hidden="1" x14ac:dyDescent="0.25">
      <c r="A3065" t="s">
        <v>4281</v>
      </c>
      <c r="B3065" s="1" t="str">
        <f>HYPERLINK("https://asmlis.vasa.lt/Dashboard/Served?ServiceDateFrom=2025-11-24&amp;ServiceDateTo=2025-11-24&amp;DumpsterInvNr=13-P-300673", "13-P-300673")</f>
        <v>13-P-300673</v>
      </c>
      <c r="C3065">
        <v>1.1000000000000001</v>
      </c>
      <c r="D3065" t="s">
        <v>4282</v>
      </c>
      <c r="E3065" t="s">
        <v>11</v>
      </c>
      <c r="F3065" t="s">
        <v>13</v>
      </c>
      <c r="G3065" t="s">
        <v>412</v>
      </c>
      <c r="H3065" t="s">
        <v>14</v>
      </c>
    </row>
    <row r="3066" spans="1:8" hidden="1" x14ac:dyDescent="0.25">
      <c r="A3066" t="s">
        <v>4283</v>
      </c>
      <c r="B3066" s="1" t="str">
        <f>HYPERLINK("https://asmlis.vasa.lt/Dashboard/Served?ServiceDateFrom=2025-11-24&amp;ServiceDateTo=2025-11-24&amp;DumpsterInvNr=13-L-318133", "13-L-318133")</f>
        <v>13-L-318133</v>
      </c>
      <c r="C3066">
        <v>0.77</v>
      </c>
      <c r="D3066" t="s">
        <v>4285</v>
      </c>
      <c r="E3066" t="s">
        <v>11</v>
      </c>
      <c r="F3066" t="s">
        <v>13</v>
      </c>
      <c r="G3066" t="s">
        <v>9</v>
      </c>
      <c r="H3066" t="s">
        <v>14</v>
      </c>
    </row>
    <row r="3067" spans="1:8" hidden="1" x14ac:dyDescent="0.25">
      <c r="A3067" t="s">
        <v>4286</v>
      </c>
      <c r="B3067" s="1" t="str">
        <f>HYPERLINK("https://asmlis.vasa.lt/Dashboard/Served?ServiceDateFrom=2025-11-24&amp;ServiceDateTo=2025-11-24&amp;DumpsterInvNr=13-L-138930", "13-L-138930")</f>
        <v>13-L-138930</v>
      </c>
      <c r="C3067">
        <v>1.1000000000000001</v>
      </c>
      <c r="D3067" t="s">
        <v>4268</v>
      </c>
      <c r="E3067" t="s">
        <v>11</v>
      </c>
      <c r="G3067" t="s">
        <v>430</v>
      </c>
      <c r="H3067" t="s">
        <v>432</v>
      </c>
    </row>
    <row r="3068" spans="1:8" hidden="1" x14ac:dyDescent="0.25">
      <c r="A3068" t="s">
        <v>4286</v>
      </c>
      <c r="B3068" s="1" t="str">
        <f>HYPERLINK("https://asmlis.vasa.lt/Dashboard/Served?ServiceDateFrom=2025-11-24&amp;ServiceDateTo=2025-11-24&amp;DumpsterInvNr=13-L-147383", "13-L-147383")</f>
        <v>13-L-147383</v>
      </c>
      <c r="C3068">
        <v>1.1000000000000001</v>
      </c>
      <c r="D3068" t="s">
        <v>4287</v>
      </c>
      <c r="E3068" t="s">
        <v>11</v>
      </c>
      <c r="G3068" t="s">
        <v>1912</v>
      </c>
      <c r="H3068" t="s">
        <v>432</v>
      </c>
    </row>
    <row r="3069" spans="1:8" hidden="1" x14ac:dyDescent="0.25">
      <c r="A3069" t="s">
        <v>4288</v>
      </c>
      <c r="B3069" s="1" t="str">
        <f>HYPERLINK("https://asmlis.vasa.lt/Dashboard/Served?ServiceDateFrom=2025-11-24&amp;ServiceDateTo=2025-11-24&amp;DumpsterInvNr=13-L-317217", "13-L-317217")</f>
        <v>13-L-317217</v>
      </c>
      <c r="C3069">
        <v>1.1000000000000001</v>
      </c>
      <c r="D3069" t="s">
        <v>2322</v>
      </c>
      <c r="E3069" t="s">
        <v>11</v>
      </c>
      <c r="G3069" t="s">
        <v>9</v>
      </c>
      <c r="H3069" t="s">
        <v>14</v>
      </c>
    </row>
    <row r="3070" spans="1:8" hidden="1" x14ac:dyDescent="0.25">
      <c r="A3070" t="s">
        <v>4289</v>
      </c>
      <c r="B3070" s="1" t="str">
        <f>HYPERLINK("https://asmlis.vasa.lt/Dashboard/Served?ServiceDateFrom=2025-11-24&amp;ServiceDateTo=2025-11-24&amp;DumpsterInvNr=13-L-314468", "13-L-314468")</f>
        <v>13-L-314468</v>
      </c>
      <c r="C3070">
        <v>0.24</v>
      </c>
      <c r="D3070" t="s">
        <v>4190</v>
      </c>
      <c r="E3070" t="s">
        <v>11</v>
      </c>
      <c r="F3070" t="s">
        <v>13</v>
      </c>
      <c r="G3070" t="s">
        <v>9</v>
      </c>
      <c r="H3070" t="s">
        <v>14</v>
      </c>
    </row>
    <row r="3071" spans="1:8" hidden="1" x14ac:dyDescent="0.25">
      <c r="A3071" t="s">
        <v>4290</v>
      </c>
      <c r="B3071" s="1" t="str">
        <f>HYPERLINK("https://asmlis.vasa.lt/Dashboard/Served?ServiceDateFrom=2025-11-24&amp;ServiceDateTo=2025-11-24&amp;DumpsterInvNr=13-L-317216", "13-L-317216")</f>
        <v>13-L-317216</v>
      </c>
      <c r="C3071">
        <v>1.1000000000000001</v>
      </c>
      <c r="D3071" t="s">
        <v>2322</v>
      </c>
      <c r="E3071" t="s">
        <v>11</v>
      </c>
      <c r="G3071" t="s">
        <v>9</v>
      </c>
      <c r="H3071" t="s">
        <v>14</v>
      </c>
    </row>
    <row r="3072" spans="1:8" hidden="1" x14ac:dyDescent="0.25">
      <c r="A3072" t="s">
        <v>4291</v>
      </c>
      <c r="B3072" s="1" t="str">
        <f>HYPERLINK("https://asmlis.vasa.lt/Dashboard/Served?ServiceDateFrom=2025-11-24&amp;ServiceDateTo=2025-11-24&amp;DumpsterInvNr=13-L-136008", "13-L-136008")</f>
        <v>13-L-136008</v>
      </c>
      <c r="C3072">
        <v>1.1000000000000001</v>
      </c>
      <c r="D3072" t="s">
        <v>4271</v>
      </c>
      <c r="E3072" t="s">
        <v>11</v>
      </c>
      <c r="G3072" t="s">
        <v>430</v>
      </c>
      <c r="H3072" t="s">
        <v>432</v>
      </c>
    </row>
    <row r="3073" spans="1:8" hidden="1" x14ac:dyDescent="0.25">
      <c r="A3073" t="s">
        <v>4292</v>
      </c>
      <c r="B3073" s="1" t="str">
        <f>HYPERLINK("https://asmlis.vasa.lt/Dashboard/Served?ServiceDateFrom=2025-11-24&amp;ServiceDateTo=2025-11-24&amp;DumpsterInvNr=13-L-310859", "13-L-310859")</f>
        <v>13-L-310859</v>
      </c>
      <c r="C3073">
        <v>0.24</v>
      </c>
      <c r="D3073" t="s">
        <v>4190</v>
      </c>
      <c r="E3073" t="s">
        <v>11</v>
      </c>
      <c r="F3073" t="s">
        <v>13</v>
      </c>
      <c r="G3073" t="s">
        <v>9</v>
      </c>
      <c r="H3073" t="s">
        <v>14</v>
      </c>
    </row>
    <row r="3074" spans="1:8" hidden="1" x14ac:dyDescent="0.25">
      <c r="A3074" t="s">
        <v>4293</v>
      </c>
      <c r="B3074" s="1" t="str">
        <f>HYPERLINK("https://asmlis.vasa.lt/Dashboard/Served?ServiceDateFrom=2025-11-24&amp;ServiceDateTo=2025-11-24&amp;DumpsterInvNr=13-P-305448", "13-P-305448")</f>
        <v>13-P-305448</v>
      </c>
      <c r="C3074">
        <v>2.5</v>
      </c>
      <c r="D3074" t="s">
        <v>4254</v>
      </c>
      <c r="E3074" t="s">
        <v>11</v>
      </c>
      <c r="F3074" t="s">
        <v>13</v>
      </c>
      <c r="G3074" t="s">
        <v>412</v>
      </c>
      <c r="H3074" t="s">
        <v>14</v>
      </c>
    </row>
    <row r="3075" spans="1:8" hidden="1" x14ac:dyDescent="0.25">
      <c r="A3075" t="s">
        <v>4294</v>
      </c>
      <c r="B3075" s="1" t="str">
        <f>HYPERLINK("https://asmlis.vasa.lt/Dashboard/Served?ServiceDateFrom=2025-11-24&amp;ServiceDateTo=2025-11-24&amp;DumpsterInvNr=13-L-142003", "13-L-142003")</f>
        <v>13-L-142003</v>
      </c>
      <c r="C3075">
        <v>0.24</v>
      </c>
      <c r="D3075" t="s">
        <v>4295</v>
      </c>
      <c r="E3075" t="s">
        <v>11</v>
      </c>
      <c r="G3075" t="s">
        <v>430</v>
      </c>
      <c r="H3075" t="s">
        <v>432</v>
      </c>
    </row>
    <row r="3076" spans="1:8" hidden="1" x14ac:dyDescent="0.25">
      <c r="A3076" t="s">
        <v>4294</v>
      </c>
      <c r="B3076" s="1" t="str">
        <f>HYPERLINK("https://asmlis.vasa.lt/Dashboard/Served?ServiceDateFrom=2025-11-24&amp;ServiceDateTo=2025-11-24&amp;DumpsterInvNr=13-P-502949", "13-P-502949")</f>
        <v>13-P-502949</v>
      </c>
      <c r="C3076">
        <v>0.24</v>
      </c>
      <c r="D3076" t="s">
        <v>4295</v>
      </c>
      <c r="E3076" t="s">
        <v>11</v>
      </c>
      <c r="G3076" t="s">
        <v>2178</v>
      </c>
      <c r="H3076" t="s">
        <v>432</v>
      </c>
    </row>
    <row r="3077" spans="1:8" hidden="1" x14ac:dyDescent="0.25">
      <c r="A3077" t="s">
        <v>4296</v>
      </c>
      <c r="B3077" s="1" t="str">
        <f>HYPERLINK("https://asmlis.vasa.lt/Dashboard/Served?ServiceDateFrom=2025-11-24&amp;ServiceDateTo=2025-11-24&amp;DumpsterInvNr=13-P-404441", "13-P-404441")</f>
        <v>13-P-404441</v>
      </c>
      <c r="C3077">
        <v>0.24</v>
      </c>
      <c r="D3077" t="s">
        <v>4297</v>
      </c>
      <c r="E3077" t="s">
        <v>11</v>
      </c>
      <c r="G3077" t="s">
        <v>264</v>
      </c>
      <c r="H3077" t="s">
        <v>14</v>
      </c>
    </row>
    <row r="3078" spans="1:8" hidden="1" x14ac:dyDescent="0.25">
      <c r="A3078" t="s">
        <v>4296</v>
      </c>
      <c r="B3078" s="1" t="str">
        <f>HYPERLINK("https://asmlis.vasa.lt/Dashboard/Served?ServiceDateFrom=2025-11-24&amp;ServiceDateTo=2025-11-24&amp;DumpsterInvNr=13-P-115613", "13-P-115613")</f>
        <v>13-P-115613</v>
      </c>
      <c r="C3078">
        <v>1.1000000000000001</v>
      </c>
      <c r="D3078" t="s">
        <v>4298</v>
      </c>
      <c r="E3078" t="s">
        <v>11</v>
      </c>
      <c r="G3078" t="s">
        <v>1917</v>
      </c>
      <c r="H3078" t="s">
        <v>432</v>
      </c>
    </row>
    <row r="3079" spans="1:8" hidden="1" x14ac:dyDescent="0.25">
      <c r="A3079" t="s">
        <v>4299</v>
      </c>
      <c r="B3079" s="1" t="str">
        <f>HYPERLINK("https://asmlis.vasa.lt/Dashboard/Served?ServiceDateFrom=2025-11-24&amp;ServiceDateTo=2025-11-24&amp;DumpsterInvNr=13-L-215883", "13-L-215883")</f>
        <v>13-L-215883</v>
      </c>
      <c r="C3079">
        <v>5</v>
      </c>
      <c r="D3079" t="s">
        <v>4300</v>
      </c>
      <c r="E3079" t="s">
        <v>11</v>
      </c>
      <c r="G3079" t="s">
        <v>936</v>
      </c>
      <c r="H3079" t="s">
        <v>938</v>
      </c>
    </row>
    <row r="3080" spans="1:8" hidden="1" x14ac:dyDescent="0.25">
      <c r="A3080" t="s">
        <v>4301</v>
      </c>
      <c r="B3080" s="1" t="str">
        <f>HYPERLINK("https://asmlis.vasa.lt/Dashboard/Served?ServiceDateFrom=2025-11-24&amp;ServiceDateTo=2025-11-24&amp;DumpsterInvNr=13-L-106024", "13-L-106024")</f>
        <v>13-L-106024</v>
      </c>
      <c r="C3080">
        <v>0.24</v>
      </c>
      <c r="D3080" t="s">
        <v>4302</v>
      </c>
      <c r="E3080" t="s">
        <v>11</v>
      </c>
      <c r="G3080" t="s">
        <v>1912</v>
      </c>
      <c r="H3080" t="s">
        <v>432</v>
      </c>
    </row>
    <row r="3081" spans="1:8" hidden="1" x14ac:dyDescent="0.25">
      <c r="A3081" t="s">
        <v>4303</v>
      </c>
      <c r="B3081" s="1" t="str">
        <f>HYPERLINK("https://asmlis.vasa.lt/Dashboard/Served?ServiceDateFrom=2025-11-24&amp;ServiceDateTo=2025-11-24&amp;DumpsterInvNr=13-P-209805", "13-P-209805")</f>
        <v>13-P-209805</v>
      </c>
      <c r="C3081">
        <v>0.24</v>
      </c>
      <c r="D3081" t="s">
        <v>4304</v>
      </c>
      <c r="E3081" t="s">
        <v>11</v>
      </c>
      <c r="G3081" t="s">
        <v>234</v>
      </c>
      <c r="H3081" t="s">
        <v>14</v>
      </c>
    </row>
    <row r="3082" spans="1:8" hidden="1" x14ac:dyDescent="0.25">
      <c r="A3082" t="s">
        <v>4305</v>
      </c>
      <c r="B3082" s="1" t="str">
        <f>HYPERLINK("https://asmlis.vasa.lt/Dashboard/Served?ServiceDateFrom=2025-11-24&amp;ServiceDateTo=2025-11-24&amp;DumpsterInvNr=13-P-106623", "13-P-106623")</f>
        <v>13-P-106623</v>
      </c>
      <c r="C3082">
        <v>0.12</v>
      </c>
      <c r="D3082" t="s">
        <v>4302</v>
      </c>
      <c r="E3082" t="s">
        <v>11</v>
      </c>
      <c r="G3082" t="s">
        <v>1917</v>
      </c>
      <c r="H3082" t="s">
        <v>432</v>
      </c>
    </row>
    <row r="3083" spans="1:8" hidden="1" x14ac:dyDescent="0.25">
      <c r="A3083" t="s">
        <v>4305</v>
      </c>
      <c r="B3083" s="1" t="str">
        <f>HYPERLINK("https://asmlis.vasa.lt/Dashboard/Served?ServiceDateFrom=2025-11-24&amp;ServiceDateTo=2025-11-24&amp;DumpsterInvNr=13-P-109925", "13-P-109925")</f>
        <v>13-P-109925</v>
      </c>
      <c r="C3083">
        <v>0.12</v>
      </c>
      <c r="D3083" t="s">
        <v>4302</v>
      </c>
      <c r="E3083" t="s">
        <v>11</v>
      </c>
      <c r="G3083" t="s">
        <v>1917</v>
      </c>
      <c r="H3083" t="s">
        <v>432</v>
      </c>
    </row>
    <row r="3084" spans="1:8" hidden="1" x14ac:dyDescent="0.25">
      <c r="A3084" t="s">
        <v>4306</v>
      </c>
      <c r="B3084" s="1" t="str">
        <f>HYPERLINK("https://asmlis.vasa.lt/Dashboard/Served?ServiceDateFrom=2025-11-24&amp;ServiceDateTo=2025-11-24&amp;DumpsterInvNr=13-L-216866", "13-L-216866")</f>
        <v>13-L-216866</v>
      </c>
      <c r="C3084">
        <v>0.24</v>
      </c>
      <c r="D3084" t="s">
        <v>3786</v>
      </c>
      <c r="E3084" t="s">
        <v>11</v>
      </c>
      <c r="F3084" t="s">
        <v>1209</v>
      </c>
      <c r="G3084" t="s">
        <v>936</v>
      </c>
      <c r="H3084" t="s">
        <v>938</v>
      </c>
    </row>
    <row r="3085" spans="1:8" hidden="1" x14ac:dyDescent="0.25">
      <c r="A3085" t="s">
        <v>4307</v>
      </c>
      <c r="B3085" s="1" t="str">
        <f>HYPERLINK("https://asmlis.vasa.lt/Dashboard/Served?ServiceDateFrom=2025-11-24&amp;ServiceDateTo=2025-11-24&amp;DumpsterInvNr=13-L-206352", "13-L-206352")</f>
        <v>13-L-206352</v>
      </c>
      <c r="C3085">
        <v>0.24</v>
      </c>
      <c r="D3085" t="s">
        <v>3812</v>
      </c>
      <c r="E3085" t="s">
        <v>11</v>
      </c>
      <c r="G3085" t="s">
        <v>936</v>
      </c>
      <c r="H3085" t="s">
        <v>938</v>
      </c>
    </row>
    <row r="3086" spans="1:8" hidden="1" x14ac:dyDescent="0.25">
      <c r="A3086" t="s">
        <v>4308</v>
      </c>
      <c r="B3086" s="1" t="str">
        <f>HYPERLINK("https://asmlis.vasa.lt/Dashboard/Served?ServiceDateFrom=2025-11-24&amp;ServiceDateTo=2025-11-24&amp;DumpsterInvNr=13-L-315629", "13-L-315629")</f>
        <v>13-L-315629</v>
      </c>
      <c r="C3086">
        <v>5</v>
      </c>
      <c r="D3086" t="s">
        <v>4309</v>
      </c>
      <c r="E3086" t="s">
        <v>11</v>
      </c>
      <c r="F3086" t="s">
        <v>13</v>
      </c>
      <c r="G3086" t="s">
        <v>9</v>
      </c>
      <c r="H3086" t="s">
        <v>14</v>
      </c>
    </row>
    <row r="3087" spans="1:8" hidden="1" x14ac:dyDescent="0.25">
      <c r="A3087" t="s">
        <v>4310</v>
      </c>
      <c r="B3087" s="1" t="str">
        <f>HYPERLINK("https://asmlis.vasa.lt/Dashboard/Served?ServiceDateFrom=2025-11-24&amp;ServiceDateTo=2025-11-24&amp;DumpsterInvNr=13-L-211428", "13-L-211428")</f>
        <v>13-L-211428</v>
      </c>
      <c r="C3087">
        <v>1.1000000000000001</v>
      </c>
      <c r="D3087" t="s">
        <v>4311</v>
      </c>
      <c r="E3087" t="s">
        <v>11</v>
      </c>
      <c r="G3087" t="s">
        <v>936</v>
      </c>
      <c r="H3087" t="s">
        <v>938</v>
      </c>
    </row>
    <row r="3088" spans="1:8" hidden="1" x14ac:dyDescent="0.25">
      <c r="A3088" t="s">
        <v>4312</v>
      </c>
      <c r="B3088" s="1" t="str">
        <f>HYPERLINK("https://asmlis.vasa.lt/Dashboard/Served?ServiceDateFrom=2025-11-24&amp;ServiceDateTo=2025-11-24&amp;DumpsterInvNr=13-L-223584", "13-L-223584")</f>
        <v>13-L-223584</v>
      </c>
      <c r="C3088">
        <v>0.12</v>
      </c>
      <c r="D3088" t="s">
        <v>4313</v>
      </c>
      <c r="E3088" t="s">
        <v>11</v>
      </c>
      <c r="G3088" t="s">
        <v>936</v>
      </c>
      <c r="H3088" t="s">
        <v>938</v>
      </c>
    </row>
    <row r="3089" spans="1:8" hidden="1" x14ac:dyDescent="0.25">
      <c r="A3089" t="s">
        <v>4314</v>
      </c>
      <c r="B3089" s="1" t="str">
        <f>HYPERLINK("https://asmlis.vasa.lt/Dashboard/Served?ServiceDateFrom=2025-11-24&amp;ServiceDateTo=2025-11-24&amp;DumpsterInvNr=13-L-147382", "13-L-147382")</f>
        <v>13-L-147382</v>
      </c>
      <c r="C3089">
        <v>1.1000000000000001</v>
      </c>
      <c r="D3089" t="s">
        <v>4287</v>
      </c>
      <c r="E3089" t="s">
        <v>11</v>
      </c>
      <c r="G3089" t="s">
        <v>1912</v>
      </c>
      <c r="H3089" t="s">
        <v>432</v>
      </c>
    </row>
    <row r="3090" spans="1:8" hidden="1" x14ac:dyDescent="0.25">
      <c r="A3090" t="s">
        <v>4315</v>
      </c>
      <c r="B3090" s="1" t="str">
        <f>HYPERLINK("https://asmlis.vasa.lt/Dashboard/Served?ServiceDateFrom=2025-11-24&amp;ServiceDateTo=2025-11-24&amp;DumpsterInvNr=13-L-319664", "13-L-319664")</f>
        <v>13-L-319664</v>
      </c>
      <c r="C3090">
        <v>1.1000000000000001</v>
      </c>
      <c r="D3090" t="s">
        <v>2322</v>
      </c>
      <c r="E3090" t="s">
        <v>11</v>
      </c>
      <c r="F3090" t="s">
        <v>13</v>
      </c>
      <c r="G3090" t="s">
        <v>9</v>
      </c>
      <c r="H3090" t="s">
        <v>14</v>
      </c>
    </row>
    <row r="3091" spans="1:8" hidden="1" x14ac:dyDescent="0.25">
      <c r="A3091" t="s">
        <v>4316</v>
      </c>
      <c r="B3091" s="1" t="str">
        <f>HYPERLINK("https://asmlis.vasa.lt/Dashboard/Served?ServiceDateFrom=2025-11-24&amp;ServiceDateTo=2025-11-24&amp;DumpsterInvNr=13-L-318475", "13-L-318475")</f>
        <v>13-L-318475</v>
      </c>
      <c r="C3091">
        <v>0.24</v>
      </c>
      <c r="D3091" t="s">
        <v>4317</v>
      </c>
      <c r="E3091" t="s">
        <v>11</v>
      </c>
      <c r="G3091" t="s">
        <v>9</v>
      </c>
      <c r="H3091" t="s">
        <v>14</v>
      </c>
    </row>
    <row r="3092" spans="1:8" hidden="1" x14ac:dyDescent="0.25">
      <c r="A3092" t="s">
        <v>4318</v>
      </c>
      <c r="B3092" s="1" t="str">
        <f>HYPERLINK("https://asmlis.vasa.lt/Dashboard/Served?ServiceDateFrom=2025-11-24&amp;ServiceDateTo=2025-11-24&amp;DumpsterInvNr=13-L-146193", "13-L-146193")</f>
        <v>13-L-146193</v>
      </c>
      <c r="C3092">
        <v>0.77</v>
      </c>
      <c r="D3092" t="s">
        <v>4319</v>
      </c>
      <c r="E3092" t="s">
        <v>11</v>
      </c>
      <c r="G3092" t="s">
        <v>430</v>
      </c>
      <c r="H3092" t="s">
        <v>432</v>
      </c>
    </row>
    <row r="3093" spans="1:8" hidden="1" x14ac:dyDescent="0.25">
      <c r="A3093" t="s">
        <v>4321</v>
      </c>
      <c r="B3093" s="1" t="str">
        <f>HYPERLINK("https://asmlis.vasa.lt/Dashboard/Served?ServiceDateFrom=2025-11-24&amp;ServiceDateTo=2025-11-24&amp;DumpsterInvNr=13-P-302261", "13-P-302261")</f>
        <v>13-P-302261</v>
      </c>
      <c r="C3093">
        <v>1.1000000000000001</v>
      </c>
      <c r="D3093" t="s">
        <v>741</v>
      </c>
      <c r="E3093" t="s">
        <v>11</v>
      </c>
      <c r="G3093" t="s">
        <v>412</v>
      </c>
      <c r="H3093" t="s">
        <v>14</v>
      </c>
    </row>
    <row r="3094" spans="1:8" hidden="1" x14ac:dyDescent="0.25">
      <c r="A3094" t="s">
        <v>4322</v>
      </c>
      <c r="B3094" s="1" t="str">
        <f>HYPERLINK("https://asmlis.vasa.lt/Dashboard/Served?ServiceDateFrom=2025-11-24&amp;ServiceDateTo=2025-11-24&amp;DumpsterInvNr=13-L-421924", "13-L-421924")</f>
        <v>13-L-421924</v>
      </c>
      <c r="C3094">
        <v>1.1000000000000001</v>
      </c>
      <c r="D3094" t="s">
        <v>4323</v>
      </c>
      <c r="E3094" t="s">
        <v>11</v>
      </c>
      <c r="G3094" t="s">
        <v>74</v>
      </c>
      <c r="H3094" t="s">
        <v>14</v>
      </c>
    </row>
    <row r="3095" spans="1:8" hidden="1" x14ac:dyDescent="0.25">
      <c r="A3095" t="s">
        <v>4324</v>
      </c>
      <c r="B3095" s="1" t="str">
        <f>HYPERLINK("https://asmlis.vasa.lt/Dashboard/Served?ServiceDateFrom=2025-11-24&amp;ServiceDateTo=2025-11-24&amp;DumpsterInvNr=13-P-500506", "13-P-500506")</f>
        <v>13-P-500506</v>
      </c>
      <c r="C3095">
        <v>5</v>
      </c>
      <c r="D3095" t="s">
        <v>4325</v>
      </c>
      <c r="E3095" t="s">
        <v>11</v>
      </c>
      <c r="F3095" t="s">
        <v>13</v>
      </c>
      <c r="G3095" t="s">
        <v>2178</v>
      </c>
      <c r="H3095" t="s">
        <v>432</v>
      </c>
    </row>
    <row r="3096" spans="1:8" hidden="1" x14ac:dyDescent="0.25">
      <c r="A3096" t="s">
        <v>4326</v>
      </c>
      <c r="B3096" s="1" t="str">
        <f>HYPERLINK("https://asmlis.vasa.lt/Dashboard/Served?ServiceDateFrom=2025-11-24&amp;ServiceDateTo=2025-11-24&amp;DumpsterInvNr=13-L-421922", "13-L-421922")</f>
        <v>13-L-421922</v>
      </c>
      <c r="C3096">
        <v>1.1000000000000001</v>
      </c>
      <c r="D3096" t="s">
        <v>4323</v>
      </c>
      <c r="E3096" t="s">
        <v>11</v>
      </c>
      <c r="G3096" t="s">
        <v>74</v>
      </c>
      <c r="H3096" t="s">
        <v>14</v>
      </c>
    </row>
    <row r="3097" spans="1:8" hidden="1" x14ac:dyDescent="0.25">
      <c r="A3097" t="s">
        <v>4327</v>
      </c>
      <c r="B3097" s="1" t="str">
        <f>HYPERLINK("https://asmlis.vasa.lt/Dashboard/Served?ServiceDateFrom=2025-11-24&amp;ServiceDateTo=2025-11-24&amp;DumpsterInvNr=13-T-000281", "13-T-000281")</f>
        <v>13-T-000281</v>
      </c>
      <c r="C3097">
        <v>2.5</v>
      </c>
      <c r="D3097" t="s">
        <v>4328</v>
      </c>
      <c r="E3097" t="s">
        <v>11</v>
      </c>
      <c r="F3097" t="s">
        <v>13</v>
      </c>
      <c r="G3097" t="s">
        <v>1899</v>
      </c>
      <c r="H3097" t="s">
        <v>432</v>
      </c>
    </row>
    <row r="3098" spans="1:8" hidden="1" x14ac:dyDescent="0.25">
      <c r="A3098" t="s">
        <v>4329</v>
      </c>
      <c r="B3098" s="1" t="str">
        <f>HYPERLINK("https://asmlis.vasa.lt/Dashboard/Served?ServiceDateFrom=2025-11-24&amp;ServiceDateTo=2025-11-24&amp;DumpsterInvNr=13-L-424375", "13-L-424375")</f>
        <v>13-L-424375</v>
      </c>
      <c r="C3098">
        <v>1.1000000000000001</v>
      </c>
      <c r="D3098" t="s">
        <v>4323</v>
      </c>
      <c r="E3098" t="s">
        <v>11</v>
      </c>
      <c r="G3098" t="s">
        <v>74</v>
      </c>
      <c r="H3098" t="s">
        <v>14</v>
      </c>
    </row>
    <row r="3099" spans="1:8" hidden="1" x14ac:dyDescent="0.25">
      <c r="A3099" t="s">
        <v>4329</v>
      </c>
      <c r="B3099" s="1" t="str">
        <f>HYPERLINK("https://asmlis.vasa.lt/Dashboard/Served?ServiceDateFrom=2025-11-24&amp;ServiceDateTo=2025-11-24&amp;DumpsterInvNr=13-P-404440", "13-P-404440")</f>
        <v>13-P-404440</v>
      </c>
      <c r="C3099">
        <v>0.24</v>
      </c>
      <c r="D3099" t="s">
        <v>4331</v>
      </c>
      <c r="E3099" t="s">
        <v>11</v>
      </c>
      <c r="G3099" t="s">
        <v>264</v>
      </c>
      <c r="H3099" t="s">
        <v>14</v>
      </c>
    </row>
    <row r="3100" spans="1:8" hidden="1" x14ac:dyDescent="0.25">
      <c r="A3100" t="s">
        <v>4332</v>
      </c>
      <c r="B3100" s="1" t="str">
        <f>HYPERLINK("https://asmlis.vasa.lt/Dashboard/Served?ServiceDateFrom=2025-11-24&amp;ServiceDateTo=2025-11-24&amp;DumpsterInvNr=13-L-223585", "13-L-223585")</f>
        <v>13-L-223585</v>
      </c>
      <c r="C3100">
        <v>0.12</v>
      </c>
      <c r="D3100" t="s">
        <v>4313</v>
      </c>
      <c r="E3100" t="s">
        <v>11</v>
      </c>
      <c r="G3100" t="s">
        <v>936</v>
      </c>
      <c r="H3100" t="s">
        <v>938</v>
      </c>
    </row>
    <row r="3101" spans="1:8" hidden="1" x14ac:dyDescent="0.25">
      <c r="A3101" t="s">
        <v>4333</v>
      </c>
      <c r="B3101" s="1" t="str">
        <f>HYPERLINK("https://asmlis.vasa.lt/Dashboard/Served?ServiceDateFrom=2025-11-24&amp;ServiceDateTo=2025-11-24&amp;DumpsterInvNr=13-L-128468", "13-L-128468")</f>
        <v>13-L-128468</v>
      </c>
      <c r="C3101">
        <v>0.12</v>
      </c>
      <c r="D3101" t="s">
        <v>4334</v>
      </c>
      <c r="E3101" t="s">
        <v>11</v>
      </c>
      <c r="G3101" t="s">
        <v>1912</v>
      </c>
      <c r="H3101" t="s">
        <v>432</v>
      </c>
    </row>
    <row r="3102" spans="1:8" hidden="1" x14ac:dyDescent="0.25">
      <c r="A3102" t="s">
        <v>4335</v>
      </c>
      <c r="B3102" s="1" t="str">
        <f>HYPERLINK("https://asmlis.vasa.lt/Dashboard/Served?ServiceDateFrom=2025-11-24&amp;ServiceDateTo=2025-11-24&amp;DumpsterInvNr=13-P-210902", "13-P-210902")</f>
        <v>13-P-210902</v>
      </c>
      <c r="C3102">
        <v>0.24</v>
      </c>
      <c r="D3102" t="s">
        <v>4336</v>
      </c>
      <c r="E3102" t="s">
        <v>11</v>
      </c>
      <c r="G3102" t="s">
        <v>234</v>
      </c>
      <c r="H3102" t="s">
        <v>14</v>
      </c>
    </row>
    <row r="3103" spans="1:8" hidden="1" x14ac:dyDescent="0.25">
      <c r="A3103" t="s">
        <v>4337</v>
      </c>
      <c r="B3103" s="1" t="str">
        <f>HYPERLINK("https://asmlis.vasa.lt/Dashboard/Served?ServiceDateFrom=2025-11-24&amp;ServiceDateTo=2025-11-24&amp;DumpsterInvNr=13-P-301903", "13-P-301903")</f>
        <v>13-P-301903</v>
      </c>
      <c r="C3103">
        <v>1.1000000000000001</v>
      </c>
      <c r="D3103" t="s">
        <v>741</v>
      </c>
      <c r="E3103" t="s">
        <v>11</v>
      </c>
      <c r="G3103" t="s">
        <v>412</v>
      </c>
      <c r="H3103" t="s">
        <v>14</v>
      </c>
    </row>
    <row r="3104" spans="1:8" hidden="1" x14ac:dyDescent="0.25">
      <c r="A3104" t="s">
        <v>4338</v>
      </c>
      <c r="B3104" s="1" t="str">
        <f>HYPERLINK("https://asmlis.vasa.lt/Dashboard/Served?ServiceDateFrom=2025-11-24&amp;ServiceDateTo=2025-11-24&amp;DumpsterInvNr=13-T-000282", "13-T-000282")</f>
        <v>13-T-000282</v>
      </c>
      <c r="C3104">
        <v>2.5</v>
      </c>
      <c r="D3104" t="s">
        <v>4328</v>
      </c>
      <c r="E3104" t="s">
        <v>11</v>
      </c>
      <c r="F3104" t="s">
        <v>13</v>
      </c>
      <c r="G3104" t="s">
        <v>1899</v>
      </c>
      <c r="H3104" t="s">
        <v>432</v>
      </c>
    </row>
    <row r="3105" spans="1:8" hidden="1" x14ac:dyDescent="0.25">
      <c r="A3105" t="s">
        <v>4339</v>
      </c>
      <c r="B3105" s="1" t="str">
        <f>HYPERLINK("https://asmlis.vasa.lt/Dashboard/Served?ServiceDateFrom=2025-11-24&amp;ServiceDateTo=2025-11-24&amp;DumpsterInvNr=13-L-314008", "13-L-314008")</f>
        <v>13-L-314008</v>
      </c>
      <c r="C3105">
        <v>1.1000000000000001</v>
      </c>
      <c r="D3105" t="s">
        <v>2968</v>
      </c>
      <c r="E3105" t="s">
        <v>11</v>
      </c>
      <c r="G3105" t="s">
        <v>9</v>
      </c>
      <c r="H3105" t="s">
        <v>14</v>
      </c>
    </row>
    <row r="3106" spans="1:8" hidden="1" x14ac:dyDescent="0.25">
      <c r="A3106" t="s">
        <v>4340</v>
      </c>
      <c r="B3106" s="1" t="str">
        <f>HYPERLINK("https://asmlis.vasa.lt/Dashboard/Served?ServiceDateFrom=2025-11-24&amp;ServiceDateTo=2025-11-24&amp;DumpsterInvNr=13-L-227832", "13-L-227832")</f>
        <v>13-L-227832</v>
      </c>
      <c r="C3106">
        <v>0.24</v>
      </c>
      <c r="D3106" t="s">
        <v>3850</v>
      </c>
      <c r="E3106" t="s">
        <v>11</v>
      </c>
      <c r="F3106" t="s">
        <v>1209</v>
      </c>
      <c r="G3106" t="s">
        <v>936</v>
      </c>
      <c r="H3106" t="s">
        <v>938</v>
      </c>
    </row>
    <row r="3107" spans="1:8" hidden="1" x14ac:dyDescent="0.25">
      <c r="A3107" t="s">
        <v>4341</v>
      </c>
      <c r="B3107" s="1" t="str">
        <f>HYPERLINK("https://asmlis.vasa.lt/Dashboard/Served?ServiceDateFrom=2025-11-24&amp;ServiceDateTo=2025-11-24&amp;DumpsterInvNr=13-L-423458", "13-L-423458")</f>
        <v>13-L-423458</v>
      </c>
      <c r="C3107">
        <v>1.1000000000000001</v>
      </c>
      <c r="D3107" t="s">
        <v>536</v>
      </c>
      <c r="E3107" t="s">
        <v>11</v>
      </c>
      <c r="G3107" t="s">
        <v>74</v>
      </c>
      <c r="H3107" t="s">
        <v>14</v>
      </c>
    </row>
    <row r="3108" spans="1:8" hidden="1" x14ac:dyDescent="0.25">
      <c r="A3108" t="s">
        <v>4342</v>
      </c>
      <c r="B3108" s="1" t="str">
        <f>HYPERLINK("https://asmlis.vasa.lt/Dashboard/Served?ServiceDateFrom=2025-11-24&amp;ServiceDateTo=2025-11-24&amp;DumpsterInvNr=13-P-302201", "13-P-302201")</f>
        <v>13-P-302201</v>
      </c>
      <c r="C3108">
        <v>1.1000000000000001</v>
      </c>
      <c r="D3108" t="s">
        <v>741</v>
      </c>
      <c r="E3108" t="s">
        <v>11</v>
      </c>
      <c r="F3108" t="s">
        <v>13</v>
      </c>
      <c r="G3108" t="s">
        <v>412</v>
      </c>
      <c r="H3108" t="s">
        <v>14</v>
      </c>
    </row>
    <row r="3109" spans="1:8" hidden="1" x14ac:dyDescent="0.25">
      <c r="A3109" t="s">
        <v>4343</v>
      </c>
      <c r="B3109" s="1" t="str">
        <f>HYPERLINK("https://asmlis.vasa.lt/Dashboard/Served?ServiceDateFrom=2025-11-24&amp;ServiceDateTo=2025-11-24&amp;DumpsterInvNr=13-L-224254", "13-L-224254")</f>
        <v>13-L-224254</v>
      </c>
      <c r="C3109">
        <v>0.24</v>
      </c>
      <c r="D3109" t="s">
        <v>3850</v>
      </c>
      <c r="E3109" t="s">
        <v>11</v>
      </c>
      <c r="F3109" t="s">
        <v>1209</v>
      </c>
      <c r="G3109" t="s">
        <v>936</v>
      </c>
      <c r="H3109" t="s">
        <v>938</v>
      </c>
    </row>
    <row r="3110" spans="1:8" hidden="1" x14ac:dyDescent="0.25">
      <c r="A3110" t="s">
        <v>4344</v>
      </c>
      <c r="B3110" s="1" t="str">
        <f>HYPERLINK("https://asmlis.vasa.lt/Dashboard/Served?ServiceDateFrom=2025-11-24&amp;ServiceDateTo=2025-11-24&amp;DumpsterInvNr=13-L-147380", "13-L-147380")</f>
        <v>13-L-147380</v>
      </c>
      <c r="C3110">
        <v>1.1000000000000001</v>
      </c>
      <c r="D3110" t="s">
        <v>4287</v>
      </c>
      <c r="E3110" t="s">
        <v>11</v>
      </c>
      <c r="G3110" t="s">
        <v>1912</v>
      </c>
      <c r="H3110" t="s">
        <v>432</v>
      </c>
    </row>
    <row r="3111" spans="1:8" hidden="1" x14ac:dyDescent="0.25">
      <c r="A3111" t="s">
        <v>4346</v>
      </c>
      <c r="B3111" s="1" t="str">
        <f>HYPERLINK("https://asmlis.vasa.lt/Dashboard/Served?ServiceDateFrom=2025-11-24&amp;ServiceDateTo=2025-11-24&amp;DumpsterInvNr=13-S-404090", "13-S-404090")</f>
        <v>13-S-404090</v>
      </c>
      <c r="C3111">
        <v>0.12</v>
      </c>
      <c r="D3111" t="s">
        <v>4347</v>
      </c>
      <c r="E3111" t="s">
        <v>11</v>
      </c>
      <c r="F3111" t="s">
        <v>1209</v>
      </c>
      <c r="G3111" t="s">
        <v>264</v>
      </c>
      <c r="H3111" t="s">
        <v>14</v>
      </c>
    </row>
    <row r="3112" spans="1:8" hidden="1" x14ac:dyDescent="0.25">
      <c r="A3112" t="s">
        <v>4348</v>
      </c>
      <c r="B3112" s="1" t="str">
        <f>HYPERLINK("https://asmlis.vasa.lt/Dashboard/Served?ServiceDateFrom=2025-11-24&amp;ServiceDateTo=2025-11-24&amp;DumpsterInvNr=13-L-223583", "13-L-223583")</f>
        <v>13-L-223583</v>
      </c>
      <c r="C3112">
        <v>0.12</v>
      </c>
      <c r="D3112" t="s">
        <v>4313</v>
      </c>
      <c r="E3112" t="s">
        <v>11</v>
      </c>
      <c r="G3112" t="s">
        <v>936</v>
      </c>
      <c r="H3112" t="s">
        <v>938</v>
      </c>
    </row>
    <row r="3113" spans="1:8" hidden="1" x14ac:dyDescent="0.25">
      <c r="A3113" t="s">
        <v>4349</v>
      </c>
      <c r="B3113" s="1" t="str">
        <f>HYPERLINK("https://asmlis.vasa.lt/Dashboard/Served?ServiceDateFrom=2025-11-24&amp;ServiceDateTo=2025-11-24&amp;DumpsterInvNr=13-P-400817", "13-P-400817")</f>
        <v>13-P-400817</v>
      </c>
      <c r="C3113">
        <v>0.24</v>
      </c>
      <c r="D3113" t="s">
        <v>4347</v>
      </c>
      <c r="E3113" t="s">
        <v>11</v>
      </c>
      <c r="F3113" t="s">
        <v>1209</v>
      </c>
      <c r="G3113" t="s">
        <v>264</v>
      </c>
      <c r="H3113" t="s">
        <v>14</v>
      </c>
    </row>
    <row r="3114" spans="1:8" hidden="1" x14ac:dyDescent="0.25">
      <c r="A3114" t="s">
        <v>4350</v>
      </c>
      <c r="B3114" s="1" t="str">
        <f>HYPERLINK("https://asmlis.vasa.lt/Dashboard/Served?ServiceDateFrom=2025-11-24&amp;ServiceDateTo=2025-11-24&amp;DumpsterInvNr=13-P-204955", "13-P-204955")</f>
        <v>13-P-204955</v>
      </c>
      <c r="C3114">
        <v>5</v>
      </c>
      <c r="D3114" t="s">
        <v>4351</v>
      </c>
      <c r="E3114" t="s">
        <v>11</v>
      </c>
      <c r="G3114" t="s">
        <v>234</v>
      </c>
      <c r="H3114" t="s">
        <v>14</v>
      </c>
    </row>
    <row r="3115" spans="1:8" hidden="1" x14ac:dyDescent="0.25">
      <c r="A3115" t="s">
        <v>4352</v>
      </c>
      <c r="B3115" s="1" t="str">
        <f>HYPERLINK("https://asmlis.vasa.lt/Dashboard/Served?ServiceDateFrom=2025-11-24&amp;ServiceDateTo=2025-11-24&amp;DumpsterInvNr=13-L-422840", "13-L-422840")</f>
        <v>13-L-422840</v>
      </c>
      <c r="C3115">
        <v>1.1000000000000001</v>
      </c>
      <c r="D3115" t="s">
        <v>536</v>
      </c>
      <c r="E3115" t="s">
        <v>11</v>
      </c>
      <c r="F3115" t="s">
        <v>1209</v>
      </c>
      <c r="G3115" t="s">
        <v>74</v>
      </c>
      <c r="H3115" t="s">
        <v>14</v>
      </c>
    </row>
    <row r="3116" spans="1:8" hidden="1" x14ac:dyDescent="0.25">
      <c r="A3116" t="s">
        <v>4353</v>
      </c>
      <c r="B3116" s="1" t="str">
        <f>HYPERLINK("https://asmlis.vasa.lt/Dashboard/Served?ServiceDateFrom=2025-11-24&amp;ServiceDateTo=2025-11-24&amp;DumpsterInvNr=13-P-300720", "13-P-300720")</f>
        <v>13-P-300720</v>
      </c>
      <c r="C3116">
        <v>1.1000000000000001</v>
      </c>
      <c r="D3116" t="s">
        <v>4354</v>
      </c>
      <c r="E3116" t="s">
        <v>11</v>
      </c>
      <c r="F3116" t="s">
        <v>13</v>
      </c>
      <c r="G3116" t="s">
        <v>412</v>
      </c>
      <c r="H3116" t="s">
        <v>14</v>
      </c>
    </row>
    <row r="3117" spans="1:8" hidden="1" x14ac:dyDescent="0.25">
      <c r="A3117" t="s">
        <v>4355</v>
      </c>
      <c r="B3117" s="1" t="str">
        <f>HYPERLINK("https://asmlis.vasa.lt/Dashboard/Served?ServiceDateFrom=2025-11-24&amp;ServiceDateTo=2025-11-24&amp;DumpsterInvNr=13-L-314017", "13-L-314017")</f>
        <v>13-L-314017</v>
      </c>
      <c r="C3117">
        <v>1.1000000000000001</v>
      </c>
      <c r="D3117" t="s">
        <v>2968</v>
      </c>
      <c r="E3117" t="s">
        <v>11</v>
      </c>
      <c r="G3117" t="s">
        <v>9</v>
      </c>
      <c r="H3117" t="s">
        <v>14</v>
      </c>
    </row>
    <row r="3118" spans="1:8" hidden="1" x14ac:dyDescent="0.25">
      <c r="A3118" t="s">
        <v>4355</v>
      </c>
      <c r="B3118" s="1" t="str">
        <f>HYPERLINK("https://asmlis.vasa.lt/Dashboard/Served?ServiceDateFrom=2025-11-24&amp;ServiceDateTo=2025-11-24&amp;DumpsterInvNr=13-P-210776", "13-P-210776")</f>
        <v>13-P-210776</v>
      </c>
      <c r="C3118">
        <v>0.24</v>
      </c>
      <c r="D3118" t="s">
        <v>4356</v>
      </c>
      <c r="E3118" t="s">
        <v>11</v>
      </c>
      <c r="G3118" t="s">
        <v>234</v>
      </c>
      <c r="H3118" t="s">
        <v>14</v>
      </c>
    </row>
    <row r="3119" spans="1:8" hidden="1" x14ac:dyDescent="0.25">
      <c r="A3119" t="s">
        <v>4357</v>
      </c>
      <c r="B3119" s="1" t="str">
        <f>HYPERLINK("https://asmlis.vasa.lt/Dashboard/Served?ServiceDateFrom=2025-11-24&amp;ServiceDateTo=2025-11-24&amp;DumpsterInvNr=13-L-314803", "13-L-314803")</f>
        <v>13-L-314803</v>
      </c>
      <c r="C3119">
        <v>5</v>
      </c>
      <c r="D3119" t="s">
        <v>864</v>
      </c>
      <c r="E3119" t="s">
        <v>11</v>
      </c>
      <c r="G3119" t="s">
        <v>9</v>
      </c>
      <c r="H3119" t="s">
        <v>14</v>
      </c>
    </row>
    <row r="3120" spans="1:8" hidden="1" x14ac:dyDescent="0.25">
      <c r="A3120" t="s">
        <v>4358</v>
      </c>
      <c r="B3120" s="1" t="str">
        <f>HYPERLINK("https://asmlis.vasa.lt/Dashboard/Served?ServiceDateFrom=2025-11-24&amp;ServiceDateTo=2025-11-24&amp;DumpsterInvNr=13-L-213515", "13-L-213515")</f>
        <v>13-L-213515</v>
      </c>
      <c r="C3120">
        <v>0.24</v>
      </c>
      <c r="D3120" t="s">
        <v>3869</v>
      </c>
      <c r="E3120" t="s">
        <v>11</v>
      </c>
      <c r="G3120" t="s">
        <v>936</v>
      </c>
      <c r="H3120" t="s">
        <v>938</v>
      </c>
    </row>
    <row r="3121" spans="1:8" hidden="1" x14ac:dyDescent="0.25">
      <c r="A3121" t="s">
        <v>4359</v>
      </c>
      <c r="B3121" s="1" t="str">
        <f>HYPERLINK("https://asmlis.vasa.lt/Dashboard/Served?ServiceDateFrom=2025-11-24&amp;ServiceDateTo=2025-11-24&amp;DumpsterInvNr=13-L-413308", "13-L-413308")</f>
        <v>13-L-413308</v>
      </c>
      <c r="C3121">
        <v>5</v>
      </c>
      <c r="D3121" t="s">
        <v>4360</v>
      </c>
      <c r="E3121" t="s">
        <v>11</v>
      </c>
      <c r="G3121" t="s">
        <v>74</v>
      </c>
      <c r="H3121" t="s">
        <v>14</v>
      </c>
    </row>
    <row r="3122" spans="1:8" hidden="1" x14ac:dyDescent="0.25">
      <c r="A3122" t="s">
        <v>4361</v>
      </c>
      <c r="B3122" s="1" t="str">
        <f>HYPERLINK("https://asmlis.vasa.lt/Dashboard/Served?ServiceDateFrom=2025-11-24&amp;ServiceDateTo=2025-11-24&amp;DumpsterInvNr=13-P-300665", "13-P-300665")</f>
        <v>13-P-300665</v>
      </c>
      <c r="C3122">
        <v>1.1000000000000001</v>
      </c>
      <c r="D3122" t="s">
        <v>4362</v>
      </c>
      <c r="E3122" t="s">
        <v>11</v>
      </c>
      <c r="F3122" t="s">
        <v>13</v>
      </c>
      <c r="G3122" t="s">
        <v>412</v>
      </c>
      <c r="H3122" t="s">
        <v>14</v>
      </c>
    </row>
    <row r="3123" spans="1:8" hidden="1" x14ac:dyDescent="0.25">
      <c r="A3123" t="s">
        <v>4361</v>
      </c>
      <c r="B3123" s="1" t="str">
        <f>HYPERLINK("https://asmlis.vasa.lt/Dashboard/Served?ServiceDateFrom=2025-11-24&amp;ServiceDateTo=2025-11-24&amp;DumpsterInvNr=13-P-415671", "13-P-415671")</f>
        <v>13-P-415671</v>
      </c>
      <c r="C3123">
        <v>3</v>
      </c>
      <c r="D3123" t="s">
        <v>4363</v>
      </c>
      <c r="E3123" t="s">
        <v>11</v>
      </c>
      <c r="F3123" t="s">
        <v>13</v>
      </c>
      <c r="G3123" t="s">
        <v>264</v>
      </c>
      <c r="H3123" t="s">
        <v>14</v>
      </c>
    </row>
    <row r="3124" spans="1:8" hidden="1" x14ac:dyDescent="0.25">
      <c r="A3124" t="s">
        <v>4364</v>
      </c>
      <c r="B3124" s="1" t="str">
        <f>HYPERLINK("https://asmlis.vasa.lt/Dashboard/Served?ServiceDateFrom=2025-11-24&amp;ServiceDateTo=2025-11-24&amp;DumpsterInvNr=13-P-103550", "13-P-103550")</f>
        <v>13-P-103550</v>
      </c>
      <c r="C3124">
        <v>0.24</v>
      </c>
      <c r="D3124" t="s">
        <v>4365</v>
      </c>
      <c r="E3124" t="s">
        <v>11</v>
      </c>
      <c r="G3124" t="s">
        <v>1917</v>
      </c>
      <c r="H3124" t="s">
        <v>432</v>
      </c>
    </row>
    <row r="3125" spans="1:8" hidden="1" x14ac:dyDescent="0.25">
      <c r="A3125" t="s">
        <v>4366</v>
      </c>
      <c r="B3125" s="1" t="str">
        <f>HYPERLINK("https://asmlis.vasa.lt/Dashboard/Served?ServiceDateFrom=2025-11-24&amp;ServiceDateTo=2025-11-24&amp;DumpsterInvNr=13-L-315869", "13-L-315869")</f>
        <v>13-L-315869</v>
      </c>
      <c r="C3125">
        <v>1.1000000000000001</v>
      </c>
      <c r="D3125" t="s">
        <v>2968</v>
      </c>
      <c r="E3125" t="s">
        <v>11</v>
      </c>
      <c r="G3125" t="s">
        <v>9</v>
      </c>
      <c r="H3125" t="s">
        <v>14</v>
      </c>
    </row>
    <row r="3126" spans="1:8" hidden="1" x14ac:dyDescent="0.25">
      <c r="A3126" t="s">
        <v>4367</v>
      </c>
      <c r="B3126" s="1" t="str">
        <f>HYPERLINK("https://asmlis.vasa.lt/Dashboard/Served?ServiceDateFrom=2025-11-24&amp;ServiceDateTo=2025-11-24&amp;DumpsterInvNr=13-L-145565", "13-L-145565")</f>
        <v>13-L-145565</v>
      </c>
      <c r="C3126">
        <v>5</v>
      </c>
      <c r="D3126" t="s">
        <v>4369</v>
      </c>
      <c r="E3126" t="s">
        <v>11</v>
      </c>
      <c r="F3126" t="s">
        <v>13</v>
      </c>
      <c r="G3126" t="s">
        <v>430</v>
      </c>
      <c r="H3126" t="s">
        <v>432</v>
      </c>
    </row>
    <row r="3127" spans="1:8" hidden="1" x14ac:dyDescent="0.25">
      <c r="A3127" t="s">
        <v>4370</v>
      </c>
      <c r="B3127" s="1" t="str">
        <f>HYPERLINK("https://asmlis.vasa.lt/Dashboard/Served?ServiceDateFrom=2025-11-24&amp;ServiceDateTo=2025-11-24&amp;DumpsterInvNr=13-P-408818", "13-P-408818")</f>
        <v>13-P-408818</v>
      </c>
      <c r="C3127">
        <v>3</v>
      </c>
      <c r="D3127" t="s">
        <v>4363</v>
      </c>
      <c r="E3127" t="s">
        <v>11</v>
      </c>
      <c r="F3127" t="s">
        <v>13</v>
      </c>
      <c r="G3127" t="s">
        <v>264</v>
      </c>
      <c r="H3127" t="s">
        <v>14</v>
      </c>
    </row>
    <row r="3128" spans="1:8" hidden="1" x14ac:dyDescent="0.25">
      <c r="A3128" t="s">
        <v>4371</v>
      </c>
      <c r="B3128" s="1" t="str">
        <f>HYPERLINK("https://asmlis.vasa.lt/Dashboard/Served?ServiceDateFrom=2025-11-24&amp;ServiceDateTo=2025-11-24&amp;DumpsterInvNr=13-L-306220", "13-L-306220")</f>
        <v>13-L-306220</v>
      </c>
      <c r="C3128">
        <v>0.24</v>
      </c>
      <c r="D3128" t="s">
        <v>4372</v>
      </c>
      <c r="E3128" t="s">
        <v>11</v>
      </c>
      <c r="F3128" t="s">
        <v>13</v>
      </c>
      <c r="G3128" t="s">
        <v>9</v>
      </c>
      <c r="H3128" t="s">
        <v>14</v>
      </c>
    </row>
    <row r="3129" spans="1:8" hidden="1" x14ac:dyDescent="0.25">
      <c r="A3129" t="s">
        <v>4373</v>
      </c>
      <c r="B3129" s="1" t="str">
        <f>HYPERLINK("https://asmlis.vasa.lt/Dashboard/Served?ServiceDateFrom=2025-11-24&amp;ServiceDateTo=2025-11-24&amp;DumpsterInvNr=13-L-125191", "13-L-125191")</f>
        <v>13-L-125191</v>
      </c>
      <c r="C3129">
        <v>0.24</v>
      </c>
      <c r="D3129" t="s">
        <v>4365</v>
      </c>
      <c r="E3129" t="s">
        <v>11</v>
      </c>
      <c r="F3129" t="s">
        <v>1209</v>
      </c>
      <c r="G3129" t="s">
        <v>1912</v>
      </c>
      <c r="H3129" t="s">
        <v>432</v>
      </c>
    </row>
    <row r="3130" spans="1:8" hidden="1" x14ac:dyDescent="0.25">
      <c r="A3130" t="s">
        <v>4373</v>
      </c>
      <c r="B3130" s="1" t="str">
        <f>HYPERLINK("https://asmlis.vasa.lt/Dashboard/Served?ServiceDateFrom=2025-11-24&amp;ServiceDateTo=2025-11-24&amp;DumpsterInvNr=13-L-104252", "13-L-104252")</f>
        <v>13-L-104252</v>
      </c>
      <c r="C3130">
        <v>0.77</v>
      </c>
      <c r="D3130" t="s">
        <v>4374</v>
      </c>
      <c r="E3130" t="s">
        <v>11</v>
      </c>
      <c r="G3130" t="s">
        <v>430</v>
      </c>
      <c r="H3130" t="s">
        <v>432</v>
      </c>
    </row>
    <row r="3131" spans="1:8" hidden="1" x14ac:dyDescent="0.25">
      <c r="A3131" t="s">
        <v>4373</v>
      </c>
      <c r="B3131" s="1" t="str">
        <f>HYPERLINK("https://asmlis.vasa.lt/Dashboard/Served?ServiceDateFrom=2025-11-24&amp;ServiceDateTo=2025-11-24&amp;DumpsterInvNr=13-L-422782", "13-L-422782")</f>
        <v>13-L-422782</v>
      </c>
      <c r="C3131">
        <v>1.1000000000000001</v>
      </c>
      <c r="D3131" t="s">
        <v>4375</v>
      </c>
      <c r="E3131" t="s">
        <v>11</v>
      </c>
      <c r="G3131" t="s">
        <v>74</v>
      </c>
      <c r="H3131" t="s">
        <v>14</v>
      </c>
    </row>
    <row r="3132" spans="1:8" hidden="1" x14ac:dyDescent="0.25">
      <c r="A3132" t="s">
        <v>4376</v>
      </c>
      <c r="B3132" s="1" t="str">
        <f>HYPERLINK("https://asmlis.vasa.lt/Dashboard/Served?ServiceDateFrom=2025-11-24&amp;ServiceDateTo=2025-11-24&amp;DumpsterInvNr=13-L-147379", "13-L-147379")</f>
        <v>13-L-147379</v>
      </c>
      <c r="C3132">
        <v>1.1000000000000001</v>
      </c>
      <c r="D3132" t="s">
        <v>4287</v>
      </c>
      <c r="E3132" t="s">
        <v>11</v>
      </c>
      <c r="G3132" t="s">
        <v>1912</v>
      </c>
      <c r="H3132" t="s">
        <v>432</v>
      </c>
    </row>
    <row r="3133" spans="1:8" hidden="1" x14ac:dyDescent="0.25">
      <c r="A3133" t="s">
        <v>4378</v>
      </c>
      <c r="B3133" s="1" t="str">
        <f>HYPERLINK("https://asmlis.vasa.lt/Dashboard/Served?ServiceDateFrom=2025-11-24&amp;ServiceDateTo=2025-11-24&amp;DumpsterInvNr=13-P-404443", "13-P-404443")</f>
        <v>13-P-404443</v>
      </c>
      <c r="C3133">
        <v>0.24</v>
      </c>
      <c r="D3133" t="s">
        <v>4379</v>
      </c>
      <c r="E3133" t="s">
        <v>11</v>
      </c>
      <c r="G3133" t="s">
        <v>264</v>
      </c>
      <c r="H3133" t="s">
        <v>14</v>
      </c>
    </row>
    <row r="3134" spans="1:8" hidden="1" x14ac:dyDescent="0.25">
      <c r="A3134" t="s">
        <v>4380</v>
      </c>
      <c r="B3134" s="1" t="str">
        <f>HYPERLINK("https://asmlis.vasa.lt/Dashboard/Served?ServiceDateFrom=2025-11-24&amp;ServiceDateTo=2025-11-24&amp;DumpsterInvNr=13-L-113242", "13-L-113242")</f>
        <v>13-L-113242</v>
      </c>
      <c r="C3134">
        <v>1.1000000000000001</v>
      </c>
      <c r="D3134" t="s">
        <v>4381</v>
      </c>
      <c r="E3134" t="s">
        <v>11</v>
      </c>
      <c r="G3134" t="s">
        <v>430</v>
      </c>
      <c r="H3134" t="s">
        <v>432</v>
      </c>
    </row>
    <row r="3135" spans="1:8" hidden="1" x14ac:dyDescent="0.25">
      <c r="A3135" t="s">
        <v>4382</v>
      </c>
      <c r="B3135" s="1" t="str">
        <f>HYPERLINK("https://asmlis.vasa.lt/Dashboard/Served?ServiceDateFrom=2025-11-24&amp;ServiceDateTo=2025-11-24&amp;DumpsterInvNr=13-L-224953", "13-L-224953")</f>
        <v>13-L-224953</v>
      </c>
      <c r="C3135">
        <v>1.1000000000000001</v>
      </c>
      <c r="D3135" t="s">
        <v>4383</v>
      </c>
      <c r="E3135" t="s">
        <v>11</v>
      </c>
      <c r="G3135" t="s">
        <v>936</v>
      </c>
      <c r="H3135" t="s">
        <v>938</v>
      </c>
    </row>
    <row r="3136" spans="1:8" hidden="1" x14ac:dyDescent="0.25">
      <c r="A3136" t="s">
        <v>4384</v>
      </c>
      <c r="B3136" s="1" t="str">
        <f>HYPERLINK("https://asmlis.vasa.lt/Dashboard/Served?ServiceDateFrom=2025-11-24&amp;ServiceDateTo=2025-11-24&amp;DumpsterInvNr=13-L-316696", "13-L-316696")</f>
        <v>13-L-316696</v>
      </c>
      <c r="C3136">
        <v>1.1000000000000001</v>
      </c>
      <c r="D3136" t="s">
        <v>2391</v>
      </c>
      <c r="E3136" t="s">
        <v>11</v>
      </c>
      <c r="G3136" t="s">
        <v>9</v>
      </c>
      <c r="H3136" t="s">
        <v>14</v>
      </c>
    </row>
    <row r="3137" spans="1:8" hidden="1" x14ac:dyDescent="0.25">
      <c r="A3137" t="s">
        <v>4385</v>
      </c>
      <c r="B3137" s="1" t="str">
        <f>HYPERLINK("https://asmlis.vasa.lt/Dashboard/Served?ServiceDateFrom=2025-11-24&amp;ServiceDateTo=2025-11-24&amp;DumpsterInvNr=13-L-318461", "13-L-318461")</f>
        <v>13-L-318461</v>
      </c>
      <c r="C3137">
        <v>0.24</v>
      </c>
      <c r="D3137" t="s">
        <v>4317</v>
      </c>
      <c r="E3137" t="s">
        <v>11</v>
      </c>
      <c r="F3137" t="s">
        <v>13</v>
      </c>
      <c r="G3137" t="s">
        <v>9</v>
      </c>
      <c r="H3137" t="s">
        <v>14</v>
      </c>
    </row>
    <row r="3138" spans="1:8" hidden="1" x14ac:dyDescent="0.25">
      <c r="A3138" t="s">
        <v>4386</v>
      </c>
      <c r="B3138" s="1" t="str">
        <f>HYPERLINK("https://asmlis.vasa.lt/Dashboard/Served?ServiceDateFrom=2025-11-24&amp;ServiceDateTo=2025-11-24&amp;DumpsterInvNr=13-L-104251", "13-L-104251")</f>
        <v>13-L-104251</v>
      </c>
      <c r="C3138">
        <v>0.77</v>
      </c>
      <c r="D3138" t="s">
        <v>4374</v>
      </c>
      <c r="E3138" t="s">
        <v>11</v>
      </c>
      <c r="G3138" t="s">
        <v>430</v>
      </c>
      <c r="H3138" t="s">
        <v>432</v>
      </c>
    </row>
    <row r="3139" spans="1:8" hidden="1" x14ac:dyDescent="0.25">
      <c r="A3139" t="s">
        <v>4386</v>
      </c>
      <c r="B3139" s="1" t="str">
        <f>HYPERLINK("https://asmlis.vasa.lt/Dashboard/Served?ServiceDateFrom=2025-11-24&amp;ServiceDateTo=2025-11-24&amp;DumpsterInvNr=13-L-147381", "13-L-147381")</f>
        <v>13-L-147381</v>
      </c>
      <c r="C3139">
        <v>1.1000000000000001</v>
      </c>
      <c r="D3139" t="s">
        <v>4287</v>
      </c>
      <c r="E3139" t="s">
        <v>11</v>
      </c>
      <c r="G3139" t="s">
        <v>1912</v>
      </c>
      <c r="H3139" t="s">
        <v>432</v>
      </c>
    </row>
    <row r="3140" spans="1:8" hidden="1" x14ac:dyDescent="0.25">
      <c r="A3140" t="s">
        <v>4388</v>
      </c>
      <c r="B3140" s="1" t="str">
        <f>HYPERLINK("https://asmlis.vasa.lt/Dashboard/Served?ServiceDateFrom=2025-11-24&amp;ServiceDateTo=2025-11-24&amp;DumpsterInvNr=13-P-302444", "13-P-302444")</f>
        <v>13-P-302444</v>
      </c>
      <c r="C3140">
        <v>5</v>
      </c>
      <c r="D3140" t="s">
        <v>1793</v>
      </c>
      <c r="E3140" t="s">
        <v>11</v>
      </c>
      <c r="F3140" t="s">
        <v>13</v>
      </c>
      <c r="G3140" t="s">
        <v>412</v>
      </c>
      <c r="H3140" t="s">
        <v>14</v>
      </c>
    </row>
    <row r="3141" spans="1:8" hidden="1" x14ac:dyDescent="0.25">
      <c r="A3141" t="s">
        <v>4389</v>
      </c>
      <c r="B3141" s="1" t="str">
        <f>HYPERLINK("https://asmlis.vasa.lt/Dashboard/Served?ServiceDateFrom=2025-11-24&amp;ServiceDateTo=2025-11-24&amp;DumpsterInvNr=13-L-304165", "13-L-304165")</f>
        <v>13-L-304165</v>
      </c>
      <c r="C3141">
        <v>1.1000000000000001</v>
      </c>
      <c r="D3141" t="s">
        <v>2968</v>
      </c>
      <c r="E3141" t="s">
        <v>11</v>
      </c>
      <c r="G3141" t="s">
        <v>9</v>
      </c>
      <c r="H3141" t="s">
        <v>14</v>
      </c>
    </row>
    <row r="3142" spans="1:8" hidden="1" x14ac:dyDescent="0.25">
      <c r="A3142" t="s">
        <v>4390</v>
      </c>
      <c r="B3142" s="1" t="str">
        <f>HYPERLINK("https://asmlis.vasa.lt/Dashboard/Served?ServiceDateFrom=2025-11-24&amp;ServiceDateTo=2025-11-24&amp;DumpsterInvNr=13-P-302441", "13-P-302441")</f>
        <v>13-P-302441</v>
      </c>
      <c r="C3142">
        <v>5</v>
      </c>
      <c r="D3142" t="s">
        <v>1793</v>
      </c>
      <c r="E3142" t="s">
        <v>11</v>
      </c>
      <c r="F3142" t="s">
        <v>13</v>
      </c>
      <c r="G3142" t="s">
        <v>412</v>
      </c>
      <c r="H3142" t="s">
        <v>14</v>
      </c>
    </row>
    <row r="3143" spans="1:8" hidden="1" x14ac:dyDescent="0.25">
      <c r="A3143" t="s">
        <v>4391</v>
      </c>
      <c r="B3143" s="1" t="str">
        <f>HYPERLINK("https://asmlis.vasa.lt/Dashboard/Served?ServiceDateFrom=2025-11-24&amp;ServiceDateTo=2025-11-24&amp;DumpsterInvNr=13-L-142133", "13-L-142133")</f>
        <v>13-L-142133</v>
      </c>
      <c r="C3143">
        <v>0.24</v>
      </c>
      <c r="D3143" t="s">
        <v>4392</v>
      </c>
      <c r="E3143" t="s">
        <v>11</v>
      </c>
      <c r="G3143" t="s">
        <v>430</v>
      </c>
      <c r="H3143" t="s">
        <v>432</v>
      </c>
    </row>
    <row r="3144" spans="1:8" hidden="1" x14ac:dyDescent="0.25">
      <c r="A3144" t="s">
        <v>4391</v>
      </c>
      <c r="B3144" s="1" t="str">
        <f>HYPERLINK("https://asmlis.vasa.lt/Dashboard/Served?ServiceDateFrom=2025-11-24&amp;ServiceDateTo=2025-11-24&amp;DumpsterInvNr=13-P-502796", "13-P-502796")</f>
        <v>13-P-502796</v>
      </c>
      <c r="C3144">
        <v>0.24</v>
      </c>
      <c r="D3144" t="s">
        <v>4392</v>
      </c>
      <c r="E3144" t="s">
        <v>11</v>
      </c>
      <c r="G3144" t="s">
        <v>2178</v>
      </c>
      <c r="H3144" t="s">
        <v>432</v>
      </c>
    </row>
    <row r="3145" spans="1:8" hidden="1" x14ac:dyDescent="0.25">
      <c r="A3145" t="s">
        <v>4393</v>
      </c>
      <c r="B3145" s="1" t="str">
        <f>HYPERLINK("https://asmlis.vasa.lt/Dashboard/Served?ServiceDateFrom=2025-11-24&amp;ServiceDateTo=2025-11-24&amp;DumpsterInvNr=13-L-133863", "13-L-133863")</f>
        <v>13-L-133863</v>
      </c>
      <c r="C3145">
        <v>1.1000000000000001</v>
      </c>
      <c r="D3145" t="s">
        <v>4381</v>
      </c>
      <c r="E3145" t="s">
        <v>11</v>
      </c>
      <c r="G3145" t="s">
        <v>430</v>
      </c>
      <c r="H3145" t="s">
        <v>432</v>
      </c>
    </row>
    <row r="3146" spans="1:8" hidden="1" x14ac:dyDescent="0.25">
      <c r="A3146" t="s">
        <v>4394</v>
      </c>
      <c r="B3146" s="1" t="str">
        <f>HYPERLINK("https://asmlis.vasa.lt/Dashboard/Served?ServiceDateFrom=2025-11-24&amp;ServiceDateTo=2025-11-24&amp;DumpsterInvNr=13-L-301789", "13-L-301789")</f>
        <v>13-L-301789</v>
      </c>
      <c r="C3146">
        <v>0.24</v>
      </c>
      <c r="D3146" t="s">
        <v>4372</v>
      </c>
      <c r="E3146" t="s">
        <v>11</v>
      </c>
      <c r="F3146" t="s">
        <v>13</v>
      </c>
      <c r="G3146" t="s">
        <v>9</v>
      </c>
      <c r="H3146" t="s">
        <v>14</v>
      </c>
    </row>
    <row r="3147" spans="1:8" hidden="1" x14ac:dyDescent="0.25">
      <c r="A3147" t="s">
        <v>4395</v>
      </c>
      <c r="B3147" s="1" t="str">
        <f>HYPERLINK("https://asmlis.vasa.lt/Dashboard/Served?ServiceDateFrom=2025-11-24&amp;ServiceDateTo=2025-11-24&amp;DumpsterInvNr=13-L-222735", "13-L-222735")</f>
        <v>13-L-222735</v>
      </c>
      <c r="C3147">
        <v>5</v>
      </c>
      <c r="D3147" t="s">
        <v>4396</v>
      </c>
      <c r="E3147" t="s">
        <v>11</v>
      </c>
      <c r="G3147" t="s">
        <v>936</v>
      </c>
      <c r="H3147" t="s">
        <v>938</v>
      </c>
    </row>
    <row r="3148" spans="1:8" hidden="1" x14ac:dyDescent="0.25">
      <c r="A3148" t="s">
        <v>4397</v>
      </c>
      <c r="B3148" s="1" t="str">
        <f>HYPERLINK("https://asmlis.vasa.lt/Dashboard/Served?ServiceDateFrom=2025-11-24&amp;ServiceDateTo=2025-11-24&amp;DumpsterInvNr=13-L-136749", "13-L-136749")</f>
        <v>13-L-136749</v>
      </c>
      <c r="C3148">
        <v>5</v>
      </c>
      <c r="D3148" t="s">
        <v>4398</v>
      </c>
      <c r="E3148" t="s">
        <v>11</v>
      </c>
      <c r="F3148" t="s">
        <v>13</v>
      </c>
      <c r="G3148" t="s">
        <v>430</v>
      </c>
      <c r="H3148" t="s">
        <v>432</v>
      </c>
    </row>
    <row r="3149" spans="1:8" hidden="1" x14ac:dyDescent="0.25">
      <c r="A3149" t="s">
        <v>4397</v>
      </c>
      <c r="B3149" s="1" t="str">
        <f>HYPERLINK("https://asmlis.vasa.lt/Dashboard/Served?ServiceDateFrom=2025-11-24&amp;ServiceDateTo=2025-11-24&amp;DumpsterInvNr=13-P-401325", "13-P-401325")</f>
        <v>13-P-401325</v>
      </c>
      <c r="C3149">
        <v>0.24</v>
      </c>
      <c r="D3149" t="s">
        <v>4399</v>
      </c>
      <c r="E3149" t="s">
        <v>11</v>
      </c>
      <c r="G3149" t="s">
        <v>264</v>
      </c>
      <c r="H3149" t="s">
        <v>14</v>
      </c>
    </row>
    <row r="3150" spans="1:8" hidden="1" x14ac:dyDescent="0.25">
      <c r="A3150" t="s">
        <v>4400</v>
      </c>
      <c r="B3150" s="1" t="str">
        <f>HYPERLINK("https://asmlis.vasa.lt/Dashboard/Served?ServiceDateFrom=2025-11-24&amp;ServiceDateTo=2025-11-24&amp;DumpsterInvNr=13-S-411731", "13-S-411731")</f>
        <v>13-S-411731</v>
      </c>
      <c r="C3150">
        <v>0.12</v>
      </c>
      <c r="D3150" t="s">
        <v>4379</v>
      </c>
      <c r="E3150" t="s">
        <v>11</v>
      </c>
      <c r="F3150" t="s">
        <v>1209</v>
      </c>
      <c r="G3150" t="s">
        <v>264</v>
      </c>
      <c r="H3150" t="s">
        <v>14</v>
      </c>
    </row>
    <row r="3151" spans="1:8" hidden="1" x14ac:dyDescent="0.25">
      <c r="A3151" t="s">
        <v>4401</v>
      </c>
      <c r="B3151" s="1" t="str">
        <f>HYPERLINK("https://asmlis.vasa.lt/Dashboard/Served?ServiceDateFrom=2025-11-24&amp;ServiceDateTo=2025-11-24&amp;DumpsterInvNr=13-L-149184", "13-L-149184")</f>
        <v>13-L-149184</v>
      </c>
      <c r="C3151">
        <v>1.1000000000000001</v>
      </c>
      <c r="D3151" t="s">
        <v>4381</v>
      </c>
      <c r="E3151" t="s">
        <v>11</v>
      </c>
      <c r="G3151" t="s">
        <v>430</v>
      </c>
      <c r="H3151" t="s">
        <v>432</v>
      </c>
    </row>
    <row r="3152" spans="1:8" hidden="1" x14ac:dyDescent="0.25">
      <c r="A3152" t="s">
        <v>4402</v>
      </c>
      <c r="B3152" s="1" t="str">
        <f>HYPERLINK("https://asmlis.vasa.lt/Dashboard/Served?ServiceDateFrom=2025-11-24&amp;ServiceDateTo=2025-11-24&amp;DumpsterInvNr=13-L-144121", "13-L-144121")</f>
        <v>13-L-144121</v>
      </c>
      <c r="C3152">
        <v>5</v>
      </c>
      <c r="D3152" t="s">
        <v>4403</v>
      </c>
      <c r="E3152" t="s">
        <v>11</v>
      </c>
      <c r="F3152" t="s">
        <v>13</v>
      </c>
      <c r="G3152" t="s">
        <v>430</v>
      </c>
      <c r="H3152" t="s">
        <v>432</v>
      </c>
    </row>
    <row r="3153" spans="1:8" hidden="1" x14ac:dyDescent="0.25">
      <c r="A3153" t="s">
        <v>4404</v>
      </c>
      <c r="B3153" s="1" t="str">
        <f>HYPERLINK("https://asmlis.vasa.lt/Dashboard/Served?ServiceDateFrom=2025-11-24&amp;ServiceDateTo=2025-11-24&amp;DumpsterInvNr=13-L-225277", "13-L-225277")</f>
        <v>13-L-225277</v>
      </c>
      <c r="C3153">
        <v>0.24</v>
      </c>
      <c r="D3153" t="s">
        <v>4148</v>
      </c>
      <c r="E3153" t="s">
        <v>11</v>
      </c>
      <c r="G3153" t="s">
        <v>936</v>
      </c>
      <c r="H3153" t="s">
        <v>938</v>
      </c>
    </row>
    <row r="3154" spans="1:8" hidden="1" x14ac:dyDescent="0.25">
      <c r="A3154" t="s">
        <v>4405</v>
      </c>
      <c r="B3154" s="1" t="str">
        <f>HYPERLINK("https://asmlis.vasa.lt/Dashboard/Served?ServiceDateFrom=2025-11-24&amp;ServiceDateTo=2025-11-24&amp;DumpsterInvNr=13-L-113241", "13-L-113241")</f>
        <v>13-L-113241</v>
      </c>
      <c r="C3154">
        <v>1.1000000000000001</v>
      </c>
      <c r="D3154" t="s">
        <v>4381</v>
      </c>
      <c r="E3154" t="s">
        <v>11</v>
      </c>
      <c r="G3154" t="s">
        <v>430</v>
      </c>
      <c r="H3154" t="s">
        <v>432</v>
      </c>
    </row>
    <row r="3155" spans="1:8" hidden="1" x14ac:dyDescent="0.25">
      <c r="A3155" t="s">
        <v>4407</v>
      </c>
      <c r="B3155" s="1" t="str">
        <f>HYPERLINK("https://asmlis.vasa.lt/Dashboard/Served?ServiceDateFrom=2025-11-24&amp;ServiceDateTo=2025-11-24&amp;DumpsterInvNr=13-L-318357", "13-L-318357")</f>
        <v>13-L-318357</v>
      </c>
      <c r="C3155">
        <v>0.24</v>
      </c>
      <c r="D3155" t="s">
        <v>4317</v>
      </c>
      <c r="E3155" t="s">
        <v>11</v>
      </c>
      <c r="F3155" t="s">
        <v>13</v>
      </c>
      <c r="G3155" t="s">
        <v>9</v>
      </c>
      <c r="H3155" t="s">
        <v>14</v>
      </c>
    </row>
    <row r="3156" spans="1:8" hidden="1" x14ac:dyDescent="0.25">
      <c r="A3156" t="s">
        <v>4408</v>
      </c>
      <c r="B3156" s="1" t="str">
        <f>HYPERLINK("https://asmlis.vasa.lt/Dashboard/Served?ServiceDateFrom=2025-11-24&amp;ServiceDateTo=2025-11-24&amp;DumpsterInvNr=13-L-123353", "13-L-123353")</f>
        <v>13-L-123353</v>
      </c>
      <c r="C3156">
        <v>0.24</v>
      </c>
      <c r="D3156" t="s">
        <v>4409</v>
      </c>
      <c r="E3156" t="s">
        <v>11</v>
      </c>
      <c r="G3156" t="s">
        <v>430</v>
      </c>
      <c r="H3156" t="s">
        <v>432</v>
      </c>
    </row>
    <row r="3157" spans="1:8" hidden="1" x14ac:dyDescent="0.25">
      <c r="A3157" t="s">
        <v>4408</v>
      </c>
      <c r="B3157" s="1" t="str">
        <f>HYPERLINK("https://asmlis.vasa.lt/Dashboard/Served?ServiceDateFrom=2025-11-24&amp;ServiceDateTo=2025-11-24&amp;DumpsterInvNr=13-P-508386", "13-P-508386")</f>
        <v>13-P-508386</v>
      </c>
      <c r="C3157">
        <v>0.12</v>
      </c>
      <c r="D3157" t="s">
        <v>4409</v>
      </c>
      <c r="E3157" t="s">
        <v>11</v>
      </c>
      <c r="G3157" t="s">
        <v>2178</v>
      </c>
      <c r="H3157" t="s">
        <v>432</v>
      </c>
    </row>
    <row r="3158" spans="1:8" hidden="1" x14ac:dyDescent="0.25">
      <c r="A3158" t="s">
        <v>4408</v>
      </c>
      <c r="B3158" s="1" t="str">
        <f>HYPERLINK("https://asmlis.vasa.lt/Dashboard/Served?ServiceDateFrom=2025-11-24&amp;ServiceDateTo=2025-11-24&amp;DumpsterInvNr=13-L-147718", "13-L-147718")</f>
        <v>13-L-147718</v>
      </c>
      <c r="C3158">
        <v>0.24</v>
      </c>
      <c r="D3158" t="s">
        <v>4410</v>
      </c>
      <c r="E3158" t="s">
        <v>11</v>
      </c>
      <c r="G3158" t="s">
        <v>430</v>
      </c>
      <c r="H3158" t="s">
        <v>432</v>
      </c>
    </row>
    <row r="3159" spans="1:8" hidden="1" x14ac:dyDescent="0.25">
      <c r="A3159" t="s">
        <v>4412</v>
      </c>
      <c r="B3159" s="1" t="str">
        <f>HYPERLINK("https://asmlis.vasa.lt/Dashboard/Served?ServiceDateFrom=2025-11-24&amp;ServiceDateTo=2025-11-24&amp;DumpsterInvNr=13-L-210809", "13-L-210809")</f>
        <v>13-L-210809</v>
      </c>
      <c r="C3159">
        <v>0.12</v>
      </c>
      <c r="D3159" t="s">
        <v>4413</v>
      </c>
      <c r="E3159" t="s">
        <v>11</v>
      </c>
      <c r="F3159" t="s">
        <v>1209</v>
      </c>
      <c r="G3159" t="s">
        <v>936</v>
      </c>
      <c r="H3159" t="s">
        <v>938</v>
      </c>
    </row>
    <row r="3160" spans="1:8" hidden="1" x14ac:dyDescent="0.25">
      <c r="A3160" t="s">
        <v>4414</v>
      </c>
      <c r="B3160" s="1" t="str">
        <f>HYPERLINK("https://asmlis.vasa.lt/Dashboard/Served?ServiceDateFrom=2025-11-24&amp;ServiceDateTo=2025-11-24&amp;DumpsterInvNr=13-L-311677", "13-L-311677")</f>
        <v>13-L-311677</v>
      </c>
      <c r="C3160">
        <v>1.1000000000000001</v>
      </c>
      <c r="D3160" t="s">
        <v>2968</v>
      </c>
      <c r="E3160" t="s">
        <v>11</v>
      </c>
      <c r="G3160" t="s">
        <v>9</v>
      </c>
      <c r="H3160" t="s">
        <v>14</v>
      </c>
    </row>
    <row r="3161" spans="1:8" hidden="1" x14ac:dyDescent="0.25">
      <c r="A3161" t="s">
        <v>4414</v>
      </c>
      <c r="B3161" s="1" t="str">
        <f>HYPERLINK("https://asmlis.vasa.lt/Dashboard/Served?ServiceDateFrom=2025-11-24&amp;ServiceDateTo=2025-11-24&amp;DumpsterInvNr=13-L-313999", "13-L-313999")</f>
        <v>13-L-313999</v>
      </c>
      <c r="C3161">
        <v>1.1000000000000001</v>
      </c>
      <c r="D3161" t="s">
        <v>2968</v>
      </c>
      <c r="E3161" t="s">
        <v>11</v>
      </c>
      <c r="G3161" t="s">
        <v>9</v>
      </c>
      <c r="H3161" t="s">
        <v>14</v>
      </c>
    </row>
    <row r="3162" spans="1:8" hidden="1" x14ac:dyDescent="0.25">
      <c r="A3162" t="s">
        <v>4414</v>
      </c>
      <c r="B3162" s="1" t="str">
        <f>HYPERLINK("https://asmlis.vasa.lt/Dashboard/Served?ServiceDateFrom=2025-11-24&amp;ServiceDateTo=2025-11-24&amp;DumpsterInvNr=13-P-404442", "13-P-404442")</f>
        <v>13-P-404442</v>
      </c>
      <c r="C3162">
        <v>0.24</v>
      </c>
      <c r="D3162" t="s">
        <v>4415</v>
      </c>
      <c r="E3162" t="s">
        <v>11</v>
      </c>
      <c r="G3162" t="s">
        <v>264</v>
      </c>
      <c r="H3162" t="s">
        <v>14</v>
      </c>
    </row>
    <row r="3163" spans="1:8" hidden="1" x14ac:dyDescent="0.25">
      <c r="A3163" t="s">
        <v>4416</v>
      </c>
      <c r="B3163" s="1" t="str">
        <f>HYPERLINK("https://asmlis.vasa.lt/Dashboard/Served?ServiceDateFrom=2025-11-24&amp;ServiceDateTo=2025-11-24&amp;DumpsterInvNr=13-L-138038", "13-L-138038")</f>
        <v>13-L-138038</v>
      </c>
      <c r="C3163">
        <v>5</v>
      </c>
      <c r="D3163" t="s">
        <v>4417</v>
      </c>
      <c r="E3163" t="s">
        <v>11</v>
      </c>
      <c r="F3163" t="s">
        <v>13</v>
      </c>
      <c r="G3163" t="s">
        <v>1912</v>
      </c>
      <c r="H3163" t="s">
        <v>432</v>
      </c>
    </row>
    <row r="3164" spans="1:8" hidden="1" x14ac:dyDescent="0.25">
      <c r="A3164" t="s">
        <v>4416</v>
      </c>
      <c r="B3164" s="1" t="str">
        <f>HYPERLINK("https://asmlis.vasa.lt/Dashboard/Served?ServiceDateFrom=2025-11-24&amp;ServiceDateTo=2025-11-24&amp;DumpsterInvNr=13-L-407224", "13-L-407224")</f>
        <v>13-L-407224</v>
      </c>
      <c r="C3164">
        <v>0.24</v>
      </c>
      <c r="D3164" t="s">
        <v>4418</v>
      </c>
      <c r="E3164" t="s">
        <v>11</v>
      </c>
      <c r="G3164" t="s">
        <v>74</v>
      </c>
      <c r="H3164" t="s">
        <v>14</v>
      </c>
    </row>
    <row r="3165" spans="1:8" hidden="1" x14ac:dyDescent="0.25">
      <c r="A3165" t="s">
        <v>4419</v>
      </c>
      <c r="B3165" s="1" t="str">
        <f>HYPERLINK("https://asmlis.vasa.lt/Dashboard/Served?ServiceDateFrom=2025-11-24&amp;ServiceDateTo=2025-11-24&amp;DumpsterInvNr=13-L-213524", "13-L-213524")</f>
        <v>13-L-213524</v>
      </c>
      <c r="C3165">
        <v>0.12</v>
      </c>
      <c r="D3165" t="s">
        <v>3901</v>
      </c>
      <c r="E3165" t="s">
        <v>11</v>
      </c>
      <c r="F3165" t="s">
        <v>1209</v>
      </c>
      <c r="G3165" t="s">
        <v>936</v>
      </c>
      <c r="H3165" t="s">
        <v>938</v>
      </c>
    </row>
    <row r="3166" spans="1:8" hidden="1" x14ac:dyDescent="0.25">
      <c r="A3166" t="s">
        <v>4420</v>
      </c>
      <c r="B3166" s="1" t="str">
        <f>HYPERLINK("https://asmlis.vasa.lt/Dashboard/Served?ServiceDateFrom=2025-11-24&amp;ServiceDateTo=2025-11-24&amp;DumpsterInvNr=13-L-116818", "13-L-116818")</f>
        <v>13-L-116818</v>
      </c>
      <c r="C3166">
        <v>1.1000000000000001</v>
      </c>
      <c r="D3166" t="s">
        <v>4381</v>
      </c>
      <c r="E3166" t="s">
        <v>11</v>
      </c>
      <c r="G3166" t="s">
        <v>430</v>
      </c>
      <c r="H3166" t="s">
        <v>432</v>
      </c>
    </row>
    <row r="3167" spans="1:8" hidden="1" x14ac:dyDescent="0.25">
      <c r="A3167" t="s">
        <v>4421</v>
      </c>
      <c r="B3167" s="1" t="str">
        <f>HYPERLINK("https://asmlis.vasa.lt/Dashboard/Served?ServiceDateFrom=2025-11-24&amp;ServiceDateTo=2025-11-24&amp;DumpsterInvNr=13-P-500509", "13-P-500509")</f>
        <v>13-P-500509</v>
      </c>
      <c r="C3167">
        <v>2.5</v>
      </c>
      <c r="D3167" t="s">
        <v>4422</v>
      </c>
      <c r="E3167" t="s">
        <v>11</v>
      </c>
      <c r="F3167" t="s">
        <v>13</v>
      </c>
      <c r="G3167" t="s">
        <v>2178</v>
      </c>
      <c r="H3167" t="s">
        <v>432</v>
      </c>
    </row>
    <row r="3168" spans="1:8" hidden="1" x14ac:dyDescent="0.25">
      <c r="A3168" t="s">
        <v>4423</v>
      </c>
      <c r="B3168" s="1" t="str">
        <f>HYPERLINK("https://asmlis.vasa.lt/Dashboard/Served?ServiceDateFrom=2025-11-24&amp;ServiceDateTo=2025-11-24&amp;DumpsterInvNr=13-L-314007", "13-L-314007")</f>
        <v>13-L-314007</v>
      </c>
      <c r="C3168">
        <v>1.1000000000000001</v>
      </c>
      <c r="D3168" t="s">
        <v>2968</v>
      </c>
      <c r="E3168" t="s">
        <v>11</v>
      </c>
      <c r="G3168" t="s">
        <v>9</v>
      </c>
      <c r="H3168" t="s">
        <v>14</v>
      </c>
    </row>
    <row r="3169" spans="1:10" hidden="1" x14ac:dyDescent="0.25">
      <c r="A3169" t="s">
        <v>4424</v>
      </c>
      <c r="B3169" s="1" t="str">
        <f>HYPERLINK("https://asmlis.vasa.lt/Dashboard/Served?ServiceDateFrom=2025-11-24&amp;ServiceDateTo=2025-11-24&amp;DumpsterInvNr=13-L-425079", "13-L-425079")</f>
        <v>13-L-425079</v>
      </c>
      <c r="C3169">
        <v>1.1000000000000001</v>
      </c>
      <c r="D3169" t="s">
        <v>4425</v>
      </c>
      <c r="E3169" t="s">
        <v>11</v>
      </c>
      <c r="G3169" t="s">
        <v>74</v>
      </c>
      <c r="H3169" t="s">
        <v>14</v>
      </c>
    </row>
    <row r="3170" spans="1:10" hidden="1" x14ac:dyDescent="0.25">
      <c r="A3170" t="s">
        <v>4426</v>
      </c>
      <c r="B3170" s="1" t="str">
        <f>HYPERLINK("https://asmlis.vasa.lt/Dashboard/Served?ServiceDateFrom=2025-11-24&amp;ServiceDateTo=2025-11-24&amp;DumpsterInvNr=13-L-410614", "13-L-410614")</f>
        <v>13-L-410614</v>
      </c>
      <c r="C3170">
        <v>0.12</v>
      </c>
      <c r="D3170" t="s">
        <v>4427</v>
      </c>
      <c r="E3170" t="s">
        <v>11</v>
      </c>
      <c r="F3170" t="s">
        <v>1209</v>
      </c>
      <c r="G3170" t="s">
        <v>74</v>
      </c>
      <c r="H3170" t="s">
        <v>14</v>
      </c>
    </row>
    <row r="3171" spans="1:10" hidden="1" x14ac:dyDescent="0.25">
      <c r="A3171" t="s">
        <v>4428</v>
      </c>
      <c r="B3171" s="1" t="str">
        <f>HYPERLINK("https://asmlis.vasa.lt/Dashboard/Served?ServiceDateFrom=2025-11-24&amp;ServiceDateTo=2025-11-24&amp;DumpsterInvNr=13-L-125148", "13-L-125148")</f>
        <v>13-L-125148</v>
      </c>
      <c r="C3171">
        <v>0.24</v>
      </c>
      <c r="D3171" t="s">
        <v>4429</v>
      </c>
      <c r="E3171" t="s">
        <v>11</v>
      </c>
      <c r="G3171" t="s">
        <v>1912</v>
      </c>
      <c r="H3171" t="s">
        <v>432</v>
      </c>
    </row>
    <row r="3172" spans="1:10" hidden="1" x14ac:dyDescent="0.25">
      <c r="A3172" t="s">
        <v>4430</v>
      </c>
      <c r="B3172" s="1" t="str">
        <f>HYPERLINK("https://asmlis.vasa.lt/Dashboard/Served?ServiceDateFrom=2025-11-24&amp;ServiceDateTo=2025-11-24&amp;DumpsterInvNr=13-L-213521", "13-L-213521")</f>
        <v>13-L-213521</v>
      </c>
      <c r="C3172">
        <v>0.12</v>
      </c>
      <c r="D3172" t="s">
        <v>3925</v>
      </c>
      <c r="E3172" t="s">
        <v>11</v>
      </c>
      <c r="G3172" t="s">
        <v>936</v>
      </c>
      <c r="H3172" t="s">
        <v>938</v>
      </c>
    </row>
    <row r="3173" spans="1:10" hidden="1" x14ac:dyDescent="0.25">
      <c r="A3173" t="s">
        <v>4431</v>
      </c>
      <c r="B3173" s="1" t="str">
        <f>HYPERLINK("https://asmlis.vasa.lt/Dashboard/Served?ServiceDateFrom=2025-11-24&amp;ServiceDateTo=2025-11-24&amp;DumpsterInvNr=13-P-112074", "13-P-112074")</f>
        <v>13-P-112074</v>
      </c>
      <c r="C3173">
        <v>0.24</v>
      </c>
      <c r="D3173" t="s">
        <v>4429</v>
      </c>
      <c r="E3173" t="s">
        <v>11</v>
      </c>
      <c r="G3173" t="s">
        <v>1917</v>
      </c>
      <c r="H3173" t="s">
        <v>432</v>
      </c>
    </row>
    <row r="3174" spans="1:10" hidden="1" x14ac:dyDescent="0.25">
      <c r="A3174" t="s">
        <v>4432</v>
      </c>
      <c r="B3174" s="1" t="str">
        <f>HYPERLINK("https://asmlis.vasa.lt/Dashboard/Served?ServiceDateFrom=2025-11-24&amp;ServiceDateTo=2025-11-24&amp;DumpsterInvNr=13-P-415443", "13-P-415443")</f>
        <v>13-P-415443</v>
      </c>
      <c r="C3174">
        <v>1.1000000000000001</v>
      </c>
      <c r="D3174" t="s">
        <v>1678</v>
      </c>
      <c r="E3174" t="s">
        <v>11</v>
      </c>
      <c r="G3174" t="s">
        <v>264</v>
      </c>
      <c r="H3174" t="s">
        <v>14</v>
      </c>
    </row>
    <row r="3175" spans="1:10" hidden="1" x14ac:dyDescent="0.25">
      <c r="A3175" t="s">
        <v>4433</v>
      </c>
      <c r="B3175" s="1" t="str">
        <f>HYPERLINK("https://asmlis.vasa.lt/Dashboard/Served?ServiceDateFrom=2025-11-24&amp;ServiceDateTo=2025-11-24&amp;DumpsterInvNr=13-L-308924", "13-L-308924")</f>
        <v>13-L-308924</v>
      </c>
      <c r="C3175">
        <v>1.1000000000000001</v>
      </c>
      <c r="D3175" t="s">
        <v>588</v>
      </c>
      <c r="E3175" t="s">
        <v>11</v>
      </c>
      <c r="G3175" t="s">
        <v>9</v>
      </c>
      <c r="H3175" t="s">
        <v>14</v>
      </c>
    </row>
    <row r="3176" spans="1:10" hidden="1" x14ac:dyDescent="0.25">
      <c r="A3176" t="s">
        <v>4434</v>
      </c>
      <c r="B3176" s="1" t="str">
        <f>HYPERLINK("https://asmlis.vasa.lt/Dashboard/Served?ServiceDateFrom=2025-11-24&amp;ServiceDateTo=2025-11-24&amp;DumpsterInvNr=13-L-424269", "13-L-424269")</f>
        <v>13-L-424269</v>
      </c>
      <c r="C3176">
        <v>1.1000000000000001</v>
      </c>
      <c r="D3176" t="s">
        <v>4425</v>
      </c>
      <c r="E3176" t="s">
        <v>11</v>
      </c>
      <c r="G3176" t="s">
        <v>74</v>
      </c>
      <c r="H3176" t="s">
        <v>14</v>
      </c>
    </row>
    <row r="3177" spans="1:10" hidden="1" x14ac:dyDescent="0.25">
      <c r="A3177" t="s">
        <v>4434</v>
      </c>
      <c r="B3177" s="1" t="str">
        <f>HYPERLINK("https://asmlis.vasa.lt/Dashboard/Served?ServiceDateFrom=2025-11-24&amp;ServiceDateTo=2025-11-24&amp;DumpsterInvNr=13-P-300601", "13-P-300601")</f>
        <v>13-P-300601</v>
      </c>
      <c r="C3177">
        <v>1.1000000000000001</v>
      </c>
      <c r="D3177" t="s">
        <v>4435</v>
      </c>
      <c r="E3177" t="s">
        <v>11</v>
      </c>
      <c r="F3177" t="s">
        <v>13</v>
      </c>
      <c r="G3177" t="s">
        <v>412</v>
      </c>
      <c r="H3177" t="s">
        <v>14</v>
      </c>
    </row>
    <row r="3178" spans="1:10" hidden="1" x14ac:dyDescent="0.25">
      <c r="A3178" t="s">
        <v>4436</v>
      </c>
      <c r="B3178" s="1" t="str">
        <f>HYPERLINK("https://asmlis.vasa.lt/Dashboard/Served?ServiceDateFrom=2025-11-24&amp;ServiceDateTo=2025-11-24&amp;DumpsterInvNr=13-L-305120", "13-L-305120")</f>
        <v>13-L-305120</v>
      </c>
      <c r="C3178">
        <v>1.1000000000000001</v>
      </c>
      <c r="D3178" t="s">
        <v>2968</v>
      </c>
      <c r="E3178" t="s">
        <v>11</v>
      </c>
      <c r="G3178" t="s">
        <v>9</v>
      </c>
      <c r="H3178" t="s">
        <v>14</v>
      </c>
    </row>
    <row r="3179" spans="1:10" hidden="1" x14ac:dyDescent="0.25">
      <c r="A3179" t="s">
        <v>4437</v>
      </c>
      <c r="B3179" s="1" t="str">
        <f>HYPERLINK("https://asmlis.vasa.lt/Dashboard/Served?ServiceDateFrom=2025-11-24&amp;ServiceDateTo=2025-11-24&amp;DumpsterInvNr=13-L-415145", "13-L-415145")</f>
        <v>13-L-415145</v>
      </c>
      <c r="C3179">
        <v>1.1000000000000001</v>
      </c>
      <c r="D3179" t="s">
        <v>4438</v>
      </c>
      <c r="E3179" t="s">
        <v>11</v>
      </c>
      <c r="G3179" t="s">
        <v>74</v>
      </c>
      <c r="H3179" t="s">
        <v>14</v>
      </c>
    </row>
    <row r="3180" spans="1:10" hidden="1" x14ac:dyDescent="0.25">
      <c r="A3180" t="s">
        <v>4439</v>
      </c>
      <c r="B3180" s="1" t="str">
        <f>HYPERLINK("https://asmlis.vasa.lt/Dashboard/Served?ServiceDateFrom=2025-11-24&amp;ServiceDateTo=2025-11-24&amp;DumpsterInvNr=13-P-405315", "13-P-405315")</f>
        <v>13-P-405315</v>
      </c>
      <c r="C3180">
        <v>0.24</v>
      </c>
      <c r="D3180" t="s">
        <v>4440</v>
      </c>
      <c r="E3180" t="s">
        <v>11</v>
      </c>
      <c r="G3180" t="s">
        <v>264</v>
      </c>
      <c r="H3180" t="s">
        <v>14</v>
      </c>
    </row>
    <row r="3181" spans="1:10" hidden="1" x14ac:dyDescent="0.25">
      <c r="A3181" t="s">
        <v>4441</v>
      </c>
      <c r="B3181" s="1" t="str">
        <f>HYPERLINK("https://asmlis.vasa.lt/Dashboard/Served?ServiceDateFrom=2025-11-24&amp;ServiceDateTo=2025-11-24&amp;DumpsterInvNr=13-P-502037", "13-P-502037")</f>
        <v>13-P-502037</v>
      </c>
      <c r="C3181">
        <v>0.24</v>
      </c>
      <c r="D3181" t="s">
        <v>4410</v>
      </c>
      <c r="E3181" t="s">
        <v>11</v>
      </c>
      <c r="F3181" t="s">
        <v>3205</v>
      </c>
      <c r="G3181" t="s">
        <v>2178</v>
      </c>
      <c r="H3181" t="s">
        <v>432</v>
      </c>
      <c r="J3181" t="s">
        <v>17529</v>
      </c>
    </row>
    <row r="3182" spans="1:10" hidden="1" x14ac:dyDescent="0.25">
      <c r="A3182" t="s">
        <v>4442</v>
      </c>
      <c r="B3182" s="1" t="str">
        <f>HYPERLINK("https://asmlis.vasa.lt/Dashboard/Served?ServiceDateFrom=2025-11-24&amp;ServiceDateTo=2025-11-24&amp;DumpsterInvNr=13-L-317077", "13-L-317077")</f>
        <v>13-L-317077</v>
      </c>
      <c r="C3182">
        <v>5</v>
      </c>
      <c r="D3182" t="s">
        <v>889</v>
      </c>
      <c r="E3182" t="s">
        <v>11</v>
      </c>
      <c r="F3182" t="s">
        <v>13</v>
      </c>
      <c r="G3182" t="s">
        <v>9</v>
      </c>
      <c r="H3182" t="s">
        <v>14</v>
      </c>
    </row>
    <row r="3183" spans="1:10" hidden="1" x14ac:dyDescent="0.25">
      <c r="A3183" t="s">
        <v>4443</v>
      </c>
      <c r="B3183" s="1" t="str">
        <f>HYPERLINK("https://asmlis.vasa.lt/Dashboard/Served?ServiceDateFrom=2025-11-24&amp;ServiceDateTo=2025-11-24&amp;DumpsterInvNr=13-P-111109", "13-P-111109")</f>
        <v>13-P-111109</v>
      </c>
      <c r="C3183">
        <v>1.1000000000000001</v>
      </c>
      <c r="D3183" t="s">
        <v>4444</v>
      </c>
      <c r="E3183" t="s">
        <v>11</v>
      </c>
      <c r="G3183" t="s">
        <v>1917</v>
      </c>
      <c r="H3183" t="s">
        <v>432</v>
      </c>
    </row>
    <row r="3184" spans="1:10" hidden="1" x14ac:dyDescent="0.25">
      <c r="A3184" t="s">
        <v>3957</v>
      </c>
      <c r="B3184" s="1" t="str">
        <f>HYPERLINK("https://asmlis.vasa.lt/Dashboard/Served?ServiceDateFrom=2025-11-24&amp;ServiceDateTo=2025-11-24&amp;DumpsterInvNr=13-L-425063", "13-L-425063")</f>
        <v>13-L-425063</v>
      </c>
      <c r="C3184">
        <v>1.1000000000000001</v>
      </c>
      <c r="D3184" t="s">
        <v>4425</v>
      </c>
      <c r="E3184" t="s">
        <v>11</v>
      </c>
      <c r="G3184" t="s">
        <v>74</v>
      </c>
      <c r="H3184" t="s">
        <v>14</v>
      </c>
    </row>
    <row r="3185" spans="1:8" hidden="1" x14ac:dyDescent="0.25">
      <c r="A3185" t="s">
        <v>3959</v>
      </c>
      <c r="B3185" s="1" t="str">
        <f>HYPERLINK("https://asmlis.vasa.lt/Dashboard/Served?ServiceDateFrom=2025-11-24&amp;ServiceDateTo=2025-11-24&amp;DumpsterInvNr=13-L-313357", "13-L-313357")</f>
        <v>13-L-313357</v>
      </c>
      <c r="C3185">
        <v>1.1000000000000001</v>
      </c>
      <c r="D3185" t="s">
        <v>4445</v>
      </c>
      <c r="E3185" t="s">
        <v>11</v>
      </c>
      <c r="G3185" t="s">
        <v>9</v>
      </c>
      <c r="H3185" t="s">
        <v>14</v>
      </c>
    </row>
    <row r="3186" spans="1:8" hidden="1" x14ac:dyDescent="0.25">
      <c r="A3186" t="s">
        <v>4111</v>
      </c>
      <c r="B3186" s="1" t="str">
        <f>HYPERLINK("https://asmlis.vasa.lt/Dashboard/Served?ServiceDateFrom=2025-11-24&amp;ServiceDateTo=2025-11-24&amp;DumpsterInvNr=13-L-425080", "13-L-425080")</f>
        <v>13-L-425080</v>
      </c>
      <c r="C3186">
        <v>1.1000000000000001</v>
      </c>
      <c r="D3186" t="s">
        <v>4425</v>
      </c>
      <c r="E3186" t="s">
        <v>11</v>
      </c>
      <c r="G3186" t="s">
        <v>74</v>
      </c>
      <c r="H3186" t="s">
        <v>14</v>
      </c>
    </row>
    <row r="3187" spans="1:8" hidden="1" x14ac:dyDescent="0.25">
      <c r="A3187" t="s">
        <v>4446</v>
      </c>
      <c r="B3187" s="1" t="str">
        <f>HYPERLINK("https://asmlis.vasa.lt/Dashboard/Served?ServiceDateFrom=2025-11-24&amp;ServiceDateTo=2025-11-24&amp;DumpsterInvNr=13-L-310508", "13-L-310508")</f>
        <v>13-L-310508</v>
      </c>
      <c r="C3187">
        <v>1.1000000000000001</v>
      </c>
      <c r="D3187" t="s">
        <v>4447</v>
      </c>
      <c r="E3187" t="s">
        <v>11</v>
      </c>
      <c r="G3187" t="s">
        <v>9</v>
      </c>
      <c r="H3187" t="s">
        <v>14</v>
      </c>
    </row>
    <row r="3188" spans="1:8" hidden="1" x14ac:dyDescent="0.25">
      <c r="A3188" t="s">
        <v>3963</v>
      </c>
      <c r="B3188" s="1" t="str">
        <f>HYPERLINK("https://asmlis.vasa.lt/Dashboard/Served?ServiceDateFrom=2025-11-24&amp;ServiceDateTo=2025-11-24&amp;DumpsterInvNr=13-L-419121", "13-L-419121")</f>
        <v>13-L-419121</v>
      </c>
      <c r="C3188">
        <v>1.1000000000000001</v>
      </c>
      <c r="D3188" t="s">
        <v>4438</v>
      </c>
      <c r="E3188" t="s">
        <v>11</v>
      </c>
      <c r="F3188" t="s">
        <v>13</v>
      </c>
      <c r="G3188" t="s">
        <v>74</v>
      </c>
      <c r="H3188" t="s">
        <v>14</v>
      </c>
    </row>
    <row r="3189" spans="1:8" hidden="1" x14ac:dyDescent="0.25">
      <c r="A3189" t="s">
        <v>3899</v>
      </c>
      <c r="B3189" s="1" t="str">
        <f>HYPERLINK("https://asmlis.vasa.lt/Dashboard/Served?ServiceDateFrom=2025-11-24&amp;ServiceDateTo=2025-11-24&amp;DumpsterInvNr=13-L-424626", "13-L-424626")</f>
        <v>13-L-424626</v>
      </c>
      <c r="C3189">
        <v>0.24</v>
      </c>
      <c r="D3189" t="s">
        <v>4448</v>
      </c>
      <c r="E3189" t="s">
        <v>11</v>
      </c>
      <c r="G3189" t="s">
        <v>74</v>
      </c>
      <c r="H3189" t="s">
        <v>14</v>
      </c>
    </row>
    <row r="3190" spans="1:8" hidden="1" x14ac:dyDescent="0.25">
      <c r="A3190" t="s">
        <v>3965</v>
      </c>
      <c r="B3190" s="1" t="str">
        <f>HYPERLINK("https://asmlis.vasa.lt/Dashboard/Served?ServiceDateFrom=2025-11-24&amp;ServiceDateTo=2025-11-24&amp;DumpsterInvNr=13-P-413779", "13-P-413779")</f>
        <v>13-P-413779</v>
      </c>
      <c r="C3190">
        <v>2.5</v>
      </c>
      <c r="D3190" t="s">
        <v>4449</v>
      </c>
      <c r="E3190" t="s">
        <v>11</v>
      </c>
      <c r="G3190" t="s">
        <v>264</v>
      </c>
      <c r="H3190" t="s">
        <v>14</v>
      </c>
    </row>
    <row r="3191" spans="1:8" hidden="1" x14ac:dyDescent="0.25">
      <c r="A3191" t="s">
        <v>4320</v>
      </c>
      <c r="B3191" s="1" t="str">
        <f>HYPERLINK("https://asmlis.vasa.lt/Dashboard/Served?ServiceDateFrom=2025-11-24&amp;ServiceDateTo=2025-11-24&amp;DumpsterInvNr=13-L-149351", "13-L-149351")</f>
        <v>13-L-149351</v>
      </c>
      <c r="C3191">
        <v>1.1000000000000001</v>
      </c>
      <c r="D3191" t="s">
        <v>4450</v>
      </c>
      <c r="E3191" t="s">
        <v>11</v>
      </c>
      <c r="G3191" t="s">
        <v>1912</v>
      </c>
      <c r="H3191" t="s">
        <v>432</v>
      </c>
    </row>
    <row r="3192" spans="1:8" hidden="1" x14ac:dyDescent="0.25">
      <c r="A3192" t="s">
        <v>3903</v>
      </c>
      <c r="B3192" s="1" t="str">
        <f>HYPERLINK("https://asmlis.vasa.lt/Dashboard/Served?ServiceDateFrom=2025-11-24&amp;ServiceDateTo=2025-11-24&amp;DumpsterInvNr=13-L-140880", "13-L-140880")</f>
        <v>13-L-140880</v>
      </c>
      <c r="C3192">
        <v>0.24</v>
      </c>
      <c r="D3192" t="s">
        <v>4451</v>
      </c>
      <c r="E3192" t="s">
        <v>11</v>
      </c>
      <c r="G3192" t="s">
        <v>430</v>
      </c>
      <c r="H3192" t="s">
        <v>432</v>
      </c>
    </row>
    <row r="3193" spans="1:8" hidden="1" x14ac:dyDescent="0.25">
      <c r="A3193" t="s">
        <v>4012</v>
      </c>
      <c r="B3193" s="1" t="str">
        <f>HYPERLINK("https://asmlis.vasa.lt/Dashboard/Served?ServiceDateFrom=2025-11-24&amp;ServiceDateTo=2025-11-24&amp;DumpsterInvNr=13-S-410187", "13-S-410187")</f>
        <v>13-S-410187</v>
      </c>
      <c r="C3193">
        <v>0.12</v>
      </c>
      <c r="D3193" t="s">
        <v>4269</v>
      </c>
      <c r="E3193" t="s">
        <v>11</v>
      </c>
      <c r="F3193" t="s">
        <v>1209</v>
      </c>
      <c r="G3193" t="s">
        <v>264</v>
      </c>
      <c r="H3193" t="s">
        <v>14</v>
      </c>
    </row>
    <row r="3194" spans="1:8" hidden="1" x14ac:dyDescent="0.25">
      <c r="A3194" t="s">
        <v>4452</v>
      </c>
      <c r="B3194" s="1" t="str">
        <f>HYPERLINK("https://asmlis.vasa.lt/Dashboard/Served?ServiceDateFrom=2025-11-24&amp;ServiceDateTo=2025-11-24&amp;DumpsterInvNr=13-P-500508", "13-P-500508")</f>
        <v>13-P-500508</v>
      </c>
      <c r="C3194">
        <v>2.5</v>
      </c>
      <c r="D3194" t="s">
        <v>4422</v>
      </c>
      <c r="E3194" t="s">
        <v>11</v>
      </c>
      <c r="F3194" t="s">
        <v>13</v>
      </c>
      <c r="G3194" t="s">
        <v>2178</v>
      </c>
      <c r="H3194" t="s">
        <v>432</v>
      </c>
    </row>
    <row r="3195" spans="1:8" hidden="1" x14ac:dyDescent="0.25">
      <c r="A3195" t="s">
        <v>4406</v>
      </c>
      <c r="B3195" s="1" t="str">
        <f>HYPERLINK("https://asmlis.vasa.lt/Dashboard/Served?ServiceDateFrom=2025-11-24&amp;ServiceDateTo=2025-11-24&amp;DumpsterInvNr=13-P-300530", "13-P-300530")</f>
        <v>13-P-300530</v>
      </c>
      <c r="C3195">
        <v>1.1000000000000001</v>
      </c>
      <c r="D3195" t="s">
        <v>4435</v>
      </c>
      <c r="E3195" t="s">
        <v>11</v>
      </c>
      <c r="G3195" t="s">
        <v>412</v>
      </c>
      <c r="H3195" t="s">
        <v>14</v>
      </c>
    </row>
    <row r="3196" spans="1:8" hidden="1" x14ac:dyDescent="0.25">
      <c r="A3196" t="s">
        <v>4454</v>
      </c>
      <c r="B3196" s="1" t="str">
        <f>HYPERLINK("https://asmlis.vasa.lt/Dashboard/Served?ServiceDateFrom=2025-11-24&amp;ServiceDateTo=2025-11-24&amp;DumpsterInvNr=13-L-223579", "13-L-223579")</f>
        <v>13-L-223579</v>
      </c>
      <c r="C3196">
        <v>1.1000000000000001</v>
      </c>
      <c r="D3196" t="s">
        <v>4313</v>
      </c>
      <c r="E3196" t="s">
        <v>11</v>
      </c>
      <c r="G3196" t="s">
        <v>936</v>
      </c>
      <c r="H3196" t="s">
        <v>938</v>
      </c>
    </row>
    <row r="3197" spans="1:8" hidden="1" x14ac:dyDescent="0.25">
      <c r="A3197" t="s">
        <v>4454</v>
      </c>
      <c r="B3197" s="1" t="str">
        <f>HYPERLINK("https://asmlis.vasa.lt/Dashboard/Served?ServiceDateFrom=2025-11-24&amp;ServiceDateTo=2025-11-24&amp;DumpsterInvNr=13-P-502961", "13-P-502961")</f>
        <v>13-P-502961</v>
      </c>
      <c r="C3197">
        <v>0.24</v>
      </c>
      <c r="D3197" t="s">
        <v>4451</v>
      </c>
      <c r="E3197" t="s">
        <v>11</v>
      </c>
      <c r="F3197" t="s">
        <v>1209</v>
      </c>
      <c r="G3197" t="s">
        <v>2178</v>
      </c>
      <c r="H3197" t="s">
        <v>432</v>
      </c>
    </row>
    <row r="3198" spans="1:8" hidden="1" x14ac:dyDescent="0.25">
      <c r="A3198" t="s">
        <v>4455</v>
      </c>
      <c r="B3198" s="1" t="str">
        <f>HYPERLINK("https://asmlis.vasa.lt/Dashboard/Served?ServiceDateFrom=2025-11-24&amp;ServiceDateTo=2025-11-24&amp;DumpsterInvNr=13-L-408562", "13-L-408562")</f>
        <v>13-L-408562</v>
      </c>
      <c r="C3198">
        <v>0.24</v>
      </c>
      <c r="D3198" t="s">
        <v>4456</v>
      </c>
      <c r="E3198" t="s">
        <v>11</v>
      </c>
      <c r="G3198" t="s">
        <v>74</v>
      </c>
      <c r="H3198" t="s">
        <v>14</v>
      </c>
    </row>
    <row r="3199" spans="1:8" hidden="1" x14ac:dyDescent="0.25">
      <c r="A3199" t="s">
        <v>4457</v>
      </c>
      <c r="B3199" s="1" t="str">
        <f>HYPERLINK("https://asmlis.vasa.lt/Dashboard/Served?ServiceDateFrom=2025-11-24&amp;ServiceDateTo=2025-11-24&amp;DumpsterInvNr=13-L-148892", "13-L-148892")</f>
        <v>13-L-148892</v>
      </c>
      <c r="C3199">
        <v>0.24</v>
      </c>
      <c r="D3199" t="s">
        <v>4458</v>
      </c>
      <c r="E3199" t="s">
        <v>11</v>
      </c>
      <c r="G3199" t="s">
        <v>430</v>
      </c>
      <c r="H3199" t="s">
        <v>432</v>
      </c>
    </row>
    <row r="3200" spans="1:8" hidden="1" x14ac:dyDescent="0.25">
      <c r="A3200" t="s">
        <v>4457</v>
      </c>
      <c r="B3200" s="1" t="str">
        <f>HYPERLINK("https://asmlis.vasa.lt/Dashboard/Served?ServiceDateFrom=2025-11-24&amp;ServiceDateTo=2025-11-24&amp;DumpsterInvNr=13-P-509582", "13-P-509582")</f>
        <v>13-P-509582</v>
      </c>
      <c r="C3200">
        <v>0.24</v>
      </c>
      <c r="D3200" t="s">
        <v>4458</v>
      </c>
      <c r="E3200" t="s">
        <v>11</v>
      </c>
      <c r="G3200" t="s">
        <v>2178</v>
      </c>
      <c r="H3200" t="s">
        <v>432</v>
      </c>
    </row>
    <row r="3201" spans="1:10" hidden="1" x14ac:dyDescent="0.25">
      <c r="A3201" t="s">
        <v>4460</v>
      </c>
      <c r="B3201" s="1" t="str">
        <f>HYPERLINK("https://asmlis.vasa.lt/Dashboard/Served?ServiceDateFrom=2025-11-24&amp;ServiceDateTo=2025-11-24&amp;DumpsterInvNr=13-T-000311", "13-T-000311")</f>
        <v>13-T-000311</v>
      </c>
      <c r="C3201">
        <v>2.5</v>
      </c>
      <c r="D3201" t="s">
        <v>4461</v>
      </c>
      <c r="E3201" t="s">
        <v>11</v>
      </c>
      <c r="F3201" t="s">
        <v>13</v>
      </c>
      <c r="G3201" t="s">
        <v>1899</v>
      </c>
      <c r="H3201" t="s">
        <v>432</v>
      </c>
    </row>
    <row r="3202" spans="1:10" hidden="1" x14ac:dyDescent="0.25">
      <c r="A3202" t="s">
        <v>4084</v>
      </c>
      <c r="B3202" s="1" t="str">
        <f>HYPERLINK("https://asmlis.vasa.lt/Dashboard/Served?ServiceDateFrom=2025-11-24&amp;ServiceDateTo=2025-11-24&amp;DumpsterInvNr=13-L-223495", "13-L-223495")</f>
        <v>13-L-223495</v>
      </c>
      <c r="C3202">
        <v>1.1000000000000001</v>
      </c>
      <c r="D3202" t="s">
        <v>4462</v>
      </c>
      <c r="E3202" t="s">
        <v>11</v>
      </c>
      <c r="F3202" t="s">
        <v>3205</v>
      </c>
      <c r="G3202" t="s">
        <v>936</v>
      </c>
      <c r="H3202" t="s">
        <v>938</v>
      </c>
      <c r="J3202" t="s">
        <v>17514</v>
      </c>
    </row>
    <row r="3203" spans="1:10" hidden="1" x14ac:dyDescent="0.25">
      <c r="A3203" t="s">
        <v>3938</v>
      </c>
      <c r="B3203" s="1" t="str">
        <f>HYPERLINK("https://asmlis.vasa.lt/Dashboard/Served?ServiceDateFrom=2025-11-24&amp;ServiceDateTo=2025-11-24&amp;DumpsterInvNr=13-P-300501", "13-P-300501")</f>
        <v>13-P-300501</v>
      </c>
      <c r="C3203">
        <v>1.1000000000000001</v>
      </c>
      <c r="D3203" t="s">
        <v>4435</v>
      </c>
      <c r="E3203" t="s">
        <v>11</v>
      </c>
      <c r="F3203" t="s">
        <v>13</v>
      </c>
      <c r="G3203" t="s">
        <v>412</v>
      </c>
      <c r="H3203" t="s">
        <v>14</v>
      </c>
    </row>
    <row r="3204" spans="1:10" hidden="1" x14ac:dyDescent="0.25">
      <c r="A3204" t="s">
        <v>4465</v>
      </c>
      <c r="B3204" s="1" t="str">
        <f>HYPERLINK("https://asmlis.vasa.lt/Dashboard/Served?ServiceDateFrom=2025-11-24&amp;ServiceDateTo=2025-11-24&amp;DumpsterInvNr=13-L-316472", "13-L-316472")</f>
        <v>13-L-316472</v>
      </c>
      <c r="C3204">
        <v>1.1000000000000001</v>
      </c>
      <c r="D3204" t="s">
        <v>2391</v>
      </c>
      <c r="E3204" t="s">
        <v>11</v>
      </c>
      <c r="G3204" t="s">
        <v>9</v>
      </c>
      <c r="H3204" t="s">
        <v>14</v>
      </c>
    </row>
    <row r="3205" spans="1:10" hidden="1" x14ac:dyDescent="0.25">
      <c r="A3205" t="s">
        <v>3920</v>
      </c>
      <c r="B3205" s="1" t="str">
        <f>HYPERLINK("https://asmlis.vasa.lt/Dashboard/Served?ServiceDateFrom=2025-11-24&amp;ServiceDateTo=2025-11-24&amp;DumpsterInvNr=13-P-300684", "13-P-300684")</f>
        <v>13-P-300684</v>
      </c>
      <c r="C3205">
        <v>1.1000000000000001</v>
      </c>
      <c r="D3205" t="s">
        <v>4435</v>
      </c>
      <c r="E3205" t="s">
        <v>11</v>
      </c>
      <c r="F3205" t="s">
        <v>13</v>
      </c>
      <c r="G3205" t="s">
        <v>412</v>
      </c>
      <c r="H3205" t="s">
        <v>14</v>
      </c>
    </row>
    <row r="3206" spans="1:10" hidden="1" x14ac:dyDescent="0.25">
      <c r="A3206" t="s">
        <v>4117</v>
      </c>
      <c r="B3206" s="1" t="str">
        <f>HYPERLINK("https://asmlis.vasa.lt/Dashboard/Served?ServiceDateFrom=2025-11-24&amp;ServiceDateTo=2025-11-24&amp;DumpsterInvNr=13-L-105172", "13-L-105172")</f>
        <v>13-L-105172</v>
      </c>
      <c r="C3206">
        <v>1.1000000000000001</v>
      </c>
      <c r="D3206" t="s">
        <v>4466</v>
      </c>
      <c r="E3206" t="s">
        <v>11</v>
      </c>
      <c r="G3206" t="s">
        <v>430</v>
      </c>
      <c r="H3206" t="s">
        <v>432</v>
      </c>
    </row>
    <row r="3207" spans="1:10" hidden="1" x14ac:dyDescent="0.25">
      <c r="A3207" t="s">
        <v>4463</v>
      </c>
      <c r="B3207" s="1" t="str">
        <f>HYPERLINK("https://asmlis.vasa.lt/Dashboard/Served?ServiceDateFrom=2025-11-24&amp;ServiceDateTo=2025-11-24&amp;DumpsterInvNr=13-T-000321", "13-T-000321")</f>
        <v>13-T-000321</v>
      </c>
      <c r="C3207">
        <v>2.5</v>
      </c>
      <c r="D3207" t="s">
        <v>4461</v>
      </c>
      <c r="E3207" t="s">
        <v>11</v>
      </c>
      <c r="F3207" t="s">
        <v>13</v>
      </c>
      <c r="G3207" t="s">
        <v>1899</v>
      </c>
      <c r="H3207" t="s">
        <v>432</v>
      </c>
    </row>
    <row r="3208" spans="1:10" hidden="1" x14ac:dyDescent="0.25">
      <c r="A3208" t="s">
        <v>4161</v>
      </c>
      <c r="B3208" s="1" t="str">
        <f>HYPERLINK("https://asmlis.vasa.lt/Dashboard/Served?ServiceDateFrom=2025-11-24&amp;ServiceDateTo=2025-11-24&amp;DumpsterInvNr=13-L-105370", "13-L-105370")</f>
        <v>13-L-105370</v>
      </c>
      <c r="C3208">
        <v>5</v>
      </c>
      <c r="D3208" t="s">
        <v>4467</v>
      </c>
      <c r="E3208" t="s">
        <v>11</v>
      </c>
      <c r="F3208" t="s">
        <v>13</v>
      </c>
      <c r="G3208" t="s">
        <v>430</v>
      </c>
      <c r="H3208" t="s">
        <v>432</v>
      </c>
    </row>
    <row r="3209" spans="1:10" hidden="1" x14ac:dyDescent="0.25">
      <c r="A3209" t="s">
        <v>4069</v>
      </c>
      <c r="B3209" s="1" t="str">
        <f>HYPERLINK("https://asmlis.vasa.lt/Dashboard/Served?ServiceDateFrom=2025-11-24&amp;ServiceDateTo=2025-11-24&amp;DumpsterInvNr=13-P-300614", "13-P-300614")</f>
        <v>13-P-300614</v>
      </c>
      <c r="C3209">
        <v>1.1000000000000001</v>
      </c>
      <c r="D3209" t="s">
        <v>4435</v>
      </c>
      <c r="E3209" t="s">
        <v>11</v>
      </c>
      <c r="F3209" t="s">
        <v>13</v>
      </c>
      <c r="G3209" t="s">
        <v>412</v>
      </c>
      <c r="H3209" t="s">
        <v>14</v>
      </c>
    </row>
    <row r="3210" spans="1:10" hidden="1" x14ac:dyDescent="0.25">
      <c r="A3210" t="s">
        <v>4468</v>
      </c>
      <c r="B3210" s="1" t="str">
        <f>HYPERLINK("https://asmlis.vasa.lt/Dashboard/Served?ServiceDateFrom=2025-11-24&amp;ServiceDateTo=2025-11-24&amp;DumpsterInvNr=13-P-300542", "13-P-300542")</f>
        <v>13-P-300542</v>
      </c>
      <c r="C3210">
        <v>1.1000000000000001</v>
      </c>
      <c r="D3210" t="s">
        <v>4435</v>
      </c>
      <c r="E3210" t="s">
        <v>11</v>
      </c>
      <c r="F3210" t="s">
        <v>13</v>
      </c>
      <c r="G3210" t="s">
        <v>412</v>
      </c>
      <c r="H3210" t="s">
        <v>14</v>
      </c>
    </row>
    <row r="3211" spans="1:10" hidden="1" x14ac:dyDescent="0.25">
      <c r="A3211" t="s">
        <v>4469</v>
      </c>
      <c r="B3211" s="1" t="str">
        <f>HYPERLINK("https://asmlis.vasa.lt/Dashboard/Served?ServiceDateFrom=2025-11-24&amp;ServiceDateTo=2025-11-24&amp;DumpsterInvNr=13-L-420926", "13-L-420926")</f>
        <v>13-L-420926</v>
      </c>
      <c r="C3211">
        <v>5</v>
      </c>
      <c r="D3211" t="s">
        <v>4470</v>
      </c>
      <c r="E3211" t="s">
        <v>11</v>
      </c>
      <c r="G3211" t="s">
        <v>74</v>
      </c>
      <c r="H3211" t="s">
        <v>14</v>
      </c>
    </row>
    <row r="3212" spans="1:10" hidden="1" x14ac:dyDescent="0.25">
      <c r="A3212" t="s">
        <v>4345</v>
      </c>
      <c r="B3212" s="1" t="str">
        <f>HYPERLINK("https://asmlis.vasa.lt/Dashboard/Served?ServiceDateFrom=2025-11-24&amp;ServiceDateTo=2025-11-24&amp;DumpsterInvNr=13-L-136700", "13-L-136700")</f>
        <v>13-L-136700</v>
      </c>
      <c r="C3212">
        <v>5</v>
      </c>
      <c r="D3212" t="s">
        <v>4471</v>
      </c>
      <c r="E3212" t="s">
        <v>11</v>
      </c>
      <c r="F3212" t="s">
        <v>13</v>
      </c>
      <c r="G3212" t="s">
        <v>430</v>
      </c>
      <c r="H3212" t="s">
        <v>432</v>
      </c>
    </row>
    <row r="3213" spans="1:10" hidden="1" x14ac:dyDescent="0.25">
      <c r="A3213" t="s">
        <v>4377</v>
      </c>
      <c r="B3213" s="1" t="str">
        <f>HYPERLINK("https://asmlis.vasa.lt/Dashboard/Served?ServiceDateFrom=2025-11-24&amp;ServiceDateTo=2025-11-24&amp;DumpsterInvNr=13-P-415914", "13-P-415914")</f>
        <v>13-P-415914</v>
      </c>
      <c r="C3213">
        <v>2.5</v>
      </c>
      <c r="D3213" t="s">
        <v>887</v>
      </c>
      <c r="E3213" t="s">
        <v>11</v>
      </c>
      <c r="F3213" t="s">
        <v>13</v>
      </c>
      <c r="G3213" t="s">
        <v>264</v>
      </c>
      <c r="H3213" t="s">
        <v>14</v>
      </c>
    </row>
    <row r="3214" spans="1:10" hidden="1" x14ac:dyDescent="0.25">
      <c r="A3214" t="s">
        <v>4387</v>
      </c>
      <c r="B3214" s="1" t="str">
        <f>HYPERLINK("https://asmlis.vasa.lt/Dashboard/Served?ServiceDateFrom=2025-11-24&amp;ServiceDateTo=2025-11-24&amp;DumpsterInvNr=13-P-300664", "13-P-300664")</f>
        <v>13-P-300664</v>
      </c>
      <c r="C3214">
        <v>1.1000000000000001</v>
      </c>
      <c r="D3214" t="s">
        <v>4435</v>
      </c>
      <c r="E3214" t="s">
        <v>11</v>
      </c>
      <c r="F3214" t="s">
        <v>13</v>
      </c>
      <c r="G3214" t="s">
        <v>412</v>
      </c>
      <c r="H3214" t="s">
        <v>14</v>
      </c>
    </row>
    <row r="3215" spans="1:10" hidden="1" x14ac:dyDescent="0.25">
      <c r="A3215" t="s">
        <v>4387</v>
      </c>
      <c r="B3215" s="1" t="str">
        <f>HYPERLINK("https://asmlis.vasa.lt/Dashboard/Served?ServiceDateFrom=2025-11-24&amp;ServiceDateTo=2025-11-24&amp;DumpsterInvNr=13-P-416250", "13-P-416250")</f>
        <v>13-P-416250</v>
      </c>
      <c r="C3215">
        <v>2.5</v>
      </c>
      <c r="D3215" t="s">
        <v>887</v>
      </c>
      <c r="E3215" t="s">
        <v>11</v>
      </c>
      <c r="F3215" t="s">
        <v>13</v>
      </c>
      <c r="G3215" t="s">
        <v>264</v>
      </c>
      <c r="H3215" t="s">
        <v>14</v>
      </c>
    </row>
    <row r="3216" spans="1:10" hidden="1" x14ac:dyDescent="0.25">
      <c r="A3216" t="s">
        <v>3998</v>
      </c>
      <c r="B3216" s="1" t="str">
        <f>HYPERLINK("https://asmlis.vasa.lt/Dashboard/Served?ServiceDateFrom=2025-11-24&amp;ServiceDateTo=2025-11-24&amp;DumpsterInvNr=13-L-138040", "13-L-138040")</f>
        <v>13-L-138040</v>
      </c>
      <c r="C3216">
        <v>5</v>
      </c>
      <c r="D3216" t="s">
        <v>4473</v>
      </c>
      <c r="E3216" t="s">
        <v>11</v>
      </c>
      <c r="F3216" t="s">
        <v>13</v>
      </c>
      <c r="G3216" t="s">
        <v>1912</v>
      </c>
      <c r="H3216" t="s">
        <v>432</v>
      </c>
    </row>
    <row r="3217" spans="1:8" hidden="1" x14ac:dyDescent="0.25">
      <c r="A3217" t="s">
        <v>3998</v>
      </c>
      <c r="B3217" s="1" t="str">
        <f>HYPERLINK("https://asmlis.vasa.lt/Dashboard/Served?ServiceDateFrom=2025-11-24&amp;ServiceDateTo=2025-11-24&amp;DumpsterInvNr=13-P-300475", "13-P-300475")</f>
        <v>13-P-300475</v>
      </c>
      <c r="C3217">
        <v>1.1000000000000001</v>
      </c>
      <c r="D3217" t="s">
        <v>4435</v>
      </c>
      <c r="E3217" t="s">
        <v>11</v>
      </c>
      <c r="F3217" t="s">
        <v>13</v>
      </c>
      <c r="G3217" t="s">
        <v>412</v>
      </c>
      <c r="H3217" t="s">
        <v>14</v>
      </c>
    </row>
    <row r="3218" spans="1:8" hidden="1" x14ac:dyDescent="0.25">
      <c r="A3218" t="s">
        <v>3998</v>
      </c>
      <c r="B3218" s="1" t="str">
        <f>HYPERLINK("https://asmlis.vasa.lt/Dashboard/Served?ServiceDateFrom=2025-11-24&amp;ServiceDateTo=2025-11-24&amp;DumpsterInvNr=13-P-415929", "13-P-415929")</f>
        <v>13-P-415929</v>
      </c>
      <c r="C3218">
        <v>2.5</v>
      </c>
      <c r="D3218" t="s">
        <v>887</v>
      </c>
      <c r="E3218" t="s">
        <v>11</v>
      </c>
      <c r="F3218" t="s">
        <v>13</v>
      </c>
      <c r="G3218" t="s">
        <v>264</v>
      </c>
      <c r="H3218" t="s">
        <v>14</v>
      </c>
    </row>
    <row r="3219" spans="1:8" hidden="1" x14ac:dyDescent="0.25">
      <c r="A3219" t="s">
        <v>4474</v>
      </c>
      <c r="B3219" s="1" t="str">
        <f>HYPERLINK("https://asmlis.vasa.lt/Dashboard/Served?ServiceDateFrom=2025-11-24&amp;ServiceDateTo=2025-11-24&amp;DumpsterInvNr=13-P-409065", "13-P-409065")</f>
        <v>13-P-409065</v>
      </c>
      <c r="C3219">
        <v>0.12</v>
      </c>
      <c r="D3219" t="s">
        <v>4475</v>
      </c>
      <c r="E3219" t="s">
        <v>11</v>
      </c>
      <c r="G3219" t="s">
        <v>264</v>
      </c>
      <c r="H3219" t="s">
        <v>14</v>
      </c>
    </row>
    <row r="3220" spans="1:8" hidden="1" x14ac:dyDescent="0.25">
      <c r="A3220" t="s">
        <v>4476</v>
      </c>
      <c r="B3220" s="1" t="str">
        <f>HYPERLINK("https://asmlis.vasa.lt/Dashboard/Served?ServiceDateFrom=2025-11-24&amp;ServiceDateTo=2025-11-24&amp;DumpsterInvNr=13-L-318214", "13-L-318214")</f>
        <v>13-L-318214</v>
      </c>
      <c r="C3220">
        <v>1.1000000000000001</v>
      </c>
      <c r="D3220" t="s">
        <v>2391</v>
      </c>
      <c r="E3220" t="s">
        <v>11</v>
      </c>
      <c r="G3220" t="s">
        <v>9</v>
      </c>
      <c r="H3220" t="s">
        <v>14</v>
      </c>
    </row>
    <row r="3221" spans="1:8" hidden="1" x14ac:dyDescent="0.25">
      <c r="A3221" t="s">
        <v>4476</v>
      </c>
      <c r="B3221" s="1" t="str">
        <f>HYPERLINK("https://asmlis.vasa.lt/Dashboard/Served?ServiceDateFrom=2025-11-24&amp;ServiceDateTo=2025-11-24&amp;DumpsterInvNr=13-P-412372", "13-P-412372")</f>
        <v>13-P-412372</v>
      </c>
      <c r="C3221">
        <v>2.5</v>
      </c>
      <c r="D3221" t="s">
        <v>887</v>
      </c>
      <c r="E3221" t="s">
        <v>11</v>
      </c>
      <c r="F3221" t="s">
        <v>13</v>
      </c>
      <c r="G3221" t="s">
        <v>264</v>
      </c>
      <c r="H3221" t="s">
        <v>14</v>
      </c>
    </row>
    <row r="3222" spans="1:8" hidden="1" x14ac:dyDescent="0.25">
      <c r="A3222" t="s">
        <v>4476</v>
      </c>
      <c r="B3222" s="1" t="str">
        <f>HYPERLINK("https://asmlis.vasa.lt/Dashboard/Served?ServiceDateFrom=2025-11-24&amp;ServiceDateTo=2025-11-24&amp;DumpsterInvNr=13-S-506455", "13-S-506455")</f>
        <v>13-S-506455</v>
      </c>
      <c r="C3222">
        <v>0.12</v>
      </c>
      <c r="D3222" t="s">
        <v>4458</v>
      </c>
      <c r="E3222" t="s">
        <v>11</v>
      </c>
      <c r="F3222" t="s">
        <v>1209</v>
      </c>
      <c r="G3222" t="s">
        <v>2178</v>
      </c>
      <c r="H3222" t="s">
        <v>432</v>
      </c>
    </row>
    <row r="3223" spans="1:8" hidden="1" x14ac:dyDescent="0.25">
      <c r="A3223" t="s">
        <v>4478</v>
      </c>
      <c r="B3223" s="1" t="str">
        <f>HYPERLINK("https://asmlis.vasa.lt/Dashboard/Served?ServiceDateFrom=2025-11-24&amp;ServiceDateTo=2025-11-24&amp;DumpsterInvNr=13-L-314562", "13-L-314562")</f>
        <v>13-L-314562</v>
      </c>
      <c r="C3223">
        <v>1.1000000000000001</v>
      </c>
      <c r="D3223" t="s">
        <v>4447</v>
      </c>
      <c r="E3223" t="s">
        <v>11</v>
      </c>
      <c r="G3223" t="s">
        <v>9</v>
      </c>
      <c r="H3223" t="s">
        <v>14</v>
      </c>
    </row>
    <row r="3224" spans="1:8" hidden="1" x14ac:dyDescent="0.25">
      <c r="A3224" t="s">
        <v>4478</v>
      </c>
      <c r="B3224" s="1" t="str">
        <f>HYPERLINK("https://asmlis.vasa.lt/Dashboard/Served?ServiceDateFrom=2025-11-24&amp;ServiceDateTo=2025-11-24&amp;DumpsterInvNr=13-P-413778", "13-P-413778")</f>
        <v>13-P-413778</v>
      </c>
      <c r="C3224">
        <v>2.5</v>
      </c>
      <c r="D3224" t="s">
        <v>4449</v>
      </c>
      <c r="E3224" t="s">
        <v>11</v>
      </c>
      <c r="G3224" t="s">
        <v>264</v>
      </c>
      <c r="H3224" t="s">
        <v>14</v>
      </c>
    </row>
    <row r="3225" spans="1:8" hidden="1" x14ac:dyDescent="0.25">
      <c r="A3225" t="s">
        <v>4479</v>
      </c>
      <c r="B3225" s="1" t="str">
        <f>HYPERLINK("https://asmlis.vasa.lt/Dashboard/Served?ServiceDateFrom=2025-11-24&amp;ServiceDateTo=2025-11-24&amp;DumpsterInvNr=13-L-105173", "13-L-105173")</f>
        <v>13-L-105173</v>
      </c>
      <c r="C3225">
        <v>1.1000000000000001</v>
      </c>
      <c r="D3225" t="s">
        <v>4466</v>
      </c>
      <c r="E3225" t="s">
        <v>11</v>
      </c>
      <c r="G3225" t="s">
        <v>430</v>
      </c>
      <c r="H3225" t="s">
        <v>432</v>
      </c>
    </row>
    <row r="3226" spans="1:8" hidden="1" x14ac:dyDescent="0.25">
      <c r="A3226" t="s">
        <v>4480</v>
      </c>
      <c r="B3226" s="1" t="str">
        <f>HYPERLINK("https://asmlis.vasa.lt/Dashboard/Served?ServiceDateFrom=2025-11-24&amp;ServiceDateTo=2025-11-24&amp;DumpsterInvNr=13-L-422679", "13-L-422679")</f>
        <v>13-L-422679</v>
      </c>
      <c r="C3226">
        <v>0.24</v>
      </c>
      <c r="D3226" t="s">
        <v>4481</v>
      </c>
      <c r="E3226" t="s">
        <v>11</v>
      </c>
      <c r="G3226" t="s">
        <v>74</v>
      </c>
      <c r="H3226" t="s">
        <v>14</v>
      </c>
    </row>
    <row r="3227" spans="1:8" hidden="1" x14ac:dyDescent="0.25">
      <c r="A3227" t="s">
        <v>4480</v>
      </c>
      <c r="B3227" s="1" t="str">
        <f>HYPERLINK("https://asmlis.vasa.lt/Dashboard/Served?ServiceDateFrom=2025-11-24&amp;ServiceDateTo=2025-11-24&amp;DumpsterInvNr=13-S-503203", "13-S-503203")</f>
        <v>13-S-503203</v>
      </c>
      <c r="C3227">
        <v>0.12</v>
      </c>
      <c r="D3227" t="s">
        <v>4409</v>
      </c>
      <c r="E3227" t="s">
        <v>11</v>
      </c>
      <c r="F3227" t="s">
        <v>1209</v>
      </c>
      <c r="G3227" t="s">
        <v>2178</v>
      </c>
      <c r="H3227" t="s">
        <v>432</v>
      </c>
    </row>
    <row r="3228" spans="1:8" hidden="1" x14ac:dyDescent="0.25">
      <c r="A3228" t="s">
        <v>4482</v>
      </c>
      <c r="B3228" s="1" t="str">
        <f>HYPERLINK("https://asmlis.vasa.lt/Dashboard/Served?ServiceDateFrom=2025-11-24&amp;ServiceDateTo=2025-11-24&amp;DumpsterInvNr=13-L-149340", "13-L-149340")</f>
        <v>13-L-149340</v>
      </c>
      <c r="C3228">
        <v>0.24</v>
      </c>
      <c r="D3228" t="s">
        <v>4483</v>
      </c>
      <c r="E3228" t="s">
        <v>11</v>
      </c>
      <c r="G3228" t="s">
        <v>430</v>
      </c>
      <c r="H3228" t="s">
        <v>432</v>
      </c>
    </row>
    <row r="3229" spans="1:8" hidden="1" x14ac:dyDescent="0.25">
      <c r="A3229" t="s">
        <v>4484</v>
      </c>
      <c r="B3229" s="1" t="str">
        <f>HYPERLINK("https://asmlis.vasa.lt/Dashboard/Served?ServiceDateFrom=2025-11-24&amp;ServiceDateTo=2025-11-24&amp;DumpsterInvNr=13-P-302454", "13-P-302454")</f>
        <v>13-P-302454</v>
      </c>
      <c r="C3229">
        <v>1.8</v>
      </c>
      <c r="D3229" t="s">
        <v>4485</v>
      </c>
      <c r="E3229" t="s">
        <v>11</v>
      </c>
      <c r="G3229" t="s">
        <v>412</v>
      </c>
      <c r="H3229" t="s">
        <v>14</v>
      </c>
    </row>
    <row r="3230" spans="1:8" hidden="1" x14ac:dyDescent="0.25">
      <c r="A3230" t="s">
        <v>4486</v>
      </c>
      <c r="B3230" s="1" t="str">
        <f>HYPERLINK("https://asmlis.vasa.lt/Dashboard/Served?ServiceDateFrom=2025-11-24&amp;ServiceDateTo=2025-11-24&amp;DumpsterInvNr=13-L-214423", "13-L-214423")</f>
        <v>13-L-214423</v>
      </c>
      <c r="C3230">
        <v>1.1000000000000001</v>
      </c>
      <c r="D3230" t="s">
        <v>4383</v>
      </c>
      <c r="E3230" t="s">
        <v>11</v>
      </c>
      <c r="G3230" t="s">
        <v>936</v>
      </c>
      <c r="H3230" t="s">
        <v>938</v>
      </c>
    </row>
    <row r="3231" spans="1:8" hidden="1" x14ac:dyDescent="0.25">
      <c r="A3231" t="s">
        <v>3955</v>
      </c>
      <c r="B3231" s="1" t="str">
        <f>HYPERLINK("https://asmlis.vasa.lt/Dashboard/Served?ServiceDateFrom=2025-11-24&amp;ServiceDateTo=2025-11-24&amp;DumpsterInvNr=13-P-508388", "13-P-508388")</f>
        <v>13-P-508388</v>
      </c>
      <c r="C3231">
        <v>0.24</v>
      </c>
      <c r="D3231" t="s">
        <v>4487</v>
      </c>
      <c r="E3231" t="s">
        <v>11</v>
      </c>
      <c r="G3231" t="s">
        <v>2178</v>
      </c>
      <c r="H3231" t="s">
        <v>432</v>
      </c>
    </row>
    <row r="3232" spans="1:8" hidden="1" x14ac:dyDescent="0.25">
      <c r="A3232" t="s">
        <v>4488</v>
      </c>
      <c r="B3232" s="1" t="str">
        <f>HYPERLINK("https://asmlis.vasa.lt/Dashboard/Served?ServiceDateFrom=2025-11-24&amp;ServiceDateTo=2025-11-24&amp;DumpsterInvNr=13-P-502067", "13-P-502067")</f>
        <v>13-P-502067</v>
      </c>
      <c r="C3232">
        <v>1.1000000000000001</v>
      </c>
      <c r="D3232" t="s">
        <v>4489</v>
      </c>
      <c r="E3232" t="s">
        <v>11</v>
      </c>
      <c r="G3232" t="s">
        <v>2178</v>
      </c>
      <c r="H3232" t="s">
        <v>432</v>
      </c>
    </row>
    <row r="3233" spans="1:8" hidden="1" x14ac:dyDescent="0.25">
      <c r="A3233" t="s">
        <v>4491</v>
      </c>
      <c r="B3233" s="1" t="str">
        <f>HYPERLINK("https://asmlis.vasa.lt/Dashboard/Served?ServiceDateFrom=2025-11-24&amp;ServiceDateTo=2025-11-24&amp;DumpsterInvNr=13-L-318419", "13-L-318419")</f>
        <v>13-L-318419</v>
      </c>
      <c r="C3233">
        <v>0.24</v>
      </c>
      <c r="D3233" t="s">
        <v>2968</v>
      </c>
      <c r="E3233" t="s">
        <v>11</v>
      </c>
      <c r="G3233" t="s">
        <v>9</v>
      </c>
      <c r="H3233" t="s">
        <v>14</v>
      </c>
    </row>
    <row r="3234" spans="1:8" hidden="1" x14ac:dyDescent="0.25">
      <c r="A3234" t="s">
        <v>4073</v>
      </c>
      <c r="B3234" s="1" t="str">
        <f>HYPERLINK("https://asmlis.vasa.lt/Dashboard/Served?ServiceDateFrom=2025-11-24&amp;ServiceDateTo=2025-11-24&amp;DumpsterInvNr=13-L-317734", "13-L-317734")</f>
        <v>13-L-317734</v>
      </c>
      <c r="C3234">
        <v>1.1000000000000001</v>
      </c>
      <c r="D3234" t="s">
        <v>2391</v>
      </c>
      <c r="E3234" t="s">
        <v>11</v>
      </c>
      <c r="G3234" t="s">
        <v>9</v>
      </c>
      <c r="H3234" t="s">
        <v>14</v>
      </c>
    </row>
    <row r="3235" spans="1:8" hidden="1" x14ac:dyDescent="0.25">
      <c r="A3235" t="s">
        <v>3950</v>
      </c>
      <c r="B3235" s="1" t="str">
        <f>HYPERLINK("https://asmlis.vasa.lt/Dashboard/Served?ServiceDateFrom=2025-11-24&amp;ServiceDateTo=2025-11-24&amp;DumpsterInvNr=13-P-500513", "13-P-500513")</f>
        <v>13-P-500513</v>
      </c>
      <c r="C3235">
        <v>5</v>
      </c>
      <c r="D3235" t="s">
        <v>4492</v>
      </c>
      <c r="E3235" t="s">
        <v>11</v>
      </c>
      <c r="F3235" t="s">
        <v>13</v>
      </c>
      <c r="G3235" t="s">
        <v>2178</v>
      </c>
      <c r="H3235" t="s">
        <v>432</v>
      </c>
    </row>
    <row r="3236" spans="1:8" hidden="1" x14ac:dyDescent="0.25">
      <c r="A3236" t="s">
        <v>4493</v>
      </c>
      <c r="B3236" s="1" t="str">
        <f>HYPERLINK("https://asmlis.vasa.lt/Dashboard/Served?ServiceDateFrom=2025-11-24&amp;ServiceDateTo=2025-11-24&amp;DumpsterInvNr=13-P-502065", "13-P-502065")</f>
        <v>13-P-502065</v>
      </c>
      <c r="C3236">
        <v>1.1000000000000001</v>
      </c>
      <c r="D3236" t="s">
        <v>4494</v>
      </c>
      <c r="E3236" t="s">
        <v>11</v>
      </c>
      <c r="G3236" t="s">
        <v>2178</v>
      </c>
      <c r="H3236" t="s">
        <v>432</v>
      </c>
    </row>
    <row r="3237" spans="1:8" hidden="1" x14ac:dyDescent="0.25">
      <c r="A3237" t="s">
        <v>3922</v>
      </c>
      <c r="B3237" s="1" t="str">
        <f>HYPERLINK("https://asmlis.vasa.lt/Dashboard/Served?ServiceDateFrom=2025-11-24&amp;ServiceDateTo=2025-11-24&amp;DumpsterInvNr=13-P-412084", "13-P-412084")</f>
        <v>13-P-412084</v>
      </c>
      <c r="C3237">
        <v>0.24</v>
      </c>
      <c r="D3237" t="s">
        <v>4495</v>
      </c>
      <c r="E3237" t="s">
        <v>11</v>
      </c>
      <c r="G3237" t="s">
        <v>264</v>
      </c>
      <c r="H3237" t="s">
        <v>14</v>
      </c>
    </row>
    <row r="3238" spans="1:8" hidden="1" x14ac:dyDescent="0.25">
      <c r="A3238" t="s">
        <v>4496</v>
      </c>
      <c r="B3238" s="1" t="str">
        <f>HYPERLINK("https://asmlis.vasa.lt/Dashboard/Served?ServiceDateFrom=2025-11-24&amp;ServiceDateTo=2025-11-24&amp;DumpsterInvNr=13-P-401175", "13-P-401175")</f>
        <v>13-P-401175</v>
      </c>
      <c r="C3238">
        <v>1.1000000000000001</v>
      </c>
      <c r="D3238" t="s">
        <v>4497</v>
      </c>
      <c r="E3238" t="s">
        <v>11</v>
      </c>
      <c r="G3238" t="s">
        <v>264</v>
      </c>
      <c r="H3238" t="s">
        <v>14</v>
      </c>
    </row>
    <row r="3239" spans="1:8" hidden="1" x14ac:dyDescent="0.25">
      <c r="A3239" t="s">
        <v>4498</v>
      </c>
      <c r="B3239" s="1" t="str">
        <f>HYPERLINK("https://asmlis.vasa.lt/Dashboard/Served?ServiceDateFrom=2025-11-24&amp;ServiceDateTo=2025-11-24&amp;DumpsterInvNr=13-L-221599", "13-L-221599")</f>
        <v>13-L-221599</v>
      </c>
      <c r="C3239">
        <v>1.1000000000000001</v>
      </c>
      <c r="D3239" t="s">
        <v>4499</v>
      </c>
      <c r="E3239" t="s">
        <v>11</v>
      </c>
      <c r="G3239" t="s">
        <v>936</v>
      </c>
      <c r="H3239" t="s">
        <v>938</v>
      </c>
    </row>
    <row r="3240" spans="1:8" hidden="1" x14ac:dyDescent="0.25">
      <c r="A3240" t="s">
        <v>4500</v>
      </c>
      <c r="B3240" s="1" t="str">
        <f>HYPERLINK("https://asmlis.vasa.lt/Dashboard/Served?ServiceDateFrom=2025-11-24&amp;ServiceDateTo=2025-11-24&amp;DumpsterInvNr=13-L-318068", "13-L-318068")</f>
        <v>13-L-318068</v>
      </c>
      <c r="C3240">
        <v>1.1000000000000001</v>
      </c>
      <c r="D3240" t="s">
        <v>4501</v>
      </c>
      <c r="E3240" t="s">
        <v>11</v>
      </c>
      <c r="G3240" t="s">
        <v>9</v>
      </c>
      <c r="H3240" t="s">
        <v>14</v>
      </c>
    </row>
    <row r="3241" spans="1:8" hidden="1" x14ac:dyDescent="0.25">
      <c r="A3241" t="s">
        <v>4502</v>
      </c>
      <c r="B3241" s="1" t="str">
        <f>HYPERLINK("https://asmlis.vasa.lt/Dashboard/Served?ServiceDateFrom=2025-11-24&amp;ServiceDateTo=2025-11-24&amp;DumpsterInvNr=13-L-314561", "13-L-314561")</f>
        <v>13-L-314561</v>
      </c>
      <c r="C3241">
        <v>1.1000000000000001</v>
      </c>
      <c r="D3241" t="s">
        <v>4447</v>
      </c>
      <c r="E3241" t="s">
        <v>11</v>
      </c>
      <c r="G3241" t="s">
        <v>9</v>
      </c>
      <c r="H3241" t="s">
        <v>14</v>
      </c>
    </row>
    <row r="3242" spans="1:8" hidden="1" x14ac:dyDescent="0.25">
      <c r="A3242" t="s">
        <v>4503</v>
      </c>
      <c r="B3242" s="1" t="str">
        <f>HYPERLINK("https://asmlis.vasa.lt/Dashboard/Served?ServiceDateFrom=2025-11-24&amp;ServiceDateTo=2025-11-24&amp;DumpsterInvNr=13-L-123351", "13-L-123351")</f>
        <v>13-L-123351</v>
      </c>
      <c r="C3242">
        <v>0.24</v>
      </c>
      <c r="D3242" t="s">
        <v>4487</v>
      </c>
      <c r="E3242" t="s">
        <v>11</v>
      </c>
      <c r="G3242" t="s">
        <v>430</v>
      </c>
      <c r="H3242" t="s">
        <v>432</v>
      </c>
    </row>
    <row r="3243" spans="1:8" hidden="1" x14ac:dyDescent="0.25">
      <c r="A3243" t="s">
        <v>4503</v>
      </c>
      <c r="B3243" s="1" t="str">
        <f>HYPERLINK("https://asmlis.vasa.lt/Dashboard/Served?ServiceDateFrom=2025-11-24&amp;ServiceDateTo=2025-11-24&amp;DumpsterInvNr=13-P-505058", "13-P-505058")</f>
        <v>13-P-505058</v>
      </c>
      <c r="C3243">
        <v>0.24</v>
      </c>
      <c r="D3243" t="s">
        <v>4483</v>
      </c>
      <c r="E3243" t="s">
        <v>11</v>
      </c>
      <c r="G3243" t="s">
        <v>2178</v>
      </c>
      <c r="H3243" t="s">
        <v>432</v>
      </c>
    </row>
    <row r="3244" spans="1:8" hidden="1" x14ac:dyDescent="0.25">
      <c r="A3244" t="s">
        <v>4505</v>
      </c>
      <c r="B3244" s="1" t="str">
        <f>HYPERLINK("https://asmlis.vasa.lt/Dashboard/Served?ServiceDateFrom=2025-11-24&amp;ServiceDateTo=2025-11-24&amp;DumpsterInvNr=13-L-221598", "13-L-221598")</f>
        <v>13-L-221598</v>
      </c>
      <c r="C3244">
        <v>1.1000000000000001</v>
      </c>
      <c r="D3244" t="s">
        <v>4499</v>
      </c>
      <c r="E3244" t="s">
        <v>11</v>
      </c>
      <c r="G3244" t="s">
        <v>936</v>
      </c>
      <c r="H3244" t="s">
        <v>938</v>
      </c>
    </row>
    <row r="3245" spans="1:8" hidden="1" x14ac:dyDescent="0.25">
      <c r="A3245" t="s">
        <v>4506</v>
      </c>
      <c r="B3245" s="1" t="str">
        <f>HYPERLINK("https://asmlis.vasa.lt/Dashboard/Served?ServiceDateFrom=2025-11-24&amp;ServiceDateTo=2025-11-24&amp;DumpsterInvNr=13-L-222582", "13-L-222582")</f>
        <v>13-L-222582</v>
      </c>
      <c r="C3245">
        <v>1.1000000000000001</v>
      </c>
      <c r="D3245" t="s">
        <v>4507</v>
      </c>
      <c r="E3245" t="s">
        <v>11</v>
      </c>
      <c r="G3245" t="s">
        <v>936</v>
      </c>
      <c r="H3245" t="s">
        <v>938</v>
      </c>
    </row>
    <row r="3246" spans="1:8" hidden="1" x14ac:dyDescent="0.25">
      <c r="A3246" t="s">
        <v>4508</v>
      </c>
      <c r="B3246" s="1" t="str">
        <f>HYPERLINK("https://asmlis.vasa.lt/Dashboard/Served?ServiceDateFrom=2025-11-24&amp;ServiceDateTo=2025-11-24&amp;DumpsterInvNr=13-L-139262", "13-L-139262")</f>
        <v>13-L-139262</v>
      </c>
      <c r="C3246">
        <v>0.24</v>
      </c>
      <c r="D3246" t="s">
        <v>4466</v>
      </c>
      <c r="E3246" t="s">
        <v>11</v>
      </c>
      <c r="G3246" t="s">
        <v>430</v>
      </c>
      <c r="H3246" t="s">
        <v>432</v>
      </c>
    </row>
    <row r="3247" spans="1:8" hidden="1" x14ac:dyDescent="0.25">
      <c r="A3247" t="s">
        <v>4509</v>
      </c>
      <c r="B3247" s="1" t="str">
        <f>HYPERLINK("https://asmlis.vasa.lt/Dashboard/Served?ServiceDateFrom=2025-11-24&amp;ServiceDateTo=2025-11-24&amp;DumpsterInvNr=13-L-128632", "13-L-128632")</f>
        <v>13-L-128632</v>
      </c>
      <c r="C3247">
        <v>0.24</v>
      </c>
      <c r="D3247" t="s">
        <v>4510</v>
      </c>
      <c r="E3247" t="s">
        <v>11</v>
      </c>
      <c r="F3247" t="s">
        <v>1209</v>
      </c>
      <c r="G3247" t="s">
        <v>430</v>
      </c>
      <c r="H3247" t="s">
        <v>432</v>
      </c>
    </row>
    <row r="3248" spans="1:8" hidden="1" x14ac:dyDescent="0.25">
      <c r="A3248" t="s">
        <v>4511</v>
      </c>
      <c r="B3248" s="1" t="str">
        <f>HYPERLINK("https://asmlis.vasa.lt/Dashboard/Served?ServiceDateFrom=2025-11-24&amp;ServiceDateTo=2025-11-24&amp;DumpsterInvNr=13-P-501926", "13-P-501926")</f>
        <v>13-P-501926</v>
      </c>
      <c r="C3248">
        <v>0.24</v>
      </c>
      <c r="D3248" t="s">
        <v>4510</v>
      </c>
      <c r="E3248" t="s">
        <v>11</v>
      </c>
      <c r="F3248" t="s">
        <v>1209</v>
      </c>
      <c r="G3248" t="s">
        <v>2178</v>
      </c>
      <c r="H3248" t="s">
        <v>432</v>
      </c>
    </row>
    <row r="3249" spans="1:8" hidden="1" x14ac:dyDescent="0.25">
      <c r="A3249" t="s">
        <v>4103</v>
      </c>
      <c r="B3249" s="1" t="str">
        <f>HYPERLINK("https://asmlis.vasa.lt/Dashboard/Served?ServiceDateFrom=2025-11-24&amp;ServiceDateTo=2025-11-24&amp;DumpsterInvNr=13-L-316473", "13-L-316473")</f>
        <v>13-L-316473</v>
      </c>
      <c r="C3249">
        <v>1.1000000000000001</v>
      </c>
      <c r="D3249" t="s">
        <v>2391</v>
      </c>
      <c r="E3249" t="s">
        <v>11</v>
      </c>
      <c r="F3249" t="s">
        <v>13</v>
      </c>
      <c r="G3249" t="s">
        <v>9</v>
      </c>
      <c r="H3249" t="s">
        <v>14</v>
      </c>
    </row>
    <row r="3250" spans="1:8" hidden="1" x14ac:dyDescent="0.25">
      <c r="A3250" t="s">
        <v>4513</v>
      </c>
      <c r="B3250" s="1" t="str">
        <f>HYPERLINK("https://asmlis.vasa.lt/Dashboard/Served?ServiceDateFrom=2025-11-24&amp;ServiceDateTo=2025-11-24&amp;DumpsterInvNr=13-L-404437", "13-L-404437")</f>
        <v>13-L-404437</v>
      </c>
      <c r="C3250">
        <v>0.12</v>
      </c>
      <c r="D3250" t="s">
        <v>4514</v>
      </c>
      <c r="E3250" t="s">
        <v>11</v>
      </c>
      <c r="G3250" t="s">
        <v>74</v>
      </c>
      <c r="H3250" t="s">
        <v>14</v>
      </c>
    </row>
    <row r="3251" spans="1:8" hidden="1" x14ac:dyDescent="0.25">
      <c r="A3251" t="s">
        <v>4513</v>
      </c>
      <c r="B3251" s="1" t="str">
        <f>HYPERLINK("https://asmlis.vasa.lt/Dashboard/Served?ServiceDateFrom=2025-11-24&amp;ServiceDateTo=2025-11-24&amp;DumpsterInvNr=13-L-415746", "13-L-415746")</f>
        <v>13-L-415746</v>
      </c>
      <c r="C3251">
        <v>1.1000000000000001</v>
      </c>
      <c r="D3251" t="s">
        <v>4515</v>
      </c>
      <c r="E3251" t="s">
        <v>11</v>
      </c>
      <c r="G3251" t="s">
        <v>74</v>
      </c>
      <c r="H3251" t="s">
        <v>14</v>
      </c>
    </row>
    <row r="3252" spans="1:8" hidden="1" x14ac:dyDescent="0.25">
      <c r="A3252" t="s">
        <v>4124</v>
      </c>
      <c r="B3252" s="1" t="str">
        <f>HYPERLINK("https://asmlis.vasa.lt/Dashboard/Served?ServiceDateFrom=2025-11-24&amp;ServiceDateTo=2025-11-24&amp;DumpsterInvNr=13-S-500731", "13-S-500731")</f>
        <v>13-S-500731</v>
      </c>
      <c r="C3252">
        <v>0.12</v>
      </c>
      <c r="D3252" t="s">
        <v>4487</v>
      </c>
      <c r="E3252" t="s">
        <v>11</v>
      </c>
      <c r="G3252" t="s">
        <v>2178</v>
      </c>
      <c r="H3252" t="s">
        <v>432</v>
      </c>
    </row>
    <row r="3253" spans="1:8" hidden="1" x14ac:dyDescent="0.25">
      <c r="A3253" t="s">
        <v>4517</v>
      </c>
      <c r="B3253" s="1" t="str">
        <f>HYPERLINK("https://asmlis.vasa.lt/Dashboard/Served?ServiceDateFrom=2025-11-24&amp;ServiceDateTo=2025-11-24&amp;DumpsterInvNr=13-L-316691", "13-L-316691")</f>
        <v>13-L-316691</v>
      </c>
      <c r="C3253">
        <v>1.1000000000000001</v>
      </c>
      <c r="D3253" t="s">
        <v>4445</v>
      </c>
      <c r="E3253" t="s">
        <v>11</v>
      </c>
      <c r="F3253" t="s">
        <v>13</v>
      </c>
      <c r="G3253" t="s">
        <v>9</v>
      </c>
      <c r="H3253" t="s">
        <v>14</v>
      </c>
    </row>
    <row r="3254" spans="1:8" hidden="1" x14ac:dyDescent="0.25">
      <c r="A3254" t="s">
        <v>4518</v>
      </c>
      <c r="B3254" s="1" t="str">
        <f>HYPERLINK("https://asmlis.vasa.lt/Dashboard/Served?ServiceDateFrom=2025-11-24&amp;ServiceDateTo=2025-11-24&amp;DumpsterInvNr=13-L-313358", "13-L-313358")</f>
        <v>13-L-313358</v>
      </c>
      <c r="C3254">
        <v>1.1000000000000001</v>
      </c>
      <c r="D3254" t="s">
        <v>4445</v>
      </c>
      <c r="E3254" t="s">
        <v>11</v>
      </c>
      <c r="F3254" t="s">
        <v>13</v>
      </c>
      <c r="G3254" t="s">
        <v>9</v>
      </c>
      <c r="H3254" t="s">
        <v>14</v>
      </c>
    </row>
    <row r="3255" spans="1:8" hidden="1" x14ac:dyDescent="0.25">
      <c r="A3255" t="s">
        <v>3273</v>
      </c>
      <c r="B3255" s="1" t="str">
        <f>HYPERLINK("https://asmlis.vasa.lt/Dashboard/Served?ServiceDateFrom=2025-11-24&amp;ServiceDateTo=2025-11-24&amp;DumpsterInvNr=13-L-316692", "13-L-316692")</f>
        <v>13-L-316692</v>
      </c>
      <c r="C3255">
        <v>1.1000000000000001</v>
      </c>
      <c r="D3255" t="s">
        <v>4445</v>
      </c>
      <c r="E3255" t="s">
        <v>11</v>
      </c>
      <c r="F3255" t="s">
        <v>13</v>
      </c>
      <c r="G3255" t="s">
        <v>9</v>
      </c>
      <c r="H3255" t="s">
        <v>14</v>
      </c>
    </row>
    <row r="3256" spans="1:8" hidden="1" x14ac:dyDescent="0.25">
      <c r="A3256" t="s">
        <v>4519</v>
      </c>
      <c r="B3256" s="1" t="str">
        <f>HYPERLINK("https://asmlis.vasa.lt/Dashboard/Served?ServiceDateFrom=2025-11-24&amp;ServiceDateTo=2025-11-24&amp;DumpsterInvNr=13-S-406313", "13-S-406313")</f>
        <v>13-S-406313</v>
      </c>
      <c r="C3256">
        <v>0.12</v>
      </c>
      <c r="D3256" t="s">
        <v>4495</v>
      </c>
      <c r="E3256" t="s">
        <v>11</v>
      </c>
      <c r="F3256" t="s">
        <v>1209</v>
      </c>
      <c r="G3256" t="s">
        <v>264</v>
      </c>
      <c r="H3256" t="s">
        <v>14</v>
      </c>
    </row>
    <row r="3257" spans="1:8" hidden="1" x14ac:dyDescent="0.25">
      <c r="A3257" t="s">
        <v>4520</v>
      </c>
      <c r="B3257" s="1" t="str">
        <f>HYPERLINK("https://asmlis.vasa.lt/Dashboard/Served?ServiceDateFrom=2025-11-24&amp;ServiceDateTo=2025-11-24&amp;DumpsterInvNr=13-P-302598", "13-P-302598")</f>
        <v>13-P-302598</v>
      </c>
      <c r="C3257">
        <v>1.8</v>
      </c>
      <c r="D3257" t="s">
        <v>4485</v>
      </c>
      <c r="E3257" t="s">
        <v>11</v>
      </c>
      <c r="F3257" t="s">
        <v>13</v>
      </c>
      <c r="G3257" t="s">
        <v>412</v>
      </c>
      <c r="H3257" t="s">
        <v>14</v>
      </c>
    </row>
    <row r="3258" spans="1:8" hidden="1" x14ac:dyDescent="0.25">
      <c r="A3258" t="s">
        <v>4521</v>
      </c>
      <c r="B3258" s="1" t="str">
        <f>HYPERLINK("https://asmlis.vasa.lt/Dashboard/Served?ServiceDateFrom=2025-11-24&amp;ServiceDateTo=2025-11-24&amp;DumpsterInvNr=13-P-301671", "13-P-301671")</f>
        <v>13-P-301671</v>
      </c>
      <c r="C3258">
        <v>1.1000000000000001</v>
      </c>
      <c r="D3258" t="s">
        <v>482</v>
      </c>
      <c r="E3258" t="s">
        <v>11</v>
      </c>
      <c r="F3258" t="s">
        <v>13</v>
      </c>
      <c r="G3258" t="s">
        <v>412</v>
      </c>
      <c r="H3258" t="s">
        <v>14</v>
      </c>
    </row>
    <row r="3259" spans="1:8" hidden="1" x14ac:dyDescent="0.25">
      <c r="A3259" t="s">
        <v>3138</v>
      </c>
      <c r="B3259" s="1" t="str">
        <f>HYPERLINK("https://asmlis.vasa.lt/Dashboard/Served?ServiceDateFrom=2025-11-24&amp;ServiceDateTo=2025-11-24&amp;DumpsterInvNr=13-L-220329", "13-L-220329")</f>
        <v>13-L-220329</v>
      </c>
      <c r="C3259">
        <v>0.24</v>
      </c>
      <c r="D3259" t="s">
        <v>4522</v>
      </c>
      <c r="E3259" t="s">
        <v>11</v>
      </c>
      <c r="G3259" t="s">
        <v>936</v>
      </c>
      <c r="H3259" t="s">
        <v>938</v>
      </c>
    </row>
    <row r="3260" spans="1:8" hidden="1" x14ac:dyDescent="0.25">
      <c r="A3260" t="s">
        <v>3138</v>
      </c>
      <c r="B3260" s="1" t="str">
        <f>HYPERLINK("https://asmlis.vasa.lt/Dashboard/Served?ServiceDateFrom=2025-11-24&amp;ServiceDateTo=2025-11-24&amp;DumpsterInvNr=13-P-301763", "13-P-301763")</f>
        <v>13-P-301763</v>
      </c>
      <c r="C3260">
        <v>1.1000000000000001</v>
      </c>
      <c r="D3260" t="s">
        <v>482</v>
      </c>
      <c r="E3260" t="s">
        <v>11</v>
      </c>
      <c r="F3260" t="s">
        <v>13</v>
      </c>
      <c r="G3260" t="s">
        <v>412</v>
      </c>
      <c r="H3260" t="s">
        <v>14</v>
      </c>
    </row>
    <row r="3261" spans="1:8" hidden="1" x14ac:dyDescent="0.25">
      <c r="A3261" t="s">
        <v>4523</v>
      </c>
      <c r="B3261" s="1" t="str">
        <f>HYPERLINK("https://asmlis.vasa.lt/Dashboard/Served?ServiceDateFrom=2025-11-24&amp;ServiceDateTo=2025-11-24&amp;DumpsterInvNr=13-L-137089", "13-L-137089")</f>
        <v>13-L-137089</v>
      </c>
      <c r="C3261">
        <v>1.1000000000000001</v>
      </c>
      <c r="D3261" t="s">
        <v>4524</v>
      </c>
      <c r="E3261" t="s">
        <v>11</v>
      </c>
      <c r="G3261" t="s">
        <v>430</v>
      </c>
      <c r="H3261" t="s">
        <v>432</v>
      </c>
    </row>
    <row r="3262" spans="1:8" hidden="1" x14ac:dyDescent="0.25">
      <c r="A3262" t="s">
        <v>4525</v>
      </c>
      <c r="B3262" s="1" t="str">
        <f>HYPERLINK("https://asmlis.vasa.lt/Dashboard/Served?ServiceDateFrom=2025-11-24&amp;ServiceDateTo=2025-11-24&amp;DumpsterInvNr=13-L-137978", "13-L-137978")</f>
        <v>13-L-137978</v>
      </c>
      <c r="C3262">
        <v>0.24</v>
      </c>
      <c r="D3262" t="s">
        <v>4526</v>
      </c>
      <c r="E3262" t="s">
        <v>11</v>
      </c>
      <c r="G3262" t="s">
        <v>430</v>
      </c>
      <c r="H3262" t="s">
        <v>432</v>
      </c>
    </row>
    <row r="3263" spans="1:8" hidden="1" x14ac:dyDescent="0.25">
      <c r="A3263" t="s">
        <v>4525</v>
      </c>
      <c r="B3263" s="1" t="str">
        <f>HYPERLINK("https://asmlis.vasa.lt/Dashboard/Served?ServiceDateFrom=2025-11-24&amp;ServiceDateTo=2025-11-24&amp;DumpsterInvNr=13-P-508389", "13-P-508389")</f>
        <v>13-P-508389</v>
      </c>
      <c r="C3263">
        <v>0.24</v>
      </c>
      <c r="D3263" t="s">
        <v>4526</v>
      </c>
      <c r="E3263" t="s">
        <v>11</v>
      </c>
      <c r="G3263" t="s">
        <v>2178</v>
      </c>
      <c r="H3263" t="s">
        <v>432</v>
      </c>
    </row>
    <row r="3264" spans="1:8" hidden="1" x14ac:dyDescent="0.25">
      <c r="A3264" t="s">
        <v>4527</v>
      </c>
      <c r="B3264" s="1" t="str">
        <f>HYPERLINK("https://asmlis.vasa.lt/Dashboard/Served?ServiceDateFrom=2025-11-24&amp;ServiceDateTo=2025-11-24&amp;DumpsterInvNr=13-L-207639", "13-L-207639")</f>
        <v>13-L-207639</v>
      </c>
      <c r="C3264">
        <v>0.12</v>
      </c>
      <c r="D3264" t="s">
        <v>4528</v>
      </c>
      <c r="E3264" t="s">
        <v>11</v>
      </c>
      <c r="F3264" t="s">
        <v>1209</v>
      </c>
      <c r="G3264" t="s">
        <v>936</v>
      </c>
      <c r="H3264" t="s">
        <v>938</v>
      </c>
    </row>
    <row r="3265" spans="1:8" hidden="1" x14ac:dyDescent="0.25">
      <c r="A3265" t="s">
        <v>4529</v>
      </c>
      <c r="B3265" s="1" t="str">
        <f>HYPERLINK("https://asmlis.vasa.lt/Dashboard/Served?ServiceDateFrom=2025-11-24&amp;ServiceDateTo=2025-11-24&amp;DumpsterInvNr=13-S-503675", "13-S-503675")</f>
        <v>13-S-503675</v>
      </c>
      <c r="C3265">
        <v>0.12</v>
      </c>
      <c r="D3265" t="s">
        <v>4531</v>
      </c>
      <c r="E3265" t="s">
        <v>11</v>
      </c>
      <c r="F3265" t="s">
        <v>1209</v>
      </c>
      <c r="G3265" t="s">
        <v>2178</v>
      </c>
      <c r="H3265" t="s">
        <v>432</v>
      </c>
    </row>
    <row r="3266" spans="1:8" hidden="1" x14ac:dyDescent="0.25">
      <c r="A3266" t="s">
        <v>4532</v>
      </c>
      <c r="B3266" s="1" t="str">
        <f>HYPERLINK("https://asmlis.vasa.lt/Dashboard/Served?ServiceDateFrom=2025-11-24&amp;ServiceDateTo=2025-11-24&amp;DumpsterInvNr=13-P-502947", "13-P-502947")</f>
        <v>13-P-502947</v>
      </c>
      <c r="C3266">
        <v>0.24</v>
      </c>
      <c r="D3266" t="s">
        <v>4531</v>
      </c>
      <c r="E3266" t="s">
        <v>11</v>
      </c>
      <c r="F3266" t="s">
        <v>1209</v>
      </c>
      <c r="G3266" t="s">
        <v>2178</v>
      </c>
      <c r="H3266" t="s">
        <v>432</v>
      </c>
    </row>
    <row r="3267" spans="1:8" hidden="1" x14ac:dyDescent="0.25">
      <c r="A3267" t="s">
        <v>4533</v>
      </c>
      <c r="B3267" s="1" t="str">
        <f>HYPERLINK("https://asmlis.vasa.lt/Dashboard/Served?ServiceDateFrom=2025-11-24&amp;ServiceDateTo=2025-11-24&amp;DumpsterInvNr=13-L-208389", "13-L-208389")</f>
        <v>13-L-208389</v>
      </c>
      <c r="C3267">
        <v>1.1000000000000001</v>
      </c>
      <c r="D3267" t="s">
        <v>4534</v>
      </c>
      <c r="E3267" t="s">
        <v>11</v>
      </c>
      <c r="G3267" t="s">
        <v>936</v>
      </c>
      <c r="H3267" t="s">
        <v>938</v>
      </c>
    </row>
    <row r="3268" spans="1:8" hidden="1" x14ac:dyDescent="0.25">
      <c r="A3268" t="s">
        <v>2177</v>
      </c>
      <c r="B3268" s="1" t="str">
        <f>HYPERLINK("https://asmlis.vasa.lt/Dashboard/Served?ServiceDateFrom=2025-11-24&amp;ServiceDateTo=2025-11-24&amp;DumpsterInvNr=13-L-204075", "13-L-204075")</f>
        <v>13-L-204075</v>
      </c>
      <c r="C3268">
        <v>0.24</v>
      </c>
      <c r="D3268" t="s">
        <v>4535</v>
      </c>
      <c r="E3268" t="s">
        <v>11</v>
      </c>
      <c r="F3268" t="s">
        <v>1209</v>
      </c>
      <c r="G3268" t="s">
        <v>936</v>
      </c>
      <c r="H3268" t="s">
        <v>938</v>
      </c>
    </row>
    <row r="3269" spans="1:8" hidden="1" x14ac:dyDescent="0.25">
      <c r="A3269" t="s">
        <v>3030</v>
      </c>
      <c r="B3269" s="1" t="str">
        <f>HYPERLINK("https://asmlis.vasa.lt/Dashboard/Served?ServiceDateFrom=2025-11-24&amp;ServiceDateTo=2025-11-24&amp;DumpsterInvNr=13-P-400199", "13-P-400199")</f>
        <v>13-P-400199</v>
      </c>
      <c r="C3269">
        <v>0.24</v>
      </c>
      <c r="D3269" t="s">
        <v>4536</v>
      </c>
      <c r="E3269" t="s">
        <v>11</v>
      </c>
      <c r="G3269" t="s">
        <v>264</v>
      </c>
      <c r="H3269" t="s">
        <v>14</v>
      </c>
    </row>
    <row r="3270" spans="1:8" hidden="1" x14ac:dyDescent="0.25">
      <c r="A3270" t="s">
        <v>3075</v>
      </c>
      <c r="B3270" s="1" t="str">
        <f>HYPERLINK("https://asmlis.vasa.lt/Dashboard/Served?ServiceDateFrom=2025-11-24&amp;ServiceDateTo=2025-11-24&amp;DumpsterInvNr=13-L-416179", "13-L-416179")</f>
        <v>13-L-416179</v>
      </c>
      <c r="C3270">
        <v>1.1000000000000001</v>
      </c>
      <c r="D3270" t="s">
        <v>4515</v>
      </c>
      <c r="E3270" t="s">
        <v>11</v>
      </c>
      <c r="F3270" t="s">
        <v>13</v>
      </c>
      <c r="G3270" t="s">
        <v>74</v>
      </c>
      <c r="H3270" t="s">
        <v>14</v>
      </c>
    </row>
    <row r="3271" spans="1:8" hidden="1" x14ac:dyDescent="0.25">
      <c r="A3271" t="s">
        <v>3075</v>
      </c>
      <c r="B3271" s="1" t="str">
        <f>HYPERLINK("https://asmlis.vasa.lt/Dashboard/Served?ServiceDateFrom=2025-11-24&amp;ServiceDateTo=2025-11-24&amp;DumpsterInvNr=13-L-313995", "13-L-313995")</f>
        <v>13-L-313995</v>
      </c>
      <c r="C3271">
        <v>5</v>
      </c>
      <c r="D3271" t="s">
        <v>4537</v>
      </c>
      <c r="E3271" t="s">
        <v>11</v>
      </c>
      <c r="F3271" t="s">
        <v>13</v>
      </c>
      <c r="G3271" t="s">
        <v>9</v>
      </c>
      <c r="H3271" t="s">
        <v>14</v>
      </c>
    </row>
    <row r="3272" spans="1:8" hidden="1" x14ac:dyDescent="0.25">
      <c r="A3272" t="s">
        <v>3180</v>
      </c>
      <c r="B3272" s="1" t="str">
        <f>HYPERLINK("https://asmlis.vasa.lt/Dashboard/Served?ServiceDateFrom=2025-11-24&amp;ServiceDateTo=2025-11-24&amp;DumpsterInvNr=13-P-500514", "13-P-500514")</f>
        <v>13-P-500514</v>
      </c>
      <c r="C3272">
        <v>5</v>
      </c>
      <c r="D3272" t="s">
        <v>4492</v>
      </c>
      <c r="E3272" t="s">
        <v>11</v>
      </c>
      <c r="F3272" t="s">
        <v>13</v>
      </c>
      <c r="G3272" t="s">
        <v>2178</v>
      </c>
      <c r="H3272" t="s">
        <v>432</v>
      </c>
    </row>
    <row r="3273" spans="1:8" hidden="1" x14ac:dyDescent="0.25">
      <c r="A3273" t="s">
        <v>3247</v>
      </c>
      <c r="B3273" s="1" t="str">
        <f>HYPERLINK("https://asmlis.vasa.lt/Dashboard/Served?ServiceDateFrom=2025-11-24&amp;ServiceDateTo=2025-11-24&amp;DumpsterInvNr=13-L-124010", "13-L-124010")</f>
        <v>13-L-124010</v>
      </c>
      <c r="C3273">
        <v>0.66</v>
      </c>
      <c r="D3273" t="s">
        <v>4524</v>
      </c>
      <c r="E3273" t="s">
        <v>11</v>
      </c>
      <c r="G3273" t="s">
        <v>430</v>
      </c>
      <c r="H3273" t="s">
        <v>432</v>
      </c>
    </row>
    <row r="3274" spans="1:8" hidden="1" x14ac:dyDescent="0.25">
      <c r="A3274" t="s">
        <v>3313</v>
      </c>
      <c r="B3274" s="1" t="str">
        <f>HYPERLINK("https://asmlis.vasa.lt/Dashboard/Served?ServiceDateFrom=2025-11-24&amp;ServiceDateTo=2025-11-24&amp;DumpsterInvNr=13-P-210402", "13-P-210402")</f>
        <v>13-P-210402</v>
      </c>
      <c r="C3274">
        <v>0.24</v>
      </c>
      <c r="D3274" t="s">
        <v>4540</v>
      </c>
      <c r="E3274" t="s">
        <v>11</v>
      </c>
      <c r="G3274" t="s">
        <v>234</v>
      </c>
      <c r="H3274" t="s">
        <v>14</v>
      </c>
    </row>
    <row r="3275" spans="1:8" hidden="1" x14ac:dyDescent="0.25">
      <c r="A3275" t="s">
        <v>4541</v>
      </c>
      <c r="B3275" s="1" t="str">
        <f>HYPERLINK("https://asmlis.vasa.lt/Dashboard/Served?ServiceDateFrom=2025-11-24&amp;ServiceDateTo=2025-11-24&amp;DumpsterInvNr=13-L-390062", "13-L-390062")</f>
        <v>13-L-390062</v>
      </c>
      <c r="C3275">
        <v>0.66</v>
      </c>
      <c r="D3275" t="s">
        <v>4372</v>
      </c>
      <c r="E3275" t="s">
        <v>11</v>
      </c>
      <c r="F3275" t="s">
        <v>13</v>
      </c>
      <c r="G3275" t="s">
        <v>9</v>
      </c>
      <c r="H3275" t="s">
        <v>14</v>
      </c>
    </row>
    <row r="3276" spans="1:8" hidden="1" x14ac:dyDescent="0.25">
      <c r="A3276" t="s">
        <v>4543</v>
      </c>
      <c r="B3276" s="1" t="str">
        <f>HYPERLINK("https://asmlis.vasa.lt/Dashboard/Served?ServiceDateFrom=2025-11-24&amp;ServiceDateTo=2025-11-24&amp;DumpsterInvNr=13-L-142758", "13-L-142758")</f>
        <v>13-L-142758</v>
      </c>
      <c r="C3276">
        <v>0.24</v>
      </c>
      <c r="D3276" t="s">
        <v>4544</v>
      </c>
      <c r="E3276" t="s">
        <v>11</v>
      </c>
      <c r="G3276" t="s">
        <v>430</v>
      </c>
      <c r="H3276" t="s">
        <v>432</v>
      </c>
    </row>
    <row r="3277" spans="1:8" hidden="1" x14ac:dyDescent="0.25">
      <c r="A3277" t="s">
        <v>4543</v>
      </c>
      <c r="B3277" s="1" t="str">
        <f>HYPERLINK("https://asmlis.vasa.lt/Dashboard/Served?ServiceDateFrom=2025-11-24&amp;ServiceDateTo=2025-11-24&amp;DumpsterInvNr=13-P-502941", "13-P-502941")</f>
        <v>13-P-502941</v>
      </c>
      <c r="C3277">
        <v>0.24</v>
      </c>
      <c r="D3277" t="s">
        <v>4544</v>
      </c>
      <c r="E3277" t="s">
        <v>11</v>
      </c>
      <c r="G3277" t="s">
        <v>2178</v>
      </c>
      <c r="H3277" t="s">
        <v>432</v>
      </c>
    </row>
    <row r="3278" spans="1:8" hidden="1" x14ac:dyDescent="0.25">
      <c r="A3278" t="s">
        <v>4545</v>
      </c>
      <c r="B3278" s="1" t="str">
        <f>HYPERLINK("https://asmlis.vasa.lt/Dashboard/Served?ServiceDateFrom=2025-11-24&amp;ServiceDateTo=2025-11-24&amp;DumpsterInvNr=13-L-136691", "13-L-136691")</f>
        <v>13-L-136691</v>
      </c>
      <c r="C3278">
        <v>5</v>
      </c>
      <c r="D3278" t="s">
        <v>4546</v>
      </c>
      <c r="E3278" t="s">
        <v>11</v>
      </c>
      <c r="F3278" t="s">
        <v>13</v>
      </c>
      <c r="G3278" t="s">
        <v>430</v>
      </c>
      <c r="H3278" t="s">
        <v>432</v>
      </c>
    </row>
    <row r="3279" spans="1:8" hidden="1" x14ac:dyDescent="0.25">
      <c r="A3279" t="s">
        <v>4545</v>
      </c>
      <c r="B3279" s="1" t="str">
        <f>HYPERLINK("https://asmlis.vasa.lt/Dashboard/Served?ServiceDateFrom=2025-11-24&amp;ServiceDateTo=2025-11-24&amp;DumpsterInvNr=13-L-301783", "13-L-301783")</f>
        <v>13-L-301783</v>
      </c>
      <c r="C3279">
        <v>0.66</v>
      </c>
      <c r="D3279" t="s">
        <v>4547</v>
      </c>
      <c r="E3279" t="s">
        <v>11</v>
      </c>
      <c r="G3279" t="s">
        <v>9</v>
      </c>
      <c r="H3279" t="s">
        <v>14</v>
      </c>
    </row>
    <row r="3280" spans="1:8" hidden="1" x14ac:dyDescent="0.25">
      <c r="A3280" t="s">
        <v>4545</v>
      </c>
      <c r="B3280" s="1" t="str">
        <f>HYPERLINK("https://asmlis.vasa.lt/Dashboard/Served?ServiceDateFrom=2025-11-24&amp;ServiceDateTo=2025-11-24&amp;DumpsterInvNr=13-L-146001", "13-L-146001")</f>
        <v>13-L-146001</v>
      </c>
      <c r="C3280">
        <v>1.1000000000000001</v>
      </c>
      <c r="D3280" t="s">
        <v>4548</v>
      </c>
      <c r="E3280" t="s">
        <v>11</v>
      </c>
      <c r="G3280" t="s">
        <v>1912</v>
      </c>
      <c r="H3280" t="s">
        <v>432</v>
      </c>
    </row>
    <row r="3281" spans="1:8" hidden="1" x14ac:dyDescent="0.25">
      <c r="A3281" t="s">
        <v>4545</v>
      </c>
      <c r="B3281" s="1" t="str">
        <f>HYPERLINK("https://asmlis.vasa.lt/Dashboard/Served?ServiceDateFrom=2025-11-24&amp;ServiceDateTo=2025-11-24&amp;DumpsterInvNr=13-P-209804", "13-P-209804")</f>
        <v>13-P-209804</v>
      </c>
      <c r="C3281">
        <v>0.24</v>
      </c>
      <c r="D3281" t="s">
        <v>4549</v>
      </c>
      <c r="E3281" t="s">
        <v>11</v>
      </c>
      <c r="F3281" t="s">
        <v>1209</v>
      </c>
      <c r="G3281" t="s">
        <v>234</v>
      </c>
      <c r="H3281" t="s">
        <v>14</v>
      </c>
    </row>
    <row r="3282" spans="1:8" hidden="1" x14ac:dyDescent="0.25">
      <c r="A3282" t="s">
        <v>4550</v>
      </c>
      <c r="B3282" s="1" t="str">
        <f>HYPERLINK("https://asmlis.vasa.lt/Dashboard/Served?ServiceDateFrom=2025-11-24&amp;ServiceDateTo=2025-11-24&amp;DumpsterInvNr=13-S-404092", "13-S-404092")</f>
        <v>13-S-404092</v>
      </c>
      <c r="C3282">
        <v>0.12</v>
      </c>
      <c r="D3282" t="s">
        <v>4551</v>
      </c>
      <c r="E3282" t="s">
        <v>11</v>
      </c>
      <c r="F3282" t="s">
        <v>1209</v>
      </c>
      <c r="G3282" t="s">
        <v>264</v>
      </c>
      <c r="H3282" t="s">
        <v>14</v>
      </c>
    </row>
    <row r="3283" spans="1:8" hidden="1" x14ac:dyDescent="0.25">
      <c r="A3283" t="s">
        <v>4552</v>
      </c>
      <c r="B3283" s="1" t="str">
        <f>HYPERLINK("https://asmlis.vasa.lt/Dashboard/Served?ServiceDateFrom=2025-11-24&amp;ServiceDateTo=2025-11-24&amp;DumpsterInvNr=13-L-425084", "13-L-425084")</f>
        <v>13-L-425084</v>
      </c>
      <c r="C3283">
        <v>1.1000000000000001</v>
      </c>
      <c r="D3283" t="s">
        <v>3708</v>
      </c>
      <c r="E3283" t="s">
        <v>11</v>
      </c>
      <c r="G3283" t="s">
        <v>74</v>
      </c>
      <c r="H3283" t="s">
        <v>14</v>
      </c>
    </row>
    <row r="3284" spans="1:8" hidden="1" x14ac:dyDescent="0.25">
      <c r="A3284" t="s">
        <v>4553</v>
      </c>
      <c r="B3284" s="1" t="str">
        <f>HYPERLINK("https://asmlis.vasa.lt/Dashboard/Served?ServiceDateFrom=2025-11-24&amp;ServiceDateTo=2025-11-24&amp;DumpsterInvNr=13-P-508387", "13-P-508387")</f>
        <v>13-P-508387</v>
      </c>
      <c r="C3284">
        <v>0.24</v>
      </c>
      <c r="D3284" t="s">
        <v>4554</v>
      </c>
      <c r="E3284" t="s">
        <v>11</v>
      </c>
      <c r="G3284" t="s">
        <v>2178</v>
      </c>
      <c r="H3284" t="s">
        <v>432</v>
      </c>
    </row>
    <row r="3285" spans="1:8" hidden="1" x14ac:dyDescent="0.25">
      <c r="A3285" t="s">
        <v>4553</v>
      </c>
      <c r="B3285" s="1" t="str">
        <f>HYPERLINK("https://asmlis.vasa.lt/Dashboard/Served?ServiceDateFrom=2025-11-24&amp;ServiceDateTo=2025-11-24&amp;DumpsterInvNr=13-S-506923", "13-S-506923")</f>
        <v>13-S-506923</v>
      </c>
      <c r="C3285">
        <v>0.12</v>
      </c>
      <c r="D3285" t="s">
        <v>4556</v>
      </c>
      <c r="E3285" t="s">
        <v>11</v>
      </c>
      <c r="G3285" t="s">
        <v>2178</v>
      </c>
      <c r="H3285" t="s">
        <v>432</v>
      </c>
    </row>
    <row r="3286" spans="1:8" hidden="1" x14ac:dyDescent="0.25">
      <c r="A3286" t="s">
        <v>4557</v>
      </c>
      <c r="B3286" s="1" t="str">
        <f>HYPERLINK("https://asmlis.vasa.lt/Dashboard/Served?ServiceDateFrom=2025-11-24&amp;ServiceDateTo=2025-11-24&amp;DumpsterInvNr=13-P-400839", "13-P-400839")</f>
        <v>13-P-400839</v>
      </c>
      <c r="C3286">
        <v>0.24</v>
      </c>
      <c r="D3286" t="s">
        <v>4551</v>
      </c>
      <c r="E3286" t="s">
        <v>11</v>
      </c>
      <c r="F3286" t="s">
        <v>1209</v>
      </c>
      <c r="G3286" t="s">
        <v>264</v>
      </c>
      <c r="H3286" t="s">
        <v>14</v>
      </c>
    </row>
    <row r="3287" spans="1:8" hidden="1" x14ac:dyDescent="0.25">
      <c r="A3287" t="s">
        <v>4559</v>
      </c>
      <c r="B3287" s="1" t="str">
        <f>HYPERLINK("https://asmlis.vasa.lt/Dashboard/Served?ServiceDateFrom=2025-11-24&amp;ServiceDateTo=2025-11-24&amp;DumpsterInvNr=13-P-506040", "13-P-506040")</f>
        <v>13-P-506040</v>
      </c>
      <c r="C3287">
        <v>1.1000000000000001</v>
      </c>
      <c r="D3287" t="s">
        <v>4560</v>
      </c>
      <c r="E3287" t="s">
        <v>11</v>
      </c>
      <c r="G3287" t="s">
        <v>2178</v>
      </c>
      <c r="H3287" t="s">
        <v>432</v>
      </c>
    </row>
    <row r="3288" spans="1:8" hidden="1" x14ac:dyDescent="0.25">
      <c r="A3288" t="s">
        <v>4559</v>
      </c>
      <c r="B3288" s="1" t="str">
        <f>HYPERLINK("https://asmlis.vasa.lt/Dashboard/Served?ServiceDateFrom=2025-11-24&amp;ServiceDateTo=2025-11-24&amp;DumpsterInvNr=13-P-109557", "13-P-109557")</f>
        <v>13-P-109557</v>
      </c>
      <c r="C3288">
        <v>1.1000000000000001</v>
      </c>
      <c r="D3288" t="s">
        <v>4561</v>
      </c>
      <c r="E3288" t="s">
        <v>11</v>
      </c>
      <c r="G3288" t="s">
        <v>1917</v>
      </c>
      <c r="H3288" t="s">
        <v>432</v>
      </c>
    </row>
    <row r="3289" spans="1:8" hidden="1" x14ac:dyDescent="0.25">
      <c r="A3289" t="s">
        <v>4562</v>
      </c>
      <c r="B3289" s="1" t="str">
        <f>HYPERLINK("https://asmlis.vasa.lt/Dashboard/Served?ServiceDateFrom=2025-11-24&amp;ServiceDateTo=2025-11-24&amp;DumpsterInvNr=13-P-401209", "13-P-401209")</f>
        <v>13-P-401209</v>
      </c>
      <c r="C3289">
        <v>1.1000000000000001</v>
      </c>
      <c r="D3289" t="s">
        <v>4497</v>
      </c>
      <c r="E3289" t="s">
        <v>11</v>
      </c>
      <c r="F3289" t="s">
        <v>13</v>
      </c>
      <c r="G3289" t="s">
        <v>264</v>
      </c>
      <c r="H3289" t="s">
        <v>14</v>
      </c>
    </row>
    <row r="3290" spans="1:8" hidden="1" x14ac:dyDescent="0.25">
      <c r="A3290" t="s">
        <v>4563</v>
      </c>
      <c r="B3290" s="1" t="str">
        <f>HYPERLINK("https://asmlis.vasa.lt/Dashboard/Served?ServiceDateFrom=2025-11-24&amp;ServiceDateTo=2025-11-24&amp;DumpsterInvNr=13-L-410617", "13-L-410617")</f>
        <v>13-L-410617</v>
      </c>
      <c r="C3290">
        <v>0.24</v>
      </c>
      <c r="D3290" t="s">
        <v>4564</v>
      </c>
      <c r="E3290" t="s">
        <v>11</v>
      </c>
      <c r="F3290" t="s">
        <v>1209</v>
      </c>
      <c r="G3290" t="s">
        <v>74</v>
      </c>
      <c r="H3290" t="s">
        <v>14</v>
      </c>
    </row>
    <row r="3291" spans="1:8" hidden="1" x14ac:dyDescent="0.25">
      <c r="A3291" t="s">
        <v>4565</v>
      </c>
      <c r="B3291" s="1" t="str">
        <f>HYPERLINK("https://asmlis.vasa.lt/Dashboard/Served?ServiceDateFrom=2025-11-24&amp;ServiceDateTo=2025-11-24&amp;DumpsterInvNr=13-L-147501", "13-L-147501")</f>
        <v>13-L-147501</v>
      </c>
      <c r="C3291">
        <v>1.1000000000000001</v>
      </c>
      <c r="D3291" t="s">
        <v>4548</v>
      </c>
      <c r="E3291" t="s">
        <v>11</v>
      </c>
      <c r="G3291" t="s">
        <v>1912</v>
      </c>
      <c r="H3291" t="s">
        <v>432</v>
      </c>
    </row>
    <row r="3292" spans="1:8" hidden="1" x14ac:dyDescent="0.25">
      <c r="A3292" t="s">
        <v>4567</v>
      </c>
      <c r="B3292" s="1" t="str">
        <f>HYPERLINK("https://asmlis.vasa.lt/Dashboard/Served?ServiceDateFrom=2025-11-24&amp;ServiceDateTo=2025-11-24&amp;DumpsterInvNr=13-L-138039", "13-L-138039")</f>
        <v>13-L-138039</v>
      </c>
      <c r="C3292">
        <v>5</v>
      </c>
      <c r="D3292" t="s">
        <v>4568</v>
      </c>
      <c r="E3292" t="s">
        <v>11</v>
      </c>
      <c r="F3292" t="s">
        <v>13</v>
      </c>
      <c r="G3292" t="s">
        <v>1912</v>
      </c>
      <c r="H3292" t="s">
        <v>432</v>
      </c>
    </row>
    <row r="3293" spans="1:8" hidden="1" x14ac:dyDescent="0.25">
      <c r="A3293" t="s">
        <v>4569</v>
      </c>
      <c r="B3293" s="1" t="str">
        <f>HYPERLINK("https://asmlis.vasa.lt/Dashboard/Served?ServiceDateFrom=2025-11-24&amp;ServiceDateTo=2025-11-24&amp;DumpsterInvNr=13-L-137947", "13-L-137947")</f>
        <v>13-L-137947</v>
      </c>
      <c r="C3293">
        <v>0.24</v>
      </c>
      <c r="D3293" t="s">
        <v>4554</v>
      </c>
      <c r="E3293" t="s">
        <v>11</v>
      </c>
      <c r="G3293" t="s">
        <v>430</v>
      </c>
      <c r="H3293" t="s">
        <v>432</v>
      </c>
    </row>
    <row r="3294" spans="1:8" hidden="1" x14ac:dyDescent="0.25">
      <c r="A3294" t="s">
        <v>4570</v>
      </c>
      <c r="B3294" s="1" t="str">
        <f>HYPERLINK("https://asmlis.vasa.lt/Dashboard/Served?ServiceDateFrom=2025-11-24&amp;ServiceDateTo=2025-11-24&amp;DumpsterInvNr=13-L-208390", "13-L-208390")</f>
        <v>13-L-208390</v>
      </c>
      <c r="C3294">
        <v>1.1000000000000001</v>
      </c>
      <c r="D3294" t="s">
        <v>4534</v>
      </c>
      <c r="E3294" t="s">
        <v>11</v>
      </c>
      <c r="G3294" t="s">
        <v>936</v>
      </c>
      <c r="H3294" t="s">
        <v>938</v>
      </c>
    </row>
    <row r="3295" spans="1:8" hidden="1" x14ac:dyDescent="0.25">
      <c r="A3295" t="s">
        <v>4571</v>
      </c>
      <c r="B3295" s="1" t="str">
        <f>HYPERLINK("https://asmlis.vasa.lt/Dashboard/Served?ServiceDateFrom=2025-11-24&amp;ServiceDateTo=2025-11-24&amp;DumpsterInvNr=13-P-301621", "13-P-301621")</f>
        <v>13-P-301621</v>
      </c>
      <c r="C3295">
        <v>1.1000000000000001</v>
      </c>
      <c r="D3295" t="s">
        <v>694</v>
      </c>
      <c r="E3295" t="s">
        <v>11</v>
      </c>
      <c r="G3295" t="s">
        <v>412</v>
      </c>
      <c r="H3295" t="s">
        <v>14</v>
      </c>
    </row>
    <row r="3296" spans="1:8" hidden="1" x14ac:dyDescent="0.25">
      <c r="A3296" t="s">
        <v>4572</v>
      </c>
      <c r="B3296" s="1" t="str">
        <f>HYPERLINK("https://asmlis.vasa.lt/Dashboard/Served?ServiceDateFrom=2025-11-24&amp;ServiceDateTo=2025-11-24&amp;DumpsterInvNr=13-L-222732", "13-L-222732")</f>
        <v>13-L-222732</v>
      </c>
      <c r="C3296">
        <v>5</v>
      </c>
      <c r="D3296" t="s">
        <v>4573</v>
      </c>
      <c r="E3296" t="s">
        <v>11</v>
      </c>
      <c r="G3296" t="s">
        <v>936</v>
      </c>
      <c r="H3296" t="s">
        <v>938</v>
      </c>
    </row>
    <row r="3297" spans="1:8" hidden="1" x14ac:dyDescent="0.25">
      <c r="A3297" t="s">
        <v>4186</v>
      </c>
      <c r="B3297" s="1" t="str">
        <f>HYPERLINK("https://asmlis.vasa.lt/Dashboard/Served?ServiceDateFrom=2025-11-24&amp;ServiceDateTo=2025-11-24&amp;DumpsterInvNr=13-L-117698", "13-L-117698")</f>
        <v>13-L-117698</v>
      </c>
      <c r="C3297">
        <v>1.1000000000000001</v>
      </c>
      <c r="D3297" t="s">
        <v>4548</v>
      </c>
      <c r="E3297" t="s">
        <v>11</v>
      </c>
      <c r="G3297" t="s">
        <v>1912</v>
      </c>
      <c r="H3297" t="s">
        <v>432</v>
      </c>
    </row>
    <row r="3298" spans="1:8" hidden="1" x14ac:dyDescent="0.25">
      <c r="A3298" t="s">
        <v>3349</v>
      </c>
      <c r="B3298" s="1" t="str">
        <f>HYPERLINK("https://asmlis.vasa.lt/Dashboard/Served?ServiceDateFrom=2025-11-24&amp;ServiceDateTo=2025-11-24&amp;DumpsterInvNr=13-P-404430", "13-P-404430")</f>
        <v>13-P-404430</v>
      </c>
      <c r="C3298">
        <v>0.24</v>
      </c>
      <c r="D3298" t="s">
        <v>4574</v>
      </c>
      <c r="E3298" t="s">
        <v>11</v>
      </c>
      <c r="G3298" t="s">
        <v>264</v>
      </c>
      <c r="H3298" t="s">
        <v>14</v>
      </c>
    </row>
    <row r="3299" spans="1:8" hidden="1" x14ac:dyDescent="0.25">
      <c r="A3299" t="s">
        <v>3396</v>
      </c>
      <c r="B3299" s="1" t="str">
        <f>HYPERLINK("https://asmlis.vasa.lt/Dashboard/Served?ServiceDateFrom=2025-11-24&amp;ServiceDateTo=2025-11-24&amp;DumpsterInvNr=13-P-500511", "13-P-500511")</f>
        <v>13-P-500511</v>
      </c>
      <c r="C3299">
        <v>5</v>
      </c>
      <c r="D3299" t="s">
        <v>4575</v>
      </c>
      <c r="E3299" t="s">
        <v>11</v>
      </c>
      <c r="F3299" t="s">
        <v>13</v>
      </c>
      <c r="G3299" t="s">
        <v>2178</v>
      </c>
      <c r="H3299" t="s">
        <v>432</v>
      </c>
    </row>
    <row r="3300" spans="1:8" hidden="1" x14ac:dyDescent="0.25">
      <c r="A3300" t="s">
        <v>3396</v>
      </c>
      <c r="B3300" s="1" t="str">
        <f>HYPERLINK("https://asmlis.vasa.lt/Dashboard/Served?ServiceDateFrom=2025-11-24&amp;ServiceDateTo=2025-11-24&amp;DumpsterInvNr=13-S-503659", "13-S-503659")</f>
        <v>13-S-503659</v>
      </c>
      <c r="C3300">
        <v>0.12</v>
      </c>
      <c r="D3300" t="s">
        <v>4544</v>
      </c>
      <c r="E3300" t="s">
        <v>11</v>
      </c>
      <c r="G3300" t="s">
        <v>2178</v>
      </c>
      <c r="H3300" t="s">
        <v>432</v>
      </c>
    </row>
    <row r="3301" spans="1:8" hidden="1" x14ac:dyDescent="0.25">
      <c r="A3301" t="s">
        <v>3396</v>
      </c>
      <c r="B3301" s="1" t="str">
        <f>HYPERLINK("https://asmlis.vasa.lt/Dashboard/Served?ServiceDateFrom=2025-11-24&amp;ServiceDateTo=2025-11-24&amp;DumpsterInvNr=13-S-503683", "13-S-503683")</f>
        <v>13-S-503683</v>
      </c>
      <c r="C3301">
        <v>0.12</v>
      </c>
      <c r="D3301" t="s">
        <v>4554</v>
      </c>
      <c r="E3301" t="s">
        <v>11</v>
      </c>
      <c r="F3301" t="s">
        <v>1209</v>
      </c>
      <c r="G3301" t="s">
        <v>2178</v>
      </c>
      <c r="H3301" t="s">
        <v>432</v>
      </c>
    </row>
    <row r="3302" spans="1:8" hidden="1" x14ac:dyDescent="0.25">
      <c r="A3302" t="s">
        <v>3396</v>
      </c>
      <c r="B3302" s="1" t="str">
        <f>HYPERLINK("https://asmlis.vasa.lt/Dashboard/Served?ServiceDateFrom=2025-11-24&amp;ServiceDateTo=2025-11-24&amp;DumpsterInvNr=13-L-147736", "13-L-147736")</f>
        <v>13-L-147736</v>
      </c>
      <c r="C3302">
        <v>0.24</v>
      </c>
      <c r="D3302" t="s">
        <v>4556</v>
      </c>
      <c r="E3302" t="s">
        <v>11</v>
      </c>
      <c r="G3302" t="s">
        <v>430</v>
      </c>
      <c r="H3302" t="s">
        <v>432</v>
      </c>
    </row>
    <row r="3303" spans="1:8" hidden="1" x14ac:dyDescent="0.25">
      <c r="A3303" t="s">
        <v>3396</v>
      </c>
      <c r="B3303" s="1" t="str">
        <f>HYPERLINK("https://asmlis.vasa.lt/Dashboard/Served?ServiceDateFrom=2025-11-24&amp;ServiceDateTo=2025-11-24&amp;DumpsterInvNr=13-P-502058", "13-P-502058")</f>
        <v>13-P-502058</v>
      </c>
      <c r="C3303">
        <v>0.24</v>
      </c>
      <c r="D3303" t="s">
        <v>4556</v>
      </c>
      <c r="E3303" t="s">
        <v>11</v>
      </c>
      <c r="G3303" t="s">
        <v>2178</v>
      </c>
      <c r="H3303" t="s">
        <v>432</v>
      </c>
    </row>
    <row r="3304" spans="1:8" hidden="1" x14ac:dyDescent="0.25">
      <c r="A3304" t="s">
        <v>3414</v>
      </c>
      <c r="B3304" s="1" t="str">
        <f>HYPERLINK("https://asmlis.vasa.lt/Dashboard/Served?ServiceDateFrom=2025-11-24&amp;ServiceDateTo=2025-11-24&amp;DumpsterInvNr=13-L-313815", "13-L-313815")</f>
        <v>13-L-313815</v>
      </c>
      <c r="C3304">
        <v>1.1000000000000001</v>
      </c>
      <c r="D3304" t="s">
        <v>4579</v>
      </c>
      <c r="E3304" t="s">
        <v>11</v>
      </c>
      <c r="F3304" t="s">
        <v>13</v>
      </c>
      <c r="G3304" t="s">
        <v>9</v>
      </c>
      <c r="H3304" t="s">
        <v>14</v>
      </c>
    </row>
    <row r="3305" spans="1:8" hidden="1" x14ac:dyDescent="0.25">
      <c r="A3305" t="s">
        <v>3545</v>
      </c>
      <c r="B3305" s="1" t="str">
        <f>HYPERLINK("https://asmlis.vasa.lt/Dashboard/Served?ServiceDateFrom=2025-11-24&amp;ServiceDateTo=2025-11-24&amp;DumpsterInvNr=13-L-405027", "13-L-405027")</f>
        <v>13-L-405027</v>
      </c>
      <c r="C3305">
        <v>1.1000000000000001</v>
      </c>
      <c r="D3305" t="s">
        <v>1433</v>
      </c>
      <c r="E3305" t="s">
        <v>11</v>
      </c>
      <c r="G3305" t="s">
        <v>74</v>
      </c>
      <c r="H3305" t="s">
        <v>14</v>
      </c>
    </row>
    <row r="3306" spans="1:8" hidden="1" x14ac:dyDescent="0.25">
      <c r="A3306" t="s">
        <v>3567</v>
      </c>
      <c r="B3306" s="1" t="str">
        <f>HYPERLINK("https://asmlis.vasa.lt/Dashboard/Served?ServiceDateFrom=2025-11-24&amp;ServiceDateTo=2025-11-24&amp;DumpsterInvNr=13-L-117697", "13-L-117697")</f>
        <v>13-L-117697</v>
      </c>
      <c r="C3306">
        <v>1.1000000000000001</v>
      </c>
      <c r="D3306" t="s">
        <v>4548</v>
      </c>
      <c r="E3306" t="s">
        <v>11</v>
      </c>
      <c r="G3306" t="s">
        <v>1912</v>
      </c>
      <c r="H3306" t="s">
        <v>432</v>
      </c>
    </row>
    <row r="3307" spans="1:8" hidden="1" x14ac:dyDescent="0.25">
      <c r="A3307" t="s">
        <v>3607</v>
      </c>
      <c r="B3307" s="1" t="str">
        <f>HYPERLINK("https://asmlis.vasa.lt/Dashboard/Served?ServiceDateFrom=2025-11-24&amp;ServiceDateTo=2025-11-24&amp;DumpsterInvNr=13-S-503694", "13-S-503694")</f>
        <v>13-S-503694</v>
      </c>
      <c r="C3307">
        <v>0.12</v>
      </c>
      <c r="D3307" t="s">
        <v>4580</v>
      </c>
      <c r="E3307" t="s">
        <v>11</v>
      </c>
      <c r="F3307" t="s">
        <v>1209</v>
      </c>
      <c r="G3307" t="s">
        <v>2178</v>
      </c>
      <c r="H3307" t="s">
        <v>432</v>
      </c>
    </row>
    <row r="3308" spans="1:8" hidden="1" x14ac:dyDescent="0.25">
      <c r="A3308" t="s">
        <v>3690</v>
      </c>
      <c r="B3308" s="1" t="str">
        <f>HYPERLINK("https://asmlis.vasa.lt/Dashboard/Served?ServiceDateFrom=2025-11-24&amp;ServiceDateTo=2025-11-24&amp;DumpsterInvNr=13-L-223578", "13-L-223578")</f>
        <v>13-L-223578</v>
      </c>
      <c r="C3308">
        <v>1.1000000000000001</v>
      </c>
      <c r="D3308" t="s">
        <v>4313</v>
      </c>
      <c r="E3308" t="s">
        <v>11</v>
      </c>
      <c r="G3308" t="s">
        <v>936</v>
      </c>
      <c r="H3308" t="s">
        <v>938</v>
      </c>
    </row>
    <row r="3309" spans="1:8" hidden="1" x14ac:dyDescent="0.25">
      <c r="A3309" t="s">
        <v>3745</v>
      </c>
      <c r="B3309" s="1" t="str">
        <f>HYPERLINK("https://asmlis.vasa.lt/Dashboard/Served?ServiceDateFrom=2025-11-24&amp;ServiceDateTo=2025-11-24&amp;DumpsterInvNr=13-S-404406", "13-S-404406")</f>
        <v>13-S-404406</v>
      </c>
      <c r="C3309">
        <v>0.12</v>
      </c>
      <c r="D3309" t="s">
        <v>4582</v>
      </c>
      <c r="E3309" t="s">
        <v>11</v>
      </c>
      <c r="F3309" t="s">
        <v>1209</v>
      </c>
      <c r="G3309" t="s">
        <v>264</v>
      </c>
      <c r="H3309" t="s">
        <v>14</v>
      </c>
    </row>
    <row r="3310" spans="1:8" hidden="1" x14ac:dyDescent="0.25">
      <c r="A3310" t="s">
        <v>3890</v>
      </c>
      <c r="B3310" s="1" t="str">
        <f>HYPERLINK("https://asmlis.vasa.lt/Dashboard/Served?ServiceDateFrom=2025-11-24&amp;ServiceDateTo=2025-11-24&amp;DumpsterInvNr=13-P-411598", "13-P-411598")</f>
        <v>13-P-411598</v>
      </c>
      <c r="C3310">
        <v>0.24</v>
      </c>
      <c r="D3310" t="s">
        <v>4582</v>
      </c>
      <c r="E3310" t="s">
        <v>11</v>
      </c>
      <c r="F3310" t="s">
        <v>1209</v>
      </c>
      <c r="G3310" t="s">
        <v>264</v>
      </c>
      <c r="H3310" t="s">
        <v>14</v>
      </c>
    </row>
    <row r="3311" spans="1:8" hidden="1" x14ac:dyDescent="0.25">
      <c r="A3311" t="s">
        <v>4584</v>
      </c>
      <c r="B3311" s="1" t="str">
        <f>HYPERLINK("https://asmlis.vasa.lt/Dashboard/Served?ServiceDateFrom=2025-11-24&amp;ServiceDateTo=2025-11-24&amp;DumpsterInvNr=13-T-000155", "13-T-000155")</f>
        <v>13-T-000155</v>
      </c>
      <c r="C3311">
        <v>2.5</v>
      </c>
      <c r="D3311" t="s">
        <v>4585</v>
      </c>
      <c r="E3311" t="s">
        <v>11</v>
      </c>
      <c r="F3311" t="s">
        <v>13</v>
      </c>
      <c r="G3311" t="s">
        <v>1899</v>
      </c>
      <c r="H3311" t="s">
        <v>432</v>
      </c>
    </row>
    <row r="3312" spans="1:8" hidden="1" x14ac:dyDescent="0.25">
      <c r="A3312" t="s">
        <v>4586</v>
      </c>
      <c r="B3312" s="1" t="str">
        <f>HYPERLINK("https://asmlis.vasa.lt/Dashboard/Served?ServiceDateFrom=2025-11-24&amp;ServiceDateTo=2025-11-24&amp;DumpsterInvNr=13-P-300578", "13-P-300578")</f>
        <v>13-P-300578</v>
      </c>
      <c r="C3312">
        <v>1.1000000000000001</v>
      </c>
      <c r="D3312" t="s">
        <v>694</v>
      </c>
      <c r="E3312" t="s">
        <v>11</v>
      </c>
      <c r="G3312" t="s">
        <v>412</v>
      </c>
      <c r="H3312" t="s">
        <v>14</v>
      </c>
    </row>
    <row r="3313" spans="1:8" hidden="1" x14ac:dyDescent="0.25">
      <c r="A3313" t="s">
        <v>4586</v>
      </c>
      <c r="B3313" s="1" t="str">
        <f>HYPERLINK("https://asmlis.vasa.lt/Dashboard/Served?ServiceDateFrom=2025-11-24&amp;ServiceDateTo=2025-11-24&amp;DumpsterInvNr=13-L-147828", "13-L-147828")</f>
        <v>13-L-147828</v>
      </c>
      <c r="C3313">
        <v>0.24</v>
      </c>
      <c r="D3313" t="s">
        <v>4587</v>
      </c>
      <c r="E3313" t="s">
        <v>11</v>
      </c>
      <c r="G3313" t="s">
        <v>430</v>
      </c>
      <c r="H3313" t="s">
        <v>432</v>
      </c>
    </row>
    <row r="3314" spans="1:8" hidden="1" x14ac:dyDescent="0.25">
      <c r="A3314" t="s">
        <v>4586</v>
      </c>
      <c r="B3314" s="1" t="str">
        <f>HYPERLINK("https://asmlis.vasa.lt/Dashboard/Served?ServiceDateFrom=2025-11-24&amp;ServiceDateTo=2025-11-24&amp;DumpsterInvNr=13-P-502099", "13-P-502099")</f>
        <v>13-P-502099</v>
      </c>
      <c r="C3314">
        <v>0.24</v>
      </c>
      <c r="D3314" t="s">
        <v>4587</v>
      </c>
      <c r="E3314" t="s">
        <v>11</v>
      </c>
      <c r="G3314" t="s">
        <v>2178</v>
      </c>
      <c r="H3314" t="s">
        <v>432</v>
      </c>
    </row>
    <row r="3315" spans="1:8" hidden="1" x14ac:dyDescent="0.25">
      <c r="A3315" t="s">
        <v>4102</v>
      </c>
      <c r="B3315" s="1" t="str">
        <f>HYPERLINK("https://asmlis.vasa.lt/Dashboard/Served?ServiceDateFrom=2025-11-24&amp;ServiceDateTo=2025-11-24&amp;DumpsterInvNr=13-P-209803", "13-P-209803")</f>
        <v>13-P-209803</v>
      </c>
      <c r="C3315">
        <v>0.24</v>
      </c>
      <c r="D3315" t="s">
        <v>4589</v>
      </c>
      <c r="E3315" t="s">
        <v>11</v>
      </c>
      <c r="G3315" t="s">
        <v>234</v>
      </c>
      <c r="H3315" t="s">
        <v>14</v>
      </c>
    </row>
    <row r="3316" spans="1:8" hidden="1" x14ac:dyDescent="0.25">
      <c r="A3316" t="s">
        <v>4590</v>
      </c>
      <c r="B3316" s="1" t="str">
        <f>HYPERLINK("https://asmlis.vasa.lt/Dashboard/Served?ServiceDateFrom=2025-11-24&amp;ServiceDateTo=2025-11-24&amp;DumpsterInvNr=13-L-225991", "13-L-225991")</f>
        <v>13-L-225991</v>
      </c>
      <c r="C3316">
        <v>1.1000000000000001</v>
      </c>
      <c r="D3316" t="s">
        <v>4313</v>
      </c>
      <c r="E3316" t="s">
        <v>11</v>
      </c>
      <c r="F3316" t="s">
        <v>13</v>
      </c>
      <c r="G3316" t="s">
        <v>936</v>
      </c>
      <c r="H3316" t="s">
        <v>938</v>
      </c>
    </row>
    <row r="3317" spans="1:8" hidden="1" x14ac:dyDescent="0.25">
      <c r="A3317" t="s">
        <v>4591</v>
      </c>
      <c r="B3317" s="1" t="str">
        <f>HYPERLINK("https://asmlis.vasa.lt/Dashboard/Served?ServiceDateFrom=2025-11-24&amp;ServiceDateTo=2025-11-24&amp;DumpsterInvNr=13-L-224372", "13-L-224372")</f>
        <v>13-L-224372</v>
      </c>
      <c r="C3317">
        <v>1.1000000000000001</v>
      </c>
      <c r="D3317" t="s">
        <v>4592</v>
      </c>
      <c r="E3317" t="s">
        <v>11</v>
      </c>
      <c r="G3317" t="s">
        <v>936</v>
      </c>
      <c r="H3317" t="s">
        <v>938</v>
      </c>
    </row>
    <row r="3318" spans="1:8" hidden="1" x14ac:dyDescent="0.25">
      <c r="A3318" t="s">
        <v>4591</v>
      </c>
      <c r="B3318" s="1" t="str">
        <f>HYPERLINK("https://asmlis.vasa.lt/Dashboard/Served?ServiceDateFrom=2025-11-24&amp;ServiceDateTo=2025-11-24&amp;DumpsterInvNr=13-P-204803", "13-P-204803")</f>
        <v>13-P-204803</v>
      </c>
      <c r="C3318">
        <v>5</v>
      </c>
      <c r="D3318" t="s">
        <v>4593</v>
      </c>
      <c r="E3318" t="s">
        <v>11</v>
      </c>
      <c r="G3318" t="s">
        <v>234</v>
      </c>
      <c r="H3318" t="s">
        <v>14</v>
      </c>
    </row>
    <row r="3319" spans="1:8" hidden="1" x14ac:dyDescent="0.25">
      <c r="A3319" t="s">
        <v>4594</v>
      </c>
      <c r="B3319" s="1" t="str">
        <f>HYPERLINK("https://asmlis.vasa.lt/Dashboard/Served?ServiceDateFrom=2025-11-24&amp;ServiceDateTo=2025-11-24&amp;DumpsterInvNr=13-T-000144", "13-T-000144")</f>
        <v>13-T-000144</v>
      </c>
      <c r="C3319">
        <v>2.5</v>
      </c>
      <c r="D3319" t="s">
        <v>4585</v>
      </c>
      <c r="E3319" t="s">
        <v>11</v>
      </c>
      <c r="F3319" t="s">
        <v>13</v>
      </c>
      <c r="G3319" t="s">
        <v>1899</v>
      </c>
      <c r="H3319" t="s">
        <v>432</v>
      </c>
    </row>
    <row r="3320" spans="1:8" hidden="1" x14ac:dyDescent="0.25">
      <c r="A3320" t="s">
        <v>4595</v>
      </c>
      <c r="B3320" s="1" t="str">
        <f>HYPERLINK("https://asmlis.vasa.lt/Dashboard/Served?ServiceDateFrom=2025-11-24&amp;ServiceDateTo=2025-11-24&amp;DumpsterInvNr=13-P-502933", "13-P-502933")</f>
        <v>13-P-502933</v>
      </c>
      <c r="C3320">
        <v>0.24</v>
      </c>
      <c r="D3320" t="s">
        <v>4580</v>
      </c>
      <c r="E3320" t="s">
        <v>11</v>
      </c>
      <c r="F3320" t="s">
        <v>1209</v>
      </c>
      <c r="G3320" t="s">
        <v>2178</v>
      </c>
      <c r="H3320" t="s">
        <v>432</v>
      </c>
    </row>
    <row r="3321" spans="1:8" hidden="1" x14ac:dyDescent="0.25">
      <c r="A3321" t="s">
        <v>4596</v>
      </c>
      <c r="B3321" s="1" t="str">
        <f>HYPERLINK("https://asmlis.vasa.lt/Dashboard/Served?ServiceDateFrom=2025-11-24&amp;ServiceDateTo=2025-11-24&amp;DumpsterInvNr=13-L-113214", "13-L-113214")</f>
        <v>13-L-113214</v>
      </c>
      <c r="C3321">
        <v>0.24</v>
      </c>
      <c r="D3321" t="s">
        <v>4580</v>
      </c>
      <c r="E3321" t="s">
        <v>11</v>
      </c>
      <c r="F3321" t="s">
        <v>1209</v>
      </c>
      <c r="G3321" t="s">
        <v>430</v>
      </c>
      <c r="H3321" t="s">
        <v>432</v>
      </c>
    </row>
    <row r="3322" spans="1:8" hidden="1" x14ac:dyDescent="0.25">
      <c r="A3322" t="s">
        <v>4597</v>
      </c>
      <c r="B3322" s="1" t="str">
        <f>HYPERLINK("https://asmlis.vasa.lt/Dashboard/Served?ServiceDateFrom=2025-11-24&amp;ServiceDateTo=2025-11-24&amp;DumpsterInvNr=13-L-424960", "13-L-424960")</f>
        <v>13-L-424960</v>
      </c>
      <c r="C3322">
        <v>0.77</v>
      </c>
      <c r="D3322" t="s">
        <v>3052</v>
      </c>
      <c r="E3322" t="s">
        <v>11</v>
      </c>
      <c r="G3322" t="s">
        <v>74</v>
      </c>
      <c r="H3322" t="s">
        <v>14</v>
      </c>
    </row>
    <row r="3323" spans="1:8" hidden="1" x14ac:dyDescent="0.25">
      <c r="A3323" t="s">
        <v>4597</v>
      </c>
      <c r="B3323" s="1" t="str">
        <f>HYPERLINK("https://asmlis.vasa.lt/Dashboard/Served?ServiceDateFrom=2025-11-24&amp;ServiceDateTo=2025-11-24&amp;DumpsterInvNr=13-L-145067", "13-L-145067")</f>
        <v>13-L-145067</v>
      </c>
      <c r="C3323">
        <v>0.24</v>
      </c>
      <c r="D3323" t="s">
        <v>4598</v>
      </c>
      <c r="E3323" t="s">
        <v>11</v>
      </c>
      <c r="F3323" t="s">
        <v>1209</v>
      </c>
      <c r="G3323" t="s">
        <v>430</v>
      </c>
      <c r="H3323" t="s">
        <v>432</v>
      </c>
    </row>
    <row r="3324" spans="1:8" hidden="1" x14ac:dyDescent="0.25">
      <c r="A3324" t="s">
        <v>4597</v>
      </c>
      <c r="B3324" s="1" t="str">
        <f>HYPERLINK("https://asmlis.vasa.lt/Dashboard/Served?ServiceDateFrom=2025-11-24&amp;ServiceDateTo=2025-11-24&amp;DumpsterInvNr=13-P-102457", "13-P-102457")</f>
        <v>13-P-102457</v>
      </c>
      <c r="C3324">
        <v>5</v>
      </c>
      <c r="D3324" t="s">
        <v>4599</v>
      </c>
      <c r="E3324" t="s">
        <v>11</v>
      </c>
      <c r="F3324" t="s">
        <v>13</v>
      </c>
      <c r="G3324" t="s">
        <v>1917</v>
      </c>
      <c r="H3324" t="s">
        <v>432</v>
      </c>
    </row>
    <row r="3325" spans="1:8" hidden="1" x14ac:dyDescent="0.25">
      <c r="A3325" t="s">
        <v>4558</v>
      </c>
      <c r="B3325" s="1" t="str">
        <f>HYPERLINK("https://asmlis.vasa.lt/Dashboard/Served?ServiceDateFrom=2025-11-24&amp;ServiceDateTo=2025-11-24&amp;DumpsterInvNr=13-P-502959", "13-P-502959")</f>
        <v>13-P-502959</v>
      </c>
      <c r="C3325">
        <v>0.24</v>
      </c>
      <c r="D3325" t="s">
        <v>4598</v>
      </c>
      <c r="E3325" t="s">
        <v>11</v>
      </c>
      <c r="F3325" t="s">
        <v>1209</v>
      </c>
      <c r="G3325" t="s">
        <v>2178</v>
      </c>
      <c r="H3325" t="s">
        <v>432</v>
      </c>
    </row>
    <row r="3326" spans="1:8" hidden="1" x14ac:dyDescent="0.25">
      <c r="A3326" t="s">
        <v>4583</v>
      </c>
      <c r="B3326" s="1" t="str">
        <f>HYPERLINK("https://asmlis.vasa.lt/Dashboard/Served?ServiceDateFrom=2025-11-24&amp;ServiceDateTo=2025-11-24&amp;DumpsterInvNr=13-L-118102", "13-L-118102")</f>
        <v>13-L-118102</v>
      </c>
      <c r="C3326">
        <v>0.24</v>
      </c>
      <c r="D3326" t="s">
        <v>4600</v>
      </c>
      <c r="E3326" t="s">
        <v>11</v>
      </c>
      <c r="G3326" t="s">
        <v>1912</v>
      </c>
      <c r="H3326" t="s">
        <v>432</v>
      </c>
    </row>
    <row r="3327" spans="1:8" hidden="1" x14ac:dyDescent="0.25">
      <c r="A3327" t="s">
        <v>4178</v>
      </c>
      <c r="B3327" s="1" t="str">
        <f>HYPERLINK("https://asmlis.vasa.lt/Dashboard/Served?ServiceDateFrom=2025-11-24&amp;ServiceDateTo=2025-11-24&amp;DumpsterInvNr=13-L-316031", "13-L-316031")</f>
        <v>13-L-316031</v>
      </c>
      <c r="C3327">
        <v>0.24</v>
      </c>
      <c r="D3327" t="s">
        <v>4601</v>
      </c>
      <c r="E3327" t="s">
        <v>11</v>
      </c>
      <c r="G3327" t="s">
        <v>9</v>
      </c>
      <c r="H3327" t="s">
        <v>14</v>
      </c>
    </row>
    <row r="3328" spans="1:8" hidden="1" x14ac:dyDescent="0.25">
      <c r="A3328" t="s">
        <v>4602</v>
      </c>
      <c r="B3328" s="1" t="str">
        <f>HYPERLINK("https://asmlis.vasa.lt/Dashboard/Served?ServiceDateFrom=2025-11-24&amp;ServiceDateTo=2025-11-24&amp;DumpsterInvNr=13-L-131665", "13-L-131665")</f>
        <v>13-L-131665</v>
      </c>
      <c r="C3328">
        <v>1.1000000000000001</v>
      </c>
      <c r="D3328" t="s">
        <v>4603</v>
      </c>
      <c r="E3328" t="s">
        <v>11</v>
      </c>
      <c r="G3328" t="s">
        <v>430</v>
      </c>
      <c r="H3328" t="s">
        <v>432</v>
      </c>
    </row>
    <row r="3329" spans="1:8" hidden="1" x14ac:dyDescent="0.25">
      <c r="A3329" t="s">
        <v>4604</v>
      </c>
      <c r="B3329" s="1" t="str">
        <f>HYPERLINK("https://asmlis.vasa.lt/Dashboard/Served?ServiceDateFrom=2025-11-24&amp;ServiceDateTo=2025-11-24&amp;DumpsterInvNr=13-L-221470", "13-L-221470")</f>
        <v>13-L-221470</v>
      </c>
      <c r="C3329">
        <v>1.1000000000000001</v>
      </c>
      <c r="D3329" t="s">
        <v>4605</v>
      </c>
      <c r="E3329" t="s">
        <v>11</v>
      </c>
      <c r="G3329" t="s">
        <v>936</v>
      </c>
      <c r="H3329" t="s">
        <v>938</v>
      </c>
    </row>
    <row r="3330" spans="1:8" hidden="1" x14ac:dyDescent="0.25">
      <c r="A3330" t="s">
        <v>4606</v>
      </c>
      <c r="B3330" s="1" t="str">
        <f>HYPERLINK("https://asmlis.vasa.lt/Dashboard/Served?ServiceDateFrom=2025-11-24&amp;ServiceDateTo=2025-11-24&amp;DumpsterInvNr=13-L-124943", "13-L-124943")</f>
        <v>13-L-124943</v>
      </c>
      <c r="C3330">
        <v>0.12</v>
      </c>
      <c r="D3330" t="s">
        <v>4607</v>
      </c>
      <c r="E3330" t="s">
        <v>11</v>
      </c>
      <c r="G3330" t="s">
        <v>430</v>
      </c>
      <c r="H3330" t="s">
        <v>432</v>
      </c>
    </row>
    <row r="3331" spans="1:8" hidden="1" x14ac:dyDescent="0.25">
      <c r="A3331" t="s">
        <v>4606</v>
      </c>
      <c r="B3331" s="1" t="str">
        <f>HYPERLINK("https://asmlis.vasa.lt/Dashboard/Served?ServiceDateFrom=2025-11-24&amp;ServiceDateTo=2025-11-24&amp;DumpsterInvNr=13-P-508394", "13-P-508394")</f>
        <v>13-P-508394</v>
      </c>
      <c r="C3331">
        <v>0.24</v>
      </c>
      <c r="D3331" t="s">
        <v>4607</v>
      </c>
      <c r="E3331" t="s">
        <v>11</v>
      </c>
      <c r="G3331" t="s">
        <v>2178</v>
      </c>
      <c r="H3331" t="s">
        <v>432</v>
      </c>
    </row>
    <row r="3332" spans="1:8" hidden="1" x14ac:dyDescent="0.25">
      <c r="A3332" t="s">
        <v>4610</v>
      </c>
      <c r="B3332" s="1" t="str">
        <f>HYPERLINK("https://asmlis.vasa.lt/Dashboard/Served?ServiceDateFrom=2025-11-24&amp;ServiceDateTo=2025-11-24&amp;DumpsterInvNr=13-L-318132", "13-L-318132")</f>
        <v>13-L-318132</v>
      </c>
      <c r="C3332">
        <v>0.24</v>
      </c>
      <c r="D3332" t="s">
        <v>4601</v>
      </c>
      <c r="E3332" t="s">
        <v>11</v>
      </c>
      <c r="G3332" t="s">
        <v>9</v>
      </c>
      <c r="H3332" t="s">
        <v>14</v>
      </c>
    </row>
    <row r="3333" spans="1:8" hidden="1" x14ac:dyDescent="0.25">
      <c r="A3333" t="s">
        <v>4611</v>
      </c>
      <c r="B3333" s="1" t="str">
        <f>HYPERLINK("https://asmlis.vasa.lt/Dashboard/Served?ServiceDateFrom=2025-11-24&amp;ServiceDateTo=2025-11-24&amp;DumpsterInvNr=13-S-503197", "13-S-503197")</f>
        <v>13-S-503197</v>
      </c>
      <c r="C3333">
        <v>0.12</v>
      </c>
      <c r="D3333" t="s">
        <v>4612</v>
      </c>
      <c r="E3333" t="s">
        <v>11</v>
      </c>
      <c r="G3333" t="s">
        <v>2178</v>
      </c>
      <c r="H3333" t="s">
        <v>432</v>
      </c>
    </row>
    <row r="3334" spans="1:8" hidden="1" x14ac:dyDescent="0.25">
      <c r="A3334" t="s">
        <v>4613</v>
      </c>
      <c r="B3334" s="1" t="str">
        <f>HYPERLINK("https://asmlis.vasa.lt/Dashboard/Served?ServiceDateFrom=2025-11-24&amp;ServiceDateTo=2025-11-24&amp;DumpsterInvNr=13-L-421560", "13-L-421560")</f>
        <v>13-L-421560</v>
      </c>
      <c r="C3334">
        <v>5</v>
      </c>
      <c r="D3334" t="s">
        <v>4614</v>
      </c>
      <c r="E3334" t="s">
        <v>11</v>
      </c>
      <c r="G3334" t="s">
        <v>74</v>
      </c>
      <c r="H3334" t="s">
        <v>14</v>
      </c>
    </row>
    <row r="3335" spans="1:8" hidden="1" x14ac:dyDescent="0.25">
      <c r="A3335" t="s">
        <v>4615</v>
      </c>
      <c r="B3335" s="1" t="str">
        <f>HYPERLINK("https://asmlis.vasa.lt/Dashboard/Served?ServiceDateFrom=2025-11-24&amp;ServiceDateTo=2025-11-24&amp;DumpsterInvNr=13-P-415947", "13-P-415947")</f>
        <v>13-P-415947</v>
      </c>
      <c r="C3335">
        <v>1.1000000000000001</v>
      </c>
      <c r="D3335" t="s">
        <v>4497</v>
      </c>
      <c r="E3335" t="s">
        <v>11</v>
      </c>
      <c r="G3335" t="s">
        <v>264</v>
      </c>
      <c r="H3335" t="s">
        <v>14</v>
      </c>
    </row>
    <row r="3336" spans="1:8" hidden="1" x14ac:dyDescent="0.25">
      <c r="A3336" t="s">
        <v>4616</v>
      </c>
      <c r="B3336" s="1" t="str">
        <f>HYPERLINK("https://asmlis.vasa.lt/Dashboard/Served?ServiceDateFrom=2025-11-24&amp;ServiceDateTo=2025-11-24&amp;DumpsterInvNr=13-S-500729", "13-S-500729")</f>
        <v>13-S-500729</v>
      </c>
      <c r="C3336">
        <v>0.12</v>
      </c>
      <c r="D3336" t="s">
        <v>4607</v>
      </c>
      <c r="E3336" t="s">
        <v>11</v>
      </c>
      <c r="F3336" t="s">
        <v>1209</v>
      </c>
      <c r="G3336" t="s">
        <v>2178</v>
      </c>
      <c r="H3336" t="s">
        <v>432</v>
      </c>
    </row>
    <row r="3337" spans="1:8" hidden="1" x14ac:dyDescent="0.25">
      <c r="A3337" t="s">
        <v>4618</v>
      </c>
      <c r="B3337" s="1" t="str">
        <f>HYPERLINK("https://asmlis.vasa.lt/Dashboard/Served?ServiceDateFrom=2025-11-24&amp;ServiceDateTo=2025-11-24&amp;DumpsterInvNr=13-P-404428", "13-P-404428")</f>
        <v>13-P-404428</v>
      </c>
      <c r="C3337">
        <v>0.24</v>
      </c>
      <c r="D3337" t="s">
        <v>4619</v>
      </c>
      <c r="E3337" t="s">
        <v>11</v>
      </c>
      <c r="G3337" t="s">
        <v>264</v>
      </c>
      <c r="H3337" t="s">
        <v>14</v>
      </c>
    </row>
    <row r="3338" spans="1:8" hidden="1" x14ac:dyDescent="0.25">
      <c r="A3338" t="s">
        <v>4620</v>
      </c>
      <c r="B3338" s="1" t="str">
        <f>HYPERLINK("https://asmlis.vasa.lt/Dashboard/Served?ServiceDateFrom=2025-11-24&amp;ServiceDateTo=2025-11-24&amp;DumpsterInvNr=13-L-124944", "13-L-124944")</f>
        <v>13-L-124944</v>
      </c>
      <c r="C3338">
        <v>0.12</v>
      </c>
      <c r="D3338" t="s">
        <v>4612</v>
      </c>
      <c r="E3338" t="s">
        <v>11</v>
      </c>
      <c r="G3338" t="s">
        <v>430</v>
      </c>
      <c r="H3338" t="s">
        <v>432</v>
      </c>
    </row>
    <row r="3339" spans="1:8" hidden="1" x14ac:dyDescent="0.25">
      <c r="A3339" t="s">
        <v>4620</v>
      </c>
      <c r="B3339" s="1" t="str">
        <f>HYPERLINK("https://asmlis.vasa.lt/Dashboard/Served?ServiceDateFrom=2025-11-24&amp;ServiceDateTo=2025-11-24&amp;DumpsterInvNr=13-P-508393", "13-P-508393")</f>
        <v>13-P-508393</v>
      </c>
      <c r="C3339">
        <v>0.12</v>
      </c>
      <c r="D3339" t="s">
        <v>4612</v>
      </c>
      <c r="E3339" t="s">
        <v>11</v>
      </c>
      <c r="G3339" t="s">
        <v>2178</v>
      </c>
      <c r="H3339" t="s">
        <v>432</v>
      </c>
    </row>
    <row r="3340" spans="1:8" hidden="1" x14ac:dyDescent="0.25">
      <c r="A3340" t="s">
        <v>4622</v>
      </c>
      <c r="B3340" s="1" t="str">
        <f>HYPERLINK("https://asmlis.vasa.lt/Dashboard/Served?ServiceDateFrom=2025-11-24&amp;ServiceDateTo=2025-11-24&amp;DumpsterInvNr=13-P-210901", "13-P-210901")</f>
        <v>13-P-210901</v>
      </c>
      <c r="C3340">
        <v>0.24</v>
      </c>
      <c r="D3340" t="s">
        <v>4623</v>
      </c>
      <c r="E3340" t="s">
        <v>11</v>
      </c>
      <c r="G3340" t="s">
        <v>234</v>
      </c>
      <c r="H3340" t="s">
        <v>14</v>
      </c>
    </row>
    <row r="3341" spans="1:8" hidden="1" x14ac:dyDescent="0.25">
      <c r="A3341" t="s">
        <v>4622</v>
      </c>
      <c r="B3341" s="1" t="str">
        <f>HYPERLINK("https://asmlis.vasa.lt/Dashboard/Served?ServiceDateFrom=2025-11-24&amp;ServiceDateTo=2025-11-24&amp;DumpsterInvNr=13-P-302101", "13-P-302101")</f>
        <v>13-P-302101</v>
      </c>
      <c r="C3341">
        <v>1.1000000000000001</v>
      </c>
      <c r="D3341" t="s">
        <v>4624</v>
      </c>
      <c r="E3341" t="s">
        <v>11</v>
      </c>
      <c r="F3341" t="s">
        <v>13</v>
      </c>
      <c r="G3341" t="s">
        <v>412</v>
      </c>
      <c r="H3341" t="s">
        <v>14</v>
      </c>
    </row>
    <row r="3342" spans="1:8" hidden="1" x14ac:dyDescent="0.25">
      <c r="A3342" t="s">
        <v>4625</v>
      </c>
      <c r="B3342" s="1" t="str">
        <f>HYPERLINK("https://asmlis.vasa.lt/Dashboard/Served?ServiceDateFrom=2025-11-24&amp;ServiceDateTo=2025-11-24&amp;DumpsterInvNr=13-L-417193", "13-L-417193")</f>
        <v>13-L-417193</v>
      </c>
      <c r="C3342">
        <v>0.12</v>
      </c>
      <c r="D3342" t="s">
        <v>4626</v>
      </c>
      <c r="E3342" t="s">
        <v>11</v>
      </c>
      <c r="G3342" t="s">
        <v>74</v>
      </c>
      <c r="H3342" t="s">
        <v>14</v>
      </c>
    </row>
    <row r="3343" spans="1:8" hidden="1" x14ac:dyDescent="0.25">
      <c r="A3343" t="s">
        <v>4627</v>
      </c>
      <c r="B3343" s="1" t="str">
        <f>HYPERLINK("https://asmlis.vasa.lt/Dashboard/Served?ServiceDateFrom=2025-11-24&amp;ServiceDateTo=2025-11-24&amp;DumpsterInvNr=13-L-133433", "13-L-133433")</f>
        <v>13-L-133433</v>
      </c>
      <c r="C3343">
        <v>5</v>
      </c>
      <c r="D3343" t="s">
        <v>4628</v>
      </c>
      <c r="E3343" t="s">
        <v>11</v>
      </c>
      <c r="F3343" t="s">
        <v>13</v>
      </c>
      <c r="G3343" t="s">
        <v>430</v>
      </c>
      <c r="H3343" t="s">
        <v>432</v>
      </c>
    </row>
    <row r="3344" spans="1:8" hidden="1" x14ac:dyDescent="0.25">
      <c r="A3344" t="s">
        <v>4630</v>
      </c>
      <c r="B3344" s="1" t="str">
        <f>HYPERLINK("https://asmlis.vasa.lt/Dashboard/Served?ServiceDateFrom=2025-11-24&amp;ServiceDateTo=2025-11-24&amp;DumpsterInvNr=13-L-220750", "13-L-220750")</f>
        <v>13-L-220750</v>
      </c>
      <c r="C3344">
        <v>1.1000000000000001</v>
      </c>
      <c r="D3344" t="s">
        <v>4631</v>
      </c>
      <c r="E3344" t="s">
        <v>11</v>
      </c>
      <c r="G3344" t="s">
        <v>936</v>
      </c>
      <c r="H3344" t="s">
        <v>938</v>
      </c>
    </row>
    <row r="3345" spans="1:8" hidden="1" x14ac:dyDescent="0.25">
      <c r="A3345" t="s">
        <v>4632</v>
      </c>
      <c r="B3345" s="1" t="str">
        <f>HYPERLINK("https://asmlis.vasa.lt/Dashboard/Served?ServiceDateFrom=2025-11-24&amp;ServiceDateTo=2025-11-24&amp;DumpsterInvNr=13-P-404433", "13-P-404433")</f>
        <v>13-P-404433</v>
      </c>
      <c r="C3345">
        <v>0.24</v>
      </c>
      <c r="D3345" t="s">
        <v>4633</v>
      </c>
      <c r="E3345" t="s">
        <v>11</v>
      </c>
      <c r="G3345" t="s">
        <v>264</v>
      </c>
      <c r="H3345" t="s">
        <v>14</v>
      </c>
    </row>
    <row r="3346" spans="1:8" hidden="1" x14ac:dyDescent="0.25">
      <c r="A3346" t="s">
        <v>4634</v>
      </c>
      <c r="B3346" s="1" t="str">
        <f>HYPERLINK("https://asmlis.vasa.lt/Dashboard/Served?ServiceDateFrom=2025-11-24&amp;ServiceDateTo=2025-11-24&amp;DumpsterInvNr=13-L-110367", "13-L-110367")</f>
        <v>13-L-110367</v>
      </c>
      <c r="C3346">
        <v>0.24</v>
      </c>
      <c r="D3346" t="s">
        <v>4635</v>
      </c>
      <c r="E3346" t="s">
        <v>11</v>
      </c>
      <c r="G3346" t="s">
        <v>430</v>
      </c>
      <c r="H3346" t="s">
        <v>432</v>
      </c>
    </row>
    <row r="3347" spans="1:8" hidden="1" x14ac:dyDescent="0.25">
      <c r="A3347" t="s">
        <v>4636</v>
      </c>
      <c r="B3347" s="1" t="str">
        <f>HYPERLINK("https://asmlis.vasa.lt/Dashboard/Served?ServiceDateFrom=2025-11-24&amp;ServiceDateTo=2025-11-24&amp;DumpsterInvNr=13-L-318414", "13-L-318414")</f>
        <v>13-L-318414</v>
      </c>
      <c r="C3347">
        <v>0.66</v>
      </c>
      <c r="D3347" t="s">
        <v>4637</v>
      </c>
      <c r="E3347" t="s">
        <v>11</v>
      </c>
      <c r="G3347" t="s">
        <v>9</v>
      </c>
      <c r="H3347" t="s">
        <v>14</v>
      </c>
    </row>
    <row r="3348" spans="1:8" hidden="1" x14ac:dyDescent="0.25">
      <c r="A3348" t="s">
        <v>4638</v>
      </c>
      <c r="B3348" s="1" t="str">
        <f>HYPERLINK("https://asmlis.vasa.lt/Dashboard/Served?ServiceDateFrom=2025-11-24&amp;ServiceDateTo=2025-11-24&amp;DumpsterInvNr=13-L-124942", "13-L-124942")</f>
        <v>13-L-124942</v>
      </c>
      <c r="C3348">
        <v>0.12</v>
      </c>
      <c r="D3348" t="s">
        <v>4639</v>
      </c>
      <c r="E3348" t="s">
        <v>11</v>
      </c>
      <c r="G3348" t="s">
        <v>430</v>
      </c>
      <c r="H3348" t="s">
        <v>432</v>
      </c>
    </row>
    <row r="3349" spans="1:8" hidden="1" x14ac:dyDescent="0.25">
      <c r="A3349" t="s">
        <v>4638</v>
      </c>
      <c r="B3349" s="1" t="str">
        <f>HYPERLINK("https://asmlis.vasa.lt/Dashboard/Served?ServiceDateFrom=2025-11-24&amp;ServiceDateTo=2025-11-24&amp;DumpsterInvNr=13-P-508392", "13-P-508392")</f>
        <v>13-P-508392</v>
      </c>
      <c r="C3349">
        <v>0.12</v>
      </c>
      <c r="D3349" t="s">
        <v>4639</v>
      </c>
      <c r="E3349" t="s">
        <v>11</v>
      </c>
      <c r="G3349" t="s">
        <v>2178</v>
      </c>
      <c r="H3349" t="s">
        <v>432</v>
      </c>
    </row>
    <row r="3350" spans="1:8" hidden="1" x14ac:dyDescent="0.25">
      <c r="A3350" t="s">
        <v>4638</v>
      </c>
      <c r="B3350" s="1" t="str">
        <f>HYPERLINK("https://asmlis.vasa.lt/Dashboard/Served?ServiceDateFrom=2025-11-24&amp;ServiceDateTo=2025-11-24&amp;DumpsterInvNr=13-L-224650", "13-L-224650")</f>
        <v>13-L-224650</v>
      </c>
      <c r="C3350">
        <v>5</v>
      </c>
      <c r="D3350" t="s">
        <v>4641</v>
      </c>
      <c r="E3350" t="s">
        <v>11</v>
      </c>
      <c r="G3350" t="s">
        <v>936</v>
      </c>
      <c r="H3350" t="s">
        <v>938</v>
      </c>
    </row>
    <row r="3351" spans="1:8" hidden="1" x14ac:dyDescent="0.25">
      <c r="A3351" t="s">
        <v>4642</v>
      </c>
      <c r="B3351" s="1" t="str">
        <f>HYPERLINK("https://asmlis.vasa.lt/Dashboard/Served?ServiceDateFrom=2025-11-24&amp;ServiceDateTo=2025-11-24&amp;DumpsterInvNr=13-P-209806", "13-P-209806")</f>
        <v>13-P-209806</v>
      </c>
      <c r="C3351">
        <v>0.24</v>
      </c>
      <c r="D3351" t="s">
        <v>4643</v>
      </c>
      <c r="E3351" t="s">
        <v>11</v>
      </c>
      <c r="G3351" t="s">
        <v>234</v>
      </c>
      <c r="H3351" t="s">
        <v>14</v>
      </c>
    </row>
    <row r="3352" spans="1:8" hidden="1" x14ac:dyDescent="0.25">
      <c r="A3352" t="s">
        <v>4644</v>
      </c>
      <c r="B3352" s="1" t="str">
        <f>HYPERLINK("https://asmlis.vasa.lt/Dashboard/Served?ServiceDateFrom=2025-11-24&amp;ServiceDateTo=2025-11-24&amp;DumpsterInvNr=13-P-207155", "13-P-207155")</f>
        <v>13-P-207155</v>
      </c>
      <c r="C3352">
        <v>0.24</v>
      </c>
      <c r="D3352" t="s">
        <v>4645</v>
      </c>
      <c r="E3352" t="s">
        <v>11</v>
      </c>
      <c r="F3352" t="s">
        <v>1209</v>
      </c>
      <c r="G3352" t="s">
        <v>234</v>
      </c>
      <c r="H3352" t="s">
        <v>14</v>
      </c>
    </row>
    <row r="3353" spans="1:8" hidden="1" x14ac:dyDescent="0.25">
      <c r="A3353" t="s">
        <v>4647</v>
      </c>
      <c r="B3353" s="1" t="str">
        <f>HYPERLINK("https://asmlis.vasa.lt/Dashboard/Served?ServiceDateFrom=2025-11-24&amp;ServiceDateTo=2025-11-24&amp;DumpsterInvNr=13-P-404431", "13-P-404431")</f>
        <v>13-P-404431</v>
      </c>
      <c r="C3353">
        <v>0.24</v>
      </c>
      <c r="D3353" t="s">
        <v>4648</v>
      </c>
      <c r="E3353" t="s">
        <v>11</v>
      </c>
      <c r="G3353" t="s">
        <v>264</v>
      </c>
      <c r="H3353" t="s">
        <v>14</v>
      </c>
    </row>
    <row r="3354" spans="1:8" hidden="1" x14ac:dyDescent="0.25">
      <c r="A3354" t="s">
        <v>4649</v>
      </c>
      <c r="B3354" s="1" t="str">
        <f>HYPERLINK("https://asmlis.vasa.lt/Dashboard/Served?ServiceDateFrom=2025-11-24&amp;ServiceDateTo=2025-11-24&amp;DumpsterInvNr=13-P-508391", "13-P-508391")</f>
        <v>13-P-508391</v>
      </c>
      <c r="C3354">
        <v>0.24</v>
      </c>
      <c r="D3354" t="s">
        <v>4635</v>
      </c>
      <c r="E3354" t="s">
        <v>11</v>
      </c>
      <c r="G3354" t="s">
        <v>2178</v>
      </c>
      <c r="H3354" t="s">
        <v>432</v>
      </c>
    </row>
    <row r="3355" spans="1:8" hidden="1" x14ac:dyDescent="0.25">
      <c r="A3355" t="s">
        <v>4649</v>
      </c>
      <c r="B3355" s="1" t="str">
        <f>HYPERLINK("https://asmlis.vasa.lt/Dashboard/Served?ServiceDateFrom=2025-11-24&amp;ServiceDateTo=2025-11-24&amp;DumpsterInvNr=13-P-306941", "13-P-306941")</f>
        <v>13-P-306941</v>
      </c>
      <c r="C3355">
        <v>1.1000000000000001</v>
      </c>
      <c r="D3355" t="s">
        <v>4650</v>
      </c>
      <c r="E3355" t="s">
        <v>11</v>
      </c>
      <c r="F3355" t="s">
        <v>13</v>
      </c>
      <c r="G3355" t="s">
        <v>412</v>
      </c>
      <c r="H3355" t="s">
        <v>14</v>
      </c>
    </row>
    <row r="3356" spans="1:8" hidden="1" x14ac:dyDescent="0.25">
      <c r="A3356" t="s">
        <v>4651</v>
      </c>
      <c r="B3356" s="1" t="str">
        <f>HYPERLINK("https://asmlis.vasa.lt/Dashboard/Served?ServiceDateFrom=2025-11-24&amp;ServiceDateTo=2025-11-24&amp;DumpsterInvNr=13-L-424800", "13-L-424800")</f>
        <v>13-L-424800</v>
      </c>
      <c r="C3356">
        <v>1.1000000000000001</v>
      </c>
      <c r="D3356" t="s">
        <v>4652</v>
      </c>
      <c r="E3356" t="s">
        <v>11</v>
      </c>
      <c r="G3356" t="s">
        <v>74</v>
      </c>
      <c r="H3356" t="s">
        <v>14</v>
      </c>
    </row>
    <row r="3357" spans="1:8" hidden="1" x14ac:dyDescent="0.25">
      <c r="A3357" t="s">
        <v>4653</v>
      </c>
      <c r="B3357" s="1" t="str">
        <f>HYPERLINK("https://asmlis.vasa.lt/Dashboard/Served?ServiceDateFrom=2025-11-24&amp;ServiceDateTo=2025-11-24&amp;DumpsterInvNr=13-L-139321", "13-L-139321")</f>
        <v>13-L-139321</v>
      </c>
      <c r="C3357">
        <v>5</v>
      </c>
      <c r="D3357" t="s">
        <v>4654</v>
      </c>
      <c r="E3357" t="s">
        <v>11</v>
      </c>
      <c r="F3357" t="s">
        <v>13</v>
      </c>
      <c r="G3357" t="s">
        <v>430</v>
      </c>
      <c r="H3357" t="s">
        <v>432</v>
      </c>
    </row>
    <row r="3358" spans="1:8" hidden="1" x14ac:dyDescent="0.25">
      <c r="A3358" t="s">
        <v>4655</v>
      </c>
      <c r="B3358" s="1" t="str">
        <f>HYPERLINK("https://asmlis.vasa.lt/Dashboard/Served?ServiceDateFrom=2025-11-24&amp;ServiceDateTo=2025-11-24&amp;DumpsterInvNr=13-L-314963", "13-L-314963")</f>
        <v>13-L-314963</v>
      </c>
      <c r="C3358">
        <v>5</v>
      </c>
      <c r="D3358" t="s">
        <v>4656</v>
      </c>
      <c r="E3358" t="s">
        <v>11</v>
      </c>
      <c r="F3358" t="s">
        <v>13</v>
      </c>
      <c r="G3358" t="s">
        <v>9</v>
      </c>
      <c r="H3358" t="s">
        <v>14</v>
      </c>
    </row>
    <row r="3359" spans="1:8" hidden="1" x14ac:dyDescent="0.25">
      <c r="A3359" t="s">
        <v>4657</v>
      </c>
      <c r="B3359" s="1" t="str">
        <f>HYPERLINK("https://asmlis.vasa.lt/Dashboard/Served?ServiceDateFrom=2025-11-24&amp;ServiceDateTo=2025-11-24&amp;DumpsterInvNr=13-S-503672", "13-S-503672")</f>
        <v>13-S-503672</v>
      </c>
      <c r="C3359">
        <v>0.12</v>
      </c>
      <c r="D3359" t="s">
        <v>4635</v>
      </c>
      <c r="E3359" t="s">
        <v>11</v>
      </c>
      <c r="F3359" t="s">
        <v>1209</v>
      </c>
      <c r="G3359" t="s">
        <v>2178</v>
      </c>
      <c r="H3359" t="s">
        <v>432</v>
      </c>
    </row>
    <row r="3360" spans="1:8" hidden="1" x14ac:dyDescent="0.25">
      <c r="A3360" t="s">
        <v>4659</v>
      </c>
      <c r="B3360" s="1" t="str">
        <f>HYPERLINK("https://asmlis.vasa.lt/Dashboard/Served?ServiceDateFrom=2025-11-24&amp;ServiceDateTo=2025-11-24&amp;DumpsterInvNr=13-P-500510", "13-P-500510")</f>
        <v>13-P-500510</v>
      </c>
      <c r="C3360">
        <v>5</v>
      </c>
      <c r="D3360" t="s">
        <v>4660</v>
      </c>
      <c r="E3360" t="s">
        <v>11</v>
      </c>
      <c r="F3360" t="s">
        <v>13</v>
      </c>
      <c r="G3360" t="s">
        <v>2178</v>
      </c>
      <c r="H3360" t="s">
        <v>432</v>
      </c>
    </row>
    <row r="3361" spans="1:8" hidden="1" x14ac:dyDescent="0.25">
      <c r="A3361" t="s">
        <v>4013</v>
      </c>
      <c r="B3361" s="1" t="str">
        <f>HYPERLINK("https://asmlis.vasa.lt/Dashboard/Served?ServiceDateFrom=2025-11-24&amp;ServiceDateTo=2025-11-24&amp;DumpsterInvNr=13-P-401134", "13-P-401134")</f>
        <v>13-P-401134</v>
      </c>
      <c r="C3361">
        <v>1.1000000000000001</v>
      </c>
      <c r="D3361" t="s">
        <v>4497</v>
      </c>
      <c r="E3361" t="s">
        <v>11</v>
      </c>
      <c r="G3361" t="s">
        <v>264</v>
      </c>
      <c r="H3361" t="s">
        <v>14</v>
      </c>
    </row>
    <row r="3362" spans="1:8" hidden="1" x14ac:dyDescent="0.25">
      <c r="A3362" t="s">
        <v>4086</v>
      </c>
      <c r="B3362" s="1" t="str">
        <f>HYPERLINK("https://asmlis.vasa.lt/Dashboard/Served?ServiceDateFrom=2025-11-24&amp;ServiceDateTo=2025-11-24&amp;DumpsterInvNr=13-S-503670", "13-S-503670")</f>
        <v>13-S-503670</v>
      </c>
      <c r="C3362">
        <v>0.12</v>
      </c>
      <c r="D3362" t="s">
        <v>4181</v>
      </c>
      <c r="E3362" t="s">
        <v>11</v>
      </c>
      <c r="F3362" t="s">
        <v>1209</v>
      </c>
      <c r="G3362" t="s">
        <v>2178</v>
      </c>
      <c r="H3362" t="s">
        <v>432</v>
      </c>
    </row>
    <row r="3363" spans="1:8" hidden="1" x14ac:dyDescent="0.25">
      <c r="A3363" t="s">
        <v>4123</v>
      </c>
      <c r="B3363" s="1" t="str">
        <f>HYPERLINK("https://asmlis.vasa.lt/Dashboard/Served?ServiceDateFrom=2025-11-24&amp;ServiceDateTo=2025-11-24&amp;DumpsterInvNr=13-S-404096", "13-S-404096")</f>
        <v>13-S-404096</v>
      </c>
      <c r="C3363">
        <v>0.12</v>
      </c>
      <c r="D3363" t="s">
        <v>4661</v>
      </c>
      <c r="E3363" t="s">
        <v>11</v>
      </c>
      <c r="F3363" t="s">
        <v>1209</v>
      </c>
      <c r="G3363" t="s">
        <v>264</v>
      </c>
      <c r="H3363" t="s">
        <v>14</v>
      </c>
    </row>
    <row r="3364" spans="1:8" hidden="1" x14ac:dyDescent="0.25">
      <c r="A3364" t="s">
        <v>4663</v>
      </c>
      <c r="B3364" s="1" t="str">
        <f>HYPERLINK("https://asmlis.vasa.lt/Dashboard/Served?ServiceDateFrom=2025-11-24&amp;ServiceDateTo=2025-11-24&amp;DumpsterInvNr=13-L-424601", "13-L-424601")</f>
        <v>13-L-424601</v>
      </c>
      <c r="C3364">
        <v>1.1000000000000001</v>
      </c>
      <c r="D3364" t="s">
        <v>4652</v>
      </c>
      <c r="E3364" t="s">
        <v>11</v>
      </c>
      <c r="G3364" t="s">
        <v>74</v>
      </c>
      <c r="H3364" t="s">
        <v>14</v>
      </c>
    </row>
    <row r="3365" spans="1:8" hidden="1" x14ac:dyDescent="0.25">
      <c r="A3365" t="s">
        <v>4258</v>
      </c>
      <c r="B3365" s="1" t="str">
        <f>HYPERLINK("https://asmlis.vasa.lt/Dashboard/Served?ServiceDateFrom=2025-11-24&amp;ServiceDateTo=2025-11-24&amp;DumpsterInvNr=13-S-503664", "13-S-503664")</f>
        <v>13-S-503664</v>
      </c>
      <c r="C3365">
        <v>0.12</v>
      </c>
      <c r="D3365" t="s">
        <v>4256</v>
      </c>
      <c r="E3365" t="s">
        <v>11</v>
      </c>
      <c r="F3365" t="s">
        <v>1209</v>
      </c>
      <c r="G3365" t="s">
        <v>2178</v>
      </c>
      <c r="H3365" t="s">
        <v>432</v>
      </c>
    </row>
    <row r="3366" spans="1:8" hidden="1" x14ac:dyDescent="0.25">
      <c r="A3366" t="s">
        <v>4664</v>
      </c>
      <c r="B3366" s="1" t="str">
        <f>HYPERLINK("https://asmlis.vasa.lt/Dashboard/Served?ServiceDateFrom=2025-11-24&amp;ServiceDateTo=2025-11-24&amp;DumpsterInvNr=13-L-120081", "13-L-120081")</f>
        <v>13-L-120081</v>
      </c>
      <c r="C3366">
        <v>1.1000000000000001</v>
      </c>
      <c r="D3366" t="s">
        <v>4665</v>
      </c>
      <c r="E3366" t="s">
        <v>11</v>
      </c>
      <c r="G3366" t="s">
        <v>1912</v>
      </c>
      <c r="H3366" t="s">
        <v>432</v>
      </c>
    </row>
    <row r="3367" spans="1:8" hidden="1" x14ac:dyDescent="0.25">
      <c r="A3367" t="s">
        <v>4666</v>
      </c>
      <c r="B3367" s="1" t="str">
        <f>HYPERLINK("https://asmlis.vasa.lt/Dashboard/Served?ServiceDateFrom=2025-11-24&amp;ServiceDateTo=2025-11-24&amp;DumpsterInvNr=13-L-149089", "13-L-149089")</f>
        <v>13-L-149089</v>
      </c>
      <c r="C3367">
        <v>0.24</v>
      </c>
      <c r="D3367" t="s">
        <v>4667</v>
      </c>
      <c r="E3367" t="s">
        <v>11</v>
      </c>
      <c r="G3367" t="s">
        <v>430</v>
      </c>
      <c r="H3367" t="s">
        <v>432</v>
      </c>
    </row>
    <row r="3368" spans="1:8" hidden="1" x14ac:dyDescent="0.25">
      <c r="A3368" t="s">
        <v>4666</v>
      </c>
      <c r="B3368" s="1" t="str">
        <f>HYPERLINK("https://asmlis.vasa.lt/Dashboard/Served?ServiceDateFrom=2025-11-24&amp;ServiceDateTo=2025-11-24&amp;DumpsterInvNr=13-P-509580", "13-P-509580")</f>
        <v>13-P-509580</v>
      </c>
      <c r="C3368">
        <v>0.24</v>
      </c>
      <c r="D3368" t="s">
        <v>4667</v>
      </c>
      <c r="E3368" t="s">
        <v>11</v>
      </c>
      <c r="G3368" t="s">
        <v>2178</v>
      </c>
      <c r="H3368" t="s">
        <v>432</v>
      </c>
    </row>
    <row r="3369" spans="1:8" hidden="1" x14ac:dyDescent="0.25">
      <c r="A3369" t="s">
        <v>4668</v>
      </c>
      <c r="B3369" s="1" t="str">
        <f>HYPERLINK("https://asmlis.vasa.lt/Dashboard/Served?ServiceDateFrom=2025-11-24&amp;ServiceDateTo=2025-11-24&amp;DumpsterInvNr=13-P-205072", "13-P-205072")</f>
        <v>13-P-205072</v>
      </c>
      <c r="C3369">
        <v>5</v>
      </c>
      <c r="D3369" t="s">
        <v>4669</v>
      </c>
      <c r="E3369" t="s">
        <v>11</v>
      </c>
      <c r="G3369" t="s">
        <v>234</v>
      </c>
      <c r="H3369" t="s">
        <v>14</v>
      </c>
    </row>
    <row r="3370" spans="1:8" hidden="1" x14ac:dyDescent="0.25">
      <c r="A3370" t="s">
        <v>4670</v>
      </c>
      <c r="B3370" s="1" t="str">
        <f>HYPERLINK("https://asmlis.vasa.lt/Dashboard/Served?ServiceDateFrom=2025-11-24&amp;ServiceDateTo=2025-11-24&amp;DumpsterInvNr=13-S-506438", "13-S-506438")</f>
        <v>13-S-506438</v>
      </c>
      <c r="C3370">
        <v>0.12</v>
      </c>
      <c r="D3370" t="s">
        <v>4667</v>
      </c>
      <c r="E3370" t="s">
        <v>11</v>
      </c>
      <c r="F3370" t="s">
        <v>1209</v>
      </c>
      <c r="G3370" t="s">
        <v>2178</v>
      </c>
      <c r="H3370" t="s">
        <v>432</v>
      </c>
    </row>
    <row r="3371" spans="1:8" hidden="1" x14ac:dyDescent="0.25">
      <c r="A3371" t="s">
        <v>4672</v>
      </c>
      <c r="B3371" s="1" t="str">
        <f>HYPERLINK("https://asmlis.vasa.lt/Dashboard/Served?ServiceDateFrom=2025-11-24&amp;ServiceDateTo=2025-11-24&amp;DumpsterInvNr=13-L-319662", "13-L-319662")</f>
        <v>13-L-319662</v>
      </c>
      <c r="C3371">
        <v>1.1000000000000001</v>
      </c>
      <c r="D3371" t="s">
        <v>4673</v>
      </c>
      <c r="E3371" t="s">
        <v>11</v>
      </c>
      <c r="G3371" t="s">
        <v>9</v>
      </c>
      <c r="H3371" t="s">
        <v>14</v>
      </c>
    </row>
    <row r="3372" spans="1:8" hidden="1" x14ac:dyDescent="0.25">
      <c r="A3372" t="s">
        <v>4674</v>
      </c>
      <c r="B3372" s="1" t="str">
        <f>HYPERLINK("https://asmlis.vasa.lt/Dashboard/Served?ServiceDateFrom=2025-11-24&amp;ServiceDateTo=2025-11-24&amp;DumpsterInvNr=13-L-123350", "13-L-123350")</f>
        <v>13-L-123350</v>
      </c>
      <c r="C3372">
        <v>0.24</v>
      </c>
      <c r="D3372" t="s">
        <v>4675</v>
      </c>
      <c r="E3372" t="s">
        <v>11</v>
      </c>
      <c r="G3372" t="s">
        <v>430</v>
      </c>
      <c r="H3372" t="s">
        <v>432</v>
      </c>
    </row>
    <row r="3373" spans="1:8" hidden="1" x14ac:dyDescent="0.25">
      <c r="A3373" t="s">
        <v>4674</v>
      </c>
      <c r="B3373" s="1" t="str">
        <f>HYPERLINK("https://asmlis.vasa.lt/Dashboard/Served?ServiceDateFrom=2025-11-24&amp;ServiceDateTo=2025-11-24&amp;DumpsterInvNr=13-L-309898", "13-L-309898")</f>
        <v>13-L-309898</v>
      </c>
      <c r="C3373">
        <v>0.24</v>
      </c>
      <c r="D3373" t="s">
        <v>4676</v>
      </c>
      <c r="E3373" t="s">
        <v>11</v>
      </c>
      <c r="G3373" t="s">
        <v>9</v>
      </c>
      <c r="H3373" t="s">
        <v>14</v>
      </c>
    </row>
    <row r="3374" spans="1:8" hidden="1" x14ac:dyDescent="0.25">
      <c r="A3374" t="s">
        <v>4674</v>
      </c>
      <c r="B3374" s="1" t="str">
        <f>HYPERLINK("https://asmlis.vasa.lt/Dashboard/Served?ServiceDateFrom=2025-11-24&amp;ServiceDateTo=2025-11-24&amp;DumpsterInvNr=13-P-508397", "13-P-508397")</f>
        <v>13-P-508397</v>
      </c>
      <c r="C3374">
        <v>0.24</v>
      </c>
      <c r="D3374" t="s">
        <v>4675</v>
      </c>
      <c r="E3374" t="s">
        <v>11</v>
      </c>
      <c r="G3374" t="s">
        <v>2178</v>
      </c>
      <c r="H3374" t="s">
        <v>432</v>
      </c>
    </row>
    <row r="3375" spans="1:8" hidden="1" x14ac:dyDescent="0.25">
      <c r="A3375" t="s">
        <v>4530</v>
      </c>
      <c r="B3375" s="1" t="str">
        <f>HYPERLINK("https://asmlis.vasa.lt/Dashboard/Served?ServiceDateFrom=2025-11-24&amp;ServiceDateTo=2025-11-24&amp;DumpsterInvNr=13-L-409419", "13-L-409419")</f>
        <v>13-L-409419</v>
      </c>
      <c r="C3375">
        <v>0.77</v>
      </c>
      <c r="D3375" t="s">
        <v>4678</v>
      </c>
      <c r="E3375" t="s">
        <v>11</v>
      </c>
      <c r="G3375" t="s">
        <v>74</v>
      </c>
      <c r="H3375" t="s">
        <v>14</v>
      </c>
    </row>
    <row r="3376" spans="1:8" hidden="1" x14ac:dyDescent="0.25">
      <c r="A3376" t="s">
        <v>4411</v>
      </c>
      <c r="B3376" s="1" t="str">
        <f>HYPERLINK("https://asmlis.vasa.lt/Dashboard/Served?ServiceDateFrom=2025-11-24&amp;ServiceDateTo=2025-11-24&amp;DumpsterInvNr=13-L-106602", "13-L-106602")</f>
        <v>13-L-106602</v>
      </c>
      <c r="C3376">
        <v>1.1000000000000001</v>
      </c>
      <c r="D3376" t="s">
        <v>4665</v>
      </c>
      <c r="E3376" t="s">
        <v>11</v>
      </c>
      <c r="G3376" t="s">
        <v>1912</v>
      </c>
      <c r="H3376" t="s">
        <v>432</v>
      </c>
    </row>
    <row r="3377" spans="1:8" hidden="1" x14ac:dyDescent="0.25">
      <c r="A3377" t="s">
        <v>4411</v>
      </c>
      <c r="B3377" s="1" t="str">
        <f>HYPERLINK("https://asmlis.vasa.lt/Dashboard/Served?ServiceDateFrom=2025-11-24&amp;ServiceDateTo=2025-11-24&amp;DumpsterInvNr=13-L-220888", "13-L-220888")</f>
        <v>13-L-220888</v>
      </c>
      <c r="C3377">
        <v>1.1000000000000001</v>
      </c>
      <c r="D3377" t="s">
        <v>4680</v>
      </c>
      <c r="E3377" t="s">
        <v>11</v>
      </c>
      <c r="G3377" t="s">
        <v>936</v>
      </c>
      <c r="H3377" t="s">
        <v>938</v>
      </c>
    </row>
    <row r="3378" spans="1:8" hidden="1" x14ac:dyDescent="0.25">
      <c r="A3378" t="s">
        <v>4681</v>
      </c>
      <c r="B3378" s="1" t="str">
        <f>HYPERLINK("https://asmlis.vasa.lt/Dashboard/Served?ServiceDateFrom=2025-11-24&amp;ServiceDateTo=2025-11-24&amp;DumpsterInvNr=13-L-221584", "13-L-221584")</f>
        <v>13-L-221584</v>
      </c>
      <c r="C3378">
        <v>1.1000000000000001</v>
      </c>
      <c r="D3378" t="s">
        <v>4682</v>
      </c>
      <c r="E3378" t="s">
        <v>11</v>
      </c>
      <c r="G3378" t="s">
        <v>936</v>
      </c>
      <c r="H3378" t="s">
        <v>938</v>
      </c>
    </row>
    <row r="3379" spans="1:8" hidden="1" x14ac:dyDescent="0.25">
      <c r="A3379" t="s">
        <v>4683</v>
      </c>
      <c r="B3379" s="1" t="str">
        <f>HYPERLINK("https://asmlis.vasa.lt/Dashboard/Served?ServiceDateFrom=2025-11-24&amp;ServiceDateTo=2025-11-24&amp;DumpsterInvNr=13-P-111116", "13-P-111116")</f>
        <v>13-P-111116</v>
      </c>
      <c r="C3379">
        <v>1.1000000000000001</v>
      </c>
      <c r="D3379" t="s">
        <v>4684</v>
      </c>
      <c r="E3379" t="s">
        <v>11</v>
      </c>
      <c r="G3379" t="s">
        <v>1917</v>
      </c>
      <c r="H3379" t="s">
        <v>432</v>
      </c>
    </row>
    <row r="3380" spans="1:8" hidden="1" x14ac:dyDescent="0.25">
      <c r="A3380" t="s">
        <v>4685</v>
      </c>
      <c r="B3380" s="1" t="str">
        <f>HYPERLINK("https://asmlis.vasa.lt/Dashboard/Served?ServiceDateFrom=2025-11-24&amp;ServiceDateTo=2025-11-24&amp;DumpsterInvNr=13-L-415381", "13-L-415381")</f>
        <v>13-L-415381</v>
      </c>
      <c r="C3380">
        <v>0.24</v>
      </c>
      <c r="D3380" t="s">
        <v>4686</v>
      </c>
      <c r="E3380" t="s">
        <v>11</v>
      </c>
      <c r="F3380" t="s">
        <v>1209</v>
      </c>
      <c r="G3380" t="s">
        <v>74</v>
      </c>
      <c r="H3380" t="s">
        <v>14</v>
      </c>
    </row>
    <row r="3381" spans="1:8" hidden="1" x14ac:dyDescent="0.25">
      <c r="A3381" t="s">
        <v>4687</v>
      </c>
      <c r="B3381" s="1" t="str">
        <f>HYPERLINK("https://asmlis.vasa.lt/Dashboard/Served?ServiceDateFrom=2025-11-24&amp;ServiceDateTo=2025-11-24&amp;DumpsterInvNr=13-P-413883", "13-P-413883")</f>
        <v>13-P-413883</v>
      </c>
      <c r="C3381">
        <v>2.5</v>
      </c>
      <c r="D3381" t="s">
        <v>4688</v>
      </c>
      <c r="E3381" t="s">
        <v>11</v>
      </c>
      <c r="G3381" t="s">
        <v>264</v>
      </c>
      <c r="H3381" t="s">
        <v>14</v>
      </c>
    </row>
    <row r="3382" spans="1:8" hidden="1" x14ac:dyDescent="0.25">
      <c r="A3382" t="s">
        <v>4689</v>
      </c>
      <c r="B3382" s="1" t="str">
        <f>HYPERLINK("https://asmlis.vasa.lt/Dashboard/Served?ServiceDateFrom=2025-11-24&amp;ServiceDateTo=2025-11-24&amp;DumpsterInvNr=13-L-409418", "13-L-409418")</f>
        <v>13-L-409418</v>
      </c>
      <c r="C3382">
        <v>0.77</v>
      </c>
      <c r="D3382" t="s">
        <v>4678</v>
      </c>
      <c r="E3382" t="s">
        <v>11</v>
      </c>
      <c r="G3382" t="s">
        <v>74</v>
      </c>
      <c r="H3382" t="s">
        <v>14</v>
      </c>
    </row>
    <row r="3383" spans="1:8" hidden="1" x14ac:dyDescent="0.25">
      <c r="A3383" t="s">
        <v>4689</v>
      </c>
      <c r="B3383" s="1" t="str">
        <f>HYPERLINK("https://asmlis.vasa.lt/Dashboard/Served?ServiceDateFrom=2025-11-24&amp;ServiceDateTo=2025-11-24&amp;DumpsterInvNr=13-L-210628", "13-L-210628")</f>
        <v>13-L-210628</v>
      </c>
      <c r="C3383">
        <v>0.12</v>
      </c>
      <c r="D3383" t="s">
        <v>4690</v>
      </c>
      <c r="E3383" t="s">
        <v>11</v>
      </c>
      <c r="F3383" t="s">
        <v>13</v>
      </c>
      <c r="G3383" t="s">
        <v>936</v>
      </c>
      <c r="H3383" t="s">
        <v>938</v>
      </c>
    </row>
    <row r="3384" spans="1:8" hidden="1" x14ac:dyDescent="0.25">
      <c r="A3384" t="s">
        <v>4691</v>
      </c>
      <c r="B3384" s="1" t="str">
        <f>HYPERLINK("https://asmlis.vasa.lt/Dashboard/Served?ServiceDateFrom=2025-11-24&amp;ServiceDateTo=2025-11-24&amp;DumpsterInvNr=13-L-421863", "13-L-421863")</f>
        <v>13-L-421863</v>
      </c>
      <c r="C3384">
        <v>5</v>
      </c>
      <c r="D3384" t="s">
        <v>4692</v>
      </c>
      <c r="E3384" t="s">
        <v>11</v>
      </c>
      <c r="G3384" t="s">
        <v>74</v>
      </c>
      <c r="H3384" t="s">
        <v>14</v>
      </c>
    </row>
    <row r="3385" spans="1:8" hidden="1" x14ac:dyDescent="0.25">
      <c r="A3385" t="s">
        <v>4693</v>
      </c>
      <c r="B3385" s="1" t="str">
        <f>HYPERLINK("https://asmlis.vasa.lt/Dashboard/Served?ServiceDateFrom=2025-11-24&amp;ServiceDateTo=2025-11-24&amp;DumpsterInvNr=13-L-124941", "13-L-124941")</f>
        <v>13-L-124941</v>
      </c>
      <c r="C3385">
        <v>0.24</v>
      </c>
      <c r="D3385" t="s">
        <v>4694</v>
      </c>
      <c r="E3385" t="s">
        <v>11</v>
      </c>
      <c r="F3385" t="s">
        <v>1209</v>
      </c>
      <c r="G3385" t="s">
        <v>430</v>
      </c>
      <c r="H3385" t="s">
        <v>432</v>
      </c>
    </row>
    <row r="3386" spans="1:8" hidden="1" x14ac:dyDescent="0.25">
      <c r="A3386" t="s">
        <v>4693</v>
      </c>
      <c r="B3386" s="1" t="str">
        <f>HYPERLINK("https://asmlis.vasa.lt/Dashboard/Served?ServiceDateFrom=2025-11-24&amp;ServiceDateTo=2025-11-24&amp;DumpsterInvNr=13-P-508396", "13-P-508396")</f>
        <v>13-P-508396</v>
      </c>
      <c r="C3386">
        <v>0.24</v>
      </c>
      <c r="D3386" t="s">
        <v>4694</v>
      </c>
      <c r="E3386" t="s">
        <v>11</v>
      </c>
      <c r="F3386" t="s">
        <v>1209</v>
      </c>
      <c r="G3386" t="s">
        <v>2178</v>
      </c>
      <c r="H3386" t="s">
        <v>432</v>
      </c>
    </row>
    <row r="3387" spans="1:8" hidden="1" x14ac:dyDescent="0.25">
      <c r="A3387" t="s">
        <v>4697</v>
      </c>
      <c r="B3387" s="1" t="str">
        <f>HYPERLINK("https://asmlis.vasa.lt/Dashboard/Served?ServiceDateFrom=2025-11-24&amp;ServiceDateTo=2025-11-24&amp;DumpsterInvNr=13-P-203784", "13-P-203784")</f>
        <v>13-P-203784</v>
      </c>
      <c r="C3387">
        <v>0.24</v>
      </c>
      <c r="D3387" t="s">
        <v>4698</v>
      </c>
      <c r="E3387" t="s">
        <v>11</v>
      </c>
      <c r="F3387" t="s">
        <v>4699</v>
      </c>
      <c r="G3387" t="s">
        <v>234</v>
      </c>
      <c r="H3387" t="s">
        <v>14</v>
      </c>
    </row>
    <row r="3388" spans="1:8" hidden="1" x14ac:dyDescent="0.25">
      <c r="A3388" t="s">
        <v>4700</v>
      </c>
      <c r="B3388" s="1" t="str">
        <f>HYPERLINK("https://asmlis.vasa.lt/Dashboard/Served?ServiceDateFrom=2025-11-24&amp;ServiceDateTo=2025-11-24&amp;DumpsterInvNr=13-L-119291", "13-L-119291")</f>
        <v>13-L-119291</v>
      </c>
      <c r="C3388">
        <v>0.12</v>
      </c>
      <c r="D3388" t="s">
        <v>4701</v>
      </c>
      <c r="E3388" t="s">
        <v>11</v>
      </c>
      <c r="G3388" t="s">
        <v>430</v>
      </c>
      <c r="H3388" t="s">
        <v>432</v>
      </c>
    </row>
    <row r="3389" spans="1:8" hidden="1" x14ac:dyDescent="0.25">
      <c r="A3389" t="s">
        <v>4700</v>
      </c>
      <c r="B3389" s="1" t="str">
        <f>HYPERLINK("https://asmlis.vasa.lt/Dashboard/Served?ServiceDateFrom=2025-11-24&amp;ServiceDateTo=2025-11-24&amp;DumpsterInvNr=13-P-508395", "13-P-508395")</f>
        <v>13-P-508395</v>
      </c>
      <c r="C3389">
        <v>0.24</v>
      </c>
      <c r="D3389" t="s">
        <v>4701</v>
      </c>
      <c r="E3389" t="s">
        <v>11</v>
      </c>
      <c r="G3389" t="s">
        <v>2178</v>
      </c>
      <c r="H3389" t="s">
        <v>432</v>
      </c>
    </row>
    <row r="3390" spans="1:8" hidden="1" x14ac:dyDescent="0.25">
      <c r="A3390" t="s">
        <v>4703</v>
      </c>
      <c r="B3390" s="1" t="str">
        <f>HYPERLINK("https://asmlis.vasa.lt/Dashboard/Served?ServiceDateFrom=2025-11-24&amp;ServiceDateTo=2025-11-24&amp;DumpsterInvNr=13-P-404432", "13-P-404432")</f>
        <v>13-P-404432</v>
      </c>
      <c r="C3390">
        <v>0.24</v>
      </c>
      <c r="D3390" t="s">
        <v>4704</v>
      </c>
      <c r="E3390" t="s">
        <v>11</v>
      </c>
      <c r="G3390" t="s">
        <v>264</v>
      </c>
      <c r="H3390" t="s">
        <v>14</v>
      </c>
    </row>
    <row r="3391" spans="1:8" hidden="1" x14ac:dyDescent="0.25">
      <c r="A3391" t="s">
        <v>4705</v>
      </c>
      <c r="B3391" s="1" t="str">
        <f>HYPERLINK("https://asmlis.vasa.lt/Dashboard/Served?ServiceDateFrom=2025-11-24&amp;ServiceDateTo=2025-11-24&amp;DumpsterInvNr=13-P-415936", "13-P-415936")</f>
        <v>13-P-415936</v>
      </c>
      <c r="C3391">
        <v>1.1000000000000001</v>
      </c>
      <c r="D3391" t="s">
        <v>4497</v>
      </c>
      <c r="E3391" t="s">
        <v>11</v>
      </c>
      <c r="G3391" t="s">
        <v>264</v>
      </c>
      <c r="H3391" t="s">
        <v>14</v>
      </c>
    </row>
    <row r="3392" spans="1:8" hidden="1" x14ac:dyDescent="0.25">
      <c r="A3392" t="s">
        <v>4706</v>
      </c>
      <c r="B3392" s="1" t="str">
        <f>HYPERLINK("https://asmlis.vasa.lt/Dashboard/Served?ServiceDateFrom=2025-11-24&amp;ServiceDateTo=2025-11-24&amp;DumpsterInvNr=13-L-217873", "13-L-217873")</f>
        <v>13-L-217873</v>
      </c>
      <c r="C3392">
        <v>1.1000000000000001</v>
      </c>
      <c r="D3392" t="s">
        <v>4682</v>
      </c>
      <c r="E3392" t="s">
        <v>11</v>
      </c>
      <c r="G3392" t="s">
        <v>936</v>
      </c>
      <c r="H3392" t="s">
        <v>938</v>
      </c>
    </row>
    <row r="3393" spans="1:8" hidden="1" x14ac:dyDescent="0.25">
      <c r="A3393" t="s">
        <v>4708</v>
      </c>
      <c r="B3393" s="1" t="str">
        <f>HYPERLINK("https://asmlis.vasa.lt/Dashboard/Served?ServiceDateFrom=2025-11-24&amp;ServiceDateTo=2025-11-24&amp;DumpsterInvNr=13-L-317871", "13-L-317871")</f>
        <v>13-L-317871</v>
      </c>
      <c r="C3393">
        <v>1.1000000000000001</v>
      </c>
      <c r="D3393" t="s">
        <v>4673</v>
      </c>
      <c r="E3393" t="s">
        <v>11</v>
      </c>
      <c r="G3393" t="s">
        <v>9</v>
      </c>
      <c r="H3393" t="s">
        <v>14</v>
      </c>
    </row>
    <row r="3394" spans="1:8" hidden="1" x14ac:dyDescent="0.25">
      <c r="A3394" t="s">
        <v>4709</v>
      </c>
      <c r="B3394" s="1" t="str">
        <f>HYPERLINK("https://asmlis.vasa.lt/Dashboard/Served?ServiceDateFrom=2025-11-24&amp;ServiceDateTo=2025-11-24&amp;DumpsterInvNr=13-L-145518", "13-L-145518")</f>
        <v>13-L-145518</v>
      </c>
      <c r="C3394">
        <v>5</v>
      </c>
      <c r="D3394" t="s">
        <v>4710</v>
      </c>
      <c r="E3394" t="s">
        <v>11</v>
      </c>
      <c r="F3394" t="s">
        <v>13</v>
      </c>
      <c r="G3394" t="s">
        <v>1912</v>
      </c>
      <c r="H3394" t="s">
        <v>432</v>
      </c>
    </row>
    <row r="3395" spans="1:8" hidden="1" x14ac:dyDescent="0.25">
      <c r="A3395" t="s">
        <v>4711</v>
      </c>
      <c r="B3395" s="1" t="str">
        <f>HYPERLINK("https://asmlis.vasa.lt/Dashboard/Served?ServiceDateFrom=2025-11-24&amp;ServiceDateTo=2025-11-24&amp;DumpsterInvNr=13-L-139747", "13-L-139747")</f>
        <v>13-L-139747</v>
      </c>
      <c r="C3395">
        <v>1.1000000000000001</v>
      </c>
      <c r="D3395" t="s">
        <v>4712</v>
      </c>
      <c r="E3395" t="s">
        <v>11</v>
      </c>
      <c r="G3395" t="s">
        <v>430</v>
      </c>
      <c r="H3395" t="s">
        <v>432</v>
      </c>
    </row>
    <row r="3396" spans="1:8" hidden="1" x14ac:dyDescent="0.25">
      <c r="A3396" t="s">
        <v>4713</v>
      </c>
      <c r="B3396" s="1" t="str">
        <f>HYPERLINK("https://asmlis.vasa.lt/Dashboard/Served?ServiceDateFrom=2025-11-24&amp;ServiceDateTo=2025-11-24&amp;DumpsterInvNr=13-S-404094", "13-S-404094")</f>
        <v>13-S-404094</v>
      </c>
      <c r="C3396">
        <v>0.12</v>
      </c>
      <c r="D3396" t="s">
        <v>4714</v>
      </c>
      <c r="E3396" t="s">
        <v>11</v>
      </c>
      <c r="F3396" t="s">
        <v>1209</v>
      </c>
      <c r="G3396" t="s">
        <v>264</v>
      </c>
      <c r="H3396" t="s">
        <v>14</v>
      </c>
    </row>
    <row r="3397" spans="1:8" hidden="1" x14ac:dyDescent="0.25">
      <c r="A3397" t="s">
        <v>4715</v>
      </c>
      <c r="B3397" s="1" t="str">
        <f>HYPERLINK("https://asmlis.vasa.lt/Dashboard/Served?ServiceDateFrom=2025-11-24&amp;ServiceDateTo=2025-11-24&amp;DumpsterInvNr=13-P-400829", "13-P-400829")</f>
        <v>13-P-400829</v>
      </c>
      <c r="C3397">
        <v>0.24</v>
      </c>
      <c r="D3397" t="s">
        <v>4714</v>
      </c>
      <c r="E3397" t="s">
        <v>11</v>
      </c>
      <c r="F3397" t="s">
        <v>1209</v>
      </c>
      <c r="G3397" t="s">
        <v>264</v>
      </c>
      <c r="H3397" t="s">
        <v>14</v>
      </c>
    </row>
    <row r="3398" spans="1:8" hidden="1" x14ac:dyDescent="0.25">
      <c r="A3398" t="s">
        <v>4716</v>
      </c>
      <c r="B3398" s="1" t="str">
        <f>HYPERLINK("https://asmlis.vasa.lt/Dashboard/Served?ServiceDateFrom=2025-11-24&amp;ServiceDateTo=2025-11-24&amp;DumpsterInvNr=13-L-106601", "13-L-106601")</f>
        <v>13-L-106601</v>
      </c>
      <c r="C3398">
        <v>1.1000000000000001</v>
      </c>
      <c r="D3398" t="s">
        <v>4665</v>
      </c>
      <c r="E3398" t="s">
        <v>11</v>
      </c>
      <c r="G3398" t="s">
        <v>1912</v>
      </c>
      <c r="H3398" t="s">
        <v>432</v>
      </c>
    </row>
    <row r="3399" spans="1:8" hidden="1" x14ac:dyDescent="0.25">
      <c r="A3399" t="s">
        <v>4717</v>
      </c>
      <c r="B3399" s="1" t="str">
        <f>HYPERLINK("https://asmlis.vasa.lt/Dashboard/Served?ServiceDateFrom=2025-11-24&amp;ServiceDateTo=2025-11-24&amp;DumpsterInvNr=13-L-424798", "13-L-424798")</f>
        <v>13-L-424798</v>
      </c>
      <c r="C3399">
        <v>1.1000000000000001</v>
      </c>
      <c r="D3399" t="s">
        <v>4652</v>
      </c>
      <c r="E3399" t="s">
        <v>11</v>
      </c>
      <c r="G3399" t="s">
        <v>74</v>
      </c>
      <c r="H3399" t="s">
        <v>14</v>
      </c>
    </row>
    <row r="3400" spans="1:8" hidden="1" x14ac:dyDescent="0.25">
      <c r="A3400" t="s">
        <v>4718</v>
      </c>
      <c r="B3400" s="1" t="str">
        <f>HYPERLINK("https://asmlis.vasa.lt/Dashboard/Served?ServiceDateFrom=2025-11-24&amp;ServiceDateTo=2025-11-24&amp;DumpsterInvNr=13-L-312781", "13-L-312781")</f>
        <v>13-L-312781</v>
      </c>
      <c r="C3400">
        <v>1.1000000000000001</v>
      </c>
      <c r="D3400" t="s">
        <v>4673</v>
      </c>
      <c r="E3400" t="s">
        <v>11</v>
      </c>
      <c r="G3400" t="s">
        <v>9</v>
      </c>
      <c r="H3400" t="s">
        <v>14</v>
      </c>
    </row>
    <row r="3401" spans="1:8" hidden="1" x14ac:dyDescent="0.25">
      <c r="A3401" t="s">
        <v>4719</v>
      </c>
      <c r="B3401" s="1" t="str">
        <f>HYPERLINK("https://asmlis.vasa.lt/Dashboard/Served?ServiceDateFrom=2025-11-24&amp;ServiceDateTo=2025-11-24&amp;DumpsterInvNr=13-P-400825", "13-P-400825")</f>
        <v>13-P-400825</v>
      </c>
      <c r="C3401">
        <v>0.24</v>
      </c>
      <c r="D3401" t="s">
        <v>4714</v>
      </c>
      <c r="E3401" t="s">
        <v>11</v>
      </c>
      <c r="F3401" t="s">
        <v>1209</v>
      </c>
      <c r="G3401" t="s">
        <v>264</v>
      </c>
      <c r="H3401" t="s">
        <v>14</v>
      </c>
    </row>
    <row r="3402" spans="1:8" hidden="1" x14ac:dyDescent="0.25">
      <c r="A3402" t="s">
        <v>4720</v>
      </c>
      <c r="B3402" s="1" t="str">
        <f>HYPERLINK("https://asmlis.vasa.lt/Dashboard/Served?ServiceDateFrom=2025-11-24&amp;ServiceDateTo=2025-11-24&amp;DumpsterInvNr=13-L-313882", "13-L-313882")</f>
        <v>13-L-313882</v>
      </c>
      <c r="C3402">
        <v>0.24</v>
      </c>
      <c r="D3402" t="s">
        <v>4722</v>
      </c>
      <c r="E3402" t="s">
        <v>11</v>
      </c>
      <c r="F3402" t="s">
        <v>13</v>
      </c>
      <c r="G3402" t="s">
        <v>9</v>
      </c>
      <c r="H3402" t="s">
        <v>14</v>
      </c>
    </row>
    <row r="3403" spans="1:8" hidden="1" x14ac:dyDescent="0.25">
      <c r="A3403" t="s">
        <v>4723</v>
      </c>
      <c r="B3403" s="1" t="str">
        <f>HYPERLINK("https://asmlis.vasa.lt/Dashboard/Served?ServiceDateFrom=2025-11-24&amp;ServiceDateTo=2025-11-24&amp;DumpsterInvNr=13-T-000175", "13-T-000175")</f>
        <v>13-T-000175</v>
      </c>
      <c r="C3403">
        <v>2.5</v>
      </c>
      <c r="D3403" t="s">
        <v>4724</v>
      </c>
      <c r="E3403" t="s">
        <v>11</v>
      </c>
      <c r="F3403" t="s">
        <v>13</v>
      </c>
      <c r="G3403" t="s">
        <v>1899</v>
      </c>
      <c r="H3403" t="s">
        <v>432</v>
      </c>
    </row>
    <row r="3404" spans="1:8" hidden="1" x14ac:dyDescent="0.25">
      <c r="A3404" t="s">
        <v>4725</v>
      </c>
      <c r="B3404" s="1" t="str">
        <f>HYPERLINK("https://asmlis.vasa.lt/Dashboard/Served?ServiceDateFrom=2025-11-24&amp;ServiceDateTo=2025-11-24&amp;DumpsterInvNr=13-P-400838", "13-P-400838")</f>
        <v>13-P-400838</v>
      </c>
      <c r="C3404">
        <v>0.24</v>
      </c>
      <c r="D3404" t="s">
        <v>4726</v>
      </c>
      <c r="E3404" t="s">
        <v>11</v>
      </c>
      <c r="F3404" t="s">
        <v>1209</v>
      </c>
      <c r="G3404" t="s">
        <v>264</v>
      </c>
      <c r="H3404" t="s">
        <v>14</v>
      </c>
    </row>
    <row r="3405" spans="1:8" hidden="1" x14ac:dyDescent="0.25">
      <c r="A3405" t="s">
        <v>4727</v>
      </c>
      <c r="B3405" s="1" t="str">
        <f>HYPERLINK("https://asmlis.vasa.lt/Dashboard/Served?ServiceDateFrom=2025-11-24&amp;ServiceDateTo=2025-11-24&amp;DumpsterInvNr=13-L-111481", "13-L-111481")</f>
        <v>13-L-111481</v>
      </c>
      <c r="C3405">
        <v>0.77</v>
      </c>
      <c r="D3405" t="s">
        <v>4712</v>
      </c>
      <c r="E3405" t="s">
        <v>11</v>
      </c>
      <c r="G3405" t="s">
        <v>430</v>
      </c>
      <c r="H3405" t="s">
        <v>432</v>
      </c>
    </row>
    <row r="3406" spans="1:8" hidden="1" x14ac:dyDescent="0.25">
      <c r="A3406" t="s">
        <v>4727</v>
      </c>
      <c r="B3406" s="1" t="str">
        <f>HYPERLINK("https://asmlis.vasa.lt/Dashboard/Served?ServiceDateFrom=2025-11-24&amp;ServiceDateTo=2025-11-24&amp;DumpsterInvNr=13-L-221809", "13-L-221809")</f>
        <v>13-L-221809</v>
      </c>
      <c r="C3406">
        <v>0.77</v>
      </c>
      <c r="D3406" t="s">
        <v>4728</v>
      </c>
      <c r="E3406" t="s">
        <v>11</v>
      </c>
      <c r="G3406" t="s">
        <v>936</v>
      </c>
      <c r="H3406" t="s">
        <v>938</v>
      </c>
    </row>
    <row r="3407" spans="1:8" hidden="1" x14ac:dyDescent="0.25">
      <c r="A3407" t="s">
        <v>4729</v>
      </c>
      <c r="B3407" s="1" t="str">
        <f>HYPERLINK("https://asmlis.vasa.lt/Dashboard/Served?ServiceDateFrom=2025-11-24&amp;ServiceDateTo=2025-11-24&amp;DumpsterInvNr=13-L-310868", "13-L-310868")</f>
        <v>13-L-310868</v>
      </c>
      <c r="C3407">
        <v>0.24</v>
      </c>
      <c r="D3407" t="s">
        <v>4722</v>
      </c>
      <c r="E3407" t="s">
        <v>11</v>
      </c>
      <c r="F3407" t="s">
        <v>13</v>
      </c>
      <c r="G3407" t="s">
        <v>9</v>
      </c>
      <c r="H3407" t="s">
        <v>14</v>
      </c>
    </row>
    <row r="3408" spans="1:8" hidden="1" x14ac:dyDescent="0.25">
      <c r="A3408" t="s">
        <v>4730</v>
      </c>
      <c r="B3408" s="1" t="str">
        <f>HYPERLINK("https://asmlis.vasa.lt/Dashboard/Served?ServiceDateFrom=2025-11-24&amp;ServiceDateTo=2025-11-24&amp;DumpsterInvNr=13-P-413882", "13-P-413882")</f>
        <v>13-P-413882</v>
      </c>
      <c r="C3408">
        <v>2.5</v>
      </c>
      <c r="D3408" t="s">
        <v>4688</v>
      </c>
      <c r="E3408" t="s">
        <v>11</v>
      </c>
      <c r="F3408" t="s">
        <v>13</v>
      </c>
      <c r="G3408" t="s">
        <v>264</v>
      </c>
      <c r="H3408" t="s">
        <v>14</v>
      </c>
    </row>
    <row r="3409" spans="1:8" hidden="1" x14ac:dyDescent="0.25">
      <c r="A3409" t="s">
        <v>4731</v>
      </c>
      <c r="B3409" s="1" t="str">
        <f>HYPERLINK("https://asmlis.vasa.lt/Dashboard/Served?ServiceDateFrom=2025-11-24&amp;ServiceDateTo=2025-11-24&amp;DumpsterInvNr=13-L-120082", "13-L-120082")</f>
        <v>13-L-120082</v>
      </c>
      <c r="C3409">
        <v>1.1000000000000001</v>
      </c>
      <c r="D3409" t="s">
        <v>4665</v>
      </c>
      <c r="E3409" t="s">
        <v>11</v>
      </c>
      <c r="G3409" t="s">
        <v>1912</v>
      </c>
      <c r="H3409" t="s">
        <v>432</v>
      </c>
    </row>
    <row r="3410" spans="1:8" hidden="1" x14ac:dyDescent="0.25">
      <c r="A3410" t="s">
        <v>4732</v>
      </c>
      <c r="B3410" s="1" t="str">
        <f>HYPERLINK("https://asmlis.vasa.lt/Dashboard/Served?ServiceDateFrom=2025-11-24&amp;ServiceDateTo=2025-11-24&amp;DumpsterInvNr=13-L-424799", "13-L-424799")</f>
        <v>13-L-424799</v>
      </c>
      <c r="C3410">
        <v>1.1000000000000001</v>
      </c>
      <c r="D3410" t="s">
        <v>4652</v>
      </c>
      <c r="E3410" t="s">
        <v>11</v>
      </c>
      <c r="G3410" t="s">
        <v>74</v>
      </c>
      <c r="H3410" t="s">
        <v>14</v>
      </c>
    </row>
    <row r="3411" spans="1:8" hidden="1" x14ac:dyDescent="0.25">
      <c r="A3411" t="s">
        <v>4733</v>
      </c>
      <c r="B3411" s="1" t="str">
        <f>HYPERLINK("https://asmlis.vasa.lt/Dashboard/Served?ServiceDateFrom=2025-11-24&amp;ServiceDateTo=2025-11-24&amp;DumpsterInvNr=13-T-000294", "13-T-000294")</f>
        <v>13-T-000294</v>
      </c>
      <c r="C3411">
        <v>2.5</v>
      </c>
      <c r="D3411" t="s">
        <v>4734</v>
      </c>
      <c r="E3411" t="s">
        <v>11</v>
      </c>
      <c r="F3411" t="s">
        <v>13</v>
      </c>
      <c r="G3411" t="s">
        <v>1899</v>
      </c>
      <c r="H3411" t="s">
        <v>432</v>
      </c>
    </row>
    <row r="3412" spans="1:8" hidden="1" x14ac:dyDescent="0.25">
      <c r="A3412" t="s">
        <v>4735</v>
      </c>
      <c r="B3412" s="1" t="str">
        <f>HYPERLINK("https://asmlis.vasa.lt/Dashboard/Served?ServiceDateFrom=2025-11-24&amp;ServiceDateTo=2025-11-24&amp;DumpsterInvNr=13-L-417525", "13-L-417525")</f>
        <v>13-L-417525</v>
      </c>
      <c r="C3412">
        <v>0.24</v>
      </c>
      <c r="D3412" t="s">
        <v>4736</v>
      </c>
      <c r="E3412" t="s">
        <v>11</v>
      </c>
      <c r="G3412" t="s">
        <v>74</v>
      </c>
      <c r="H3412" t="s">
        <v>14</v>
      </c>
    </row>
    <row r="3413" spans="1:8" hidden="1" x14ac:dyDescent="0.25">
      <c r="A3413" t="s">
        <v>4737</v>
      </c>
      <c r="B3413" s="1" t="str">
        <f>HYPERLINK("https://asmlis.vasa.lt/Dashboard/Served?ServiceDateFrom=2025-11-24&amp;ServiceDateTo=2025-11-24&amp;DumpsterInvNr=13-P-102458", "13-P-102458")</f>
        <v>13-P-102458</v>
      </c>
      <c r="C3413">
        <v>5</v>
      </c>
      <c r="D3413" t="s">
        <v>4738</v>
      </c>
      <c r="E3413" t="s">
        <v>11</v>
      </c>
      <c r="F3413" t="s">
        <v>13</v>
      </c>
      <c r="G3413" t="s">
        <v>1917</v>
      </c>
      <c r="H3413" t="s">
        <v>432</v>
      </c>
    </row>
    <row r="3414" spans="1:8" hidden="1" x14ac:dyDescent="0.25">
      <c r="A3414" t="s">
        <v>4739</v>
      </c>
      <c r="B3414" s="1" t="str">
        <f>HYPERLINK("https://asmlis.vasa.lt/Dashboard/Served?ServiceDateFrom=2025-11-24&amp;ServiceDateTo=2025-11-24&amp;DumpsterInvNr=13-T-000176", "13-T-000176")</f>
        <v>13-T-000176</v>
      </c>
      <c r="C3414">
        <v>2.5</v>
      </c>
      <c r="D3414" t="s">
        <v>4724</v>
      </c>
      <c r="E3414" t="s">
        <v>11</v>
      </c>
      <c r="F3414" t="s">
        <v>13</v>
      </c>
      <c r="G3414" t="s">
        <v>1899</v>
      </c>
      <c r="H3414" t="s">
        <v>432</v>
      </c>
    </row>
    <row r="3415" spans="1:8" hidden="1" x14ac:dyDescent="0.25">
      <c r="A3415" t="s">
        <v>4739</v>
      </c>
      <c r="B3415" s="1" t="str">
        <f>HYPERLINK("https://asmlis.vasa.lt/Dashboard/Served?ServiceDateFrom=2025-11-24&amp;ServiceDateTo=2025-11-24&amp;DumpsterInvNr=13-P-210852", "13-P-210852")</f>
        <v>13-P-210852</v>
      </c>
      <c r="C3415">
        <v>0.24</v>
      </c>
      <c r="D3415" t="s">
        <v>4740</v>
      </c>
      <c r="E3415" t="s">
        <v>11</v>
      </c>
      <c r="G3415" t="s">
        <v>234</v>
      </c>
      <c r="H3415" t="s">
        <v>14</v>
      </c>
    </row>
    <row r="3416" spans="1:8" hidden="1" x14ac:dyDescent="0.25">
      <c r="A3416" t="s">
        <v>4741</v>
      </c>
      <c r="B3416" s="1" t="str">
        <f>HYPERLINK("https://asmlis.vasa.lt/Dashboard/Served?ServiceDateFrom=2025-11-24&amp;ServiceDateTo=2025-11-24&amp;DumpsterInvNr=13-L-129619", "13-L-129619")</f>
        <v>13-L-129619</v>
      </c>
      <c r="C3416">
        <v>1.1000000000000001</v>
      </c>
      <c r="D3416" t="s">
        <v>4742</v>
      </c>
      <c r="E3416" t="s">
        <v>11</v>
      </c>
      <c r="G3416" t="s">
        <v>430</v>
      </c>
      <c r="H3416" t="s">
        <v>432</v>
      </c>
    </row>
    <row r="3417" spans="1:8" hidden="1" x14ac:dyDescent="0.25">
      <c r="A3417" t="s">
        <v>4743</v>
      </c>
      <c r="B3417" s="1" t="str">
        <f>HYPERLINK("https://asmlis.vasa.lt/Dashboard/Served?ServiceDateFrom=2025-11-24&amp;ServiceDateTo=2025-11-24&amp;DumpsterInvNr=13-L-311026", "13-L-311026")</f>
        <v>13-L-311026</v>
      </c>
      <c r="C3417">
        <v>0.66</v>
      </c>
      <c r="D3417" t="s">
        <v>4744</v>
      </c>
      <c r="E3417" t="s">
        <v>11</v>
      </c>
      <c r="F3417" t="s">
        <v>13</v>
      </c>
      <c r="G3417" t="s">
        <v>9</v>
      </c>
      <c r="H3417" t="s">
        <v>14</v>
      </c>
    </row>
    <row r="3418" spans="1:8" hidden="1" x14ac:dyDescent="0.25">
      <c r="A3418" t="s">
        <v>4745</v>
      </c>
      <c r="B3418" s="1" t="str">
        <f>HYPERLINK("https://asmlis.vasa.lt/Dashboard/Served?ServiceDateFrom=2025-11-24&amp;ServiceDateTo=2025-11-24&amp;DumpsterInvNr=13-L-146447", "13-L-146447")</f>
        <v>13-L-146447</v>
      </c>
      <c r="C3418">
        <v>0.24</v>
      </c>
      <c r="D3418" t="s">
        <v>4746</v>
      </c>
      <c r="E3418" t="s">
        <v>11</v>
      </c>
      <c r="G3418" t="s">
        <v>1912</v>
      </c>
      <c r="H3418" t="s">
        <v>432</v>
      </c>
    </row>
    <row r="3419" spans="1:8" hidden="1" x14ac:dyDescent="0.25">
      <c r="A3419" t="s">
        <v>4745</v>
      </c>
      <c r="B3419" s="1" t="str">
        <f>HYPERLINK("https://asmlis.vasa.lt/Dashboard/Served?ServiceDateFrom=2025-11-24&amp;ServiceDateTo=2025-11-24&amp;DumpsterInvNr=13-P-108072", "13-P-108072")</f>
        <v>13-P-108072</v>
      </c>
      <c r="C3419">
        <v>0.24</v>
      </c>
      <c r="D3419" t="s">
        <v>4746</v>
      </c>
      <c r="E3419" t="s">
        <v>11</v>
      </c>
      <c r="G3419" t="s">
        <v>1917</v>
      </c>
      <c r="H3419" t="s">
        <v>432</v>
      </c>
    </row>
    <row r="3420" spans="1:8" hidden="1" x14ac:dyDescent="0.25">
      <c r="A3420" t="s">
        <v>4748</v>
      </c>
      <c r="B3420" s="1" t="str">
        <f>HYPERLINK("https://asmlis.vasa.lt/Dashboard/Served?ServiceDateFrom=2025-11-24&amp;ServiceDateTo=2025-11-24&amp;DumpsterInvNr=13-L-308108", "13-L-308108")</f>
        <v>13-L-308108</v>
      </c>
      <c r="C3420">
        <v>5</v>
      </c>
      <c r="D3420" t="s">
        <v>4749</v>
      </c>
      <c r="E3420" t="s">
        <v>11</v>
      </c>
      <c r="F3420" t="s">
        <v>13</v>
      </c>
      <c r="G3420" t="s">
        <v>9</v>
      </c>
      <c r="H3420" t="s">
        <v>14</v>
      </c>
    </row>
    <row r="3421" spans="1:8" hidden="1" x14ac:dyDescent="0.25">
      <c r="A3421" t="s">
        <v>4750</v>
      </c>
      <c r="B3421" s="1" t="str">
        <f>HYPERLINK("https://asmlis.vasa.lt/Dashboard/Served?ServiceDateFrom=2025-11-24&amp;ServiceDateTo=2025-11-24&amp;DumpsterInvNr=13-L-139711", "13-L-139711")</f>
        <v>13-L-139711</v>
      </c>
      <c r="C3421">
        <v>1.1000000000000001</v>
      </c>
      <c r="D3421" t="s">
        <v>4742</v>
      </c>
      <c r="E3421" t="s">
        <v>11</v>
      </c>
      <c r="G3421" t="s">
        <v>430</v>
      </c>
      <c r="H3421" t="s">
        <v>432</v>
      </c>
    </row>
    <row r="3422" spans="1:8" hidden="1" x14ac:dyDescent="0.25">
      <c r="A3422" t="s">
        <v>4751</v>
      </c>
      <c r="B3422" s="1" t="str">
        <f>HYPERLINK("https://asmlis.vasa.lt/Dashboard/Served?ServiceDateFrom=2025-11-24&amp;ServiceDateTo=2025-11-24&amp;DumpsterInvNr=13-L-222469", "13-L-222469")</f>
        <v>13-L-222469</v>
      </c>
      <c r="C3422">
        <v>1.1000000000000001</v>
      </c>
      <c r="D3422" t="s">
        <v>4728</v>
      </c>
      <c r="E3422" t="s">
        <v>11</v>
      </c>
      <c r="G3422" t="s">
        <v>936</v>
      </c>
      <c r="H3422" t="s">
        <v>938</v>
      </c>
    </row>
    <row r="3423" spans="1:8" hidden="1" x14ac:dyDescent="0.25">
      <c r="A3423" t="s">
        <v>2399</v>
      </c>
      <c r="B3423" s="1" t="str">
        <f>HYPERLINK("https://asmlis.vasa.lt/Dashboard/Served?ServiceDateFrom=2025-11-24&amp;ServiceDateTo=2025-11-24&amp;DumpsterInvNr=13-L-140061", "13-L-140061")</f>
        <v>13-L-140061</v>
      </c>
      <c r="C3423">
        <v>0.24</v>
      </c>
      <c r="D3423" t="s">
        <v>4752</v>
      </c>
      <c r="E3423" t="s">
        <v>11</v>
      </c>
      <c r="G3423" t="s">
        <v>430</v>
      </c>
      <c r="H3423" t="s">
        <v>432</v>
      </c>
    </row>
    <row r="3424" spans="1:8" hidden="1" x14ac:dyDescent="0.25">
      <c r="A3424" t="s">
        <v>2399</v>
      </c>
      <c r="B3424" s="1" t="str">
        <f>HYPERLINK("https://asmlis.vasa.lt/Dashboard/Served?ServiceDateFrom=2025-11-24&amp;ServiceDateTo=2025-11-24&amp;DumpsterInvNr=13-P-502962", "13-P-502962")</f>
        <v>13-P-502962</v>
      </c>
      <c r="C3424">
        <v>0.24</v>
      </c>
      <c r="D3424" t="s">
        <v>4752</v>
      </c>
      <c r="E3424" t="s">
        <v>11</v>
      </c>
      <c r="G3424" t="s">
        <v>2178</v>
      </c>
      <c r="H3424" t="s">
        <v>432</v>
      </c>
    </row>
    <row r="3425" spans="1:10" hidden="1" x14ac:dyDescent="0.25">
      <c r="A3425" t="s">
        <v>2399</v>
      </c>
      <c r="B3425" s="1" t="str">
        <f>HYPERLINK("https://asmlis.vasa.lt/Dashboard/Served?ServiceDateFrom=2025-11-24&amp;ServiceDateTo=2025-11-24&amp;DumpsterInvNr=13-S-503669", "13-S-503669")</f>
        <v>13-S-503669</v>
      </c>
      <c r="C3425">
        <v>0.12</v>
      </c>
      <c r="D3425" t="s">
        <v>4752</v>
      </c>
      <c r="E3425" t="s">
        <v>11</v>
      </c>
      <c r="G3425" t="s">
        <v>2178</v>
      </c>
      <c r="H3425" t="s">
        <v>432</v>
      </c>
    </row>
    <row r="3426" spans="1:10" hidden="1" x14ac:dyDescent="0.25">
      <c r="A3426" t="s">
        <v>2498</v>
      </c>
      <c r="B3426" s="1" t="str">
        <f>HYPERLINK("https://asmlis.vasa.lt/Dashboard/Served?ServiceDateFrom=2025-11-24&amp;ServiceDateTo=2025-11-24&amp;DumpsterInvNr=13-L-142917", "13-L-142917")</f>
        <v>13-L-142917</v>
      </c>
      <c r="C3426">
        <v>0.24</v>
      </c>
      <c r="D3426" t="s">
        <v>4753</v>
      </c>
      <c r="E3426" t="s">
        <v>11</v>
      </c>
      <c r="G3426" t="s">
        <v>1912</v>
      </c>
      <c r="H3426" t="s">
        <v>432</v>
      </c>
    </row>
    <row r="3427" spans="1:10" hidden="1" x14ac:dyDescent="0.25">
      <c r="A3427" t="s">
        <v>2748</v>
      </c>
      <c r="B3427" s="1" t="str">
        <f>HYPERLINK("https://asmlis.vasa.lt/Dashboard/Served?ServiceDateFrom=2025-11-24&amp;ServiceDateTo=2025-11-24&amp;DumpsterInvNr=13-P-416021", "13-P-416021")</f>
        <v>13-P-416021</v>
      </c>
      <c r="C3427">
        <v>0.24</v>
      </c>
      <c r="D3427" t="s">
        <v>4754</v>
      </c>
      <c r="E3427" t="s">
        <v>11</v>
      </c>
      <c r="G3427" t="s">
        <v>264</v>
      </c>
      <c r="H3427" t="s">
        <v>14</v>
      </c>
    </row>
    <row r="3428" spans="1:10" hidden="1" x14ac:dyDescent="0.25">
      <c r="A3428" t="s">
        <v>4755</v>
      </c>
      <c r="B3428" s="1" t="str">
        <f>HYPERLINK("https://asmlis.vasa.lt/Dashboard/Served?ServiceDateFrom=2025-11-24&amp;ServiceDateTo=2025-11-24&amp;DumpsterInvNr=13-P-302597", "13-P-302597")</f>
        <v>13-P-302597</v>
      </c>
      <c r="C3428">
        <v>5</v>
      </c>
      <c r="D3428" t="s">
        <v>1461</v>
      </c>
      <c r="E3428" t="s">
        <v>11</v>
      </c>
      <c r="G3428" t="s">
        <v>412</v>
      </c>
      <c r="H3428" t="s">
        <v>14</v>
      </c>
    </row>
    <row r="3429" spans="1:10" hidden="1" x14ac:dyDescent="0.25">
      <c r="A3429" t="s">
        <v>4756</v>
      </c>
      <c r="B3429" s="1" t="str">
        <f>HYPERLINK("https://asmlis.vasa.lt/Dashboard/Served?ServiceDateFrom=2025-11-24&amp;ServiceDateTo=2025-11-24&amp;DumpsterInvNr=13-L-310627", "13-L-310627")</f>
        <v>13-L-310627</v>
      </c>
      <c r="C3429">
        <v>0.24</v>
      </c>
      <c r="D3429" t="s">
        <v>4758</v>
      </c>
      <c r="E3429" t="s">
        <v>11</v>
      </c>
      <c r="F3429" t="s">
        <v>13</v>
      </c>
      <c r="G3429" t="s">
        <v>9</v>
      </c>
      <c r="H3429" t="s">
        <v>14</v>
      </c>
    </row>
    <row r="3430" spans="1:10" hidden="1" x14ac:dyDescent="0.25">
      <c r="A3430" t="s">
        <v>4756</v>
      </c>
      <c r="B3430" s="1" t="str">
        <f>HYPERLINK("https://asmlis.vasa.lt/Dashboard/Served?ServiceDateFrom=2025-11-24&amp;ServiceDateTo=2025-11-24&amp;DumpsterInvNr=13-P-210713", "13-P-210713")</f>
        <v>13-P-210713</v>
      </c>
      <c r="C3430">
        <v>0.24</v>
      </c>
      <c r="D3430" t="s">
        <v>4759</v>
      </c>
      <c r="E3430" t="s">
        <v>11</v>
      </c>
      <c r="G3430" t="s">
        <v>234</v>
      </c>
      <c r="H3430" t="s">
        <v>14</v>
      </c>
    </row>
    <row r="3431" spans="1:10" hidden="1" x14ac:dyDescent="0.25">
      <c r="A3431" t="s">
        <v>4760</v>
      </c>
      <c r="B3431" s="1" t="str">
        <f>HYPERLINK("https://asmlis.vasa.lt/Dashboard/Served?ServiceDateFrom=2025-11-24&amp;ServiceDateTo=2025-11-24&amp;DumpsterInvNr=13-P-205014", "13-P-205014")</f>
        <v>13-P-205014</v>
      </c>
      <c r="C3431">
        <v>5</v>
      </c>
      <c r="D3431" t="s">
        <v>4762</v>
      </c>
      <c r="E3431" t="s">
        <v>11</v>
      </c>
      <c r="G3431" t="s">
        <v>234</v>
      </c>
      <c r="H3431" t="s">
        <v>14</v>
      </c>
    </row>
    <row r="3432" spans="1:10" x14ac:dyDescent="0.25">
      <c r="A3432" t="s">
        <v>4763</v>
      </c>
      <c r="B3432" s="1" t="str">
        <f>HYPERLINK("https://asmlis.vasa.lt/Dashboard/Served?ServiceDateFrom=2025-11-24&amp;ServiceDateTo=2025-11-24&amp;DumpsterInvNr=13-L-314638", "13-L-314638")</f>
        <v>13-L-314638</v>
      </c>
      <c r="C3432">
        <v>1.1000000000000001</v>
      </c>
      <c r="D3432" t="s">
        <v>4764</v>
      </c>
      <c r="E3432" t="s">
        <v>11</v>
      </c>
      <c r="F3432" t="s">
        <v>1215</v>
      </c>
      <c r="G3432" t="s">
        <v>9</v>
      </c>
      <c r="H3432" t="s">
        <v>14</v>
      </c>
      <c r="J3432" t="s">
        <v>17511</v>
      </c>
    </row>
    <row r="3433" spans="1:10" hidden="1" x14ac:dyDescent="0.25">
      <c r="A3433" t="s">
        <v>4763</v>
      </c>
      <c r="B3433" s="1" t="str">
        <f>HYPERLINK("https://asmlis.vasa.lt/Dashboard/Served?ServiceDateFrom=2025-11-24&amp;ServiceDateTo=2025-11-24&amp;DumpsterInvNr=13-P-500512", "13-P-500512")</f>
        <v>13-P-500512</v>
      </c>
      <c r="C3433">
        <v>5</v>
      </c>
      <c r="D3433" t="s">
        <v>4765</v>
      </c>
      <c r="E3433" t="s">
        <v>11</v>
      </c>
      <c r="F3433" t="s">
        <v>13</v>
      </c>
      <c r="G3433" t="s">
        <v>2178</v>
      </c>
      <c r="H3433" t="s">
        <v>432</v>
      </c>
    </row>
    <row r="3434" spans="1:10" hidden="1" x14ac:dyDescent="0.25">
      <c r="A3434" t="s">
        <v>2776</v>
      </c>
      <c r="B3434" s="1" t="str">
        <f>HYPERLINK("https://asmlis.vasa.lt/Dashboard/Served?ServiceDateFrom=2025-11-24&amp;ServiceDateTo=2025-11-24&amp;DumpsterInvNr=13-L-215782", "13-L-215782")</f>
        <v>13-L-215782</v>
      </c>
      <c r="C3434">
        <v>1.1000000000000001</v>
      </c>
      <c r="D3434" t="s">
        <v>4728</v>
      </c>
      <c r="E3434" t="s">
        <v>11</v>
      </c>
      <c r="G3434" t="s">
        <v>936</v>
      </c>
      <c r="H3434" t="s">
        <v>938</v>
      </c>
    </row>
    <row r="3435" spans="1:10" hidden="1" x14ac:dyDescent="0.25">
      <c r="A3435" t="s">
        <v>2980</v>
      </c>
      <c r="B3435" s="1" t="str">
        <f>HYPERLINK("https://asmlis.vasa.lt/Dashboard/Served?ServiceDateFrom=2025-11-24&amp;ServiceDateTo=2025-11-24&amp;DumpsterInvNr=13-L-303458", "13-L-303458")</f>
        <v>13-L-303458</v>
      </c>
      <c r="C3435">
        <v>0.24</v>
      </c>
      <c r="D3435" t="s">
        <v>4758</v>
      </c>
      <c r="E3435" t="s">
        <v>11</v>
      </c>
      <c r="F3435" t="s">
        <v>13</v>
      </c>
      <c r="G3435" t="s">
        <v>9</v>
      </c>
      <c r="H3435" t="s">
        <v>14</v>
      </c>
    </row>
    <row r="3436" spans="1:10" hidden="1" x14ac:dyDescent="0.25">
      <c r="A3436" t="s">
        <v>4766</v>
      </c>
      <c r="B3436" s="1" t="str">
        <f>HYPERLINK("https://asmlis.vasa.lt/Dashboard/Served?ServiceDateFrom=2025-11-24&amp;ServiceDateTo=2025-11-24&amp;DumpsterInvNr=13-L-149268", "13-L-149268")</f>
        <v>13-L-149268</v>
      </c>
      <c r="C3436">
        <v>0.12</v>
      </c>
      <c r="D3436" t="s">
        <v>4767</v>
      </c>
      <c r="E3436" t="s">
        <v>11</v>
      </c>
      <c r="G3436" t="s">
        <v>430</v>
      </c>
      <c r="H3436" t="s">
        <v>432</v>
      </c>
    </row>
    <row r="3437" spans="1:10" hidden="1" x14ac:dyDescent="0.25">
      <c r="A3437" t="s">
        <v>4769</v>
      </c>
      <c r="B3437" s="1" t="str">
        <f>HYPERLINK("https://asmlis.vasa.lt/Dashboard/Served?ServiceDateFrom=2025-11-24&amp;ServiceDateTo=2025-11-24&amp;DumpsterInvNr=13-L-303460", "13-L-303460")</f>
        <v>13-L-303460</v>
      </c>
      <c r="C3437">
        <v>0.24</v>
      </c>
      <c r="D3437" t="s">
        <v>4758</v>
      </c>
      <c r="E3437" t="s">
        <v>11</v>
      </c>
      <c r="F3437" t="s">
        <v>13</v>
      </c>
      <c r="G3437" t="s">
        <v>9</v>
      </c>
      <c r="H3437" t="s">
        <v>14</v>
      </c>
    </row>
    <row r="3438" spans="1:10" hidden="1" x14ac:dyDescent="0.25">
      <c r="A3438" t="s">
        <v>4770</v>
      </c>
      <c r="B3438" s="1" t="str">
        <f>HYPERLINK("https://asmlis.vasa.lt/Dashboard/Served?ServiceDateFrom=2025-11-24&amp;ServiceDateTo=2025-11-24&amp;DumpsterInvNr=13-P-502712", "13-P-502712")</f>
        <v>13-P-502712</v>
      </c>
      <c r="C3438">
        <v>0.12</v>
      </c>
      <c r="D3438" t="s">
        <v>4767</v>
      </c>
      <c r="E3438" t="s">
        <v>11</v>
      </c>
      <c r="G3438" t="s">
        <v>2178</v>
      </c>
      <c r="H3438" t="s">
        <v>432</v>
      </c>
    </row>
    <row r="3439" spans="1:10" hidden="1" x14ac:dyDescent="0.25">
      <c r="A3439" t="s">
        <v>4772</v>
      </c>
      <c r="B3439" s="1" t="str">
        <f>HYPERLINK("https://asmlis.vasa.lt/Dashboard/Served?ServiceDateFrom=2025-11-24&amp;ServiceDateTo=2025-11-24&amp;DumpsterInvNr=13-L-225737", "13-L-225737")</f>
        <v>13-L-225737</v>
      </c>
      <c r="C3439">
        <v>0.77</v>
      </c>
      <c r="D3439" t="s">
        <v>4773</v>
      </c>
      <c r="E3439" t="s">
        <v>11</v>
      </c>
      <c r="F3439" t="s">
        <v>13</v>
      </c>
      <c r="G3439" t="s">
        <v>936</v>
      </c>
      <c r="H3439" t="s">
        <v>938</v>
      </c>
    </row>
    <row r="3440" spans="1:10" x14ac:dyDescent="0.25">
      <c r="A3440" t="s">
        <v>4772</v>
      </c>
      <c r="B3440" s="1" t="str">
        <f>HYPERLINK("https://asmlis.vasa.lt/Dashboard/Served?ServiceDateFrom=2025-11-24&amp;ServiceDateTo=2025-11-24&amp;DumpsterInvNr=13-L-148759", "13-L-148759")</f>
        <v>13-L-148759</v>
      </c>
      <c r="C3440">
        <v>3</v>
      </c>
      <c r="D3440" t="s">
        <v>4774</v>
      </c>
      <c r="E3440" t="s">
        <v>11</v>
      </c>
      <c r="F3440" t="s">
        <v>4775</v>
      </c>
      <c r="G3440" t="s">
        <v>430</v>
      </c>
      <c r="H3440" t="s">
        <v>432</v>
      </c>
      <c r="J3440" t="s">
        <v>17518</v>
      </c>
    </row>
    <row r="3441" spans="1:8" hidden="1" x14ac:dyDescent="0.25">
      <c r="A3441" t="s">
        <v>4772</v>
      </c>
      <c r="B3441" s="1" t="str">
        <f>HYPERLINK("https://asmlis.vasa.lt/Dashboard/Served?ServiceDateFrom=2025-11-24&amp;ServiceDateTo=2025-11-24&amp;DumpsterInvNr=13-S-506412", "13-S-506412")</f>
        <v>13-S-506412</v>
      </c>
      <c r="C3441">
        <v>0.12</v>
      </c>
      <c r="D3441" t="s">
        <v>4767</v>
      </c>
      <c r="E3441" t="s">
        <v>11</v>
      </c>
      <c r="F3441" t="s">
        <v>1209</v>
      </c>
      <c r="G3441" t="s">
        <v>2178</v>
      </c>
      <c r="H3441" t="s">
        <v>432</v>
      </c>
    </row>
    <row r="3442" spans="1:8" hidden="1" x14ac:dyDescent="0.25">
      <c r="A3442" t="s">
        <v>4776</v>
      </c>
      <c r="B3442" s="1" t="str">
        <f>HYPERLINK("https://asmlis.vasa.lt/Dashboard/Served?ServiceDateFrom=2025-11-24&amp;ServiceDateTo=2025-11-24&amp;DumpsterInvNr=13-P-414623", "13-P-414623")</f>
        <v>13-P-414623</v>
      </c>
      <c r="C3442">
        <v>0.24</v>
      </c>
      <c r="D3442" t="s">
        <v>4777</v>
      </c>
      <c r="E3442" t="s">
        <v>11</v>
      </c>
      <c r="G3442" t="s">
        <v>264</v>
      </c>
      <c r="H3442" t="s">
        <v>14</v>
      </c>
    </row>
    <row r="3443" spans="1:8" hidden="1" x14ac:dyDescent="0.25">
      <c r="A3443" t="s">
        <v>4778</v>
      </c>
      <c r="B3443" s="1" t="str">
        <f>HYPERLINK("https://asmlis.vasa.lt/Dashboard/Served?ServiceDateFrom=2025-11-24&amp;ServiceDateTo=2025-11-24&amp;DumpsterInvNr=13-L-307059", "13-L-307059")</f>
        <v>13-L-307059</v>
      </c>
      <c r="C3443">
        <v>0.24</v>
      </c>
      <c r="D3443" t="s">
        <v>4779</v>
      </c>
      <c r="E3443" t="s">
        <v>11</v>
      </c>
      <c r="F3443" t="s">
        <v>13</v>
      </c>
      <c r="G3443" t="s">
        <v>9</v>
      </c>
      <c r="H3443" t="s">
        <v>14</v>
      </c>
    </row>
    <row r="3444" spans="1:8" hidden="1" x14ac:dyDescent="0.25">
      <c r="A3444" t="s">
        <v>4780</v>
      </c>
      <c r="B3444" s="1" t="str">
        <f>HYPERLINK("https://asmlis.vasa.lt/Dashboard/Served?ServiceDateFrom=2025-11-24&amp;ServiceDateTo=2025-11-24&amp;DumpsterInvNr=13-P-507962", "13-P-507962")</f>
        <v>13-P-507962</v>
      </c>
      <c r="C3444">
        <v>0.24</v>
      </c>
      <c r="D3444" t="s">
        <v>4781</v>
      </c>
      <c r="E3444" t="s">
        <v>11</v>
      </c>
      <c r="G3444" t="s">
        <v>2178</v>
      </c>
      <c r="H3444" t="s">
        <v>432</v>
      </c>
    </row>
    <row r="3445" spans="1:8" hidden="1" x14ac:dyDescent="0.25">
      <c r="A3445" t="s">
        <v>4782</v>
      </c>
      <c r="B3445" s="1" t="str">
        <f>HYPERLINK("https://asmlis.vasa.lt/Dashboard/Served?ServiceDateFrom=2025-11-24&amp;ServiceDateTo=2025-11-24&amp;DumpsterInvNr=13-L-124939", "13-L-124939")</f>
        <v>13-L-124939</v>
      </c>
      <c r="C3445">
        <v>0.12</v>
      </c>
      <c r="D3445" t="s">
        <v>4783</v>
      </c>
      <c r="E3445" t="s">
        <v>11</v>
      </c>
      <c r="G3445" t="s">
        <v>430</v>
      </c>
      <c r="H3445" t="s">
        <v>432</v>
      </c>
    </row>
    <row r="3446" spans="1:8" hidden="1" x14ac:dyDescent="0.25">
      <c r="A3446" t="s">
        <v>4782</v>
      </c>
      <c r="B3446" s="1" t="str">
        <f>HYPERLINK("https://asmlis.vasa.lt/Dashboard/Served?ServiceDateFrom=2025-11-24&amp;ServiceDateTo=2025-11-24&amp;DumpsterInvNr=13-S-407075", "13-S-407075")</f>
        <v>13-S-407075</v>
      </c>
      <c r="C3446">
        <v>0.12</v>
      </c>
      <c r="D3446" t="s">
        <v>4777</v>
      </c>
      <c r="E3446" t="s">
        <v>11</v>
      </c>
      <c r="G3446" t="s">
        <v>264</v>
      </c>
      <c r="H3446" t="s">
        <v>14</v>
      </c>
    </row>
    <row r="3447" spans="1:8" hidden="1" x14ac:dyDescent="0.25">
      <c r="A3447" t="s">
        <v>4782</v>
      </c>
      <c r="B3447" s="1" t="str">
        <f>HYPERLINK("https://asmlis.vasa.lt/Dashboard/Served?ServiceDateFrom=2025-11-24&amp;ServiceDateTo=2025-11-24&amp;DumpsterInvNr=13-P-509109", "13-P-509109")</f>
        <v>13-P-509109</v>
      </c>
      <c r="C3447">
        <v>0.24</v>
      </c>
      <c r="D3447" t="s">
        <v>4783</v>
      </c>
      <c r="E3447" t="s">
        <v>11</v>
      </c>
      <c r="G3447" t="s">
        <v>2178</v>
      </c>
      <c r="H3447" t="s">
        <v>432</v>
      </c>
    </row>
    <row r="3448" spans="1:8" hidden="1" x14ac:dyDescent="0.25">
      <c r="A3448" t="s">
        <v>4785</v>
      </c>
      <c r="B3448" s="1" t="str">
        <f>HYPERLINK("https://asmlis.vasa.lt/Dashboard/Served?ServiceDateFrom=2025-11-24&amp;ServiceDateTo=2025-11-24&amp;DumpsterInvNr=13-L-303465", "13-L-303465")</f>
        <v>13-L-303465</v>
      </c>
      <c r="C3448">
        <v>0.24</v>
      </c>
      <c r="D3448" t="s">
        <v>4779</v>
      </c>
      <c r="E3448" t="s">
        <v>11</v>
      </c>
      <c r="F3448" t="s">
        <v>13</v>
      </c>
      <c r="G3448" t="s">
        <v>9</v>
      </c>
      <c r="H3448" t="s">
        <v>14</v>
      </c>
    </row>
    <row r="3449" spans="1:8" hidden="1" x14ac:dyDescent="0.25">
      <c r="A3449" t="s">
        <v>4786</v>
      </c>
      <c r="B3449" s="1" t="str">
        <f>HYPERLINK("https://asmlis.vasa.lt/Dashboard/Served?ServiceDateFrom=2025-11-24&amp;ServiceDateTo=2025-11-24&amp;DumpsterInvNr=13-P-414668", "13-P-414668")</f>
        <v>13-P-414668</v>
      </c>
      <c r="C3449">
        <v>0.24</v>
      </c>
      <c r="D3449" t="s">
        <v>4787</v>
      </c>
      <c r="E3449" t="s">
        <v>11</v>
      </c>
      <c r="F3449" t="s">
        <v>1209</v>
      </c>
      <c r="G3449" t="s">
        <v>264</v>
      </c>
      <c r="H3449" t="s">
        <v>14</v>
      </c>
    </row>
    <row r="3450" spans="1:8" hidden="1" x14ac:dyDescent="0.25">
      <c r="A3450" t="s">
        <v>4789</v>
      </c>
      <c r="B3450" s="1" t="str">
        <f>HYPERLINK("https://asmlis.vasa.lt/Dashboard/Served?ServiceDateFrom=2025-11-24&amp;ServiceDateTo=2025-11-24&amp;DumpsterInvNr=13-S-407147", "13-S-407147")</f>
        <v>13-S-407147</v>
      </c>
      <c r="C3450">
        <v>0.12</v>
      </c>
      <c r="D3450" t="s">
        <v>4787</v>
      </c>
      <c r="E3450" t="s">
        <v>11</v>
      </c>
      <c r="F3450" t="s">
        <v>1209</v>
      </c>
      <c r="G3450" t="s">
        <v>264</v>
      </c>
      <c r="H3450" t="s">
        <v>14</v>
      </c>
    </row>
    <row r="3451" spans="1:8" hidden="1" x14ac:dyDescent="0.25">
      <c r="A3451" t="s">
        <v>4789</v>
      </c>
      <c r="B3451" s="1" t="str">
        <f>HYPERLINK("https://asmlis.vasa.lt/Dashboard/Served?ServiceDateFrom=2025-11-24&amp;ServiceDateTo=2025-11-24&amp;DumpsterInvNr=13-P-408957", "13-P-408957")</f>
        <v>13-P-408957</v>
      </c>
      <c r="C3451">
        <v>1.1000000000000001</v>
      </c>
      <c r="D3451" t="s">
        <v>4497</v>
      </c>
      <c r="E3451" t="s">
        <v>11</v>
      </c>
      <c r="G3451" t="s">
        <v>264</v>
      </c>
      <c r="H3451" t="s">
        <v>14</v>
      </c>
    </row>
    <row r="3452" spans="1:8" hidden="1" x14ac:dyDescent="0.25">
      <c r="A3452" t="s">
        <v>4790</v>
      </c>
      <c r="B3452" s="1" t="str">
        <f>HYPERLINK("https://asmlis.vasa.lt/Dashboard/Served?ServiceDateFrom=2025-11-24&amp;ServiceDateTo=2025-11-24&amp;DumpsterInvNr=13-L-123349", "13-L-123349")</f>
        <v>13-L-123349</v>
      </c>
      <c r="C3452">
        <v>0.24</v>
      </c>
      <c r="D3452" t="s">
        <v>4791</v>
      </c>
      <c r="E3452" t="s">
        <v>11</v>
      </c>
      <c r="F3452" t="s">
        <v>1209</v>
      </c>
      <c r="G3452" t="s">
        <v>430</v>
      </c>
      <c r="H3452" t="s">
        <v>432</v>
      </c>
    </row>
    <row r="3453" spans="1:8" hidden="1" x14ac:dyDescent="0.25">
      <c r="A3453" t="s">
        <v>4793</v>
      </c>
      <c r="B3453" s="1" t="str">
        <f>HYPERLINK("https://asmlis.vasa.lt/Dashboard/Served?ServiceDateFrom=2025-11-24&amp;ServiceDateTo=2025-11-24&amp;DumpsterInvNr=13-P-505033", "13-P-505033")</f>
        <v>13-P-505033</v>
      </c>
      <c r="C3453">
        <v>0.24</v>
      </c>
      <c r="D3453" t="s">
        <v>4791</v>
      </c>
      <c r="E3453" t="s">
        <v>11</v>
      </c>
      <c r="F3453" t="s">
        <v>1209</v>
      </c>
      <c r="G3453" t="s">
        <v>2178</v>
      </c>
      <c r="H3453" t="s">
        <v>432</v>
      </c>
    </row>
    <row r="3454" spans="1:8" hidden="1" x14ac:dyDescent="0.25">
      <c r="A3454" t="s">
        <v>4794</v>
      </c>
      <c r="B3454" s="1" t="str">
        <f>HYPERLINK("https://asmlis.vasa.lt/Dashboard/Served?ServiceDateFrom=2025-11-24&amp;ServiceDateTo=2025-11-24&amp;DumpsterInvNr=13-L-420433", "13-L-420433")</f>
        <v>13-L-420433</v>
      </c>
      <c r="C3454">
        <v>1.1000000000000001</v>
      </c>
      <c r="D3454" t="s">
        <v>4795</v>
      </c>
      <c r="E3454" t="s">
        <v>11</v>
      </c>
      <c r="G3454" t="s">
        <v>74</v>
      </c>
      <c r="H3454" t="s">
        <v>14</v>
      </c>
    </row>
    <row r="3455" spans="1:8" hidden="1" x14ac:dyDescent="0.25">
      <c r="A3455" t="s">
        <v>4796</v>
      </c>
      <c r="B3455" s="1" t="str">
        <f>HYPERLINK("https://asmlis.vasa.lt/Dashboard/Served?ServiceDateFrom=2025-11-24&amp;ServiceDateTo=2025-11-24&amp;DumpsterInvNr=13-L-311318", "13-L-311318")</f>
        <v>13-L-311318</v>
      </c>
      <c r="C3455">
        <v>0.24</v>
      </c>
      <c r="D3455" t="s">
        <v>4797</v>
      </c>
      <c r="E3455" t="s">
        <v>11</v>
      </c>
      <c r="G3455" t="s">
        <v>9</v>
      </c>
      <c r="H3455" t="s">
        <v>14</v>
      </c>
    </row>
    <row r="3456" spans="1:8" hidden="1" x14ac:dyDescent="0.25">
      <c r="A3456" t="s">
        <v>4798</v>
      </c>
      <c r="B3456" s="1" t="str">
        <f>HYPERLINK("https://asmlis.vasa.lt/Dashboard/Served?ServiceDateFrom=2025-11-24&amp;ServiceDateTo=2025-11-24&amp;DumpsterInvNr=13-L-106025", "13-L-106025")</f>
        <v>13-L-106025</v>
      </c>
      <c r="C3456">
        <v>0.12</v>
      </c>
      <c r="D3456" t="s">
        <v>4799</v>
      </c>
      <c r="E3456" t="s">
        <v>11</v>
      </c>
      <c r="G3456" t="s">
        <v>1912</v>
      </c>
      <c r="H3456" t="s">
        <v>432</v>
      </c>
    </row>
    <row r="3457" spans="1:8" hidden="1" x14ac:dyDescent="0.25">
      <c r="A3457" t="s">
        <v>4798</v>
      </c>
      <c r="B3457" s="1" t="str">
        <f>HYPERLINK("https://asmlis.vasa.lt/Dashboard/Served?ServiceDateFrom=2025-11-24&amp;ServiceDateTo=2025-11-24&amp;DumpsterInvNr=13-L-426807", "13-L-426807")</f>
        <v>13-L-426807</v>
      </c>
      <c r="C3457">
        <v>1.1000000000000001</v>
      </c>
      <c r="D3457" t="s">
        <v>4678</v>
      </c>
      <c r="E3457" t="s">
        <v>11</v>
      </c>
      <c r="G3457" t="s">
        <v>74</v>
      </c>
      <c r="H3457" t="s">
        <v>14</v>
      </c>
    </row>
    <row r="3458" spans="1:8" hidden="1" x14ac:dyDescent="0.25">
      <c r="A3458" t="s">
        <v>4800</v>
      </c>
      <c r="B3458" s="1" t="str">
        <f>HYPERLINK("https://asmlis.vasa.lt/Dashboard/Served?ServiceDateFrom=2025-11-24&amp;ServiceDateTo=2025-11-24&amp;DumpsterInvNr=13-S-503817", "13-S-503817")</f>
        <v>13-S-503817</v>
      </c>
      <c r="C3458">
        <v>0.12</v>
      </c>
      <c r="D3458" t="s">
        <v>4701</v>
      </c>
      <c r="E3458" t="s">
        <v>11</v>
      </c>
      <c r="F3458" t="s">
        <v>1209</v>
      </c>
      <c r="G3458" t="s">
        <v>2178</v>
      </c>
      <c r="H3458" t="s">
        <v>432</v>
      </c>
    </row>
    <row r="3459" spans="1:8" hidden="1" x14ac:dyDescent="0.25">
      <c r="A3459" t="s">
        <v>4802</v>
      </c>
      <c r="B3459" s="1" t="str">
        <f>HYPERLINK("https://asmlis.vasa.lt/Dashboard/Served?ServiceDateFrom=2025-11-24&amp;ServiceDateTo=2025-11-24&amp;DumpsterInvNr=13-P-109926", "13-P-109926")</f>
        <v>13-P-109926</v>
      </c>
      <c r="C3459">
        <v>0.24</v>
      </c>
      <c r="D3459" t="s">
        <v>4799</v>
      </c>
      <c r="E3459" t="s">
        <v>11</v>
      </c>
      <c r="G3459" t="s">
        <v>1917</v>
      </c>
      <c r="H3459" t="s">
        <v>432</v>
      </c>
    </row>
    <row r="3460" spans="1:8" hidden="1" x14ac:dyDescent="0.25">
      <c r="A3460" t="s">
        <v>4804</v>
      </c>
      <c r="B3460" s="1" t="str">
        <f>HYPERLINK("https://asmlis.vasa.lt/Dashboard/Served?ServiceDateFrom=2025-11-24&amp;ServiceDateTo=2025-11-24&amp;DumpsterInvNr=13-L-146546", "13-L-146546")</f>
        <v>13-L-146546</v>
      </c>
      <c r="C3460">
        <v>1.1000000000000001</v>
      </c>
      <c r="D3460" t="s">
        <v>4150</v>
      </c>
      <c r="E3460" t="s">
        <v>11</v>
      </c>
      <c r="G3460" t="s">
        <v>1912</v>
      </c>
      <c r="H3460" t="s">
        <v>432</v>
      </c>
    </row>
    <row r="3461" spans="1:8" hidden="1" x14ac:dyDescent="0.25">
      <c r="A3461" t="s">
        <v>4805</v>
      </c>
      <c r="B3461" s="1" t="str">
        <f>HYPERLINK("https://asmlis.vasa.lt/Dashboard/Served?ServiceDateFrom=2025-11-24&amp;ServiceDateTo=2025-11-24&amp;DumpsterInvNr=13-L-417498", "13-L-417498")</f>
        <v>13-L-417498</v>
      </c>
      <c r="C3461">
        <v>0.24</v>
      </c>
      <c r="D3461" t="s">
        <v>4806</v>
      </c>
      <c r="E3461" t="s">
        <v>11</v>
      </c>
      <c r="G3461" t="s">
        <v>74</v>
      </c>
      <c r="H3461" t="s">
        <v>14</v>
      </c>
    </row>
    <row r="3462" spans="1:8" hidden="1" x14ac:dyDescent="0.25">
      <c r="A3462" t="s">
        <v>4807</v>
      </c>
      <c r="B3462" s="1" t="str">
        <f>HYPERLINK("https://asmlis.vasa.lt/Dashboard/Served?ServiceDateFrom=2025-11-24&amp;ServiceDateTo=2025-11-24&amp;DumpsterInvNr=13-T-000098", "13-T-000098")</f>
        <v>13-T-000098</v>
      </c>
      <c r="C3462">
        <v>2.5</v>
      </c>
      <c r="D3462" t="s">
        <v>4808</v>
      </c>
      <c r="E3462" t="s">
        <v>11</v>
      </c>
      <c r="F3462" t="s">
        <v>13</v>
      </c>
      <c r="G3462" t="s">
        <v>1899</v>
      </c>
      <c r="H3462" t="s">
        <v>432</v>
      </c>
    </row>
    <row r="3463" spans="1:8" hidden="1" x14ac:dyDescent="0.25">
      <c r="A3463" t="s">
        <v>4809</v>
      </c>
      <c r="B3463" s="1" t="str">
        <f>HYPERLINK("https://asmlis.vasa.lt/Dashboard/Served?ServiceDateFrom=2025-11-24&amp;ServiceDateTo=2025-11-24&amp;DumpsterInvNr=13-L-420432", "13-L-420432")</f>
        <v>13-L-420432</v>
      </c>
      <c r="C3463">
        <v>1.1000000000000001</v>
      </c>
      <c r="D3463" t="s">
        <v>4795</v>
      </c>
      <c r="E3463" t="s">
        <v>11</v>
      </c>
      <c r="G3463" t="s">
        <v>74</v>
      </c>
      <c r="H3463" t="s">
        <v>14</v>
      </c>
    </row>
    <row r="3464" spans="1:8" hidden="1" x14ac:dyDescent="0.25">
      <c r="A3464" t="s">
        <v>4810</v>
      </c>
      <c r="B3464" s="1" t="str">
        <f>HYPERLINK("https://asmlis.vasa.lt/Dashboard/Served?ServiceDateFrom=2025-11-24&amp;ServiceDateTo=2025-11-24&amp;DumpsterInvNr=13-L-212062", "13-L-212062")</f>
        <v>13-L-212062</v>
      </c>
      <c r="C3464">
        <v>1.1000000000000001</v>
      </c>
      <c r="D3464" t="s">
        <v>4811</v>
      </c>
      <c r="E3464" t="s">
        <v>11</v>
      </c>
      <c r="G3464" t="s">
        <v>936</v>
      </c>
      <c r="H3464" t="s">
        <v>938</v>
      </c>
    </row>
    <row r="3465" spans="1:8" hidden="1" x14ac:dyDescent="0.25">
      <c r="A3465" t="s">
        <v>4812</v>
      </c>
      <c r="B3465" s="1" t="str">
        <f>HYPERLINK("https://asmlis.vasa.lt/Dashboard/Served?ServiceDateFrom=2025-11-24&amp;ServiceDateTo=2025-11-24&amp;DumpsterInvNr=13-L-146661", "13-L-146661")</f>
        <v>13-L-146661</v>
      </c>
      <c r="C3465">
        <v>1.1000000000000001</v>
      </c>
      <c r="D3465" t="s">
        <v>4150</v>
      </c>
      <c r="E3465" t="s">
        <v>11</v>
      </c>
      <c r="G3465" t="s">
        <v>1912</v>
      </c>
      <c r="H3465" t="s">
        <v>432</v>
      </c>
    </row>
    <row r="3466" spans="1:8" hidden="1" x14ac:dyDescent="0.25">
      <c r="A3466" t="s">
        <v>4813</v>
      </c>
      <c r="B3466" s="1" t="str">
        <f>HYPERLINK("https://asmlis.vasa.lt/Dashboard/Served?ServiceDateFrom=2025-11-24&amp;ServiceDateTo=2025-11-24&amp;DumpsterInvNr=13-L-133793", "13-L-133793")</f>
        <v>13-L-133793</v>
      </c>
      <c r="C3466">
        <v>5</v>
      </c>
      <c r="D3466" t="s">
        <v>4814</v>
      </c>
      <c r="E3466" t="s">
        <v>11</v>
      </c>
      <c r="F3466" t="s">
        <v>13</v>
      </c>
      <c r="G3466" t="s">
        <v>1912</v>
      </c>
      <c r="H3466" t="s">
        <v>432</v>
      </c>
    </row>
    <row r="3467" spans="1:8" hidden="1" x14ac:dyDescent="0.25">
      <c r="A3467" t="s">
        <v>4815</v>
      </c>
      <c r="B3467" s="1" t="str">
        <f>HYPERLINK("https://asmlis.vasa.lt/Dashboard/Served?ServiceDateFrom=2025-11-24&amp;ServiceDateTo=2025-11-24&amp;DumpsterInvNr=13-L-312012", "13-L-312012")</f>
        <v>13-L-312012</v>
      </c>
      <c r="C3467">
        <v>1.1000000000000001</v>
      </c>
      <c r="D3467" t="s">
        <v>4797</v>
      </c>
      <c r="E3467" t="s">
        <v>11</v>
      </c>
      <c r="F3467" t="s">
        <v>13</v>
      </c>
      <c r="G3467" t="s">
        <v>9</v>
      </c>
      <c r="H3467" t="s">
        <v>14</v>
      </c>
    </row>
    <row r="3468" spans="1:8" hidden="1" x14ac:dyDescent="0.25">
      <c r="A3468" t="s">
        <v>4815</v>
      </c>
      <c r="B3468" s="1" t="str">
        <f>HYPERLINK("https://asmlis.vasa.lt/Dashboard/Served?ServiceDateFrom=2025-11-24&amp;ServiceDateTo=2025-11-24&amp;DumpsterInvNr=13-S-503676", "13-S-503676")</f>
        <v>13-S-503676</v>
      </c>
      <c r="C3468">
        <v>0.12</v>
      </c>
      <c r="D3468" t="s">
        <v>4816</v>
      </c>
      <c r="E3468" t="s">
        <v>11</v>
      </c>
      <c r="F3468" t="s">
        <v>1209</v>
      </c>
      <c r="G3468" t="s">
        <v>2178</v>
      </c>
      <c r="H3468" t="s">
        <v>432</v>
      </c>
    </row>
    <row r="3469" spans="1:8" hidden="1" x14ac:dyDescent="0.25">
      <c r="A3469" t="s">
        <v>4817</v>
      </c>
      <c r="B3469" s="1" t="str">
        <f>HYPERLINK("https://asmlis.vasa.lt/Dashboard/Served?ServiceDateFrom=2025-11-24&amp;ServiceDateTo=2025-11-24&amp;DumpsterInvNr=13-T-000099", "13-T-000099")</f>
        <v>13-T-000099</v>
      </c>
      <c r="C3469">
        <v>2.5</v>
      </c>
      <c r="D3469" t="s">
        <v>4808</v>
      </c>
      <c r="E3469" t="s">
        <v>11</v>
      </c>
      <c r="F3469" t="s">
        <v>13</v>
      </c>
      <c r="G3469" t="s">
        <v>1899</v>
      </c>
      <c r="H3469" t="s">
        <v>432</v>
      </c>
    </row>
    <row r="3470" spans="1:8" hidden="1" x14ac:dyDescent="0.25">
      <c r="A3470" t="s">
        <v>4818</v>
      </c>
      <c r="B3470" s="1" t="str">
        <f>HYPERLINK("https://asmlis.vasa.lt/Dashboard/Served?ServiceDateFrom=2025-11-24&amp;ServiceDateTo=2025-11-24&amp;DumpsterInvNr=13-L-413322", "13-L-413322")</f>
        <v>13-L-413322</v>
      </c>
      <c r="C3470">
        <v>5</v>
      </c>
      <c r="D3470" t="s">
        <v>4819</v>
      </c>
      <c r="E3470" t="s">
        <v>11</v>
      </c>
      <c r="G3470" t="s">
        <v>74</v>
      </c>
      <c r="H3470" t="s">
        <v>14</v>
      </c>
    </row>
    <row r="3471" spans="1:8" hidden="1" x14ac:dyDescent="0.25">
      <c r="A3471" t="s">
        <v>4818</v>
      </c>
      <c r="B3471" s="1" t="str">
        <f>HYPERLINK("https://asmlis.vasa.lt/Dashboard/Served?ServiceDateFrom=2025-11-24&amp;ServiceDateTo=2025-11-24&amp;DumpsterInvNr=13-P-506037", "13-P-506037")</f>
        <v>13-P-506037</v>
      </c>
      <c r="C3471">
        <v>1.1000000000000001</v>
      </c>
      <c r="D3471" t="s">
        <v>4820</v>
      </c>
      <c r="E3471" t="s">
        <v>11</v>
      </c>
      <c r="G3471" t="s">
        <v>2178</v>
      </c>
      <c r="H3471" t="s">
        <v>432</v>
      </c>
    </row>
    <row r="3472" spans="1:8" hidden="1" x14ac:dyDescent="0.25">
      <c r="A3472" t="s">
        <v>4821</v>
      </c>
      <c r="B3472" s="1" t="str">
        <f>HYPERLINK("https://asmlis.vasa.lt/Dashboard/Served?ServiceDateFrom=2025-11-24&amp;ServiceDateTo=2025-11-24&amp;DumpsterInvNr=13-L-128659", "13-L-128659")</f>
        <v>13-L-128659</v>
      </c>
      <c r="C3472">
        <v>0.24</v>
      </c>
      <c r="D3472" t="s">
        <v>4816</v>
      </c>
      <c r="E3472" t="s">
        <v>11</v>
      </c>
      <c r="G3472" t="s">
        <v>430</v>
      </c>
      <c r="H3472" t="s">
        <v>432</v>
      </c>
    </row>
    <row r="3473" spans="1:10" hidden="1" x14ac:dyDescent="0.25">
      <c r="A3473" t="s">
        <v>4821</v>
      </c>
      <c r="B3473" s="1" t="str">
        <f>HYPERLINK("https://asmlis.vasa.lt/Dashboard/Served?ServiceDateFrom=2025-11-24&amp;ServiceDateTo=2025-11-24&amp;DumpsterInvNr=13-L-313302", "13-L-313302")</f>
        <v>13-L-313302</v>
      </c>
      <c r="C3473">
        <v>0.24</v>
      </c>
      <c r="D3473" t="s">
        <v>4822</v>
      </c>
      <c r="E3473" t="s">
        <v>11</v>
      </c>
      <c r="F3473" t="s">
        <v>13</v>
      </c>
      <c r="G3473" t="s">
        <v>9</v>
      </c>
      <c r="H3473" t="s">
        <v>14</v>
      </c>
    </row>
    <row r="3474" spans="1:10" hidden="1" x14ac:dyDescent="0.25">
      <c r="A3474" t="s">
        <v>4821</v>
      </c>
      <c r="B3474" s="1" t="str">
        <f>HYPERLINK("https://asmlis.vasa.lt/Dashboard/Served?ServiceDateFrom=2025-11-24&amp;ServiceDateTo=2025-11-24&amp;DumpsterInvNr=13-P-502925", "13-P-502925")</f>
        <v>13-P-502925</v>
      </c>
      <c r="C3474">
        <v>0.24</v>
      </c>
      <c r="D3474" t="s">
        <v>4816</v>
      </c>
      <c r="E3474" t="s">
        <v>11</v>
      </c>
      <c r="G3474" t="s">
        <v>2178</v>
      </c>
      <c r="H3474" t="s">
        <v>432</v>
      </c>
    </row>
    <row r="3475" spans="1:10" x14ac:dyDescent="0.25">
      <c r="A3475" t="s">
        <v>3696</v>
      </c>
      <c r="B3475" s="1" t="str">
        <f>HYPERLINK("https://asmlis.vasa.lt/Dashboard/Served?ServiceDateFrom=2025-11-24&amp;ServiceDateTo=2025-11-24&amp;DumpsterInvNr=13-P-209708", "13-P-209708")</f>
        <v>13-P-209708</v>
      </c>
      <c r="C3475">
        <v>0.24</v>
      </c>
      <c r="D3475" t="s">
        <v>4823</v>
      </c>
      <c r="E3475" t="s">
        <v>11</v>
      </c>
      <c r="F3475" t="s">
        <v>1215</v>
      </c>
      <c r="G3475" t="s">
        <v>234</v>
      </c>
      <c r="H3475" t="s">
        <v>14</v>
      </c>
      <c r="J3475" t="s">
        <v>17511</v>
      </c>
    </row>
    <row r="3476" spans="1:10" hidden="1" x14ac:dyDescent="0.25">
      <c r="A3476" t="s">
        <v>4330</v>
      </c>
      <c r="B3476" s="1" t="str">
        <f>HYPERLINK("https://asmlis.vasa.lt/Dashboard/Served?ServiceDateFrom=2025-11-24&amp;ServiceDateTo=2025-11-24&amp;DumpsterInvNr=13-L-120085", "13-L-120085")</f>
        <v>13-L-120085</v>
      </c>
      <c r="C3476">
        <v>1.1000000000000001</v>
      </c>
      <c r="D3476" t="s">
        <v>4150</v>
      </c>
      <c r="E3476" t="s">
        <v>11</v>
      </c>
      <c r="G3476" t="s">
        <v>1912</v>
      </c>
      <c r="H3476" t="s">
        <v>432</v>
      </c>
    </row>
    <row r="3477" spans="1:10" hidden="1" x14ac:dyDescent="0.25">
      <c r="A3477" t="s">
        <v>4824</v>
      </c>
      <c r="B3477" s="1" t="str">
        <f>HYPERLINK("https://asmlis.vasa.lt/Dashboard/Served?ServiceDateFrom=2025-11-24&amp;ServiceDateTo=2025-11-24&amp;DumpsterInvNr=13-L-426806", "13-L-426806")</f>
        <v>13-L-426806</v>
      </c>
      <c r="C3477">
        <v>1.1000000000000001</v>
      </c>
      <c r="D3477" t="s">
        <v>4678</v>
      </c>
      <c r="E3477" t="s">
        <v>11</v>
      </c>
      <c r="F3477" t="s">
        <v>13</v>
      </c>
      <c r="G3477" t="s">
        <v>74</v>
      </c>
      <c r="H3477" t="s">
        <v>14</v>
      </c>
    </row>
    <row r="3478" spans="1:10" hidden="1" x14ac:dyDescent="0.25">
      <c r="A3478" t="s">
        <v>4542</v>
      </c>
      <c r="B3478" s="1" t="str">
        <f>HYPERLINK("https://asmlis.vasa.lt/Dashboard/Served?ServiceDateFrom=2025-11-24&amp;ServiceDateTo=2025-11-24&amp;DumpsterInvNr=13-P-412045", "13-P-412045")</f>
        <v>13-P-412045</v>
      </c>
      <c r="C3478">
        <v>0.24</v>
      </c>
      <c r="D3478" t="s">
        <v>4825</v>
      </c>
      <c r="E3478" t="s">
        <v>11</v>
      </c>
      <c r="F3478" t="s">
        <v>1209</v>
      </c>
      <c r="G3478" t="s">
        <v>264</v>
      </c>
      <c r="H3478" t="s">
        <v>14</v>
      </c>
    </row>
    <row r="3479" spans="1:10" x14ac:dyDescent="0.25">
      <c r="A3479" t="s">
        <v>4542</v>
      </c>
      <c r="B3479" s="1" t="str">
        <f>HYPERLINK("https://asmlis.vasa.lt/Dashboard/Served?ServiceDateFrom=2025-11-24&amp;ServiceDateTo=2025-11-24&amp;DumpsterInvNr=13-P-207157", "13-P-207157")</f>
        <v>13-P-207157</v>
      </c>
      <c r="C3479">
        <v>0.24</v>
      </c>
      <c r="D3479" t="s">
        <v>4826</v>
      </c>
      <c r="E3479" t="s">
        <v>11</v>
      </c>
      <c r="F3479" t="s">
        <v>1215</v>
      </c>
      <c r="G3479" t="s">
        <v>234</v>
      </c>
      <c r="H3479" t="s">
        <v>14</v>
      </c>
      <c r="J3479" t="s">
        <v>17511</v>
      </c>
    </row>
    <row r="3480" spans="1:10" hidden="1" x14ac:dyDescent="0.25">
      <c r="A3480" t="s">
        <v>4827</v>
      </c>
      <c r="B3480" s="1" t="str">
        <f>HYPERLINK("https://asmlis.vasa.lt/Dashboard/Served?ServiceDateFrom=2025-11-24&amp;ServiceDateTo=2025-11-24&amp;DumpsterInvNr=13-L-120086", "13-L-120086")</f>
        <v>13-L-120086</v>
      </c>
      <c r="C3480">
        <v>1.1000000000000001</v>
      </c>
      <c r="D3480" t="s">
        <v>4150</v>
      </c>
      <c r="E3480" t="s">
        <v>11</v>
      </c>
      <c r="G3480" t="s">
        <v>1912</v>
      </c>
      <c r="H3480" t="s">
        <v>432</v>
      </c>
    </row>
    <row r="3481" spans="1:10" hidden="1" x14ac:dyDescent="0.25">
      <c r="A3481" t="s">
        <v>4829</v>
      </c>
      <c r="B3481" s="1" t="str">
        <f>HYPERLINK("https://asmlis.vasa.lt/Dashboard/Served?ServiceDateFrom=2025-11-24&amp;ServiceDateTo=2025-11-24&amp;DumpsterInvNr=13-P-502980", "13-P-502980")</f>
        <v>13-P-502980</v>
      </c>
      <c r="C3481">
        <v>0.24</v>
      </c>
      <c r="D3481" t="s">
        <v>4830</v>
      </c>
      <c r="E3481" t="s">
        <v>11</v>
      </c>
      <c r="F3481" t="s">
        <v>1209</v>
      </c>
      <c r="G3481" t="s">
        <v>2178</v>
      </c>
      <c r="H3481" t="s">
        <v>432</v>
      </c>
    </row>
    <row r="3482" spans="1:10" hidden="1" x14ac:dyDescent="0.25">
      <c r="A3482" t="s">
        <v>4832</v>
      </c>
      <c r="B3482" s="1" t="str">
        <f>HYPERLINK("https://asmlis.vasa.lt/Dashboard/Served?ServiceDateFrom=2025-11-24&amp;ServiceDateTo=2025-11-24&amp;DumpsterInvNr=13-L-139603", "13-L-139603")</f>
        <v>13-L-139603</v>
      </c>
      <c r="C3482">
        <v>0.24</v>
      </c>
      <c r="D3482" t="s">
        <v>4830</v>
      </c>
      <c r="E3482" t="s">
        <v>11</v>
      </c>
      <c r="F3482" t="s">
        <v>1209</v>
      </c>
      <c r="G3482" t="s">
        <v>430</v>
      </c>
      <c r="H3482" t="s">
        <v>432</v>
      </c>
    </row>
    <row r="3483" spans="1:10" hidden="1" x14ac:dyDescent="0.25">
      <c r="A3483" t="s">
        <v>4833</v>
      </c>
      <c r="B3483" s="1" t="str">
        <f>HYPERLINK("https://asmlis.vasa.lt/Dashboard/Served?ServiceDateFrom=2025-11-24&amp;ServiceDateTo=2025-11-24&amp;DumpsterInvNr=13-S-405216", "13-S-405216")</f>
        <v>13-S-405216</v>
      </c>
      <c r="C3483">
        <v>0.12</v>
      </c>
      <c r="D3483" t="s">
        <v>4834</v>
      </c>
      <c r="E3483" t="s">
        <v>11</v>
      </c>
      <c r="F3483" t="s">
        <v>1209</v>
      </c>
      <c r="G3483" t="s">
        <v>264</v>
      </c>
      <c r="H3483" t="s">
        <v>14</v>
      </c>
    </row>
    <row r="3484" spans="1:10" hidden="1" x14ac:dyDescent="0.25">
      <c r="A3484" t="s">
        <v>4833</v>
      </c>
      <c r="B3484" s="1" t="str">
        <f>HYPERLINK("https://asmlis.vasa.lt/Dashboard/Served?ServiceDateFrom=2025-11-24&amp;ServiceDateTo=2025-11-24&amp;DumpsterInvNr=13-S-404641", "13-S-404641")</f>
        <v>13-S-404641</v>
      </c>
      <c r="C3484">
        <v>0.12</v>
      </c>
      <c r="D3484" t="s">
        <v>4835</v>
      </c>
      <c r="E3484" t="s">
        <v>11</v>
      </c>
      <c r="F3484" t="s">
        <v>1209</v>
      </c>
      <c r="G3484" t="s">
        <v>264</v>
      </c>
      <c r="H3484" t="s">
        <v>14</v>
      </c>
    </row>
    <row r="3485" spans="1:10" x14ac:dyDescent="0.25">
      <c r="A3485" t="s">
        <v>4836</v>
      </c>
      <c r="B3485" s="1" t="str">
        <f>HYPERLINK("https://asmlis.vasa.lt/Dashboard/Served?ServiceDateFrom=2025-11-24&amp;ServiceDateTo=2025-11-24&amp;DumpsterInvNr=13-P-210706", "13-P-210706")</f>
        <v>13-P-210706</v>
      </c>
      <c r="C3485">
        <v>0.24</v>
      </c>
      <c r="D3485" t="s">
        <v>4837</v>
      </c>
      <c r="E3485" t="s">
        <v>11</v>
      </c>
      <c r="F3485" t="s">
        <v>1215</v>
      </c>
      <c r="G3485" t="s">
        <v>234</v>
      </c>
      <c r="H3485" t="s">
        <v>14</v>
      </c>
      <c r="J3485" t="s">
        <v>17511</v>
      </c>
    </row>
    <row r="3486" spans="1:10" hidden="1" x14ac:dyDescent="0.25">
      <c r="A3486" t="s">
        <v>4839</v>
      </c>
      <c r="B3486" s="1" t="str">
        <f>HYPERLINK("https://asmlis.vasa.lt/Dashboard/Served?ServiceDateFrom=2025-11-24&amp;ServiceDateTo=2025-11-24&amp;DumpsterInvNr=13-L-141009", "13-L-141009")</f>
        <v>13-L-141009</v>
      </c>
      <c r="C3486">
        <v>0.24</v>
      </c>
      <c r="D3486" t="s">
        <v>4840</v>
      </c>
      <c r="E3486" t="s">
        <v>11</v>
      </c>
      <c r="G3486" t="s">
        <v>430</v>
      </c>
      <c r="H3486" t="s">
        <v>432</v>
      </c>
    </row>
    <row r="3487" spans="1:10" hidden="1" x14ac:dyDescent="0.25">
      <c r="A3487" t="s">
        <v>4839</v>
      </c>
      <c r="B3487" s="1" t="str">
        <f>HYPERLINK("https://asmlis.vasa.lt/Dashboard/Served?ServiceDateFrom=2025-11-24&amp;ServiceDateTo=2025-11-24&amp;DumpsterInvNr=13-P-502922", "13-P-502922")</f>
        <v>13-P-502922</v>
      </c>
      <c r="C3487">
        <v>0.24</v>
      </c>
      <c r="D3487" t="s">
        <v>4840</v>
      </c>
      <c r="E3487" t="s">
        <v>11</v>
      </c>
      <c r="G3487" t="s">
        <v>2178</v>
      </c>
      <c r="H3487" t="s">
        <v>432</v>
      </c>
    </row>
    <row r="3488" spans="1:10" hidden="1" x14ac:dyDescent="0.25">
      <c r="A3488" t="s">
        <v>4839</v>
      </c>
      <c r="B3488" s="1" t="str">
        <f>HYPERLINK("https://asmlis.vasa.lt/Dashboard/Served?ServiceDateFrom=2025-11-24&amp;ServiceDateTo=2025-11-24&amp;DumpsterInvNr=13-S-503686", "13-S-503686")</f>
        <v>13-S-503686</v>
      </c>
      <c r="C3488">
        <v>0.12</v>
      </c>
      <c r="D3488" t="s">
        <v>4840</v>
      </c>
      <c r="E3488" t="s">
        <v>11</v>
      </c>
      <c r="F3488" t="s">
        <v>1209</v>
      </c>
      <c r="G3488" t="s">
        <v>2178</v>
      </c>
      <c r="H3488" t="s">
        <v>432</v>
      </c>
    </row>
    <row r="3489" spans="1:10" hidden="1" x14ac:dyDescent="0.25">
      <c r="A3489" t="s">
        <v>4838</v>
      </c>
      <c r="B3489" s="1" t="str">
        <f>HYPERLINK("https://asmlis.vasa.lt/Dashboard/Served?ServiceDateFrom=2025-11-24&amp;ServiceDateTo=2025-11-24&amp;DumpsterInvNr=13-L-120087", "13-L-120087")</f>
        <v>13-L-120087</v>
      </c>
      <c r="C3489">
        <v>1.1000000000000001</v>
      </c>
      <c r="D3489" t="s">
        <v>4150</v>
      </c>
      <c r="E3489" t="s">
        <v>11</v>
      </c>
      <c r="G3489" t="s">
        <v>1912</v>
      </c>
      <c r="H3489" t="s">
        <v>432</v>
      </c>
    </row>
    <row r="3490" spans="1:10" hidden="1" x14ac:dyDescent="0.25">
      <c r="A3490" t="s">
        <v>4842</v>
      </c>
      <c r="B3490" s="1" t="str">
        <f>HYPERLINK("https://asmlis.vasa.lt/Dashboard/Served?ServiceDateFrom=2025-11-24&amp;ServiceDateTo=2025-11-24&amp;DumpsterInvNr=13-L-136690", "13-L-136690")</f>
        <v>13-L-136690</v>
      </c>
      <c r="C3490">
        <v>5</v>
      </c>
      <c r="D3490" t="s">
        <v>4843</v>
      </c>
      <c r="E3490" t="s">
        <v>11</v>
      </c>
      <c r="F3490" t="s">
        <v>13</v>
      </c>
      <c r="G3490" t="s">
        <v>430</v>
      </c>
      <c r="H3490" t="s">
        <v>432</v>
      </c>
    </row>
    <row r="3491" spans="1:10" hidden="1" x14ac:dyDescent="0.25">
      <c r="A3491" t="s">
        <v>4844</v>
      </c>
      <c r="B3491" s="1" t="str">
        <f>HYPERLINK("https://asmlis.vasa.lt/Dashboard/Served?ServiceDateFrom=2025-11-24&amp;ServiceDateTo=2025-11-24&amp;DumpsterInvNr=13-L-221546", "13-L-221546")</f>
        <v>13-L-221546</v>
      </c>
      <c r="C3491">
        <v>1.1000000000000001</v>
      </c>
      <c r="D3491" t="s">
        <v>4845</v>
      </c>
      <c r="E3491" t="s">
        <v>11</v>
      </c>
      <c r="G3491" t="s">
        <v>936</v>
      </c>
      <c r="H3491" t="s">
        <v>938</v>
      </c>
    </row>
    <row r="3492" spans="1:10" hidden="1" x14ac:dyDescent="0.25">
      <c r="A3492" t="s">
        <v>4453</v>
      </c>
      <c r="B3492" s="1" t="str">
        <f>HYPERLINK("https://asmlis.vasa.lt/Dashboard/Served?ServiceDateFrom=2025-11-24&amp;ServiceDateTo=2025-11-24&amp;DumpsterInvNr=13-L-137055", "13-L-137055")</f>
        <v>13-L-137055</v>
      </c>
      <c r="C3492">
        <v>1.1000000000000001</v>
      </c>
      <c r="D3492" t="s">
        <v>4846</v>
      </c>
      <c r="E3492" t="s">
        <v>11</v>
      </c>
      <c r="G3492" t="s">
        <v>430</v>
      </c>
      <c r="H3492" t="s">
        <v>432</v>
      </c>
    </row>
    <row r="3493" spans="1:10" hidden="1" x14ac:dyDescent="0.25">
      <c r="A3493" t="s">
        <v>4453</v>
      </c>
      <c r="B3493" s="1" t="str">
        <f>HYPERLINK("https://asmlis.vasa.lt/Dashboard/Served?ServiceDateFrom=2025-11-24&amp;ServiceDateTo=2025-11-24&amp;DumpsterInvNr=13-L-225964", "13-L-225964")</f>
        <v>13-L-225964</v>
      </c>
      <c r="C3493">
        <v>3</v>
      </c>
      <c r="D3493" t="s">
        <v>4847</v>
      </c>
      <c r="E3493" t="s">
        <v>11</v>
      </c>
      <c r="F3493" t="s">
        <v>13</v>
      </c>
      <c r="G3493" t="s">
        <v>936</v>
      </c>
      <c r="H3493" t="s">
        <v>938</v>
      </c>
    </row>
    <row r="3494" spans="1:10" hidden="1" x14ac:dyDescent="0.25">
      <c r="A3494" t="s">
        <v>4538</v>
      </c>
      <c r="B3494" s="1" t="str">
        <f>HYPERLINK("https://asmlis.vasa.lt/Dashboard/Served?ServiceDateFrom=2025-11-24&amp;ServiceDateTo=2025-11-24&amp;DumpsterInvNr=13-L-120084", "13-L-120084")</f>
        <v>13-L-120084</v>
      </c>
      <c r="C3494">
        <v>1.1000000000000001</v>
      </c>
      <c r="D3494" t="s">
        <v>4150</v>
      </c>
      <c r="E3494" t="s">
        <v>11</v>
      </c>
      <c r="G3494" t="s">
        <v>1912</v>
      </c>
      <c r="H3494" t="s">
        <v>432</v>
      </c>
    </row>
    <row r="3495" spans="1:10" hidden="1" x14ac:dyDescent="0.25">
      <c r="A3495" t="s">
        <v>4490</v>
      </c>
      <c r="B3495" s="1" t="str">
        <f>HYPERLINK("https://asmlis.vasa.lt/Dashboard/Served?ServiceDateFrom=2025-11-24&amp;ServiceDateTo=2025-11-24&amp;DumpsterInvNr=13-P-413538", "13-P-413538")</f>
        <v>13-P-413538</v>
      </c>
      <c r="C3495">
        <v>1.1000000000000001</v>
      </c>
      <c r="D3495" t="s">
        <v>4497</v>
      </c>
      <c r="E3495" t="s">
        <v>11</v>
      </c>
      <c r="G3495" t="s">
        <v>264</v>
      </c>
      <c r="H3495" t="s">
        <v>14</v>
      </c>
    </row>
    <row r="3496" spans="1:10" hidden="1" x14ac:dyDescent="0.25">
      <c r="A3496" t="s">
        <v>4576</v>
      </c>
      <c r="B3496" s="1" t="str">
        <f>HYPERLINK("https://asmlis.vasa.lt/Dashboard/Served?ServiceDateFrom=2025-11-24&amp;ServiceDateTo=2025-11-24&amp;DumpsterInvNr=13-P-204958", "13-P-204958")</f>
        <v>13-P-204958</v>
      </c>
      <c r="C3496">
        <v>5</v>
      </c>
      <c r="D3496" t="s">
        <v>4849</v>
      </c>
      <c r="E3496" t="s">
        <v>11</v>
      </c>
      <c r="G3496" t="s">
        <v>234</v>
      </c>
      <c r="H3496" t="s">
        <v>14</v>
      </c>
    </row>
    <row r="3497" spans="1:10" x14ac:dyDescent="0.25">
      <c r="A3497" t="s">
        <v>4747</v>
      </c>
      <c r="B3497" s="1" t="str">
        <f>HYPERLINK("https://asmlis.vasa.lt/Dashboard/Served?ServiceDateFrom=2025-11-24&amp;ServiceDateTo=2025-11-24&amp;DumpsterInvNr=13-P-210779", "13-P-210779")</f>
        <v>13-P-210779</v>
      </c>
      <c r="C3497">
        <v>0.24</v>
      </c>
      <c r="D3497" t="s">
        <v>4850</v>
      </c>
      <c r="E3497" t="s">
        <v>11</v>
      </c>
      <c r="F3497" t="s">
        <v>1215</v>
      </c>
      <c r="G3497" t="s">
        <v>234</v>
      </c>
      <c r="H3497" t="s">
        <v>14</v>
      </c>
      <c r="J3497" t="s">
        <v>17511</v>
      </c>
    </row>
    <row r="3498" spans="1:10" hidden="1" x14ac:dyDescent="0.25">
      <c r="A3498" t="s">
        <v>4459</v>
      </c>
      <c r="B3498" s="1" t="str">
        <f>HYPERLINK("https://asmlis.vasa.lt/Dashboard/Served?ServiceDateFrom=2025-11-24&amp;ServiceDateTo=2025-11-24&amp;DumpsterInvNr=13-L-148981", "13-L-148981")</f>
        <v>13-L-148981</v>
      </c>
      <c r="C3498">
        <v>1.1000000000000001</v>
      </c>
      <c r="D3498" t="s">
        <v>4846</v>
      </c>
      <c r="E3498" t="s">
        <v>11</v>
      </c>
      <c r="G3498" t="s">
        <v>430</v>
      </c>
      <c r="H3498" t="s">
        <v>432</v>
      </c>
    </row>
    <row r="3499" spans="1:10" hidden="1" x14ac:dyDescent="0.25">
      <c r="A3499" t="s">
        <v>4852</v>
      </c>
      <c r="B3499" s="1" t="str">
        <f>HYPERLINK("https://asmlis.vasa.lt/Dashboard/Served?ServiceDateFrom=2025-11-24&amp;ServiceDateTo=2025-11-24&amp;DumpsterInvNr=13-P-415890", "13-P-415890")</f>
        <v>13-P-415890</v>
      </c>
      <c r="C3499">
        <v>0.24</v>
      </c>
      <c r="D3499" t="s">
        <v>4853</v>
      </c>
      <c r="E3499" t="s">
        <v>11</v>
      </c>
      <c r="G3499" t="s">
        <v>264</v>
      </c>
      <c r="H3499" t="s">
        <v>14</v>
      </c>
    </row>
    <row r="3500" spans="1:10" hidden="1" x14ac:dyDescent="0.25">
      <c r="A3500" t="s">
        <v>3577</v>
      </c>
      <c r="B3500" s="1" t="str">
        <f>HYPERLINK("https://asmlis.vasa.lt/Dashboard/Served?ServiceDateFrom=2025-11-24&amp;ServiceDateTo=2025-11-24&amp;DumpsterInvNr=13-L-146545", "13-L-146545")</f>
        <v>13-L-146545</v>
      </c>
      <c r="C3500">
        <v>1.1000000000000001</v>
      </c>
      <c r="D3500" t="s">
        <v>4150</v>
      </c>
      <c r="E3500" t="s">
        <v>11</v>
      </c>
      <c r="G3500" t="s">
        <v>1912</v>
      </c>
      <c r="H3500" t="s">
        <v>432</v>
      </c>
    </row>
    <row r="3501" spans="1:10" hidden="1" x14ac:dyDescent="0.25">
      <c r="A3501" t="s">
        <v>4855</v>
      </c>
      <c r="B3501" s="1" t="str">
        <f>HYPERLINK("https://asmlis.vasa.lt/Dashboard/Served?ServiceDateFrom=2025-11-24&amp;ServiceDateTo=2025-11-24&amp;DumpsterInvNr=13-L-214413", "13-L-214413")</f>
        <v>13-L-214413</v>
      </c>
      <c r="C3501">
        <v>1.1000000000000001</v>
      </c>
      <c r="D3501" t="s">
        <v>1968</v>
      </c>
      <c r="E3501" t="s">
        <v>11</v>
      </c>
      <c r="F3501" t="s">
        <v>13</v>
      </c>
      <c r="G3501" t="s">
        <v>936</v>
      </c>
      <c r="H3501" t="s">
        <v>938</v>
      </c>
    </row>
    <row r="3502" spans="1:10" hidden="1" x14ac:dyDescent="0.25">
      <c r="A3502" t="s">
        <v>4856</v>
      </c>
      <c r="B3502" s="1" t="str">
        <f>HYPERLINK("https://asmlis.vasa.lt/Dashboard/Served?ServiceDateFrom=2025-11-24&amp;ServiceDateTo=2025-11-24&amp;DumpsterInvNr=13-L-225209", "13-L-225209")</f>
        <v>13-L-225209</v>
      </c>
      <c r="C3502">
        <v>0.24</v>
      </c>
      <c r="D3502" t="s">
        <v>4857</v>
      </c>
      <c r="E3502" t="s">
        <v>11</v>
      </c>
      <c r="G3502" t="s">
        <v>936</v>
      </c>
      <c r="H3502" t="s">
        <v>938</v>
      </c>
    </row>
    <row r="3503" spans="1:10" hidden="1" x14ac:dyDescent="0.25">
      <c r="A3503" t="s">
        <v>4858</v>
      </c>
      <c r="B3503" s="1" t="str">
        <f>HYPERLINK("https://asmlis.vasa.lt/Dashboard/Served?ServiceDateFrom=2025-11-24&amp;ServiceDateTo=2025-11-24&amp;DumpsterInvNr=13-P-102459", "13-P-102459")</f>
        <v>13-P-102459</v>
      </c>
      <c r="C3503">
        <v>5</v>
      </c>
      <c r="D3503" t="s">
        <v>4859</v>
      </c>
      <c r="E3503" t="s">
        <v>11</v>
      </c>
      <c r="F3503" t="s">
        <v>13</v>
      </c>
      <c r="G3503" t="s">
        <v>1917</v>
      </c>
      <c r="H3503" t="s">
        <v>432</v>
      </c>
    </row>
    <row r="3504" spans="1:10" hidden="1" x14ac:dyDescent="0.25">
      <c r="A3504" t="s">
        <v>4860</v>
      </c>
      <c r="B3504" s="1" t="str">
        <f>HYPERLINK("https://asmlis.vasa.lt/Dashboard/Served?ServiceDateFrom=2025-11-24&amp;ServiceDateTo=2025-11-24&amp;DumpsterInvNr=13-S-408733", "13-S-408733")</f>
        <v>13-S-408733</v>
      </c>
      <c r="C3504">
        <v>0.12</v>
      </c>
      <c r="D3504" t="s">
        <v>4853</v>
      </c>
      <c r="E3504" t="s">
        <v>11</v>
      </c>
      <c r="G3504" t="s">
        <v>264</v>
      </c>
      <c r="H3504" t="s">
        <v>14</v>
      </c>
    </row>
    <row r="3505" spans="1:8" hidden="1" x14ac:dyDescent="0.25">
      <c r="A3505" t="s">
        <v>4861</v>
      </c>
      <c r="B3505" s="1" t="str">
        <f>HYPERLINK("https://asmlis.vasa.lt/Dashboard/Served?ServiceDateFrom=2025-11-24&amp;ServiceDateTo=2025-11-24&amp;DumpsterInvNr=13-P-502951", "13-P-502951")</f>
        <v>13-P-502951</v>
      </c>
      <c r="C3505">
        <v>0.24</v>
      </c>
      <c r="D3505" t="s">
        <v>4862</v>
      </c>
      <c r="E3505" t="s">
        <v>11</v>
      </c>
      <c r="G3505" t="s">
        <v>2178</v>
      </c>
      <c r="H3505" t="s">
        <v>432</v>
      </c>
    </row>
    <row r="3506" spans="1:8" hidden="1" x14ac:dyDescent="0.25">
      <c r="A3506" t="s">
        <v>4861</v>
      </c>
      <c r="B3506" s="1" t="str">
        <f>HYPERLINK("https://asmlis.vasa.lt/Dashboard/Served?ServiceDateFrom=2025-11-24&amp;ServiceDateTo=2025-11-24&amp;DumpsterInvNr=13-L-148138", "13-L-148138")</f>
        <v>13-L-148138</v>
      </c>
      <c r="C3506">
        <v>0.12</v>
      </c>
      <c r="D3506" t="s">
        <v>4862</v>
      </c>
      <c r="E3506" t="s">
        <v>11</v>
      </c>
      <c r="G3506" t="s">
        <v>430</v>
      </c>
      <c r="H3506" t="s">
        <v>432</v>
      </c>
    </row>
    <row r="3507" spans="1:8" hidden="1" x14ac:dyDescent="0.25">
      <c r="A3507" t="s">
        <v>4863</v>
      </c>
      <c r="B3507" s="1" t="str">
        <f>HYPERLINK("https://asmlis.vasa.lt/Dashboard/Served?ServiceDateFrom=2025-11-24&amp;ServiceDateTo=2025-11-24&amp;DumpsterInvNr=13-L-133840", "13-L-133840")</f>
        <v>13-L-133840</v>
      </c>
      <c r="C3507">
        <v>5</v>
      </c>
      <c r="D3507" t="s">
        <v>4864</v>
      </c>
      <c r="E3507" t="s">
        <v>11</v>
      </c>
      <c r="F3507" t="s">
        <v>13</v>
      </c>
      <c r="G3507" t="s">
        <v>430</v>
      </c>
      <c r="H3507" t="s">
        <v>432</v>
      </c>
    </row>
    <row r="3508" spans="1:8" hidden="1" x14ac:dyDescent="0.25">
      <c r="A3508" t="s">
        <v>4865</v>
      </c>
      <c r="B3508" s="1" t="str">
        <f>HYPERLINK("https://asmlis.vasa.lt/Dashboard/Served?ServiceDateFrom=2025-11-24&amp;ServiceDateTo=2025-11-24&amp;DumpsterInvNr=13-L-120083", "13-L-120083")</f>
        <v>13-L-120083</v>
      </c>
      <c r="C3508">
        <v>1.1000000000000001</v>
      </c>
      <c r="D3508" t="s">
        <v>4150</v>
      </c>
      <c r="E3508" t="s">
        <v>11</v>
      </c>
      <c r="G3508" t="s">
        <v>1912</v>
      </c>
      <c r="H3508" t="s">
        <v>432</v>
      </c>
    </row>
    <row r="3509" spans="1:8" hidden="1" x14ac:dyDescent="0.25">
      <c r="A3509" t="s">
        <v>4867</v>
      </c>
      <c r="B3509" s="1" t="str">
        <f>HYPERLINK("https://asmlis.vasa.lt/Dashboard/Served?ServiceDateFrom=2025-11-24&amp;ServiceDateTo=2025-11-24&amp;DumpsterInvNr=13-P-414269", "13-P-414269")</f>
        <v>13-P-414269</v>
      </c>
      <c r="C3509">
        <v>2.5</v>
      </c>
      <c r="D3509" t="s">
        <v>4869</v>
      </c>
      <c r="E3509" t="s">
        <v>11</v>
      </c>
      <c r="G3509" t="s">
        <v>264</v>
      </c>
      <c r="H3509" t="s">
        <v>14</v>
      </c>
    </row>
    <row r="3510" spans="1:8" hidden="1" x14ac:dyDescent="0.25">
      <c r="A3510" t="s">
        <v>4870</v>
      </c>
      <c r="B3510" s="1" t="str">
        <f>HYPERLINK("https://asmlis.vasa.lt/Dashboard/Served?ServiceDateFrom=2025-11-24&amp;ServiceDateTo=2025-11-24&amp;DumpsterInvNr=13-L-225965", "13-L-225965")</f>
        <v>13-L-225965</v>
      </c>
      <c r="C3510">
        <v>3</v>
      </c>
      <c r="D3510" t="s">
        <v>4871</v>
      </c>
      <c r="E3510" t="s">
        <v>11</v>
      </c>
      <c r="G3510" t="s">
        <v>936</v>
      </c>
      <c r="H3510" t="s">
        <v>938</v>
      </c>
    </row>
    <row r="3511" spans="1:8" hidden="1" x14ac:dyDescent="0.25">
      <c r="A3511" t="s">
        <v>4872</v>
      </c>
      <c r="B3511" s="1" t="str">
        <f>HYPERLINK("https://asmlis.vasa.lt/Dashboard/Served?ServiceDateFrom=2025-11-24&amp;ServiceDateTo=2025-11-24&amp;DumpsterInvNr=13-L-305262", "13-L-305262")</f>
        <v>13-L-305262</v>
      </c>
      <c r="C3511">
        <v>5</v>
      </c>
      <c r="D3511" t="s">
        <v>4873</v>
      </c>
      <c r="E3511" t="s">
        <v>11</v>
      </c>
      <c r="F3511" t="s">
        <v>13</v>
      </c>
      <c r="G3511" t="s">
        <v>9</v>
      </c>
      <c r="H3511" t="s">
        <v>14</v>
      </c>
    </row>
    <row r="3512" spans="1:8" hidden="1" x14ac:dyDescent="0.25">
      <c r="A3512" t="s">
        <v>4874</v>
      </c>
      <c r="B3512" s="1" t="str">
        <f>HYPERLINK("https://asmlis.vasa.lt/Dashboard/Served?ServiceDateFrom=2025-11-24&amp;ServiceDateTo=2025-11-24&amp;DumpsterInvNr=13-L-214415", "13-L-214415")</f>
        <v>13-L-214415</v>
      </c>
      <c r="C3512">
        <v>1.1000000000000001</v>
      </c>
      <c r="D3512" t="s">
        <v>4811</v>
      </c>
      <c r="E3512" t="s">
        <v>11</v>
      </c>
      <c r="G3512" t="s">
        <v>936</v>
      </c>
      <c r="H3512" t="s">
        <v>938</v>
      </c>
    </row>
    <row r="3513" spans="1:8" hidden="1" x14ac:dyDescent="0.25">
      <c r="A3513" t="s">
        <v>4875</v>
      </c>
      <c r="B3513" s="1" t="str">
        <f>HYPERLINK("https://asmlis.vasa.lt/Dashboard/Served?ServiceDateFrom=2025-11-24&amp;ServiceDateTo=2025-11-24&amp;DumpsterInvNr=13-M-200967", "13-M-200967")</f>
        <v>13-M-200967</v>
      </c>
      <c r="C3513">
        <v>0.12</v>
      </c>
      <c r="D3513" t="s">
        <v>4877</v>
      </c>
      <c r="E3513" t="s">
        <v>11</v>
      </c>
      <c r="F3513" t="s">
        <v>1209</v>
      </c>
      <c r="G3513" t="s">
        <v>4876</v>
      </c>
      <c r="H3513" t="s">
        <v>938</v>
      </c>
    </row>
    <row r="3514" spans="1:8" hidden="1" x14ac:dyDescent="0.25">
      <c r="A3514" t="s">
        <v>4878</v>
      </c>
      <c r="B3514" s="1" t="str">
        <f>HYPERLINK("https://asmlis.vasa.lt/Dashboard/Served?ServiceDateFrom=2025-11-24&amp;ServiceDateTo=2025-11-24&amp;DumpsterInvNr=13-L-310075", "13-L-310075")</f>
        <v>13-L-310075</v>
      </c>
      <c r="C3514">
        <v>0.24</v>
      </c>
      <c r="D3514" t="s">
        <v>4879</v>
      </c>
      <c r="E3514" t="s">
        <v>11</v>
      </c>
      <c r="G3514" t="s">
        <v>9</v>
      </c>
      <c r="H3514" t="s">
        <v>14</v>
      </c>
    </row>
    <row r="3515" spans="1:8" hidden="1" x14ac:dyDescent="0.25">
      <c r="A3515" t="s">
        <v>4566</v>
      </c>
      <c r="B3515" s="1" t="str">
        <f>HYPERLINK("https://asmlis.vasa.lt/Dashboard/Served?ServiceDateFrom=2025-11-24&amp;ServiceDateTo=2025-11-24&amp;DumpsterInvNr=13-M-203936", "13-M-203936")</f>
        <v>13-M-203936</v>
      </c>
      <c r="C3515">
        <v>0.12</v>
      </c>
      <c r="D3515" t="s">
        <v>4880</v>
      </c>
      <c r="E3515" t="s">
        <v>11</v>
      </c>
      <c r="F3515" t="s">
        <v>1209</v>
      </c>
      <c r="G3515" t="s">
        <v>4876</v>
      </c>
      <c r="H3515" t="s">
        <v>938</v>
      </c>
    </row>
    <row r="3516" spans="1:8" hidden="1" x14ac:dyDescent="0.25">
      <c r="A3516" t="s">
        <v>4881</v>
      </c>
      <c r="B3516" s="1" t="str">
        <f>HYPERLINK("https://asmlis.vasa.lt/Dashboard/Served?ServiceDateFrom=2025-11-24&amp;ServiceDateTo=2025-11-24&amp;DumpsterInvNr=13-L-425515", "13-L-425515")</f>
        <v>13-L-425515</v>
      </c>
      <c r="C3516">
        <v>0.24</v>
      </c>
      <c r="D3516" t="s">
        <v>4882</v>
      </c>
      <c r="E3516" t="s">
        <v>11</v>
      </c>
      <c r="G3516" t="s">
        <v>74</v>
      </c>
      <c r="H3516" t="s">
        <v>14</v>
      </c>
    </row>
    <row r="3517" spans="1:8" hidden="1" x14ac:dyDescent="0.25">
      <c r="A3517" t="s">
        <v>4881</v>
      </c>
      <c r="B3517" s="1" t="str">
        <f>HYPERLINK("https://asmlis.vasa.lt/Dashboard/Served?ServiceDateFrom=2025-11-24&amp;ServiceDateTo=2025-11-24&amp;DumpsterInvNr=13-P-408960", "13-P-408960")</f>
        <v>13-P-408960</v>
      </c>
      <c r="C3517">
        <v>0.24</v>
      </c>
      <c r="D3517" t="s">
        <v>4883</v>
      </c>
      <c r="E3517" t="s">
        <v>11</v>
      </c>
      <c r="G3517" t="s">
        <v>264</v>
      </c>
      <c r="H3517" t="s">
        <v>14</v>
      </c>
    </row>
    <row r="3518" spans="1:8" hidden="1" x14ac:dyDescent="0.25">
      <c r="A3518" t="s">
        <v>4679</v>
      </c>
      <c r="B3518" s="1" t="str">
        <f>HYPERLINK("https://asmlis.vasa.lt/Dashboard/Served?ServiceDateFrom=2025-11-24&amp;ServiceDateTo=2025-11-24&amp;DumpsterInvNr=13-L-424870", "13-L-424870")</f>
        <v>13-L-424870</v>
      </c>
      <c r="C3518">
        <v>1.1000000000000001</v>
      </c>
      <c r="D3518" t="s">
        <v>4884</v>
      </c>
      <c r="E3518" t="s">
        <v>11</v>
      </c>
      <c r="G3518" t="s">
        <v>74</v>
      </c>
      <c r="H3518" t="s">
        <v>14</v>
      </c>
    </row>
    <row r="3519" spans="1:8" hidden="1" x14ac:dyDescent="0.25">
      <c r="A3519" t="s">
        <v>4885</v>
      </c>
      <c r="B3519" s="1" t="str">
        <f>HYPERLINK("https://asmlis.vasa.lt/Dashboard/Served?ServiceDateFrom=2025-11-24&amp;ServiceDateTo=2025-11-24&amp;DumpsterInvNr=13-L-222233", "13-L-222233")</f>
        <v>13-L-222233</v>
      </c>
      <c r="C3519">
        <v>0.77</v>
      </c>
      <c r="D3519" t="s">
        <v>4886</v>
      </c>
      <c r="E3519" t="s">
        <v>11</v>
      </c>
      <c r="G3519" t="s">
        <v>936</v>
      </c>
      <c r="H3519" t="s">
        <v>938</v>
      </c>
    </row>
    <row r="3520" spans="1:8" hidden="1" x14ac:dyDescent="0.25">
      <c r="A3520" t="s">
        <v>4885</v>
      </c>
      <c r="B3520" s="1" t="str">
        <f>HYPERLINK("https://asmlis.vasa.lt/Dashboard/Served?ServiceDateFrom=2025-11-24&amp;ServiceDateTo=2025-11-24&amp;DumpsterInvNr=13-P-408859", "13-P-408859")</f>
        <v>13-P-408859</v>
      </c>
      <c r="C3520">
        <v>0.24</v>
      </c>
      <c r="D3520" t="s">
        <v>4887</v>
      </c>
      <c r="E3520" t="s">
        <v>11</v>
      </c>
      <c r="G3520" t="s">
        <v>264</v>
      </c>
      <c r="H3520" t="s">
        <v>14</v>
      </c>
    </row>
    <row r="3521" spans="1:8" hidden="1" x14ac:dyDescent="0.25">
      <c r="A3521" t="s">
        <v>4888</v>
      </c>
      <c r="B3521" s="1" t="str">
        <f>HYPERLINK("https://asmlis.vasa.lt/Dashboard/Served?ServiceDateFrom=2025-11-24&amp;ServiceDateTo=2025-11-24&amp;DumpsterInvNr=13-L-139483", "13-L-139483")</f>
        <v>13-L-139483</v>
      </c>
      <c r="C3521">
        <v>0.24</v>
      </c>
      <c r="D3521" t="s">
        <v>4889</v>
      </c>
      <c r="E3521" t="s">
        <v>11</v>
      </c>
      <c r="G3521" t="s">
        <v>1912</v>
      </c>
      <c r="H3521" t="s">
        <v>432</v>
      </c>
    </row>
    <row r="3522" spans="1:8" hidden="1" x14ac:dyDescent="0.25">
      <c r="A3522" t="s">
        <v>4828</v>
      </c>
      <c r="B3522" s="1" t="str">
        <f>HYPERLINK("https://asmlis.vasa.lt/Dashboard/Served?ServiceDateFrom=2025-11-24&amp;ServiceDateTo=2025-11-24&amp;DumpsterInvNr=13-L-140062", "13-L-140062")</f>
        <v>13-L-140062</v>
      </c>
      <c r="C3522">
        <v>0.24</v>
      </c>
      <c r="D3522" t="s">
        <v>4890</v>
      </c>
      <c r="E3522" t="s">
        <v>11</v>
      </c>
      <c r="G3522" t="s">
        <v>430</v>
      </c>
      <c r="H3522" t="s">
        <v>432</v>
      </c>
    </row>
    <row r="3523" spans="1:8" hidden="1" x14ac:dyDescent="0.25">
      <c r="A3523" t="s">
        <v>4828</v>
      </c>
      <c r="B3523" s="1" t="str">
        <f>HYPERLINK("https://asmlis.vasa.lt/Dashboard/Served?ServiceDateFrom=2025-11-24&amp;ServiceDateTo=2025-11-24&amp;DumpsterInvNr=13-L-141618", "13-L-141618")</f>
        <v>13-L-141618</v>
      </c>
      <c r="C3523">
        <v>0.24</v>
      </c>
      <c r="D3523" t="s">
        <v>4891</v>
      </c>
      <c r="E3523" t="s">
        <v>11</v>
      </c>
      <c r="G3523" t="s">
        <v>430</v>
      </c>
      <c r="H3523" t="s">
        <v>432</v>
      </c>
    </row>
    <row r="3524" spans="1:8" hidden="1" x14ac:dyDescent="0.25">
      <c r="A3524" t="s">
        <v>4893</v>
      </c>
      <c r="B3524" s="1" t="str">
        <f>HYPERLINK("https://asmlis.vasa.lt/Dashboard/Served?ServiceDateFrom=2025-11-24&amp;ServiceDateTo=2025-11-24&amp;DumpsterInvNr=13-P-415445", "13-P-415445")</f>
        <v>13-P-415445</v>
      </c>
      <c r="C3524">
        <v>3</v>
      </c>
      <c r="D3524" t="s">
        <v>4894</v>
      </c>
      <c r="E3524" t="s">
        <v>11</v>
      </c>
      <c r="F3524" t="s">
        <v>13</v>
      </c>
      <c r="G3524" t="s">
        <v>264</v>
      </c>
      <c r="H3524" t="s">
        <v>14</v>
      </c>
    </row>
    <row r="3525" spans="1:8" hidden="1" x14ac:dyDescent="0.25">
      <c r="A3525" t="s">
        <v>4895</v>
      </c>
      <c r="B3525" s="1" t="str">
        <f>HYPERLINK("https://asmlis.vasa.lt/Dashboard/Served?ServiceDateFrom=2025-11-24&amp;ServiceDateTo=2025-11-24&amp;DumpsterInvNr=13-P-415819", "13-P-415819")</f>
        <v>13-P-415819</v>
      </c>
      <c r="C3525">
        <v>3</v>
      </c>
      <c r="D3525" t="s">
        <v>4894</v>
      </c>
      <c r="E3525" t="s">
        <v>11</v>
      </c>
      <c r="F3525" t="s">
        <v>13</v>
      </c>
      <c r="G3525" t="s">
        <v>264</v>
      </c>
      <c r="H3525" t="s">
        <v>14</v>
      </c>
    </row>
    <row r="3526" spans="1:8" hidden="1" x14ac:dyDescent="0.25">
      <c r="A3526" t="s">
        <v>4896</v>
      </c>
      <c r="B3526" s="1" t="str">
        <f>HYPERLINK("https://asmlis.vasa.lt/Dashboard/Served?ServiceDateFrom=2025-11-24&amp;ServiceDateTo=2025-11-24&amp;DumpsterInvNr=13-L-137382", "13-L-137382")</f>
        <v>13-L-137382</v>
      </c>
      <c r="C3526">
        <v>0.24</v>
      </c>
      <c r="D3526" t="s">
        <v>4897</v>
      </c>
      <c r="E3526" t="s">
        <v>11</v>
      </c>
      <c r="G3526" t="s">
        <v>430</v>
      </c>
      <c r="H3526" t="s">
        <v>432</v>
      </c>
    </row>
    <row r="3527" spans="1:8" hidden="1" x14ac:dyDescent="0.25">
      <c r="A3527" t="s">
        <v>4898</v>
      </c>
      <c r="B3527" s="1" t="str">
        <f>HYPERLINK("https://asmlis.vasa.lt/Dashboard/Served?ServiceDateFrom=2025-11-24&amp;ServiceDateTo=2025-11-24&amp;DumpsterInvNr=13-L-424447", "13-L-424447")</f>
        <v>13-L-424447</v>
      </c>
      <c r="C3527">
        <v>1.1000000000000001</v>
      </c>
      <c r="D3527" t="s">
        <v>4884</v>
      </c>
      <c r="E3527" t="s">
        <v>11</v>
      </c>
      <c r="G3527" t="s">
        <v>74</v>
      </c>
      <c r="H3527" t="s">
        <v>14</v>
      </c>
    </row>
    <row r="3528" spans="1:8" hidden="1" x14ac:dyDescent="0.25">
      <c r="A3528" t="s">
        <v>4898</v>
      </c>
      <c r="B3528" s="1" t="str">
        <f>HYPERLINK("https://asmlis.vasa.lt/Dashboard/Served?ServiceDateFrom=2025-11-24&amp;ServiceDateTo=2025-11-24&amp;DumpsterInvNr=13-L-313972", "13-L-313972")</f>
        <v>13-L-313972</v>
      </c>
      <c r="C3528">
        <v>1.1000000000000001</v>
      </c>
      <c r="D3528" t="s">
        <v>4899</v>
      </c>
      <c r="E3528" t="s">
        <v>11</v>
      </c>
      <c r="G3528" t="s">
        <v>9</v>
      </c>
      <c r="H3528" t="s">
        <v>14</v>
      </c>
    </row>
    <row r="3529" spans="1:8" hidden="1" x14ac:dyDescent="0.25">
      <c r="A3529" t="s">
        <v>4898</v>
      </c>
      <c r="B3529" s="1" t="str">
        <f>HYPERLINK("https://asmlis.vasa.lt/Dashboard/Served?ServiceDateFrom=2025-11-24&amp;ServiceDateTo=2025-11-24&amp;DumpsterInvNr=13-P-415519", "13-P-415519")</f>
        <v>13-P-415519</v>
      </c>
      <c r="C3529">
        <v>3</v>
      </c>
      <c r="D3529" t="s">
        <v>4894</v>
      </c>
      <c r="E3529" t="s">
        <v>11</v>
      </c>
      <c r="F3529" t="s">
        <v>13</v>
      </c>
      <c r="G3529" t="s">
        <v>264</v>
      </c>
      <c r="H3529" t="s">
        <v>14</v>
      </c>
    </row>
    <row r="3530" spans="1:8" hidden="1" x14ac:dyDescent="0.25">
      <c r="A3530" t="s">
        <v>4900</v>
      </c>
      <c r="B3530" s="1" t="str">
        <f>HYPERLINK("https://asmlis.vasa.lt/Dashboard/Served?ServiceDateFrom=2025-11-24&amp;ServiceDateTo=2025-11-24&amp;DumpsterInvNr=13-L-146878", "13-L-146878")</f>
        <v>13-L-146878</v>
      </c>
      <c r="C3530">
        <v>5</v>
      </c>
      <c r="D3530" t="s">
        <v>4901</v>
      </c>
      <c r="E3530" t="s">
        <v>11</v>
      </c>
      <c r="F3530" t="s">
        <v>13</v>
      </c>
      <c r="G3530" t="s">
        <v>430</v>
      </c>
      <c r="H3530" t="s">
        <v>432</v>
      </c>
    </row>
    <row r="3531" spans="1:8" hidden="1" x14ac:dyDescent="0.25">
      <c r="A3531" t="s">
        <v>4902</v>
      </c>
      <c r="B3531" s="1" t="str">
        <f>HYPERLINK("https://asmlis.vasa.lt/Dashboard/Served?ServiceDateFrom=2025-11-24&amp;ServiceDateTo=2025-11-24&amp;DumpsterInvNr=13-P-111108", "13-P-111108")</f>
        <v>13-P-111108</v>
      </c>
      <c r="C3531">
        <v>1.1000000000000001</v>
      </c>
      <c r="D3531" t="s">
        <v>4903</v>
      </c>
      <c r="E3531" t="s">
        <v>11</v>
      </c>
      <c r="G3531" t="s">
        <v>1917</v>
      </c>
      <c r="H3531" t="s">
        <v>432</v>
      </c>
    </row>
    <row r="3532" spans="1:8" hidden="1" x14ac:dyDescent="0.25">
      <c r="A3532" t="s">
        <v>4904</v>
      </c>
      <c r="B3532" s="1" t="str">
        <f>HYPERLINK("https://asmlis.vasa.lt/Dashboard/Served?ServiceDateFrom=2025-11-24&amp;ServiceDateTo=2025-11-24&amp;DumpsterInvNr=13-L-313725", "13-L-313725")</f>
        <v>13-L-313725</v>
      </c>
      <c r="C3532">
        <v>1.1000000000000001</v>
      </c>
      <c r="D3532" t="s">
        <v>4905</v>
      </c>
      <c r="E3532" t="s">
        <v>11</v>
      </c>
      <c r="G3532" t="s">
        <v>9</v>
      </c>
      <c r="H3532" t="s">
        <v>14</v>
      </c>
    </row>
    <row r="3533" spans="1:8" hidden="1" x14ac:dyDescent="0.25">
      <c r="A3533" t="s">
        <v>4906</v>
      </c>
      <c r="B3533" s="1" t="str">
        <f>HYPERLINK("https://asmlis.vasa.lt/Dashboard/Served?ServiceDateFrom=2025-11-24&amp;ServiceDateTo=2025-11-24&amp;DumpsterInvNr=13-L-146663", "13-L-146663")</f>
        <v>13-L-146663</v>
      </c>
      <c r="C3533">
        <v>1.1000000000000001</v>
      </c>
      <c r="D3533" t="s">
        <v>4150</v>
      </c>
      <c r="E3533" t="s">
        <v>11</v>
      </c>
      <c r="G3533" t="s">
        <v>1912</v>
      </c>
      <c r="H3533" t="s">
        <v>432</v>
      </c>
    </row>
    <row r="3534" spans="1:8" hidden="1" x14ac:dyDescent="0.25">
      <c r="A3534" t="s">
        <v>4907</v>
      </c>
      <c r="B3534" s="1" t="str">
        <f>HYPERLINK("https://asmlis.vasa.lt/Dashboard/Served?ServiceDateFrom=2025-11-24&amp;ServiceDateTo=2025-11-24&amp;DumpsterInvNr=13-P-502894", "13-P-502894")</f>
        <v>13-P-502894</v>
      </c>
      <c r="C3534">
        <v>0.24</v>
      </c>
      <c r="D3534" t="s">
        <v>4890</v>
      </c>
      <c r="E3534" t="s">
        <v>11</v>
      </c>
      <c r="G3534" t="s">
        <v>2178</v>
      </c>
      <c r="H3534" t="s">
        <v>432</v>
      </c>
    </row>
    <row r="3535" spans="1:8" hidden="1" x14ac:dyDescent="0.25">
      <c r="A3535" t="s">
        <v>4907</v>
      </c>
      <c r="B3535" s="1" t="str">
        <f>HYPERLINK("https://asmlis.vasa.lt/Dashboard/Served?ServiceDateFrom=2025-11-24&amp;ServiceDateTo=2025-11-24&amp;DumpsterInvNr=13-P-502929", "13-P-502929")</f>
        <v>13-P-502929</v>
      </c>
      <c r="C3535">
        <v>0.24</v>
      </c>
      <c r="D3535" t="s">
        <v>4891</v>
      </c>
      <c r="E3535" t="s">
        <v>11</v>
      </c>
      <c r="G3535" t="s">
        <v>2178</v>
      </c>
      <c r="H3535" t="s">
        <v>432</v>
      </c>
    </row>
    <row r="3536" spans="1:8" hidden="1" x14ac:dyDescent="0.25">
      <c r="A3536" t="s">
        <v>4907</v>
      </c>
      <c r="B3536" s="1" t="str">
        <f>HYPERLINK("https://asmlis.vasa.lt/Dashboard/Served?ServiceDateFrom=2025-11-24&amp;ServiceDateTo=2025-11-24&amp;DumpsterInvNr=13-P-502915", "13-P-502915")</f>
        <v>13-P-502915</v>
      </c>
      <c r="C3536">
        <v>0.24</v>
      </c>
      <c r="D3536" t="s">
        <v>4897</v>
      </c>
      <c r="E3536" t="s">
        <v>11</v>
      </c>
      <c r="G3536" t="s">
        <v>2178</v>
      </c>
      <c r="H3536" t="s">
        <v>432</v>
      </c>
    </row>
    <row r="3537" spans="1:8" hidden="1" x14ac:dyDescent="0.25">
      <c r="A3537" t="s">
        <v>4909</v>
      </c>
      <c r="B3537" s="1" t="str">
        <f>HYPERLINK("https://asmlis.vasa.lt/Dashboard/Served?ServiceDateFrom=2025-11-24&amp;ServiceDateTo=2025-11-24&amp;DumpsterInvNr=13-P-500672", "13-P-500672")</f>
        <v>13-P-500672</v>
      </c>
      <c r="C3537">
        <v>5</v>
      </c>
      <c r="D3537" t="s">
        <v>4910</v>
      </c>
      <c r="E3537" t="s">
        <v>11</v>
      </c>
      <c r="F3537" t="s">
        <v>13</v>
      </c>
      <c r="G3537" t="s">
        <v>2178</v>
      </c>
      <c r="H3537" t="s">
        <v>432</v>
      </c>
    </row>
    <row r="3538" spans="1:8" hidden="1" x14ac:dyDescent="0.25">
      <c r="A3538" t="s">
        <v>4477</v>
      </c>
      <c r="B3538" s="1" t="str">
        <f>HYPERLINK("https://asmlis.vasa.lt/Dashboard/Served?ServiceDateFrom=2025-11-24&amp;ServiceDateTo=2025-11-24&amp;DumpsterInvNr=13-L-305654", "13-L-305654")</f>
        <v>13-L-305654</v>
      </c>
      <c r="C3538">
        <v>0.24</v>
      </c>
      <c r="D3538" t="s">
        <v>4879</v>
      </c>
      <c r="E3538" t="s">
        <v>11</v>
      </c>
      <c r="G3538" t="s">
        <v>9</v>
      </c>
      <c r="H3538" t="s">
        <v>14</v>
      </c>
    </row>
    <row r="3539" spans="1:8" hidden="1" x14ac:dyDescent="0.25">
      <c r="A3539" t="s">
        <v>4512</v>
      </c>
      <c r="B3539" s="1" t="str">
        <f>HYPERLINK("https://asmlis.vasa.lt/Dashboard/Served?ServiceDateFrom=2025-11-24&amp;ServiceDateTo=2025-11-24&amp;DumpsterInvNr=13-L-314622", "13-L-314622")</f>
        <v>13-L-314622</v>
      </c>
      <c r="C3539">
        <v>1.1000000000000001</v>
      </c>
      <c r="D3539" t="s">
        <v>4905</v>
      </c>
      <c r="E3539" t="s">
        <v>11</v>
      </c>
      <c r="G3539" t="s">
        <v>9</v>
      </c>
      <c r="H3539" t="s">
        <v>14</v>
      </c>
    </row>
    <row r="3540" spans="1:8" hidden="1" x14ac:dyDescent="0.25">
      <c r="A3540" t="s">
        <v>4512</v>
      </c>
      <c r="B3540" s="1" t="str">
        <f>HYPERLINK("https://asmlis.vasa.lt/Dashboard/Served?ServiceDateFrom=2025-11-24&amp;ServiceDateTo=2025-11-24&amp;DumpsterInvNr=13-P-413785", "13-P-413785")</f>
        <v>13-P-413785</v>
      </c>
      <c r="C3540">
        <v>2.5</v>
      </c>
      <c r="D3540" t="s">
        <v>4869</v>
      </c>
      <c r="E3540" t="s">
        <v>11</v>
      </c>
      <c r="G3540" t="s">
        <v>264</v>
      </c>
      <c r="H3540" t="s">
        <v>14</v>
      </c>
    </row>
    <row r="3541" spans="1:8" hidden="1" x14ac:dyDescent="0.25">
      <c r="A3541" t="s">
        <v>4504</v>
      </c>
      <c r="B3541" s="1" t="str">
        <f>HYPERLINK("https://asmlis.vasa.lt/Dashboard/Served?ServiceDateFrom=2025-11-24&amp;ServiceDateTo=2025-11-24&amp;DumpsterInvNr=13-P-500447", "13-P-500447")</f>
        <v>13-P-500447</v>
      </c>
      <c r="C3541">
        <v>5</v>
      </c>
      <c r="D3541" t="s">
        <v>4913</v>
      </c>
      <c r="E3541" t="s">
        <v>11</v>
      </c>
      <c r="F3541" t="s">
        <v>13</v>
      </c>
      <c r="G3541" t="s">
        <v>2178</v>
      </c>
      <c r="H3541" t="s">
        <v>432</v>
      </c>
    </row>
    <row r="3542" spans="1:8" hidden="1" x14ac:dyDescent="0.25">
      <c r="A3542" t="s">
        <v>4516</v>
      </c>
      <c r="B3542" s="1" t="str">
        <f>HYPERLINK("https://asmlis.vasa.lt/Dashboard/Served?ServiceDateFrom=2025-11-24&amp;ServiceDateTo=2025-11-24&amp;DumpsterInvNr=13-L-146662", "13-L-146662")</f>
        <v>13-L-146662</v>
      </c>
      <c r="C3542">
        <v>1.1000000000000001</v>
      </c>
      <c r="D3542" t="s">
        <v>4150</v>
      </c>
      <c r="E3542" t="s">
        <v>11</v>
      </c>
      <c r="G3542" t="s">
        <v>1912</v>
      </c>
      <c r="H3542" t="s">
        <v>432</v>
      </c>
    </row>
    <row r="3543" spans="1:8" hidden="1" x14ac:dyDescent="0.25">
      <c r="A3543" t="s">
        <v>4914</v>
      </c>
      <c r="B3543" s="1" t="str">
        <f>HYPERLINK("https://asmlis.vasa.lt/Dashboard/Served?ServiceDateFrom=2025-11-24&amp;ServiceDateTo=2025-11-24&amp;DumpsterInvNr=13-P-209707", "13-P-209707")</f>
        <v>13-P-209707</v>
      </c>
      <c r="C3543">
        <v>0.24</v>
      </c>
      <c r="D3543" t="s">
        <v>4915</v>
      </c>
      <c r="E3543" t="s">
        <v>11</v>
      </c>
      <c r="G3543" t="s">
        <v>234</v>
      </c>
      <c r="H3543" t="s">
        <v>14</v>
      </c>
    </row>
    <row r="3544" spans="1:8" hidden="1" x14ac:dyDescent="0.25">
      <c r="A3544" t="s">
        <v>4555</v>
      </c>
      <c r="B3544" s="1" t="str">
        <f>HYPERLINK("https://asmlis.vasa.lt/Dashboard/Served?ServiceDateFrom=2025-11-24&amp;ServiceDateTo=2025-11-24&amp;DumpsterInvNr=13-L-137232", "13-L-137232")</f>
        <v>13-L-137232</v>
      </c>
      <c r="C3544">
        <v>0.24</v>
      </c>
      <c r="D3544" t="s">
        <v>4916</v>
      </c>
      <c r="E3544" t="s">
        <v>11</v>
      </c>
      <c r="G3544" t="s">
        <v>430</v>
      </c>
      <c r="H3544" t="s">
        <v>432</v>
      </c>
    </row>
    <row r="3545" spans="1:8" hidden="1" x14ac:dyDescent="0.25">
      <c r="A3545" t="s">
        <v>4917</v>
      </c>
      <c r="B3545" s="1" t="str">
        <f>HYPERLINK("https://asmlis.vasa.lt/Dashboard/Served?ServiceDateFrom=2025-11-24&amp;ServiceDateTo=2025-11-24&amp;DumpsterInvNr=13-P-502899", "13-P-502899")</f>
        <v>13-P-502899</v>
      </c>
      <c r="C3545">
        <v>0.24</v>
      </c>
      <c r="D3545" t="s">
        <v>4916</v>
      </c>
      <c r="E3545" t="s">
        <v>11</v>
      </c>
      <c r="G3545" t="s">
        <v>2178</v>
      </c>
      <c r="H3545" t="s">
        <v>432</v>
      </c>
    </row>
    <row r="3546" spans="1:8" hidden="1" x14ac:dyDescent="0.25">
      <c r="A3546" t="s">
        <v>4617</v>
      </c>
      <c r="B3546" s="1" t="str">
        <f>HYPERLINK("https://asmlis.vasa.lt/Dashboard/Served?ServiceDateFrom=2025-11-24&amp;ServiceDateTo=2025-11-24&amp;DumpsterInvNr=13-L-149121", "13-L-149121")</f>
        <v>13-L-149121</v>
      </c>
      <c r="C3546">
        <v>1.1000000000000001</v>
      </c>
      <c r="D3546" t="s">
        <v>4918</v>
      </c>
      <c r="E3546" t="s">
        <v>11</v>
      </c>
      <c r="G3546" t="s">
        <v>430</v>
      </c>
      <c r="H3546" t="s">
        <v>432</v>
      </c>
    </row>
    <row r="3547" spans="1:8" hidden="1" x14ac:dyDescent="0.25">
      <c r="A3547" t="s">
        <v>4919</v>
      </c>
      <c r="B3547" s="1" t="str">
        <f>HYPERLINK("https://asmlis.vasa.lt/Dashboard/Served?ServiceDateFrom=2025-11-24&amp;ServiceDateTo=2025-11-24&amp;DumpsterInvNr=13-L-317096", "13-L-317096")</f>
        <v>13-L-317096</v>
      </c>
      <c r="C3547">
        <v>1.1000000000000001</v>
      </c>
      <c r="D3547" t="s">
        <v>4905</v>
      </c>
      <c r="E3547" t="s">
        <v>11</v>
      </c>
      <c r="G3547" t="s">
        <v>9</v>
      </c>
      <c r="H3547" t="s">
        <v>14</v>
      </c>
    </row>
    <row r="3548" spans="1:8" hidden="1" x14ac:dyDescent="0.25">
      <c r="A3548" t="s">
        <v>4640</v>
      </c>
      <c r="B3548" s="1" t="str">
        <f>HYPERLINK("https://asmlis.vasa.lt/Dashboard/Served?ServiceDateFrom=2025-11-24&amp;ServiceDateTo=2025-11-24&amp;DumpsterInvNr=13-P-402589", "13-P-402589")</f>
        <v>13-P-402589</v>
      </c>
      <c r="C3548">
        <v>1.1000000000000001</v>
      </c>
      <c r="D3548" t="s">
        <v>4920</v>
      </c>
      <c r="E3548" t="s">
        <v>11</v>
      </c>
      <c r="G3548" t="s">
        <v>264</v>
      </c>
      <c r="H3548" t="s">
        <v>14</v>
      </c>
    </row>
    <row r="3549" spans="1:8" hidden="1" x14ac:dyDescent="0.25">
      <c r="A3549" t="s">
        <v>4921</v>
      </c>
      <c r="B3549" s="1" t="str">
        <f>HYPERLINK("https://asmlis.vasa.lt/Dashboard/Served?ServiceDateFrom=2025-11-24&amp;ServiceDateTo=2025-11-24&amp;DumpsterInvNr=13-S-503638", "13-S-503638")</f>
        <v>13-S-503638</v>
      </c>
      <c r="C3549">
        <v>0.12</v>
      </c>
      <c r="D3549" t="s">
        <v>4890</v>
      </c>
      <c r="E3549" t="s">
        <v>11</v>
      </c>
      <c r="F3549" t="s">
        <v>1209</v>
      </c>
      <c r="G3549" t="s">
        <v>2178</v>
      </c>
      <c r="H3549" t="s">
        <v>432</v>
      </c>
    </row>
    <row r="3550" spans="1:8" hidden="1" x14ac:dyDescent="0.25">
      <c r="A3550" t="s">
        <v>4923</v>
      </c>
      <c r="B3550" s="1" t="str">
        <f>HYPERLINK("https://asmlis.vasa.lt/Dashboard/Served?ServiceDateFrom=2025-11-24&amp;ServiceDateTo=2025-11-24&amp;DumpsterInvNr=13-L-313704", "13-L-313704")</f>
        <v>13-L-313704</v>
      </c>
      <c r="C3550">
        <v>0.24</v>
      </c>
      <c r="D3550" t="s">
        <v>4879</v>
      </c>
      <c r="E3550" t="s">
        <v>11</v>
      </c>
      <c r="G3550" t="s">
        <v>9</v>
      </c>
      <c r="H3550" t="s">
        <v>14</v>
      </c>
    </row>
    <row r="3551" spans="1:8" hidden="1" x14ac:dyDescent="0.25">
      <c r="A3551" t="s">
        <v>4923</v>
      </c>
      <c r="B3551" s="1" t="str">
        <f>HYPERLINK("https://asmlis.vasa.lt/Dashboard/Served?ServiceDateFrom=2025-11-24&amp;ServiceDateTo=2025-11-24&amp;DumpsterInvNr=13-L-110387", "13-L-110387")</f>
        <v>13-L-110387</v>
      </c>
      <c r="C3551">
        <v>1.1000000000000001</v>
      </c>
      <c r="D3551" t="s">
        <v>4150</v>
      </c>
      <c r="E3551" t="s">
        <v>11</v>
      </c>
      <c r="G3551" t="s">
        <v>1912</v>
      </c>
      <c r="H3551" t="s">
        <v>432</v>
      </c>
    </row>
    <row r="3552" spans="1:8" hidden="1" x14ac:dyDescent="0.25">
      <c r="A3552" t="s">
        <v>4588</v>
      </c>
      <c r="B3552" s="1" t="str">
        <f>HYPERLINK("https://asmlis.vasa.lt/Dashboard/Served?ServiceDateFrom=2025-11-24&amp;ServiceDateTo=2025-11-24&amp;DumpsterInvNr=13-P-209705", "13-P-209705")</f>
        <v>13-P-209705</v>
      </c>
      <c r="C3552">
        <v>0.12</v>
      </c>
      <c r="D3552" t="s">
        <v>4925</v>
      </c>
      <c r="E3552" t="s">
        <v>11</v>
      </c>
      <c r="F3552" t="s">
        <v>1209</v>
      </c>
      <c r="G3552" t="s">
        <v>234</v>
      </c>
      <c r="H3552" t="s">
        <v>14</v>
      </c>
    </row>
    <row r="3553" spans="1:8" hidden="1" x14ac:dyDescent="0.25">
      <c r="A3553" t="s">
        <v>4658</v>
      </c>
      <c r="B3553" s="1" t="str">
        <f>HYPERLINK("https://asmlis.vasa.lt/Dashboard/Served?ServiceDateFrom=2025-11-24&amp;ServiceDateTo=2025-11-24&amp;DumpsterInvNr=13-L-221788", "13-L-221788")</f>
        <v>13-L-221788</v>
      </c>
      <c r="C3553">
        <v>1.1000000000000001</v>
      </c>
      <c r="D3553" t="s">
        <v>4926</v>
      </c>
      <c r="E3553" t="s">
        <v>11</v>
      </c>
      <c r="G3553" t="s">
        <v>936</v>
      </c>
      <c r="H3553" t="s">
        <v>938</v>
      </c>
    </row>
    <row r="3554" spans="1:8" hidden="1" x14ac:dyDescent="0.25">
      <c r="A3554" t="s">
        <v>4927</v>
      </c>
      <c r="B3554" s="1" t="str">
        <f>HYPERLINK("https://asmlis.vasa.lt/Dashboard/Served?ServiceDateFrom=2025-11-24&amp;ServiceDateTo=2025-11-24&amp;DumpsterInvNr=13-L-300674", "13-L-300674")</f>
        <v>13-L-300674</v>
      </c>
      <c r="C3554">
        <v>1.1000000000000001</v>
      </c>
      <c r="D3554" t="s">
        <v>4905</v>
      </c>
      <c r="E3554" t="s">
        <v>11</v>
      </c>
      <c r="G3554" t="s">
        <v>9</v>
      </c>
      <c r="H3554" t="s">
        <v>14</v>
      </c>
    </row>
    <row r="3555" spans="1:8" hidden="1" x14ac:dyDescent="0.25">
      <c r="A3555" t="s">
        <v>4927</v>
      </c>
      <c r="B3555" s="1" t="str">
        <f>HYPERLINK("https://asmlis.vasa.lt/Dashboard/Served?ServiceDateFrom=2025-11-24&amp;ServiceDateTo=2025-11-24&amp;DumpsterInvNr=13-P-300682", "13-P-300682")</f>
        <v>13-P-300682</v>
      </c>
      <c r="C3555">
        <v>1.1000000000000001</v>
      </c>
      <c r="D3555" t="s">
        <v>4928</v>
      </c>
      <c r="E3555" t="s">
        <v>11</v>
      </c>
      <c r="F3555" t="s">
        <v>13</v>
      </c>
      <c r="G3555" t="s">
        <v>412</v>
      </c>
      <c r="H3555" t="s">
        <v>14</v>
      </c>
    </row>
    <row r="3556" spans="1:8" hidden="1" x14ac:dyDescent="0.25">
      <c r="A3556" t="s">
        <v>3590</v>
      </c>
      <c r="B3556" s="1" t="str">
        <f>HYPERLINK("https://asmlis.vasa.lt/Dashboard/Served?ServiceDateFrom=2025-11-24&amp;ServiceDateTo=2025-11-24&amp;DumpsterInvNr=13-L-143506", "13-L-143506")</f>
        <v>13-L-143506</v>
      </c>
      <c r="C3556">
        <v>0.24</v>
      </c>
      <c r="D3556" t="s">
        <v>4929</v>
      </c>
      <c r="E3556" t="s">
        <v>11</v>
      </c>
      <c r="G3556" t="s">
        <v>430</v>
      </c>
      <c r="H3556" t="s">
        <v>432</v>
      </c>
    </row>
    <row r="3557" spans="1:8" hidden="1" x14ac:dyDescent="0.25">
      <c r="A3557" t="s">
        <v>4707</v>
      </c>
      <c r="B3557" s="1" t="str">
        <f>HYPERLINK("https://asmlis.vasa.lt/Dashboard/Served?ServiceDateFrom=2025-11-24&amp;ServiceDateTo=2025-11-24&amp;DumpsterInvNr=13-P-300640", "13-P-300640")</f>
        <v>13-P-300640</v>
      </c>
      <c r="C3557">
        <v>1.1000000000000001</v>
      </c>
      <c r="D3557" t="s">
        <v>4928</v>
      </c>
      <c r="E3557" t="s">
        <v>11</v>
      </c>
      <c r="F3557" t="s">
        <v>13</v>
      </c>
      <c r="G3557" t="s">
        <v>412</v>
      </c>
      <c r="H3557" t="s">
        <v>14</v>
      </c>
    </row>
    <row r="3558" spans="1:8" hidden="1" x14ac:dyDescent="0.25">
      <c r="A3558" t="s">
        <v>4930</v>
      </c>
      <c r="B3558" s="1" t="str">
        <f>HYPERLINK("https://asmlis.vasa.lt/Dashboard/Served?ServiceDateFrom=2025-11-24&amp;ServiceDateTo=2025-11-24&amp;DumpsterInvNr=13-P-502917", "13-P-502917")</f>
        <v>13-P-502917</v>
      </c>
      <c r="C3558">
        <v>0.24</v>
      </c>
      <c r="D3558" t="s">
        <v>4929</v>
      </c>
      <c r="E3558" t="s">
        <v>11</v>
      </c>
      <c r="G3558" t="s">
        <v>2178</v>
      </c>
      <c r="H3558" t="s">
        <v>432</v>
      </c>
    </row>
    <row r="3559" spans="1:8" hidden="1" x14ac:dyDescent="0.25">
      <c r="A3559" t="s">
        <v>4578</v>
      </c>
      <c r="B3559" s="1" t="str">
        <f>HYPERLINK("https://asmlis.vasa.lt/Dashboard/Served?ServiceDateFrom=2025-11-24&amp;ServiceDateTo=2025-11-24&amp;DumpsterInvNr=13-L-102111", "13-L-102111")</f>
        <v>13-L-102111</v>
      </c>
      <c r="C3559">
        <v>1.1000000000000001</v>
      </c>
      <c r="D3559" t="s">
        <v>4932</v>
      </c>
      <c r="E3559" t="s">
        <v>11</v>
      </c>
      <c r="G3559" t="s">
        <v>430</v>
      </c>
      <c r="H3559" t="s">
        <v>432</v>
      </c>
    </row>
    <row r="3560" spans="1:8" hidden="1" x14ac:dyDescent="0.25">
      <c r="A3560" t="s">
        <v>4621</v>
      </c>
      <c r="B3560" s="1" t="str">
        <f>HYPERLINK("https://asmlis.vasa.lt/Dashboard/Served?ServiceDateFrom=2025-11-24&amp;ServiceDateTo=2025-11-24&amp;DumpsterInvNr=13-P-402595", "13-P-402595")</f>
        <v>13-P-402595</v>
      </c>
      <c r="C3560">
        <v>1.1000000000000001</v>
      </c>
      <c r="D3560" t="s">
        <v>4920</v>
      </c>
      <c r="E3560" t="s">
        <v>11</v>
      </c>
      <c r="F3560" t="s">
        <v>13</v>
      </c>
      <c r="G3560" t="s">
        <v>264</v>
      </c>
      <c r="H3560" t="s">
        <v>14</v>
      </c>
    </row>
    <row r="3561" spans="1:8" hidden="1" x14ac:dyDescent="0.25">
      <c r="A3561" t="s">
        <v>4933</v>
      </c>
      <c r="B3561" s="1" t="str">
        <f>HYPERLINK("https://asmlis.vasa.lt/Dashboard/Served?ServiceDateFrom=2025-11-24&amp;ServiceDateTo=2025-11-24&amp;DumpsterInvNr=13-P-209704", "13-P-209704")</f>
        <v>13-P-209704</v>
      </c>
      <c r="C3561">
        <v>0.24</v>
      </c>
      <c r="D3561" t="s">
        <v>4934</v>
      </c>
      <c r="E3561" t="s">
        <v>11</v>
      </c>
      <c r="F3561" t="s">
        <v>1209</v>
      </c>
      <c r="G3561" t="s">
        <v>234</v>
      </c>
      <c r="H3561" t="s">
        <v>14</v>
      </c>
    </row>
    <row r="3562" spans="1:8" hidden="1" x14ac:dyDescent="0.25">
      <c r="A3562" t="s">
        <v>4935</v>
      </c>
      <c r="B3562" s="1" t="str">
        <f>HYPERLINK("https://asmlis.vasa.lt/Dashboard/Served?ServiceDateFrom=2025-11-24&amp;ServiceDateTo=2025-11-24&amp;DumpsterInvNr=13-L-315343", "13-L-315343")</f>
        <v>13-L-315343</v>
      </c>
      <c r="C3562">
        <v>1.1000000000000001</v>
      </c>
      <c r="D3562" t="s">
        <v>4905</v>
      </c>
      <c r="E3562" t="s">
        <v>11</v>
      </c>
      <c r="G3562" t="s">
        <v>9</v>
      </c>
      <c r="H3562" t="s">
        <v>14</v>
      </c>
    </row>
    <row r="3563" spans="1:8" hidden="1" x14ac:dyDescent="0.25">
      <c r="A3563" t="s">
        <v>4936</v>
      </c>
      <c r="B3563" s="1" t="str">
        <f>HYPERLINK("https://asmlis.vasa.lt/Dashboard/Served?ServiceDateFrom=2025-11-24&amp;ServiceDateTo=2025-11-24&amp;DumpsterInvNr=13-P-210798", "13-P-210798")</f>
        <v>13-P-210798</v>
      </c>
      <c r="C3563">
        <v>0.24</v>
      </c>
      <c r="D3563" t="s">
        <v>4937</v>
      </c>
      <c r="E3563" t="s">
        <v>11</v>
      </c>
      <c r="G3563" t="s">
        <v>234</v>
      </c>
      <c r="H3563" t="s">
        <v>14</v>
      </c>
    </row>
    <row r="3564" spans="1:8" hidden="1" x14ac:dyDescent="0.25">
      <c r="A3564" t="s">
        <v>4938</v>
      </c>
      <c r="B3564" s="1" t="str">
        <f>HYPERLINK("https://asmlis.vasa.lt/Dashboard/Served?ServiceDateFrom=2025-11-24&amp;ServiceDateTo=2025-11-24&amp;DumpsterInvNr=13-L-125451", "13-L-125451")</f>
        <v>13-L-125451</v>
      </c>
      <c r="C3564">
        <v>0.12</v>
      </c>
      <c r="D3564" t="s">
        <v>4939</v>
      </c>
      <c r="E3564" t="s">
        <v>11</v>
      </c>
      <c r="F3564" t="s">
        <v>1209</v>
      </c>
      <c r="G3564" t="s">
        <v>1912</v>
      </c>
      <c r="H3564" t="s">
        <v>432</v>
      </c>
    </row>
    <row r="3565" spans="1:8" hidden="1" x14ac:dyDescent="0.25">
      <c r="A3565" t="s">
        <v>4941</v>
      </c>
      <c r="B3565" s="1" t="str">
        <f>HYPERLINK("https://asmlis.vasa.lt/Dashboard/Served?ServiceDateFrom=2025-11-24&amp;ServiceDateTo=2025-11-24&amp;DumpsterInvNr=13-T-000316", "13-T-000316")</f>
        <v>13-T-000316</v>
      </c>
      <c r="C3565">
        <v>2.5</v>
      </c>
      <c r="D3565" t="s">
        <v>4942</v>
      </c>
      <c r="E3565" t="s">
        <v>11</v>
      </c>
      <c r="F3565" t="s">
        <v>13</v>
      </c>
      <c r="G3565" t="s">
        <v>1899</v>
      </c>
      <c r="H3565" t="s">
        <v>432</v>
      </c>
    </row>
    <row r="3566" spans="1:8" hidden="1" x14ac:dyDescent="0.25">
      <c r="A3566" t="s">
        <v>4943</v>
      </c>
      <c r="B3566" s="1" t="str">
        <f>HYPERLINK("https://asmlis.vasa.lt/Dashboard/Served?ServiceDateFrom=2025-11-24&amp;ServiceDateTo=2025-11-24&amp;DumpsterInvNr=13-S-212230", "13-S-212230")</f>
        <v>13-S-212230</v>
      </c>
      <c r="C3566">
        <v>0.12</v>
      </c>
      <c r="D3566" t="s">
        <v>4937</v>
      </c>
      <c r="E3566" t="s">
        <v>11</v>
      </c>
      <c r="F3566" t="s">
        <v>1209</v>
      </c>
      <c r="G3566" t="s">
        <v>234</v>
      </c>
      <c r="H3566" t="s">
        <v>14</v>
      </c>
    </row>
    <row r="3567" spans="1:8" hidden="1" x14ac:dyDescent="0.25">
      <c r="A3567" t="s">
        <v>4944</v>
      </c>
      <c r="B3567" s="1" t="str">
        <f>HYPERLINK("https://asmlis.vasa.lt/Dashboard/Served?ServiceDateFrom=2025-11-24&amp;ServiceDateTo=2025-11-24&amp;DumpsterInvNr=13-P-200208", "13-P-200208")</f>
        <v>13-P-200208</v>
      </c>
      <c r="C3567">
        <v>5</v>
      </c>
      <c r="D3567" t="s">
        <v>4945</v>
      </c>
      <c r="E3567" t="s">
        <v>11</v>
      </c>
      <c r="F3567" t="s">
        <v>13</v>
      </c>
      <c r="G3567" t="s">
        <v>234</v>
      </c>
      <c r="H3567" t="s">
        <v>14</v>
      </c>
    </row>
    <row r="3568" spans="1:8" hidden="1" x14ac:dyDescent="0.25">
      <c r="A3568" t="s">
        <v>4946</v>
      </c>
      <c r="B3568" s="1" t="str">
        <f>HYPERLINK("https://asmlis.vasa.lt/Dashboard/Served?ServiceDateFrom=2025-11-24&amp;ServiceDateTo=2025-11-24&amp;DumpsterInvNr=13-L-421101", "13-L-421101")</f>
        <v>13-L-421101</v>
      </c>
      <c r="C3568">
        <v>5</v>
      </c>
      <c r="D3568" t="s">
        <v>4947</v>
      </c>
      <c r="E3568" t="s">
        <v>11</v>
      </c>
      <c r="G3568" t="s">
        <v>74</v>
      </c>
      <c r="H3568" t="s">
        <v>14</v>
      </c>
    </row>
    <row r="3569" spans="1:8" hidden="1" x14ac:dyDescent="0.25">
      <c r="A3569" t="s">
        <v>4948</v>
      </c>
      <c r="B3569" s="1" t="str">
        <f>HYPERLINK("https://asmlis.vasa.lt/Dashboard/Served?ServiceDateFrom=2025-11-24&amp;ServiceDateTo=2025-11-24&amp;DumpsterInvNr=13-P-402068", "13-P-402068")</f>
        <v>13-P-402068</v>
      </c>
      <c r="C3569">
        <v>0.24</v>
      </c>
      <c r="D3569" t="s">
        <v>4949</v>
      </c>
      <c r="E3569" t="s">
        <v>11</v>
      </c>
      <c r="G3569" t="s">
        <v>264</v>
      </c>
      <c r="H3569" t="s">
        <v>14</v>
      </c>
    </row>
    <row r="3570" spans="1:8" hidden="1" x14ac:dyDescent="0.25">
      <c r="A3570" t="s">
        <v>4950</v>
      </c>
      <c r="B3570" s="1" t="str">
        <f>HYPERLINK("https://asmlis.vasa.lt/Dashboard/Served?ServiceDateFrom=2025-11-24&amp;ServiceDateTo=2025-11-24&amp;DumpsterInvNr=13-L-209631", "13-L-209631")</f>
        <v>13-L-209631</v>
      </c>
      <c r="C3570">
        <v>0.24</v>
      </c>
      <c r="D3570" t="s">
        <v>4951</v>
      </c>
      <c r="E3570" t="s">
        <v>11</v>
      </c>
      <c r="G3570" t="s">
        <v>936</v>
      </c>
      <c r="H3570" t="s">
        <v>938</v>
      </c>
    </row>
    <row r="3571" spans="1:8" hidden="1" x14ac:dyDescent="0.25">
      <c r="A3571" t="s">
        <v>4952</v>
      </c>
      <c r="B3571" s="1" t="str">
        <f>HYPERLINK("https://asmlis.vasa.lt/Dashboard/Served?ServiceDateFrom=2025-11-24&amp;ServiceDateTo=2025-11-24&amp;DumpsterInvNr=13-P-302343", "13-P-302343")</f>
        <v>13-P-302343</v>
      </c>
      <c r="C3571">
        <v>2.5</v>
      </c>
      <c r="D3571" t="s">
        <v>4953</v>
      </c>
      <c r="E3571" t="s">
        <v>11</v>
      </c>
      <c r="G3571" t="s">
        <v>412</v>
      </c>
      <c r="H3571" t="s">
        <v>14</v>
      </c>
    </row>
    <row r="3572" spans="1:8" hidden="1" x14ac:dyDescent="0.25">
      <c r="A3572" t="s">
        <v>4954</v>
      </c>
      <c r="B3572" s="1" t="str">
        <f>HYPERLINK("https://asmlis.vasa.lt/Dashboard/Served?ServiceDateFrom=2025-11-24&amp;ServiceDateTo=2025-11-24&amp;DumpsterInvNr=13-L-422854", "13-L-422854")</f>
        <v>13-L-422854</v>
      </c>
      <c r="C3572">
        <v>0.24</v>
      </c>
      <c r="D3572" t="s">
        <v>4955</v>
      </c>
      <c r="E3572" t="s">
        <v>11</v>
      </c>
      <c r="G3572" t="s">
        <v>74</v>
      </c>
      <c r="H3572" t="s">
        <v>14</v>
      </c>
    </row>
    <row r="3573" spans="1:8" hidden="1" x14ac:dyDescent="0.25">
      <c r="A3573" t="s">
        <v>4956</v>
      </c>
      <c r="B3573" s="1" t="str">
        <f>HYPERLINK("https://asmlis.vasa.lt/Dashboard/Served?ServiceDateFrom=2025-11-24&amp;ServiceDateTo=2025-11-24&amp;DumpsterInvNr=13-L-134235", "13-L-134235")</f>
        <v>13-L-134235</v>
      </c>
      <c r="C3573">
        <v>5</v>
      </c>
      <c r="D3573" t="s">
        <v>4957</v>
      </c>
      <c r="E3573" t="s">
        <v>11</v>
      </c>
      <c r="F3573" t="s">
        <v>13</v>
      </c>
      <c r="G3573" t="s">
        <v>1912</v>
      </c>
      <c r="H3573" t="s">
        <v>432</v>
      </c>
    </row>
    <row r="3574" spans="1:8" hidden="1" x14ac:dyDescent="0.25">
      <c r="A3574" t="s">
        <v>4959</v>
      </c>
      <c r="B3574" s="1" t="str">
        <f>HYPERLINK("https://asmlis.vasa.lt/Dashboard/Served?ServiceDateFrom=2025-11-24&amp;ServiceDateTo=2025-11-24&amp;DumpsterInvNr=13-L-211999", "13-L-211999")</f>
        <v>13-L-211999</v>
      </c>
      <c r="C3574">
        <v>1.1000000000000001</v>
      </c>
      <c r="D3574" t="s">
        <v>4960</v>
      </c>
      <c r="E3574" t="s">
        <v>11</v>
      </c>
      <c r="G3574" t="s">
        <v>936</v>
      </c>
      <c r="H3574" t="s">
        <v>938</v>
      </c>
    </row>
    <row r="3575" spans="1:8" hidden="1" x14ac:dyDescent="0.25">
      <c r="A3575" t="s">
        <v>4961</v>
      </c>
      <c r="B3575" s="1" t="str">
        <f>HYPERLINK("https://asmlis.vasa.lt/Dashboard/Served?ServiceDateFrom=2025-11-24&amp;ServiceDateTo=2025-11-24&amp;DumpsterInvNr=13-L-108280", "13-L-108280")</f>
        <v>13-L-108280</v>
      </c>
      <c r="C3575">
        <v>0.24</v>
      </c>
      <c r="D3575" t="s">
        <v>4962</v>
      </c>
      <c r="E3575" t="s">
        <v>11</v>
      </c>
      <c r="G3575" t="s">
        <v>430</v>
      </c>
      <c r="H3575" t="s">
        <v>432</v>
      </c>
    </row>
    <row r="3576" spans="1:8" hidden="1" x14ac:dyDescent="0.25">
      <c r="A3576" t="s">
        <v>4961</v>
      </c>
      <c r="B3576" s="1" t="str">
        <f>HYPERLINK("https://asmlis.vasa.lt/Dashboard/Served?ServiceDateFrom=2025-11-24&amp;ServiceDateTo=2025-11-24&amp;DumpsterInvNr=13-P-508425", "13-P-508425")</f>
        <v>13-P-508425</v>
      </c>
      <c r="C3576">
        <v>0.24</v>
      </c>
      <c r="D3576" t="s">
        <v>4962</v>
      </c>
      <c r="E3576" t="s">
        <v>11</v>
      </c>
      <c r="G3576" t="s">
        <v>2178</v>
      </c>
      <c r="H3576" t="s">
        <v>432</v>
      </c>
    </row>
    <row r="3577" spans="1:8" hidden="1" x14ac:dyDescent="0.25">
      <c r="A3577" t="s">
        <v>4965</v>
      </c>
      <c r="B3577" s="1" t="str">
        <f>HYPERLINK("https://asmlis.vasa.lt/Dashboard/Served?ServiceDateFrom=2025-11-24&amp;ServiceDateTo=2025-11-24&amp;DumpsterInvNr=13-P-102460", "13-P-102460")</f>
        <v>13-P-102460</v>
      </c>
      <c r="C3577">
        <v>5</v>
      </c>
      <c r="D3577" t="s">
        <v>4966</v>
      </c>
      <c r="E3577" t="s">
        <v>11</v>
      </c>
      <c r="F3577" t="s">
        <v>13</v>
      </c>
      <c r="G3577" t="s">
        <v>1917</v>
      </c>
      <c r="H3577" t="s">
        <v>432</v>
      </c>
    </row>
    <row r="3578" spans="1:8" hidden="1" x14ac:dyDescent="0.25">
      <c r="A3578" t="s">
        <v>4965</v>
      </c>
      <c r="B3578" s="1" t="str">
        <f>HYPERLINK("https://asmlis.vasa.lt/Dashboard/Served?ServiceDateFrom=2025-11-24&amp;ServiceDateTo=2025-11-24&amp;DumpsterInvNr=13-S-212263", "13-S-212263")</f>
        <v>13-S-212263</v>
      </c>
      <c r="C3578">
        <v>0.12</v>
      </c>
      <c r="D3578" t="s">
        <v>4967</v>
      </c>
      <c r="E3578" t="s">
        <v>11</v>
      </c>
      <c r="F3578" t="s">
        <v>1209</v>
      </c>
      <c r="G3578" t="s">
        <v>234</v>
      </c>
      <c r="H3578" t="s">
        <v>14</v>
      </c>
    </row>
    <row r="3579" spans="1:8" hidden="1" x14ac:dyDescent="0.25">
      <c r="A3579" t="s">
        <v>4968</v>
      </c>
      <c r="B3579" s="1" t="str">
        <f>HYPERLINK("https://asmlis.vasa.lt/Dashboard/Served?ServiceDateFrom=2025-11-24&amp;ServiceDateTo=2025-11-24&amp;DumpsterInvNr=13-P-500674", "13-P-500674")</f>
        <v>13-P-500674</v>
      </c>
      <c r="C3579">
        <v>5</v>
      </c>
      <c r="D3579" t="s">
        <v>4969</v>
      </c>
      <c r="E3579" t="s">
        <v>11</v>
      </c>
      <c r="F3579" t="s">
        <v>13</v>
      </c>
      <c r="G3579" t="s">
        <v>2178</v>
      </c>
      <c r="H3579" t="s">
        <v>432</v>
      </c>
    </row>
    <row r="3580" spans="1:8" hidden="1" x14ac:dyDescent="0.25">
      <c r="A3580" t="s">
        <v>4970</v>
      </c>
      <c r="B3580" s="1" t="str">
        <f>HYPERLINK("https://asmlis.vasa.lt/Dashboard/Served?ServiceDateFrom=2025-11-24&amp;ServiceDateTo=2025-11-24&amp;DumpsterInvNr=13-L-222470", "13-L-222470")</f>
        <v>13-L-222470</v>
      </c>
      <c r="C3580">
        <v>1.1000000000000001</v>
      </c>
      <c r="D3580" t="s">
        <v>4926</v>
      </c>
      <c r="E3580" t="s">
        <v>11</v>
      </c>
      <c r="G3580" t="s">
        <v>936</v>
      </c>
      <c r="H3580" t="s">
        <v>938</v>
      </c>
    </row>
    <row r="3581" spans="1:8" hidden="1" x14ac:dyDescent="0.25">
      <c r="A3581" t="s">
        <v>4971</v>
      </c>
      <c r="B3581" s="1" t="str">
        <f>HYPERLINK("https://asmlis.vasa.lt/Dashboard/Served?ServiceDateFrom=2025-11-24&amp;ServiceDateTo=2025-11-24&amp;DumpsterInvNr=13-P-500673", "13-P-500673")</f>
        <v>13-P-500673</v>
      </c>
      <c r="C3581">
        <v>5</v>
      </c>
      <c r="D3581" t="s">
        <v>4969</v>
      </c>
      <c r="E3581" t="s">
        <v>11</v>
      </c>
      <c r="F3581" t="s">
        <v>13</v>
      </c>
      <c r="G3581" t="s">
        <v>2178</v>
      </c>
      <c r="H3581" t="s">
        <v>432</v>
      </c>
    </row>
    <row r="3582" spans="1:8" hidden="1" x14ac:dyDescent="0.25">
      <c r="A3582" t="s">
        <v>4972</v>
      </c>
      <c r="B3582" s="1" t="str">
        <f>HYPERLINK("https://asmlis.vasa.lt/Dashboard/Served?ServiceDateFrom=2025-11-24&amp;ServiceDateTo=2025-11-24&amp;DumpsterInvNr=13-P-209703", "13-P-209703")</f>
        <v>13-P-209703</v>
      </c>
      <c r="C3582">
        <v>0.24</v>
      </c>
      <c r="D3582" t="s">
        <v>4967</v>
      </c>
      <c r="E3582" t="s">
        <v>11</v>
      </c>
      <c r="F3582" t="s">
        <v>1209</v>
      </c>
      <c r="G3582" t="s">
        <v>234</v>
      </c>
      <c r="H3582" t="s">
        <v>14</v>
      </c>
    </row>
    <row r="3583" spans="1:8" hidden="1" x14ac:dyDescent="0.25">
      <c r="A3583" t="s">
        <v>4974</v>
      </c>
      <c r="B3583" s="1" t="str">
        <f>HYPERLINK("https://asmlis.vasa.lt/Dashboard/Served?ServiceDateFrom=2025-11-24&amp;ServiceDateTo=2025-11-24&amp;DumpsterInvNr=13-L-134510", "13-L-134510")</f>
        <v>13-L-134510</v>
      </c>
      <c r="C3583">
        <v>0.12</v>
      </c>
      <c r="D3583" t="s">
        <v>4975</v>
      </c>
      <c r="E3583" t="s">
        <v>11</v>
      </c>
      <c r="G3583" t="s">
        <v>1912</v>
      </c>
      <c r="H3583" t="s">
        <v>432</v>
      </c>
    </row>
    <row r="3584" spans="1:8" hidden="1" x14ac:dyDescent="0.25">
      <c r="A3584" t="s">
        <v>4976</v>
      </c>
      <c r="B3584" s="1" t="str">
        <f>HYPERLINK("https://asmlis.vasa.lt/Dashboard/Served?ServiceDateFrom=2025-11-24&amp;ServiceDateTo=2025-11-24&amp;DumpsterInvNr=13-S-506155", "13-S-506155")</f>
        <v>13-S-506155</v>
      </c>
      <c r="C3584">
        <v>0.12</v>
      </c>
      <c r="D3584" t="s">
        <v>4962</v>
      </c>
      <c r="E3584" t="s">
        <v>11</v>
      </c>
      <c r="F3584" t="s">
        <v>1209</v>
      </c>
      <c r="G3584" t="s">
        <v>2178</v>
      </c>
      <c r="H3584" t="s">
        <v>432</v>
      </c>
    </row>
    <row r="3585" spans="1:8" hidden="1" x14ac:dyDescent="0.25">
      <c r="A3585" t="s">
        <v>4662</v>
      </c>
      <c r="B3585" s="1" t="str">
        <f>HYPERLINK("https://asmlis.vasa.lt/Dashboard/Served?ServiceDateFrom=2025-11-24&amp;ServiceDateTo=2025-11-24&amp;DumpsterInvNr=13-P-112129", "13-P-112129")</f>
        <v>13-P-112129</v>
      </c>
      <c r="C3585">
        <v>0.24</v>
      </c>
      <c r="D3585" t="s">
        <v>4975</v>
      </c>
      <c r="E3585" t="s">
        <v>11</v>
      </c>
      <c r="G3585" t="s">
        <v>1917</v>
      </c>
      <c r="H3585" t="s">
        <v>432</v>
      </c>
    </row>
    <row r="3586" spans="1:8" hidden="1" x14ac:dyDescent="0.25">
      <c r="A3586" t="s">
        <v>4788</v>
      </c>
      <c r="B3586" s="1" t="str">
        <f>HYPERLINK("https://asmlis.vasa.lt/Dashboard/Served?ServiceDateFrom=2025-11-24&amp;ServiceDateTo=2025-11-24&amp;DumpsterInvNr=13-L-424025", "13-L-424025")</f>
        <v>13-L-424025</v>
      </c>
      <c r="C3586">
        <v>1.1000000000000001</v>
      </c>
      <c r="D3586" t="s">
        <v>4977</v>
      </c>
      <c r="E3586" t="s">
        <v>11</v>
      </c>
      <c r="G3586" t="s">
        <v>74</v>
      </c>
      <c r="H3586" t="s">
        <v>14</v>
      </c>
    </row>
    <row r="3587" spans="1:8" hidden="1" x14ac:dyDescent="0.25">
      <c r="A3587" t="s">
        <v>4646</v>
      </c>
      <c r="B3587" s="1" t="str">
        <f>HYPERLINK("https://asmlis.vasa.lt/Dashboard/Served?ServiceDateFrom=2025-11-24&amp;ServiceDateTo=2025-11-24&amp;DumpsterInvNr=13-L-314306", "13-L-314306")</f>
        <v>13-L-314306</v>
      </c>
      <c r="C3587">
        <v>5</v>
      </c>
      <c r="D3587" t="s">
        <v>4978</v>
      </c>
      <c r="E3587" t="s">
        <v>11</v>
      </c>
      <c r="F3587" t="s">
        <v>13</v>
      </c>
      <c r="G3587" t="s">
        <v>9</v>
      </c>
      <c r="H3587" t="s">
        <v>14</v>
      </c>
    </row>
    <row r="3588" spans="1:8" hidden="1" x14ac:dyDescent="0.25">
      <c r="A3588" t="s">
        <v>4646</v>
      </c>
      <c r="B3588" s="1" t="str">
        <f>HYPERLINK("https://asmlis.vasa.lt/Dashboard/Served?ServiceDateFrom=2025-11-24&amp;ServiceDateTo=2025-11-24&amp;DumpsterInvNr=13-P-210401", "13-P-210401")</f>
        <v>13-P-210401</v>
      </c>
      <c r="C3588">
        <v>0.24</v>
      </c>
      <c r="D3588" t="s">
        <v>4979</v>
      </c>
      <c r="E3588" t="s">
        <v>11</v>
      </c>
      <c r="G3588" t="s">
        <v>234</v>
      </c>
      <c r="H3588" t="s">
        <v>14</v>
      </c>
    </row>
    <row r="3589" spans="1:8" hidden="1" x14ac:dyDescent="0.25">
      <c r="A3589" t="s">
        <v>4980</v>
      </c>
      <c r="B3589" s="1" t="str">
        <f>HYPERLINK("https://asmlis.vasa.lt/Dashboard/Served?ServiceDateFrom=2025-11-24&amp;ServiceDateTo=2025-11-24&amp;DumpsterInvNr=13-L-125450", "13-L-125450")</f>
        <v>13-L-125450</v>
      </c>
      <c r="C3589">
        <v>0.12</v>
      </c>
      <c r="D3589" t="s">
        <v>4981</v>
      </c>
      <c r="E3589" t="s">
        <v>11</v>
      </c>
      <c r="F3589" t="s">
        <v>1209</v>
      </c>
      <c r="G3589" t="s">
        <v>1912</v>
      </c>
      <c r="H3589" t="s">
        <v>432</v>
      </c>
    </row>
    <row r="3590" spans="1:8" hidden="1" x14ac:dyDescent="0.25">
      <c r="A3590" t="s">
        <v>4980</v>
      </c>
      <c r="B3590" s="1" t="str">
        <f>HYPERLINK("https://asmlis.vasa.lt/Dashboard/Served?ServiceDateFrom=2025-11-24&amp;ServiceDateTo=2025-11-24&amp;DumpsterInvNr=13-L-218289", "13-L-218289")</f>
        <v>13-L-218289</v>
      </c>
      <c r="C3590">
        <v>1.1000000000000001</v>
      </c>
      <c r="D3590" t="s">
        <v>4982</v>
      </c>
      <c r="E3590" t="s">
        <v>11</v>
      </c>
      <c r="F3590" t="s">
        <v>13</v>
      </c>
      <c r="G3590" t="s">
        <v>936</v>
      </c>
      <c r="H3590" t="s">
        <v>938</v>
      </c>
    </row>
    <row r="3591" spans="1:8" hidden="1" x14ac:dyDescent="0.25">
      <c r="A3591" t="s">
        <v>4983</v>
      </c>
      <c r="B3591" s="1" t="str">
        <f>HYPERLINK("https://asmlis.vasa.lt/Dashboard/Served?ServiceDateFrom=2025-11-24&amp;ServiceDateTo=2025-11-24&amp;DumpsterInvNr=13-M-203928", "13-M-203928")</f>
        <v>13-M-203928</v>
      </c>
      <c r="C3591">
        <v>0.12</v>
      </c>
      <c r="D3591" t="s">
        <v>4984</v>
      </c>
      <c r="E3591" t="s">
        <v>11</v>
      </c>
      <c r="F3591" t="s">
        <v>1209</v>
      </c>
      <c r="G3591" t="s">
        <v>4876</v>
      </c>
      <c r="H3591" t="s">
        <v>938</v>
      </c>
    </row>
    <row r="3592" spans="1:8" hidden="1" x14ac:dyDescent="0.25">
      <c r="A3592" t="s">
        <v>4973</v>
      </c>
      <c r="B3592" s="1" t="str">
        <f>HYPERLINK("https://asmlis.vasa.lt/Dashboard/Served?ServiceDateFrom=2025-11-24&amp;ServiceDateTo=2025-11-24&amp;DumpsterInvNr=13-L-209210", "13-L-209210")</f>
        <v>13-L-209210</v>
      </c>
      <c r="C3592">
        <v>0.24</v>
      </c>
      <c r="D3592" t="s">
        <v>2665</v>
      </c>
      <c r="E3592" t="s">
        <v>11</v>
      </c>
      <c r="G3592" t="s">
        <v>936</v>
      </c>
      <c r="H3592" t="s">
        <v>938</v>
      </c>
    </row>
    <row r="3593" spans="1:8" hidden="1" x14ac:dyDescent="0.25">
      <c r="A3593" t="s">
        <v>4973</v>
      </c>
      <c r="B3593" s="1" t="str">
        <f>HYPERLINK("https://asmlis.vasa.lt/Dashboard/Served?ServiceDateFrom=2025-11-24&amp;ServiceDateTo=2025-11-24&amp;DumpsterInvNr=13-P-500446", "13-P-500446")</f>
        <v>13-P-500446</v>
      </c>
      <c r="C3593">
        <v>5</v>
      </c>
      <c r="D3593" t="s">
        <v>4985</v>
      </c>
      <c r="E3593" t="s">
        <v>11</v>
      </c>
      <c r="F3593" t="s">
        <v>13</v>
      </c>
      <c r="G3593" t="s">
        <v>2178</v>
      </c>
      <c r="H3593" t="s">
        <v>432</v>
      </c>
    </row>
    <row r="3594" spans="1:8" hidden="1" x14ac:dyDescent="0.25">
      <c r="A3594" t="s">
        <v>4986</v>
      </c>
      <c r="B3594" s="1" t="str">
        <f>HYPERLINK("https://asmlis.vasa.lt/Dashboard/Served?ServiceDateFrom=2025-11-24&amp;ServiceDateTo=2025-11-24&amp;DumpsterInvNr=13-L-421728", "13-L-421728")</f>
        <v>13-L-421728</v>
      </c>
      <c r="C3594">
        <v>1.1000000000000001</v>
      </c>
      <c r="D3594" t="s">
        <v>4884</v>
      </c>
      <c r="E3594" t="s">
        <v>11</v>
      </c>
      <c r="G3594" t="s">
        <v>74</v>
      </c>
      <c r="H3594" t="s">
        <v>14</v>
      </c>
    </row>
    <row r="3595" spans="1:8" hidden="1" x14ac:dyDescent="0.25">
      <c r="A3595" t="s">
        <v>4986</v>
      </c>
      <c r="B3595" s="1" t="str">
        <f>HYPERLINK("https://asmlis.vasa.lt/Dashboard/Served?ServiceDateFrom=2025-11-24&amp;ServiceDateTo=2025-11-24&amp;DumpsterInvNr=13-L-313942", "13-L-313942")</f>
        <v>13-L-313942</v>
      </c>
      <c r="C3595">
        <v>0.24</v>
      </c>
      <c r="D3595" t="s">
        <v>4987</v>
      </c>
      <c r="E3595" t="s">
        <v>11</v>
      </c>
      <c r="F3595" t="s">
        <v>1209</v>
      </c>
      <c r="G3595" t="s">
        <v>9</v>
      </c>
      <c r="H3595" t="s">
        <v>14</v>
      </c>
    </row>
    <row r="3596" spans="1:8" hidden="1" x14ac:dyDescent="0.25">
      <c r="A3596" t="s">
        <v>4608</v>
      </c>
      <c r="B3596" s="1" t="str">
        <f>HYPERLINK("https://asmlis.vasa.lt/Dashboard/Served?ServiceDateFrom=2025-11-24&amp;ServiceDateTo=2025-11-24&amp;DumpsterInvNr=13-L-123417", "13-L-123417")</f>
        <v>13-L-123417</v>
      </c>
      <c r="C3596">
        <v>0.24</v>
      </c>
      <c r="D3596" t="s">
        <v>4988</v>
      </c>
      <c r="E3596" t="s">
        <v>11</v>
      </c>
      <c r="G3596" t="s">
        <v>430</v>
      </c>
      <c r="H3596" t="s">
        <v>432</v>
      </c>
    </row>
    <row r="3597" spans="1:8" hidden="1" x14ac:dyDescent="0.25">
      <c r="A3597" t="s">
        <v>4608</v>
      </c>
      <c r="B3597" s="1" t="str">
        <f>HYPERLINK("https://asmlis.vasa.lt/Dashboard/Served?ServiceDateFrom=2025-11-24&amp;ServiceDateTo=2025-11-24&amp;DumpsterInvNr=13-L-138844", "13-L-138844")</f>
        <v>13-L-138844</v>
      </c>
      <c r="C3597">
        <v>5</v>
      </c>
      <c r="D3597" t="s">
        <v>4989</v>
      </c>
      <c r="E3597" t="s">
        <v>11</v>
      </c>
      <c r="F3597" t="s">
        <v>13</v>
      </c>
      <c r="G3597" t="s">
        <v>430</v>
      </c>
      <c r="H3597" t="s">
        <v>432</v>
      </c>
    </row>
    <row r="3598" spans="1:8" hidden="1" x14ac:dyDescent="0.25">
      <c r="A3598" t="s">
        <v>4608</v>
      </c>
      <c r="B3598" s="1" t="str">
        <f>HYPERLINK("https://asmlis.vasa.lt/Dashboard/Served?ServiceDateFrom=2025-11-24&amp;ServiceDateTo=2025-11-24&amp;DumpsterInvNr=13-P-508426", "13-P-508426")</f>
        <v>13-P-508426</v>
      </c>
      <c r="C3598">
        <v>0.12</v>
      </c>
      <c r="D3598" t="s">
        <v>4988</v>
      </c>
      <c r="E3598" t="s">
        <v>11</v>
      </c>
      <c r="G3598" t="s">
        <v>2178</v>
      </c>
      <c r="H3598" t="s">
        <v>432</v>
      </c>
    </row>
    <row r="3599" spans="1:8" hidden="1" x14ac:dyDescent="0.25">
      <c r="A3599" t="s">
        <v>4990</v>
      </c>
      <c r="B3599" s="1" t="str">
        <f>HYPERLINK("https://asmlis.vasa.lt/Dashboard/Served?ServiceDateFrom=2025-11-24&amp;ServiceDateTo=2025-11-24&amp;DumpsterInvNr=13-L-221667", "13-L-221667")</f>
        <v>13-L-221667</v>
      </c>
      <c r="C3599">
        <v>1.1000000000000001</v>
      </c>
      <c r="D3599" t="s">
        <v>4926</v>
      </c>
      <c r="E3599" t="s">
        <v>11</v>
      </c>
      <c r="G3599" t="s">
        <v>936</v>
      </c>
      <c r="H3599" t="s">
        <v>938</v>
      </c>
    </row>
    <row r="3600" spans="1:8" hidden="1" x14ac:dyDescent="0.25">
      <c r="A3600" t="s">
        <v>4991</v>
      </c>
      <c r="B3600" s="1" t="str">
        <f>HYPERLINK("https://asmlis.vasa.lt/Dashboard/Served?ServiceDateFrom=2025-11-24&amp;ServiceDateTo=2025-11-24&amp;DumpsterInvNr=13-L-422563", "13-L-422563")</f>
        <v>13-L-422563</v>
      </c>
      <c r="C3600">
        <v>1.1000000000000001</v>
      </c>
      <c r="D3600" t="s">
        <v>1881</v>
      </c>
      <c r="E3600" t="s">
        <v>11</v>
      </c>
      <c r="G3600" t="s">
        <v>74</v>
      </c>
      <c r="H3600" t="s">
        <v>14</v>
      </c>
    </row>
    <row r="3601" spans="1:8" hidden="1" x14ac:dyDescent="0.25">
      <c r="A3601" t="s">
        <v>4991</v>
      </c>
      <c r="B3601" s="1" t="str">
        <f>HYPERLINK("https://asmlis.vasa.lt/Dashboard/Served?ServiceDateFrom=2025-11-24&amp;ServiceDateTo=2025-11-24&amp;DumpsterInvNr=13-P-205026", "13-P-205026")</f>
        <v>13-P-205026</v>
      </c>
      <c r="C3601">
        <v>5</v>
      </c>
      <c r="D3601" t="s">
        <v>4992</v>
      </c>
      <c r="E3601" t="s">
        <v>11</v>
      </c>
      <c r="G3601" t="s">
        <v>234</v>
      </c>
      <c r="H3601" t="s">
        <v>14</v>
      </c>
    </row>
    <row r="3602" spans="1:8" hidden="1" x14ac:dyDescent="0.25">
      <c r="A3602" t="s">
        <v>4993</v>
      </c>
      <c r="B3602" s="1" t="str">
        <f>HYPERLINK("https://asmlis.vasa.lt/Dashboard/Served?ServiceDateFrom=2025-11-24&amp;ServiceDateTo=2025-11-24&amp;DumpsterInvNr=13-P-400576", "13-P-400576")</f>
        <v>13-P-400576</v>
      </c>
      <c r="C3602">
        <v>5</v>
      </c>
      <c r="D3602" t="s">
        <v>4994</v>
      </c>
      <c r="E3602" t="s">
        <v>11</v>
      </c>
      <c r="F3602" t="s">
        <v>13</v>
      </c>
      <c r="G3602" t="s">
        <v>264</v>
      </c>
      <c r="H3602" t="s">
        <v>14</v>
      </c>
    </row>
    <row r="3603" spans="1:8" hidden="1" x14ac:dyDescent="0.25">
      <c r="A3603" t="s">
        <v>4995</v>
      </c>
      <c r="B3603" s="1" t="str">
        <f>HYPERLINK("https://asmlis.vasa.lt/Dashboard/Served?ServiceDateFrom=2025-11-24&amp;ServiceDateTo=2025-11-24&amp;DumpsterInvNr=13-L-426759", "13-L-426759")</f>
        <v>13-L-426759</v>
      </c>
      <c r="C3603">
        <v>1.1000000000000001</v>
      </c>
      <c r="D3603" t="s">
        <v>4884</v>
      </c>
      <c r="E3603" t="s">
        <v>11</v>
      </c>
      <c r="G3603" t="s">
        <v>74</v>
      </c>
      <c r="H3603" t="s">
        <v>14</v>
      </c>
    </row>
    <row r="3604" spans="1:8" hidden="1" x14ac:dyDescent="0.25">
      <c r="A3604" t="s">
        <v>4996</v>
      </c>
      <c r="B3604" s="1" t="str">
        <f>HYPERLINK("https://asmlis.vasa.lt/Dashboard/Served?ServiceDateFrom=2025-11-24&amp;ServiceDateTo=2025-11-24&amp;DumpsterInvNr=13-L-123418", "13-L-123418")</f>
        <v>13-L-123418</v>
      </c>
      <c r="C3604">
        <v>0.12</v>
      </c>
      <c r="D3604" t="s">
        <v>4997</v>
      </c>
      <c r="E3604" t="s">
        <v>11</v>
      </c>
      <c r="G3604" t="s">
        <v>430</v>
      </c>
      <c r="H3604" t="s">
        <v>432</v>
      </c>
    </row>
    <row r="3605" spans="1:8" hidden="1" x14ac:dyDescent="0.25">
      <c r="A3605" t="s">
        <v>4999</v>
      </c>
      <c r="B3605" s="1" t="str">
        <f>HYPERLINK("https://asmlis.vasa.lt/Dashboard/Served?ServiceDateFrom=2025-11-24&amp;ServiceDateTo=2025-11-24&amp;DumpsterInvNr=13-L-212615", "13-L-212615")</f>
        <v>13-L-212615</v>
      </c>
      <c r="C3605">
        <v>1.1000000000000001</v>
      </c>
      <c r="D3605" t="s">
        <v>4926</v>
      </c>
      <c r="E3605" t="s">
        <v>11</v>
      </c>
      <c r="G3605" t="s">
        <v>936</v>
      </c>
      <c r="H3605" t="s">
        <v>938</v>
      </c>
    </row>
    <row r="3606" spans="1:8" hidden="1" x14ac:dyDescent="0.25">
      <c r="A3606" t="s">
        <v>5000</v>
      </c>
      <c r="B3606" s="1" t="str">
        <f>HYPERLINK("https://asmlis.vasa.lt/Dashboard/Served?ServiceDateFrom=2025-11-24&amp;ServiceDateTo=2025-11-24&amp;DumpsterInvNr=13-P-508424", "13-P-508424")</f>
        <v>13-P-508424</v>
      </c>
      <c r="C3606">
        <v>0.12</v>
      </c>
      <c r="D3606" t="s">
        <v>4997</v>
      </c>
      <c r="E3606" t="s">
        <v>11</v>
      </c>
      <c r="G3606" t="s">
        <v>2178</v>
      </c>
      <c r="H3606" t="s">
        <v>432</v>
      </c>
    </row>
    <row r="3607" spans="1:8" hidden="1" x14ac:dyDescent="0.25">
      <c r="A3607" t="s">
        <v>5002</v>
      </c>
      <c r="B3607" s="1" t="str">
        <f>HYPERLINK("https://asmlis.vasa.lt/Dashboard/Served?ServiceDateFrom=2025-11-24&amp;ServiceDateTo=2025-11-24&amp;DumpsterInvNr=13-S-206377", "13-S-206377")</f>
        <v>13-S-206377</v>
      </c>
      <c r="C3607">
        <v>0.12</v>
      </c>
      <c r="D3607" t="s">
        <v>5003</v>
      </c>
      <c r="E3607" t="s">
        <v>11</v>
      </c>
      <c r="F3607" t="s">
        <v>1209</v>
      </c>
      <c r="G3607" t="s">
        <v>234</v>
      </c>
      <c r="H3607" t="s">
        <v>14</v>
      </c>
    </row>
    <row r="3608" spans="1:8" hidden="1" x14ac:dyDescent="0.25">
      <c r="A3608" t="s">
        <v>5004</v>
      </c>
      <c r="B3608" s="1" t="str">
        <f>HYPERLINK("https://asmlis.vasa.lt/Dashboard/Served?ServiceDateFrom=2025-11-24&amp;ServiceDateTo=2025-11-24&amp;DumpsterInvNr=13-P-205259", "13-P-205259")</f>
        <v>13-P-205259</v>
      </c>
      <c r="C3608">
        <v>0.24</v>
      </c>
      <c r="D3608" t="s">
        <v>5003</v>
      </c>
      <c r="E3608" t="s">
        <v>11</v>
      </c>
      <c r="F3608" t="s">
        <v>1209</v>
      </c>
      <c r="G3608" t="s">
        <v>234</v>
      </c>
      <c r="H3608" t="s">
        <v>14</v>
      </c>
    </row>
    <row r="3609" spans="1:8" hidden="1" x14ac:dyDescent="0.25">
      <c r="A3609" t="s">
        <v>5005</v>
      </c>
      <c r="B3609" s="1" t="str">
        <f>HYPERLINK("https://asmlis.vasa.lt/Dashboard/Served?ServiceDateFrom=2025-11-24&amp;ServiceDateTo=2025-11-24&amp;DumpsterInvNr=13-P-301719", "13-P-301719")</f>
        <v>13-P-301719</v>
      </c>
      <c r="C3609">
        <v>1.1000000000000001</v>
      </c>
      <c r="D3609" t="s">
        <v>5006</v>
      </c>
      <c r="E3609" t="s">
        <v>11</v>
      </c>
      <c r="F3609" t="s">
        <v>13</v>
      </c>
      <c r="G3609" t="s">
        <v>412</v>
      </c>
      <c r="H3609" t="s">
        <v>14</v>
      </c>
    </row>
    <row r="3610" spans="1:8" hidden="1" x14ac:dyDescent="0.25">
      <c r="A3610" t="s">
        <v>5007</v>
      </c>
      <c r="B3610" s="1" t="str">
        <f>HYPERLINK("https://asmlis.vasa.lt/Dashboard/Served?ServiceDateFrom=2025-11-24&amp;ServiceDateTo=2025-11-24&amp;DumpsterInvNr=13-S-506154", "13-S-506154")</f>
        <v>13-S-506154</v>
      </c>
      <c r="C3610">
        <v>0.12</v>
      </c>
      <c r="D3610" t="s">
        <v>5008</v>
      </c>
      <c r="E3610" t="s">
        <v>11</v>
      </c>
      <c r="F3610" t="s">
        <v>1209</v>
      </c>
      <c r="G3610" t="s">
        <v>2178</v>
      </c>
      <c r="H3610" t="s">
        <v>432</v>
      </c>
    </row>
    <row r="3611" spans="1:8" hidden="1" x14ac:dyDescent="0.25">
      <c r="A3611" t="s">
        <v>5007</v>
      </c>
      <c r="B3611" s="1" t="str">
        <f>HYPERLINK("https://asmlis.vasa.lt/Dashboard/Served?ServiceDateFrom=2025-11-24&amp;ServiceDateTo=2025-11-24&amp;DumpsterInvNr=13-M-200969", "13-M-200969")</f>
        <v>13-M-200969</v>
      </c>
      <c r="C3611">
        <v>0.12</v>
      </c>
      <c r="D3611" t="s">
        <v>5010</v>
      </c>
      <c r="E3611" t="s">
        <v>11</v>
      </c>
      <c r="F3611" t="s">
        <v>1209</v>
      </c>
      <c r="G3611" t="s">
        <v>4876</v>
      </c>
      <c r="H3611" t="s">
        <v>938</v>
      </c>
    </row>
    <row r="3612" spans="1:8" hidden="1" x14ac:dyDescent="0.25">
      <c r="A3612" t="s">
        <v>5011</v>
      </c>
      <c r="B3612" s="1" t="str">
        <f>HYPERLINK("https://asmlis.vasa.lt/Dashboard/Served?ServiceDateFrom=2025-11-24&amp;ServiceDateTo=2025-11-24&amp;DumpsterInvNr=13-L-426706", "13-L-426706")</f>
        <v>13-L-426706</v>
      </c>
      <c r="C3612">
        <v>1.1000000000000001</v>
      </c>
      <c r="D3612" t="s">
        <v>5012</v>
      </c>
      <c r="E3612" t="s">
        <v>11</v>
      </c>
      <c r="G3612" t="s">
        <v>74</v>
      </c>
      <c r="H3612" t="s">
        <v>14</v>
      </c>
    </row>
    <row r="3613" spans="1:8" hidden="1" x14ac:dyDescent="0.25">
      <c r="A3613" t="s">
        <v>5013</v>
      </c>
      <c r="B3613" s="1" t="str">
        <f>HYPERLINK("https://asmlis.vasa.lt/Dashboard/Served?ServiceDateFrom=2025-11-24&amp;ServiceDateTo=2025-11-24&amp;DumpsterInvNr=13-M-206978", "13-M-206978")</f>
        <v>13-M-206978</v>
      </c>
      <c r="C3613">
        <v>0.12</v>
      </c>
      <c r="D3613" t="s">
        <v>5015</v>
      </c>
      <c r="E3613" t="s">
        <v>11</v>
      </c>
      <c r="F3613" t="s">
        <v>1209</v>
      </c>
      <c r="G3613" t="s">
        <v>4876</v>
      </c>
      <c r="H3613" t="s">
        <v>938</v>
      </c>
    </row>
    <row r="3614" spans="1:8" hidden="1" x14ac:dyDescent="0.25">
      <c r="A3614" t="s">
        <v>5017</v>
      </c>
      <c r="B3614" s="1" t="str">
        <f>HYPERLINK("https://asmlis.vasa.lt/Dashboard/Served?ServiceDateFrom=2025-11-24&amp;ServiceDateTo=2025-11-24&amp;DumpsterInvNr=13-L-136777", "13-L-136777")</f>
        <v>13-L-136777</v>
      </c>
      <c r="C3614">
        <v>0.24</v>
      </c>
      <c r="D3614" t="s">
        <v>5008</v>
      </c>
      <c r="E3614" t="s">
        <v>11</v>
      </c>
      <c r="G3614" t="s">
        <v>430</v>
      </c>
      <c r="H3614" t="s">
        <v>432</v>
      </c>
    </row>
    <row r="3615" spans="1:8" hidden="1" x14ac:dyDescent="0.25">
      <c r="A3615" t="s">
        <v>5017</v>
      </c>
      <c r="B3615" s="1" t="str">
        <f>HYPERLINK("https://asmlis.vasa.lt/Dashboard/Served?ServiceDateFrom=2025-11-24&amp;ServiceDateTo=2025-11-24&amp;DumpsterInvNr=13-P-508423", "13-P-508423")</f>
        <v>13-P-508423</v>
      </c>
      <c r="C3615">
        <v>0.12</v>
      </c>
      <c r="D3615" t="s">
        <v>5008</v>
      </c>
      <c r="E3615" t="s">
        <v>11</v>
      </c>
      <c r="G3615" t="s">
        <v>2178</v>
      </c>
      <c r="H3615" t="s">
        <v>432</v>
      </c>
    </row>
    <row r="3616" spans="1:8" hidden="1" x14ac:dyDescent="0.25">
      <c r="A3616" t="s">
        <v>5019</v>
      </c>
      <c r="B3616" s="1" t="str">
        <f>HYPERLINK("https://asmlis.vasa.lt/Dashboard/Served?ServiceDateFrom=2025-11-24&amp;ServiceDateTo=2025-11-24&amp;DumpsterInvNr=13-P-210777", "13-P-210777")</f>
        <v>13-P-210777</v>
      </c>
      <c r="C3616">
        <v>0.24</v>
      </c>
      <c r="D3616" t="s">
        <v>5020</v>
      </c>
      <c r="E3616" t="s">
        <v>11</v>
      </c>
      <c r="G3616" t="s">
        <v>234</v>
      </c>
      <c r="H3616" t="s">
        <v>14</v>
      </c>
    </row>
    <row r="3617" spans="1:8" hidden="1" x14ac:dyDescent="0.25">
      <c r="A3617" t="s">
        <v>5021</v>
      </c>
      <c r="B3617" s="1" t="str">
        <f>HYPERLINK("https://asmlis.vasa.lt/Dashboard/Served?ServiceDateFrom=2025-11-24&amp;ServiceDateTo=2025-11-24&amp;DumpsterInvNr=13-L-119452", "13-L-119452")</f>
        <v>13-L-119452</v>
      </c>
      <c r="C3617">
        <v>1.1000000000000001</v>
      </c>
      <c r="D3617" t="s">
        <v>5022</v>
      </c>
      <c r="E3617" t="s">
        <v>11</v>
      </c>
      <c r="G3617" t="s">
        <v>430</v>
      </c>
      <c r="H3617" t="s">
        <v>432</v>
      </c>
    </row>
    <row r="3618" spans="1:8" hidden="1" x14ac:dyDescent="0.25">
      <c r="A3618" t="s">
        <v>5023</v>
      </c>
      <c r="B3618" s="1" t="str">
        <f>HYPERLINK("https://asmlis.vasa.lt/Dashboard/Served?ServiceDateFrom=2025-11-24&amp;ServiceDateTo=2025-11-24&amp;DumpsterInvNr=13-L-110388", "13-L-110388")</f>
        <v>13-L-110388</v>
      </c>
      <c r="C3618">
        <v>1.1000000000000001</v>
      </c>
      <c r="D3618" t="s">
        <v>4150</v>
      </c>
      <c r="E3618" t="s">
        <v>11</v>
      </c>
      <c r="G3618" t="s">
        <v>1912</v>
      </c>
      <c r="H3618" t="s">
        <v>432</v>
      </c>
    </row>
    <row r="3619" spans="1:8" hidden="1" x14ac:dyDescent="0.25">
      <c r="A3619" t="s">
        <v>5025</v>
      </c>
      <c r="B3619" s="1" t="str">
        <f>HYPERLINK("https://asmlis.vasa.lt/Dashboard/Served?ServiceDateFrom=2025-11-24&amp;ServiceDateTo=2025-11-24&amp;DumpsterInvNr=13-L-314180", "13-L-314180")</f>
        <v>13-L-314180</v>
      </c>
      <c r="C3619">
        <v>5</v>
      </c>
      <c r="D3619" t="s">
        <v>5026</v>
      </c>
      <c r="E3619" t="s">
        <v>11</v>
      </c>
      <c r="F3619" t="s">
        <v>13</v>
      </c>
      <c r="G3619" t="s">
        <v>9</v>
      </c>
      <c r="H3619" t="s">
        <v>14</v>
      </c>
    </row>
    <row r="3620" spans="1:8" hidden="1" x14ac:dyDescent="0.25">
      <c r="A3620" t="s">
        <v>5027</v>
      </c>
      <c r="B3620" s="1" t="str">
        <f>HYPERLINK("https://asmlis.vasa.lt/Dashboard/Served?ServiceDateFrom=2025-11-24&amp;ServiceDateTo=2025-11-24&amp;DumpsterInvNr=13-L-112240", "13-L-112240")</f>
        <v>13-L-112240</v>
      </c>
      <c r="C3620">
        <v>0.24</v>
      </c>
      <c r="D3620" t="s">
        <v>5028</v>
      </c>
      <c r="E3620" t="s">
        <v>11</v>
      </c>
      <c r="G3620" t="s">
        <v>430</v>
      </c>
      <c r="H3620" t="s">
        <v>432</v>
      </c>
    </row>
    <row r="3621" spans="1:8" hidden="1" x14ac:dyDescent="0.25">
      <c r="A3621" t="s">
        <v>5029</v>
      </c>
      <c r="B3621" s="1" t="str">
        <f>HYPERLINK("https://asmlis.vasa.lt/Dashboard/Served?ServiceDateFrom=2025-11-24&amp;ServiceDateTo=2025-11-24&amp;DumpsterInvNr=13-L-422966", "13-L-422966")</f>
        <v>13-L-422966</v>
      </c>
      <c r="C3621">
        <v>1.1000000000000001</v>
      </c>
      <c r="D3621" t="s">
        <v>4884</v>
      </c>
      <c r="E3621" t="s">
        <v>11</v>
      </c>
      <c r="G3621" t="s">
        <v>74</v>
      </c>
      <c r="H3621" t="s">
        <v>14</v>
      </c>
    </row>
    <row r="3622" spans="1:8" hidden="1" x14ac:dyDescent="0.25">
      <c r="A3622" t="s">
        <v>5030</v>
      </c>
      <c r="B3622" s="1" t="str">
        <f>HYPERLINK("https://asmlis.vasa.lt/Dashboard/Served?ServiceDateFrom=2025-11-24&amp;ServiceDateTo=2025-11-24&amp;DumpsterInvNr=13-L-221787", "13-L-221787")</f>
        <v>13-L-221787</v>
      </c>
      <c r="C3622">
        <v>1.1000000000000001</v>
      </c>
      <c r="D3622" t="s">
        <v>4926</v>
      </c>
      <c r="E3622" t="s">
        <v>11</v>
      </c>
      <c r="F3622" t="s">
        <v>13</v>
      </c>
      <c r="G3622" t="s">
        <v>936</v>
      </c>
      <c r="H3622" t="s">
        <v>938</v>
      </c>
    </row>
    <row r="3623" spans="1:8" hidden="1" x14ac:dyDescent="0.25">
      <c r="A3623" t="s">
        <v>5031</v>
      </c>
      <c r="B3623" s="1" t="str">
        <f>HYPERLINK("https://asmlis.vasa.lt/Dashboard/Served?ServiceDateFrom=2025-11-24&amp;ServiceDateTo=2025-11-24&amp;DumpsterInvNr=13-P-506063", "13-P-506063")</f>
        <v>13-P-506063</v>
      </c>
      <c r="C3623">
        <v>0.24</v>
      </c>
      <c r="D3623" t="s">
        <v>5028</v>
      </c>
      <c r="E3623" t="s">
        <v>11</v>
      </c>
      <c r="G3623" t="s">
        <v>2178</v>
      </c>
      <c r="H3623" t="s">
        <v>432</v>
      </c>
    </row>
    <row r="3624" spans="1:8" hidden="1" x14ac:dyDescent="0.25">
      <c r="A3624" t="s">
        <v>5032</v>
      </c>
      <c r="B3624" s="1" t="str">
        <f>HYPERLINK("https://asmlis.vasa.lt/Dashboard/Served?ServiceDateFrom=2025-11-24&amp;ServiceDateTo=2025-11-24&amp;DumpsterInvNr=13-L-126447", "13-L-126447")</f>
        <v>13-L-126447</v>
      </c>
      <c r="C3624">
        <v>1.1000000000000001</v>
      </c>
      <c r="D3624" t="s">
        <v>5022</v>
      </c>
      <c r="E3624" t="s">
        <v>11</v>
      </c>
      <c r="G3624" t="s">
        <v>430</v>
      </c>
      <c r="H3624" t="s">
        <v>432</v>
      </c>
    </row>
    <row r="3625" spans="1:8" hidden="1" x14ac:dyDescent="0.25">
      <c r="A3625" t="s">
        <v>5033</v>
      </c>
      <c r="B3625" s="1" t="str">
        <f>HYPERLINK("https://asmlis.vasa.lt/Dashboard/Served?ServiceDateFrom=2025-11-24&amp;ServiceDateTo=2025-11-24&amp;DumpsterInvNr=13-L-221786", "13-L-221786")</f>
        <v>13-L-221786</v>
      </c>
      <c r="C3625">
        <v>1.1000000000000001</v>
      </c>
      <c r="D3625" t="s">
        <v>4926</v>
      </c>
      <c r="E3625" t="s">
        <v>11</v>
      </c>
      <c r="F3625" t="s">
        <v>13</v>
      </c>
      <c r="G3625" t="s">
        <v>936</v>
      </c>
      <c r="H3625" t="s">
        <v>938</v>
      </c>
    </row>
    <row r="3626" spans="1:8" hidden="1" x14ac:dyDescent="0.25">
      <c r="A3626" t="s">
        <v>5034</v>
      </c>
      <c r="B3626" s="1" t="str">
        <f>HYPERLINK("https://asmlis.vasa.lt/Dashboard/Served?ServiceDateFrom=2025-11-24&amp;ServiceDateTo=2025-11-24&amp;DumpsterInvNr=13-M-200943", "13-M-200943")</f>
        <v>13-M-200943</v>
      </c>
      <c r="C3626">
        <v>0.12</v>
      </c>
      <c r="D3626" t="s">
        <v>5035</v>
      </c>
      <c r="E3626" t="s">
        <v>11</v>
      </c>
      <c r="G3626" t="s">
        <v>4876</v>
      </c>
      <c r="H3626" t="s">
        <v>938</v>
      </c>
    </row>
    <row r="3627" spans="1:8" hidden="1" x14ac:dyDescent="0.25">
      <c r="A3627" t="s">
        <v>5036</v>
      </c>
      <c r="B3627" s="1" t="str">
        <f>HYPERLINK("https://asmlis.vasa.lt/Dashboard/Served?ServiceDateFrom=2025-11-24&amp;ServiceDateTo=2025-11-24&amp;DumpsterInvNr=13-L-420806", "13-L-420806")</f>
        <v>13-L-420806</v>
      </c>
      <c r="C3627">
        <v>5</v>
      </c>
      <c r="D3627" t="s">
        <v>2584</v>
      </c>
      <c r="E3627" t="s">
        <v>11</v>
      </c>
      <c r="G3627" t="s">
        <v>74</v>
      </c>
      <c r="H3627" t="s">
        <v>14</v>
      </c>
    </row>
    <row r="3628" spans="1:8" hidden="1" x14ac:dyDescent="0.25">
      <c r="A3628" t="s">
        <v>5037</v>
      </c>
      <c r="B3628" s="1" t="str">
        <f>HYPERLINK("https://asmlis.vasa.lt/Dashboard/Served?ServiceDateFrom=2025-11-24&amp;ServiceDateTo=2025-11-24&amp;DumpsterInvNr=13-P-205379", "13-P-205379")</f>
        <v>13-P-205379</v>
      </c>
      <c r="C3628">
        <v>0.24</v>
      </c>
      <c r="D3628" t="s">
        <v>5038</v>
      </c>
      <c r="E3628" t="s">
        <v>11</v>
      </c>
      <c r="F3628" t="s">
        <v>1209</v>
      </c>
      <c r="G3628" t="s">
        <v>234</v>
      </c>
      <c r="H3628" t="s">
        <v>14</v>
      </c>
    </row>
    <row r="3629" spans="1:8" hidden="1" x14ac:dyDescent="0.25">
      <c r="A3629" t="s">
        <v>5039</v>
      </c>
      <c r="B3629" s="1" t="str">
        <f>HYPERLINK("https://asmlis.vasa.lt/Dashboard/Served?ServiceDateFrom=2025-11-24&amp;ServiceDateTo=2025-11-24&amp;DumpsterInvNr=13-M-200961", "13-M-200961")</f>
        <v>13-M-200961</v>
      </c>
      <c r="C3629">
        <v>0.12</v>
      </c>
      <c r="D3629" t="s">
        <v>5010</v>
      </c>
      <c r="E3629" t="s">
        <v>11</v>
      </c>
      <c r="F3629" t="s">
        <v>1209</v>
      </c>
      <c r="G3629" t="s">
        <v>4876</v>
      </c>
      <c r="H3629" t="s">
        <v>938</v>
      </c>
    </row>
    <row r="3630" spans="1:8" hidden="1" x14ac:dyDescent="0.25">
      <c r="A3630" t="s">
        <v>5040</v>
      </c>
      <c r="B3630" s="1" t="str">
        <f>HYPERLINK("https://asmlis.vasa.lt/Dashboard/Served?ServiceDateFrom=2025-11-24&amp;ServiceDateTo=2025-11-24&amp;DumpsterInvNr=13-L-316878", "13-L-316878")</f>
        <v>13-L-316878</v>
      </c>
      <c r="C3630">
        <v>1.1000000000000001</v>
      </c>
      <c r="D3630" t="s">
        <v>5041</v>
      </c>
      <c r="E3630" t="s">
        <v>11</v>
      </c>
      <c r="G3630" t="s">
        <v>9</v>
      </c>
      <c r="H3630" t="s">
        <v>14</v>
      </c>
    </row>
    <row r="3631" spans="1:8" hidden="1" x14ac:dyDescent="0.25">
      <c r="A3631" t="s">
        <v>5042</v>
      </c>
      <c r="B3631" s="1" t="str">
        <f>HYPERLINK("https://asmlis.vasa.lt/Dashboard/Served?ServiceDateFrom=2025-11-24&amp;ServiceDateTo=2025-11-24&amp;DumpsterInvNr=13-L-110385", "13-L-110385")</f>
        <v>13-L-110385</v>
      </c>
      <c r="C3631">
        <v>1.1000000000000001</v>
      </c>
      <c r="D3631" t="s">
        <v>4150</v>
      </c>
      <c r="E3631" t="s">
        <v>11</v>
      </c>
      <c r="F3631" t="s">
        <v>13</v>
      </c>
      <c r="G3631" t="s">
        <v>1912</v>
      </c>
      <c r="H3631" t="s">
        <v>432</v>
      </c>
    </row>
    <row r="3632" spans="1:8" hidden="1" x14ac:dyDescent="0.25">
      <c r="A3632" t="s">
        <v>5042</v>
      </c>
      <c r="B3632" s="1" t="str">
        <f>HYPERLINK("https://asmlis.vasa.lt/Dashboard/Served?ServiceDateFrom=2025-11-24&amp;ServiceDateTo=2025-11-24&amp;DumpsterInvNr=13-L-119450", "13-L-119450")</f>
        <v>13-L-119450</v>
      </c>
      <c r="C3632">
        <v>1.1000000000000001</v>
      </c>
      <c r="D3632" t="s">
        <v>5022</v>
      </c>
      <c r="E3632" t="s">
        <v>11</v>
      </c>
      <c r="G3632" t="s">
        <v>430</v>
      </c>
      <c r="H3632" t="s">
        <v>432</v>
      </c>
    </row>
    <row r="3633" spans="1:8" hidden="1" x14ac:dyDescent="0.25">
      <c r="A3633" t="s">
        <v>4577</v>
      </c>
      <c r="B3633" s="1" t="str">
        <f>HYPERLINK("https://asmlis.vasa.lt/Dashboard/Served?ServiceDateFrom=2025-11-24&amp;ServiceDateTo=2025-11-24&amp;DumpsterInvNr=13-P-501819", "13-P-501819")</f>
        <v>13-P-501819</v>
      </c>
      <c r="C3633">
        <v>5</v>
      </c>
      <c r="D3633" t="s">
        <v>4985</v>
      </c>
      <c r="E3633" t="s">
        <v>11</v>
      </c>
      <c r="F3633" t="s">
        <v>13</v>
      </c>
      <c r="G3633" t="s">
        <v>2178</v>
      </c>
      <c r="H3633" t="s">
        <v>432</v>
      </c>
    </row>
    <row r="3634" spans="1:8" hidden="1" x14ac:dyDescent="0.25">
      <c r="A3634" t="s">
        <v>5043</v>
      </c>
      <c r="B3634" s="1" t="str">
        <f>HYPERLINK("https://asmlis.vasa.lt/Dashboard/Served?ServiceDateFrom=2025-11-24&amp;ServiceDateTo=2025-11-24&amp;DumpsterInvNr=13-L-110386", "13-L-110386")</f>
        <v>13-L-110386</v>
      </c>
      <c r="C3634">
        <v>1.1000000000000001</v>
      </c>
      <c r="D3634" t="s">
        <v>4150</v>
      </c>
      <c r="E3634" t="s">
        <v>11</v>
      </c>
      <c r="F3634" t="s">
        <v>13</v>
      </c>
      <c r="G3634" t="s">
        <v>1912</v>
      </c>
      <c r="H3634" t="s">
        <v>432</v>
      </c>
    </row>
    <row r="3635" spans="1:8" hidden="1" x14ac:dyDescent="0.25">
      <c r="A3635" t="s">
        <v>4671</v>
      </c>
      <c r="B3635" s="1" t="str">
        <f>HYPERLINK("https://asmlis.vasa.lt/Dashboard/Served?ServiceDateFrom=2025-11-24&amp;ServiceDateTo=2025-11-24&amp;DumpsterInvNr=13-L-109476", "13-L-109476")</f>
        <v>13-L-109476</v>
      </c>
      <c r="C3635">
        <v>0.12</v>
      </c>
      <c r="D3635" t="s">
        <v>5044</v>
      </c>
      <c r="E3635" t="s">
        <v>11</v>
      </c>
      <c r="G3635" t="s">
        <v>430</v>
      </c>
      <c r="H3635" t="s">
        <v>432</v>
      </c>
    </row>
    <row r="3636" spans="1:8" hidden="1" x14ac:dyDescent="0.25">
      <c r="A3636" t="s">
        <v>4671</v>
      </c>
      <c r="B3636" s="1" t="str">
        <f>HYPERLINK("https://asmlis.vasa.lt/Dashboard/Served?ServiceDateFrom=2025-11-24&amp;ServiceDateTo=2025-11-24&amp;DumpsterInvNr=13-P-404069", "13-P-404069")</f>
        <v>13-P-404069</v>
      </c>
      <c r="C3636">
        <v>0.24</v>
      </c>
      <c r="D3636" t="s">
        <v>5046</v>
      </c>
      <c r="E3636" t="s">
        <v>11</v>
      </c>
      <c r="F3636" t="s">
        <v>1209</v>
      </c>
      <c r="G3636" t="s">
        <v>264</v>
      </c>
      <c r="H3636" t="s">
        <v>14</v>
      </c>
    </row>
    <row r="3637" spans="1:8" hidden="1" x14ac:dyDescent="0.25">
      <c r="A3637" t="s">
        <v>4671</v>
      </c>
      <c r="B3637" s="1" t="str">
        <f>HYPERLINK("https://asmlis.vasa.lt/Dashboard/Served?ServiceDateFrom=2025-11-24&amp;ServiceDateTo=2025-11-24&amp;DumpsterInvNr=13-P-209701", "13-P-209701")</f>
        <v>13-P-209701</v>
      </c>
      <c r="C3637">
        <v>0.24</v>
      </c>
      <c r="D3637" t="s">
        <v>5047</v>
      </c>
      <c r="E3637" t="s">
        <v>11</v>
      </c>
      <c r="G3637" t="s">
        <v>234</v>
      </c>
      <c r="H3637" t="s">
        <v>14</v>
      </c>
    </row>
    <row r="3638" spans="1:8" hidden="1" x14ac:dyDescent="0.25">
      <c r="A3638" t="s">
        <v>4671</v>
      </c>
      <c r="B3638" s="1" t="str">
        <f>HYPERLINK("https://asmlis.vasa.lt/Dashboard/Served?ServiceDateFrom=2025-11-24&amp;ServiceDateTo=2025-11-24&amp;DumpsterInvNr=13-P-207429", "13-P-207429")</f>
        <v>13-P-207429</v>
      </c>
      <c r="C3638">
        <v>0.24</v>
      </c>
      <c r="D3638" t="s">
        <v>5048</v>
      </c>
      <c r="E3638" t="s">
        <v>11</v>
      </c>
      <c r="G3638" t="s">
        <v>234</v>
      </c>
      <c r="H3638" t="s">
        <v>14</v>
      </c>
    </row>
    <row r="3639" spans="1:8" hidden="1" x14ac:dyDescent="0.25">
      <c r="A3639" t="s">
        <v>4671</v>
      </c>
      <c r="B3639" s="1" t="str">
        <f>HYPERLINK("https://asmlis.vasa.lt/Dashboard/Served?ServiceDateFrom=2025-11-24&amp;ServiceDateTo=2025-11-24&amp;DumpsterInvNr=13-P-508422", "13-P-508422")</f>
        <v>13-P-508422</v>
      </c>
      <c r="C3639">
        <v>0.12</v>
      </c>
      <c r="D3639" t="s">
        <v>5044</v>
      </c>
      <c r="E3639" t="s">
        <v>11</v>
      </c>
      <c r="G3639" t="s">
        <v>2178</v>
      </c>
      <c r="H3639" t="s">
        <v>432</v>
      </c>
    </row>
    <row r="3640" spans="1:8" hidden="1" x14ac:dyDescent="0.25">
      <c r="A3640" t="s">
        <v>5049</v>
      </c>
      <c r="B3640" s="1" t="str">
        <f>HYPERLINK("https://asmlis.vasa.lt/Dashboard/Served?ServiceDateFrom=2025-11-24&amp;ServiceDateTo=2025-11-24&amp;DumpsterInvNr=13-P-404070", "13-P-404070")</f>
        <v>13-P-404070</v>
      </c>
      <c r="C3640">
        <v>0.24</v>
      </c>
      <c r="D3640" t="s">
        <v>5050</v>
      </c>
      <c r="E3640" t="s">
        <v>11</v>
      </c>
      <c r="F3640" t="s">
        <v>1209</v>
      </c>
      <c r="G3640" t="s">
        <v>264</v>
      </c>
      <c r="H3640" t="s">
        <v>14</v>
      </c>
    </row>
    <row r="3641" spans="1:8" hidden="1" x14ac:dyDescent="0.25">
      <c r="A3641" t="s">
        <v>5049</v>
      </c>
      <c r="B3641" s="1" t="str">
        <f>HYPERLINK("https://asmlis.vasa.lt/Dashboard/Served?ServiceDateFrom=2025-11-24&amp;ServiceDateTo=2025-11-24&amp;DumpsterInvNr=13-M-200968", "13-M-200968")</f>
        <v>13-M-200968</v>
      </c>
      <c r="C3641">
        <v>0.12</v>
      </c>
      <c r="D3641" t="s">
        <v>5051</v>
      </c>
      <c r="E3641" t="s">
        <v>11</v>
      </c>
      <c r="F3641" t="s">
        <v>1209</v>
      </c>
      <c r="G3641" t="s">
        <v>4876</v>
      </c>
      <c r="H3641" t="s">
        <v>938</v>
      </c>
    </row>
    <row r="3642" spans="1:8" hidden="1" x14ac:dyDescent="0.25">
      <c r="A3642" t="s">
        <v>4696</v>
      </c>
      <c r="B3642" s="1" t="str">
        <f>HYPERLINK("https://asmlis.vasa.lt/Dashboard/Served?ServiceDateFrom=2025-11-24&amp;ServiceDateTo=2025-11-24&amp;DumpsterInvNr=13-P-404067", "13-P-404067")</f>
        <v>13-P-404067</v>
      </c>
      <c r="C3642">
        <v>0.24</v>
      </c>
      <c r="D3642" t="s">
        <v>5052</v>
      </c>
      <c r="E3642" t="s">
        <v>11</v>
      </c>
      <c r="G3642" t="s">
        <v>264</v>
      </c>
      <c r="H3642" t="s">
        <v>14</v>
      </c>
    </row>
    <row r="3643" spans="1:8" hidden="1" x14ac:dyDescent="0.25">
      <c r="A3643" t="s">
        <v>5053</v>
      </c>
      <c r="B3643" s="1" t="str">
        <f>HYPERLINK("https://asmlis.vasa.lt/Dashboard/Served?ServiceDateFrom=2025-11-24&amp;ServiceDateTo=2025-11-24&amp;DumpsterInvNr=13-P-209702", "13-P-209702")</f>
        <v>13-P-209702</v>
      </c>
      <c r="C3643">
        <v>0.24</v>
      </c>
      <c r="D3643" t="s">
        <v>5054</v>
      </c>
      <c r="E3643" t="s">
        <v>11</v>
      </c>
      <c r="F3643" t="s">
        <v>1209</v>
      </c>
      <c r="G3643" t="s">
        <v>234</v>
      </c>
      <c r="H3643" t="s">
        <v>14</v>
      </c>
    </row>
    <row r="3644" spans="1:8" hidden="1" x14ac:dyDescent="0.25">
      <c r="A3644" t="s">
        <v>4695</v>
      </c>
      <c r="B3644" s="1" t="str">
        <f>HYPERLINK("https://asmlis.vasa.lt/Dashboard/Served?ServiceDateFrom=2025-11-24&amp;ServiceDateTo=2025-11-24&amp;DumpsterInvNr=13-S-506153", "13-S-506153")</f>
        <v>13-S-506153</v>
      </c>
      <c r="C3644">
        <v>0.12</v>
      </c>
      <c r="D3644" t="s">
        <v>5044</v>
      </c>
      <c r="E3644" t="s">
        <v>11</v>
      </c>
      <c r="F3644" t="s">
        <v>1209</v>
      </c>
      <c r="G3644" t="s">
        <v>2178</v>
      </c>
      <c r="H3644" t="s">
        <v>432</v>
      </c>
    </row>
    <row r="3645" spans="1:8" hidden="1" x14ac:dyDescent="0.25">
      <c r="A3645" t="s">
        <v>5055</v>
      </c>
      <c r="B3645" s="1" t="str">
        <f>HYPERLINK("https://asmlis.vasa.lt/Dashboard/Served?ServiceDateFrom=2025-11-24&amp;ServiceDateTo=2025-11-24&amp;DumpsterInvNr=13-L-216438", "13-L-216438")</f>
        <v>13-L-216438</v>
      </c>
      <c r="C3645">
        <v>1.1000000000000001</v>
      </c>
      <c r="D3645" t="s">
        <v>5057</v>
      </c>
      <c r="E3645" t="s">
        <v>11</v>
      </c>
      <c r="G3645" t="s">
        <v>936</v>
      </c>
      <c r="H3645" t="s">
        <v>938</v>
      </c>
    </row>
    <row r="3646" spans="1:8" hidden="1" x14ac:dyDescent="0.25">
      <c r="A3646" t="s">
        <v>5058</v>
      </c>
      <c r="B3646" s="1" t="str">
        <f>HYPERLINK("https://asmlis.vasa.lt/Dashboard/Served?ServiceDateFrom=2025-11-24&amp;ServiceDateTo=2025-11-24&amp;DumpsterInvNr=13-L-126446", "13-L-126446")</f>
        <v>13-L-126446</v>
      </c>
      <c r="C3646">
        <v>1.1000000000000001</v>
      </c>
      <c r="D3646" t="s">
        <v>5022</v>
      </c>
      <c r="E3646" t="s">
        <v>11</v>
      </c>
      <c r="G3646" t="s">
        <v>430</v>
      </c>
      <c r="H3646" t="s">
        <v>432</v>
      </c>
    </row>
    <row r="3647" spans="1:8" hidden="1" x14ac:dyDescent="0.25">
      <c r="A3647" t="s">
        <v>5059</v>
      </c>
      <c r="B3647" s="1" t="str">
        <f>HYPERLINK("https://asmlis.vasa.lt/Dashboard/Served?ServiceDateFrom=2025-11-24&amp;ServiceDateTo=2025-11-24&amp;DumpsterInvNr=13-P-508421", "13-P-508421")</f>
        <v>13-P-508421</v>
      </c>
      <c r="C3647">
        <v>0.12</v>
      </c>
      <c r="D3647" t="s">
        <v>5060</v>
      </c>
      <c r="E3647" t="s">
        <v>11</v>
      </c>
      <c r="G3647" t="s">
        <v>2178</v>
      </c>
      <c r="H3647" t="s">
        <v>432</v>
      </c>
    </row>
    <row r="3648" spans="1:8" hidden="1" x14ac:dyDescent="0.25">
      <c r="A3648" t="s">
        <v>4677</v>
      </c>
      <c r="B3648" s="1" t="str">
        <f>HYPERLINK("https://asmlis.vasa.lt/Dashboard/Served?ServiceDateFrom=2025-11-24&amp;ServiceDateTo=2025-11-24&amp;DumpsterInvNr=13-L-119451", "13-L-119451")</f>
        <v>13-L-119451</v>
      </c>
      <c r="C3648">
        <v>1.1000000000000001</v>
      </c>
      <c r="D3648" t="s">
        <v>5022</v>
      </c>
      <c r="E3648" t="s">
        <v>11</v>
      </c>
      <c r="G3648" t="s">
        <v>430</v>
      </c>
      <c r="H3648" t="s">
        <v>432</v>
      </c>
    </row>
    <row r="3649" spans="1:8" hidden="1" x14ac:dyDescent="0.25">
      <c r="A3649" t="s">
        <v>5062</v>
      </c>
      <c r="B3649" s="1" t="str">
        <f>HYPERLINK("https://asmlis.vasa.lt/Dashboard/Served?ServiceDateFrom=2025-11-24&amp;ServiceDateTo=2025-11-24&amp;DumpsterInvNr=13-L-210922", "13-L-210922")</f>
        <v>13-L-210922</v>
      </c>
      <c r="C3649">
        <v>0.24</v>
      </c>
      <c r="D3649" t="s">
        <v>2640</v>
      </c>
      <c r="E3649" t="s">
        <v>11</v>
      </c>
      <c r="G3649" t="s">
        <v>936</v>
      </c>
      <c r="H3649" t="s">
        <v>938</v>
      </c>
    </row>
    <row r="3650" spans="1:8" hidden="1" x14ac:dyDescent="0.25">
      <c r="A3650" t="s">
        <v>5063</v>
      </c>
      <c r="B3650" s="1" t="str">
        <f>HYPERLINK("https://asmlis.vasa.lt/Dashboard/Served?ServiceDateFrom=2025-11-24&amp;ServiceDateTo=2025-11-24&amp;DumpsterInvNr=13-L-108279", "13-L-108279")</f>
        <v>13-L-108279</v>
      </c>
      <c r="C3650">
        <v>0.12</v>
      </c>
      <c r="D3650" t="s">
        <v>5060</v>
      </c>
      <c r="E3650" t="s">
        <v>11</v>
      </c>
      <c r="G3650" t="s">
        <v>430</v>
      </c>
      <c r="H3650" t="s">
        <v>432</v>
      </c>
    </row>
    <row r="3651" spans="1:8" hidden="1" x14ac:dyDescent="0.25">
      <c r="A3651" t="s">
        <v>5063</v>
      </c>
      <c r="B3651" s="1" t="str">
        <f>HYPERLINK("https://asmlis.vasa.lt/Dashboard/Served?ServiceDateFrom=2025-11-24&amp;ServiceDateTo=2025-11-24&amp;DumpsterInvNr=13-L-227693", "13-L-227693")</f>
        <v>13-L-227693</v>
      </c>
      <c r="C3651">
        <v>1.1000000000000001</v>
      </c>
      <c r="D3651" t="s">
        <v>5064</v>
      </c>
      <c r="E3651" t="s">
        <v>11</v>
      </c>
      <c r="G3651" t="s">
        <v>936</v>
      </c>
      <c r="H3651" t="s">
        <v>938</v>
      </c>
    </row>
    <row r="3652" spans="1:8" hidden="1" x14ac:dyDescent="0.25">
      <c r="A3652" t="s">
        <v>5065</v>
      </c>
      <c r="B3652" s="1" t="str">
        <f>HYPERLINK("https://asmlis.vasa.lt/Dashboard/Served?ServiceDateFrom=2025-11-24&amp;ServiceDateTo=2025-11-24&amp;DumpsterInvNr=13-L-306233", "13-L-306233")</f>
        <v>13-L-306233</v>
      </c>
      <c r="C3652">
        <v>1.1000000000000001</v>
      </c>
      <c r="D3652" t="s">
        <v>2147</v>
      </c>
      <c r="E3652" t="s">
        <v>11</v>
      </c>
      <c r="G3652" t="s">
        <v>9</v>
      </c>
      <c r="H3652" t="s">
        <v>14</v>
      </c>
    </row>
    <row r="3653" spans="1:8" hidden="1" x14ac:dyDescent="0.25">
      <c r="A3653" t="s">
        <v>4702</v>
      </c>
      <c r="B3653" s="1" t="str">
        <f>HYPERLINK("https://asmlis.vasa.lt/Dashboard/Served?ServiceDateFrom=2025-11-24&amp;ServiceDateTo=2025-11-24&amp;DumpsterInvNr=13-L-215570", "13-L-215570")</f>
        <v>13-L-215570</v>
      </c>
      <c r="C3653">
        <v>1.1000000000000001</v>
      </c>
      <c r="D3653" t="s">
        <v>5057</v>
      </c>
      <c r="E3653" t="s">
        <v>11</v>
      </c>
      <c r="G3653" t="s">
        <v>936</v>
      </c>
      <c r="H3653" t="s">
        <v>938</v>
      </c>
    </row>
    <row r="3654" spans="1:8" hidden="1" x14ac:dyDescent="0.25">
      <c r="A3654" t="s">
        <v>5066</v>
      </c>
      <c r="B3654" s="1" t="str">
        <f>HYPERLINK("https://asmlis.vasa.lt/Dashboard/Served?ServiceDateFrom=2025-11-24&amp;ServiceDateTo=2025-11-24&amp;DumpsterInvNr=13-L-208613", "13-L-208613")</f>
        <v>13-L-208613</v>
      </c>
      <c r="C3654">
        <v>1.1000000000000001</v>
      </c>
      <c r="D3654" t="s">
        <v>2833</v>
      </c>
      <c r="E3654" t="s">
        <v>11</v>
      </c>
      <c r="G3654" t="s">
        <v>936</v>
      </c>
      <c r="H3654" t="s">
        <v>938</v>
      </c>
    </row>
    <row r="3655" spans="1:8" hidden="1" x14ac:dyDescent="0.25">
      <c r="A3655" t="s">
        <v>5066</v>
      </c>
      <c r="B3655" s="1" t="str">
        <f>HYPERLINK("https://asmlis.vasa.lt/Dashboard/Served?ServiceDateFrom=2025-11-24&amp;ServiceDateTo=2025-11-24&amp;DumpsterInvNr=13-S-506151", "13-S-506151")</f>
        <v>13-S-506151</v>
      </c>
      <c r="C3655">
        <v>0.12</v>
      </c>
      <c r="D3655" t="s">
        <v>5060</v>
      </c>
      <c r="E3655" t="s">
        <v>11</v>
      </c>
      <c r="F3655" t="s">
        <v>1209</v>
      </c>
      <c r="G3655" t="s">
        <v>2178</v>
      </c>
      <c r="H3655" t="s">
        <v>432</v>
      </c>
    </row>
    <row r="3656" spans="1:8" hidden="1" x14ac:dyDescent="0.25">
      <c r="A3656" t="s">
        <v>5068</v>
      </c>
      <c r="B3656" s="1" t="str">
        <f>HYPERLINK("https://asmlis.vasa.lt/Dashboard/Served?ServiceDateFrom=2025-11-24&amp;ServiceDateTo=2025-11-24&amp;DumpsterInvNr=13-L-212512", "13-L-212512")</f>
        <v>13-L-212512</v>
      </c>
      <c r="C3656">
        <v>0.24</v>
      </c>
      <c r="D3656" t="s">
        <v>2640</v>
      </c>
      <c r="E3656" t="s">
        <v>11</v>
      </c>
      <c r="F3656" t="s">
        <v>13</v>
      </c>
      <c r="G3656" t="s">
        <v>936</v>
      </c>
      <c r="H3656" t="s">
        <v>938</v>
      </c>
    </row>
    <row r="3657" spans="1:8" hidden="1" x14ac:dyDescent="0.25">
      <c r="A3657" t="s">
        <v>5068</v>
      </c>
      <c r="B3657" s="1" t="str">
        <f>HYPERLINK("https://asmlis.vasa.lt/Dashboard/Served?ServiceDateFrom=2025-11-24&amp;ServiceDateTo=2025-11-24&amp;DumpsterInvNr=13-P-404066", "13-P-404066")</f>
        <v>13-P-404066</v>
      </c>
      <c r="C3657">
        <v>0.24</v>
      </c>
      <c r="D3657" t="s">
        <v>5069</v>
      </c>
      <c r="E3657" t="s">
        <v>11</v>
      </c>
      <c r="G3657" t="s">
        <v>264</v>
      </c>
      <c r="H3657" t="s">
        <v>14</v>
      </c>
    </row>
    <row r="3658" spans="1:8" hidden="1" x14ac:dyDescent="0.25">
      <c r="A3658" t="s">
        <v>4768</v>
      </c>
      <c r="B3658" s="1" t="str">
        <f>HYPERLINK("https://asmlis.vasa.lt/Dashboard/Served?ServiceDateFrom=2025-11-24&amp;ServiceDateTo=2025-11-24&amp;DumpsterInvNr=13-S-103188", "13-S-103188")</f>
        <v>13-S-103188</v>
      </c>
      <c r="C3658">
        <v>0.12</v>
      </c>
      <c r="D3658" t="s">
        <v>5070</v>
      </c>
      <c r="E3658" t="s">
        <v>11</v>
      </c>
      <c r="F3658" t="s">
        <v>1209</v>
      </c>
      <c r="G3658" t="s">
        <v>1917</v>
      </c>
      <c r="H3658" t="s">
        <v>432</v>
      </c>
    </row>
    <row r="3659" spans="1:8" hidden="1" x14ac:dyDescent="0.25">
      <c r="A3659" t="s">
        <v>5071</v>
      </c>
      <c r="B3659" s="1" t="str">
        <f>HYPERLINK("https://asmlis.vasa.lt/Dashboard/Served?ServiceDateFrom=2025-11-24&amp;ServiceDateTo=2025-11-24&amp;DumpsterInvNr=13-T-000148", "13-T-000148")</f>
        <v>13-T-000148</v>
      </c>
      <c r="C3659">
        <v>2.5</v>
      </c>
      <c r="D3659" t="s">
        <v>2262</v>
      </c>
      <c r="E3659" t="s">
        <v>11</v>
      </c>
      <c r="F3659" t="s">
        <v>13</v>
      </c>
      <c r="G3659" t="s">
        <v>1899</v>
      </c>
      <c r="H3659" t="s">
        <v>432</v>
      </c>
    </row>
    <row r="3660" spans="1:8" hidden="1" x14ac:dyDescent="0.25">
      <c r="A3660" t="s">
        <v>5071</v>
      </c>
      <c r="B3660" s="1" t="str">
        <f>HYPERLINK("https://asmlis.vasa.lt/Dashboard/Served?ServiceDateFrom=2025-11-24&amp;ServiceDateTo=2025-11-24&amp;DumpsterInvNr=13-P-103508", "13-P-103508")</f>
        <v>13-P-103508</v>
      </c>
      <c r="C3660">
        <v>0.24</v>
      </c>
      <c r="D3660" t="s">
        <v>5070</v>
      </c>
      <c r="E3660" t="s">
        <v>11</v>
      </c>
      <c r="F3660" t="s">
        <v>1209</v>
      </c>
      <c r="G3660" t="s">
        <v>1917</v>
      </c>
      <c r="H3660" t="s">
        <v>432</v>
      </c>
    </row>
    <row r="3661" spans="1:8" hidden="1" x14ac:dyDescent="0.25">
      <c r="A3661" t="s">
        <v>5072</v>
      </c>
      <c r="B3661" s="1" t="str">
        <f>HYPERLINK("https://asmlis.vasa.lt/Dashboard/Served?ServiceDateFrom=2025-11-24&amp;ServiceDateTo=2025-11-24&amp;DumpsterInvNr=13-P-102461", "13-P-102461")</f>
        <v>13-P-102461</v>
      </c>
      <c r="C3661">
        <v>5</v>
      </c>
      <c r="D3661" t="s">
        <v>5073</v>
      </c>
      <c r="E3661" t="s">
        <v>11</v>
      </c>
      <c r="F3661" t="s">
        <v>13</v>
      </c>
      <c r="G3661" t="s">
        <v>1917</v>
      </c>
      <c r="H3661" t="s">
        <v>432</v>
      </c>
    </row>
    <row r="3662" spans="1:8" hidden="1" x14ac:dyDescent="0.25">
      <c r="A3662" t="s">
        <v>4771</v>
      </c>
      <c r="B3662" s="1" t="str">
        <f>HYPERLINK("https://asmlis.vasa.lt/Dashboard/Served?ServiceDateFrom=2025-11-24&amp;ServiceDateTo=2025-11-24&amp;DumpsterInvNr=13-L-134708", "13-L-134708")</f>
        <v>13-L-134708</v>
      </c>
      <c r="C3662">
        <v>0.24</v>
      </c>
      <c r="D3662" t="s">
        <v>5070</v>
      </c>
      <c r="E3662" t="s">
        <v>11</v>
      </c>
      <c r="F3662" t="s">
        <v>1209</v>
      </c>
      <c r="G3662" t="s">
        <v>1912</v>
      </c>
      <c r="H3662" t="s">
        <v>432</v>
      </c>
    </row>
    <row r="3663" spans="1:8" hidden="1" x14ac:dyDescent="0.25">
      <c r="A3663" t="s">
        <v>4784</v>
      </c>
      <c r="B3663" s="1" t="str">
        <f>HYPERLINK("https://asmlis.vasa.lt/Dashboard/Served?ServiceDateFrom=2025-11-24&amp;ServiceDateTo=2025-11-24&amp;DumpsterInvNr=13-T-000120", "13-T-000120")</f>
        <v>13-T-000120</v>
      </c>
      <c r="C3663">
        <v>2.5</v>
      </c>
      <c r="D3663" t="s">
        <v>2262</v>
      </c>
      <c r="E3663" t="s">
        <v>11</v>
      </c>
      <c r="F3663" t="s">
        <v>13</v>
      </c>
      <c r="G3663" t="s">
        <v>1899</v>
      </c>
      <c r="H3663" t="s">
        <v>432</v>
      </c>
    </row>
    <row r="3664" spans="1:8" hidden="1" x14ac:dyDescent="0.25">
      <c r="A3664" t="s">
        <v>5016</v>
      </c>
      <c r="B3664" s="1" t="str">
        <f>HYPERLINK("https://asmlis.vasa.lt/Dashboard/Served?ServiceDateFrom=2025-11-24&amp;ServiceDateTo=2025-11-24&amp;DumpsterInvNr=13-L-424080", "13-L-424080")</f>
        <v>13-L-424080</v>
      </c>
      <c r="C3664">
        <v>0.24</v>
      </c>
      <c r="D3664" t="s">
        <v>5074</v>
      </c>
      <c r="E3664" t="s">
        <v>11</v>
      </c>
      <c r="G3664" t="s">
        <v>74</v>
      </c>
      <c r="H3664" t="s">
        <v>14</v>
      </c>
    </row>
    <row r="3665" spans="1:8" hidden="1" x14ac:dyDescent="0.25">
      <c r="A3665" t="s">
        <v>5075</v>
      </c>
      <c r="B3665" s="1" t="str">
        <f>HYPERLINK("https://asmlis.vasa.lt/Dashboard/Served?ServiceDateFrom=2025-11-24&amp;ServiceDateTo=2025-11-24&amp;DumpsterInvNr=13-L-126443", "13-L-126443")</f>
        <v>13-L-126443</v>
      </c>
      <c r="C3665">
        <v>1.1000000000000001</v>
      </c>
      <c r="D3665" t="s">
        <v>5022</v>
      </c>
      <c r="E3665" t="s">
        <v>11</v>
      </c>
      <c r="F3665" t="s">
        <v>13</v>
      </c>
      <c r="G3665" t="s">
        <v>430</v>
      </c>
      <c r="H3665" t="s">
        <v>432</v>
      </c>
    </row>
    <row r="3666" spans="1:8" hidden="1" x14ac:dyDescent="0.25">
      <c r="A3666" t="s">
        <v>4792</v>
      </c>
      <c r="B3666" s="1" t="str">
        <f>HYPERLINK("https://asmlis.vasa.lt/Dashboard/Served?ServiceDateFrom=2025-11-24&amp;ServiceDateTo=2025-11-24&amp;DumpsterInvNr=13-L-422003", "13-L-422003")</f>
        <v>13-L-422003</v>
      </c>
      <c r="C3666">
        <v>5</v>
      </c>
      <c r="D3666" t="s">
        <v>5077</v>
      </c>
      <c r="E3666" t="s">
        <v>11</v>
      </c>
      <c r="F3666" t="s">
        <v>13</v>
      </c>
      <c r="G3666" t="s">
        <v>74</v>
      </c>
      <c r="H3666" t="s">
        <v>14</v>
      </c>
    </row>
    <row r="3667" spans="1:8" hidden="1" x14ac:dyDescent="0.25">
      <c r="A3667" t="s">
        <v>5078</v>
      </c>
      <c r="B3667" s="1" t="str">
        <f>HYPERLINK("https://asmlis.vasa.lt/Dashboard/Served?ServiceDateFrom=2025-11-24&amp;ServiceDateTo=2025-11-24&amp;DumpsterInvNr=13-L-108278", "13-L-108278")</f>
        <v>13-L-108278</v>
      </c>
      <c r="C3667">
        <v>0.24</v>
      </c>
      <c r="D3667" t="s">
        <v>5079</v>
      </c>
      <c r="E3667" t="s">
        <v>11</v>
      </c>
      <c r="G3667" t="s">
        <v>430</v>
      </c>
      <c r="H3667" t="s">
        <v>432</v>
      </c>
    </row>
    <row r="3668" spans="1:8" hidden="1" x14ac:dyDescent="0.25">
      <c r="A3668" t="s">
        <v>5078</v>
      </c>
      <c r="B3668" s="1" t="str">
        <f>HYPERLINK("https://asmlis.vasa.lt/Dashboard/Served?ServiceDateFrom=2025-11-24&amp;ServiceDateTo=2025-11-24&amp;DumpsterInvNr=13-P-508420", "13-P-508420")</f>
        <v>13-P-508420</v>
      </c>
      <c r="C3668">
        <v>0.12</v>
      </c>
      <c r="D3668" t="s">
        <v>5079</v>
      </c>
      <c r="E3668" t="s">
        <v>11</v>
      </c>
      <c r="G3668" t="s">
        <v>2178</v>
      </c>
      <c r="H3668" t="s">
        <v>432</v>
      </c>
    </row>
    <row r="3669" spans="1:8" hidden="1" x14ac:dyDescent="0.25">
      <c r="A3669" t="s">
        <v>5081</v>
      </c>
      <c r="B3669" s="1" t="str">
        <f>HYPERLINK("https://asmlis.vasa.lt/Dashboard/Served?ServiceDateFrom=2025-11-24&amp;ServiceDateTo=2025-11-24&amp;DumpsterInvNr=13-L-304409", "13-L-304409")</f>
        <v>13-L-304409</v>
      </c>
      <c r="C3669">
        <v>2.5</v>
      </c>
      <c r="D3669" t="s">
        <v>5082</v>
      </c>
      <c r="E3669" t="s">
        <v>11</v>
      </c>
      <c r="G3669" t="s">
        <v>9</v>
      </c>
      <c r="H3669" t="s">
        <v>14</v>
      </c>
    </row>
    <row r="3670" spans="1:8" hidden="1" x14ac:dyDescent="0.25">
      <c r="A3670" t="s">
        <v>5081</v>
      </c>
      <c r="B3670" s="1" t="str">
        <f>HYPERLINK("https://asmlis.vasa.lt/Dashboard/Served?ServiceDateFrom=2025-11-24&amp;ServiceDateTo=2025-11-24&amp;DumpsterInvNr=13-L-209935", "13-L-209935")</f>
        <v>13-L-209935</v>
      </c>
      <c r="C3670">
        <v>0.12</v>
      </c>
      <c r="D3670" t="s">
        <v>5083</v>
      </c>
      <c r="E3670" t="s">
        <v>11</v>
      </c>
      <c r="F3670" t="s">
        <v>1209</v>
      </c>
      <c r="G3670" t="s">
        <v>936</v>
      </c>
      <c r="H3670" t="s">
        <v>938</v>
      </c>
    </row>
    <row r="3671" spans="1:8" hidden="1" x14ac:dyDescent="0.25">
      <c r="A3671" t="s">
        <v>5085</v>
      </c>
      <c r="B3671" s="1" t="str">
        <f>HYPERLINK("https://asmlis.vasa.lt/Dashboard/Served?ServiceDateFrom=2025-11-24&amp;ServiceDateTo=2025-11-24&amp;DumpsterInvNr=13-L-210127", "13-L-210127")</f>
        <v>13-L-210127</v>
      </c>
      <c r="C3671">
        <v>0.24</v>
      </c>
      <c r="D3671" t="s">
        <v>5086</v>
      </c>
      <c r="E3671" t="s">
        <v>11</v>
      </c>
      <c r="F3671" t="s">
        <v>1209</v>
      </c>
      <c r="G3671" t="s">
        <v>936</v>
      </c>
      <c r="H3671" t="s">
        <v>938</v>
      </c>
    </row>
    <row r="3672" spans="1:8" hidden="1" x14ac:dyDescent="0.25">
      <c r="A3672" t="s">
        <v>5088</v>
      </c>
      <c r="B3672" s="1" t="str">
        <f>HYPERLINK("https://asmlis.vasa.lt/Dashboard/Served?ServiceDateFrom=2025-11-24&amp;ServiceDateTo=2025-11-24&amp;DumpsterInvNr=13-L-423077", "13-L-423077")</f>
        <v>13-L-423077</v>
      </c>
      <c r="C3672">
        <v>1.1000000000000001</v>
      </c>
      <c r="D3672" t="s">
        <v>5089</v>
      </c>
      <c r="E3672" t="s">
        <v>11</v>
      </c>
      <c r="G3672" t="s">
        <v>74</v>
      </c>
      <c r="H3672" t="s">
        <v>14</v>
      </c>
    </row>
    <row r="3673" spans="1:8" hidden="1" x14ac:dyDescent="0.25">
      <c r="A3673" t="s">
        <v>5090</v>
      </c>
      <c r="B3673" s="1" t="str">
        <f>HYPERLINK("https://asmlis.vasa.lt/Dashboard/Served?ServiceDateFrom=2025-11-24&amp;ServiceDateTo=2025-11-24&amp;DumpsterInvNr=13-L-314386", "13-L-314386")</f>
        <v>13-L-314386</v>
      </c>
      <c r="C3673">
        <v>1.1000000000000001</v>
      </c>
      <c r="D3673" t="s">
        <v>2147</v>
      </c>
      <c r="E3673" t="s">
        <v>11</v>
      </c>
      <c r="F3673" t="s">
        <v>13</v>
      </c>
      <c r="G3673" t="s">
        <v>9</v>
      </c>
      <c r="H3673" t="s">
        <v>14</v>
      </c>
    </row>
    <row r="3674" spans="1:8" hidden="1" x14ac:dyDescent="0.25">
      <c r="A3674" t="s">
        <v>5091</v>
      </c>
      <c r="B3674" s="1" t="str">
        <f>HYPERLINK("https://asmlis.vasa.lt/Dashboard/Served?ServiceDateFrom=2025-11-24&amp;ServiceDateTo=2025-11-24&amp;DumpsterInvNr=13-L-314565", "13-L-314565")</f>
        <v>13-L-314565</v>
      </c>
      <c r="C3674">
        <v>1.1000000000000001</v>
      </c>
      <c r="D3674" t="s">
        <v>5041</v>
      </c>
      <c r="E3674" t="s">
        <v>11</v>
      </c>
      <c r="F3674" t="s">
        <v>13</v>
      </c>
      <c r="G3674" t="s">
        <v>9</v>
      </c>
      <c r="H3674" t="s">
        <v>14</v>
      </c>
    </row>
    <row r="3675" spans="1:8" hidden="1" x14ac:dyDescent="0.25">
      <c r="A3675" t="s">
        <v>5092</v>
      </c>
      <c r="B3675" s="1" t="str">
        <f>HYPERLINK("https://asmlis.vasa.lt/Dashboard/Served?ServiceDateFrom=2025-11-24&amp;ServiceDateTo=2025-11-24&amp;DumpsterInvNr=13-P-500515", "13-P-500515")</f>
        <v>13-P-500515</v>
      </c>
      <c r="C3675">
        <v>5</v>
      </c>
      <c r="D3675" t="s">
        <v>5093</v>
      </c>
      <c r="E3675" t="s">
        <v>11</v>
      </c>
      <c r="F3675" t="s">
        <v>13</v>
      </c>
      <c r="G3675" t="s">
        <v>2178</v>
      </c>
      <c r="H3675" t="s">
        <v>432</v>
      </c>
    </row>
    <row r="3676" spans="1:8" hidden="1" x14ac:dyDescent="0.25">
      <c r="A3676" t="s">
        <v>5094</v>
      </c>
      <c r="B3676" s="1" t="str">
        <f>HYPERLINK("https://asmlis.vasa.lt/Dashboard/Served?ServiceDateFrom=2025-11-24&amp;ServiceDateTo=2025-11-24&amp;DumpsterInvNr=13-L-135210", "13-L-135210")</f>
        <v>13-L-135210</v>
      </c>
      <c r="C3676">
        <v>0.24</v>
      </c>
      <c r="D3676" t="s">
        <v>5095</v>
      </c>
      <c r="E3676" t="s">
        <v>11</v>
      </c>
      <c r="G3676" t="s">
        <v>430</v>
      </c>
      <c r="H3676" t="s">
        <v>432</v>
      </c>
    </row>
    <row r="3677" spans="1:8" hidden="1" x14ac:dyDescent="0.25">
      <c r="A3677" t="s">
        <v>5094</v>
      </c>
      <c r="B3677" s="1" t="str">
        <f>HYPERLINK("https://asmlis.vasa.lt/Dashboard/Served?ServiceDateFrom=2025-11-24&amp;ServiceDateTo=2025-11-24&amp;DumpsterInvNr=13-P-506071", "13-P-506071")</f>
        <v>13-P-506071</v>
      </c>
      <c r="C3677">
        <v>0.24</v>
      </c>
      <c r="D3677" t="s">
        <v>5095</v>
      </c>
      <c r="E3677" t="s">
        <v>11</v>
      </c>
      <c r="G3677" t="s">
        <v>2178</v>
      </c>
      <c r="H3677" t="s">
        <v>432</v>
      </c>
    </row>
    <row r="3678" spans="1:8" hidden="1" x14ac:dyDescent="0.25">
      <c r="A3678" t="s">
        <v>5096</v>
      </c>
      <c r="B3678" s="1" t="str">
        <f>HYPERLINK("https://asmlis.vasa.lt/Dashboard/Served?ServiceDateFrom=2025-11-24&amp;ServiceDateTo=2025-11-24&amp;DumpsterInvNr=13-L-217427", "13-L-217427")</f>
        <v>13-L-217427</v>
      </c>
      <c r="C3678">
        <v>1.1000000000000001</v>
      </c>
      <c r="D3678" t="s">
        <v>2833</v>
      </c>
      <c r="E3678" t="s">
        <v>11</v>
      </c>
      <c r="F3678" t="s">
        <v>13</v>
      </c>
      <c r="G3678" t="s">
        <v>936</v>
      </c>
      <c r="H3678" t="s">
        <v>938</v>
      </c>
    </row>
    <row r="3679" spans="1:8" hidden="1" x14ac:dyDescent="0.25">
      <c r="A3679" t="s">
        <v>4831</v>
      </c>
      <c r="B3679" s="1" t="str">
        <f>HYPERLINK("https://asmlis.vasa.lt/Dashboard/Served?ServiceDateFrom=2025-11-24&amp;ServiceDateTo=2025-11-24&amp;DumpsterInvNr=13-L-318883", "13-L-318883")</f>
        <v>13-L-318883</v>
      </c>
      <c r="C3679">
        <v>1.1000000000000001</v>
      </c>
      <c r="D3679" t="s">
        <v>5097</v>
      </c>
      <c r="E3679" t="s">
        <v>11</v>
      </c>
      <c r="F3679" t="s">
        <v>13</v>
      </c>
      <c r="G3679" t="s">
        <v>9</v>
      </c>
      <c r="H3679" t="s">
        <v>14</v>
      </c>
    </row>
    <row r="3680" spans="1:8" hidden="1" x14ac:dyDescent="0.25">
      <c r="A3680" t="s">
        <v>5098</v>
      </c>
      <c r="B3680" s="1" t="str">
        <f>HYPERLINK("https://asmlis.vasa.lt/Dashboard/Served?ServiceDateFrom=2025-11-24&amp;ServiceDateTo=2025-11-24&amp;DumpsterInvNr=13-L-145256", "13-L-145256")</f>
        <v>13-L-145256</v>
      </c>
      <c r="C3680">
        <v>0.24</v>
      </c>
      <c r="D3680" t="s">
        <v>5099</v>
      </c>
      <c r="E3680" t="s">
        <v>11</v>
      </c>
      <c r="G3680" t="s">
        <v>430</v>
      </c>
      <c r="H3680" t="s">
        <v>432</v>
      </c>
    </row>
    <row r="3681" spans="1:10" hidden="1" x14ac:dyDescent="0.25">
      <c r="A3681" t="s">
        <v>5101</v>
      </c>
      <c r="B3681" s="1" t="str">
        <f>HYPERLINK("https://asmlis.vasa.lt/Dashboard/Served?ServiceDateFrom=2025-11-24&amp;ServiceDateTo=2025-11-24&amp;DumpsterInvNr=13-L-302692", "13-L-302692")</f>
        <v>13-L-302692</v>
      </c>
      <c r="C3681">
        <v>0.77</v>
      </c>
      <c r="D3681" t="s">
        <v>5097</v>
      </c>
      <c r="E3681" t="s">
        <v>11</v>
      </c>
      <c r="F3681" t="s">
        <v>13</v>
      </c>
      <c r="G3681" t="s">
        <v>9</v>
      </c>
      <c r="H3681" t="s">
        <v>14</v>
      </c>
    </row>
    <row r="3682" spans="1:10" hidden="1" x14ac:dyDescent="0.25">
      <c r="A3682" t="s">
        <v>5102</v>
      </c>
      <c r="B3682" s="1" t="str">
        <f>HYPERLINK("https://asmlis.vasa.lt/Dashboard/Served?ServiceDateFrom=2025-11-24&amp;ServiceDateTo=2025-11-24&amp;DumpsterInvNr=13-P-302461", "13-P-302461")</f>
        <v>13-P-302461</v>
      </c>
      <c r="C3682">
        <v>2.5</v>
      </c>
      <c r="D3682" t="s">
        <v>1726</v>
      </c>
      <c r="E3682" t="s">
        <v>11</v>
      </c>
      <c r="G3682" t="s">
        <v>412</v>
      </c>
      <c r="H3682" t="s">
        <v>14</v>
      </c>
    </row>
    <row r="3683" spans="1:10" x14ac:dyDescent="0.25">
      <c r="A3683" t="s">
        <v>5103</v>
      </c>
      <c r="B3683" s="1" t="str">
        <f>HYPERLINK("https://asmlis.vasa.lt/Dashboard/Served?ServiceDateFrom=2025-11-24&amp;ServiceDateTo=2025-11-24&amp;DumpsterInvNr=13-L-300493", "13-L-300493")</f>
        <v>13-L-300493</v>
      </c>
      <c r="C3683">
        <v>0.77</v>
      </c>
      <c r="D3683" t="s">
        <v>2154</v>
      </c>
      <c r="E3683" t="s">
        <v>11</v>
      </c>
      <c r="F3683" t="s">
        <v>1215</v>
      </c>
      <c r="G3683" t="s">
        <v>9</v>
      </c>
      <c r="H3683" t="s">
        <v>14</v>
      </c>
      <c r="J3683" t="s">
        <v>17511</v>
      </c>
    </row>
    <row r="3684" spans="1:10" hidden="1" x14ac:dyDescent="0.25">
      <c r="A3684" t="s">
        <v>5104</v>
      </c>
      <c r="B3684" s="1" t="str">
        <f>HYPERLINK("https://asmlis.vasa.lt/Dashboard/Served?ServiceDateFrom=2025-11-24&amp;ServiceDateTo=2025-11-24&amp;DumpsterInvNr=13-P-506070", "13-P-506070")</f>
        <v>13-P-506070</v>
      </c>
      <c r="C3684">
        <v>0.24</v>
      </c>
      <c r="D3684" t="s">
        <v>5099</v>
      </c>
      <c r="E3684" t="s">
        <v>11</v>
      </c>
      <c r="F3684" t="s">
        <v>1209</v>
      </c>
      <c r="G3684" t="s">
        <v>2178</v>
      </c>
      <c r="H3684" t="s">
        <v>432</v>
      </c>
    </row>
    <row r="3685" spans="1:10" hidden="1" x14ac:dyDescent="0.25">
      <c r="A3685" t="s">
        <v>5105</v>
      </c>
      <c r="B3685" s="1" t="str">
        <f>HYPERLINK("https://asmlis.vasa.lt/Dashboard/Served?ServiceDateFrom=2025-11-24&amp;ServiceDateTo=2025-11-24&amp;DumpsterInvNr=13-L-317074", "13-L-317074")</f>
        <v>13-L-317074</v>
      </c>
      <c r="C3685">
        <v>1.1000000000000001</v>
      </c>
      <c r="D3685" t="s">
        <v>5106</v>
      </c>
      <c r="E3685" t="s">
        <v>11</v>
      </c>
      <c r="G3685" t="s">
        <v>9</v>
      </c>
      <c r="H3685" t="s">
        <v>14</v>
      </c>
    </row>
    <row r="3686" spans="1:10" hidden="1" x14ac:dyDescent="0.25">
      <c r="A3686" t="s">
        <v>5105</v>
      </c>
      <c r="B3686" s="1" t="str">
        <f>HYPERLINK("https://asmlis.vasa.lt/Dashboard/Served?ServiceDateFrom=2025-11-24&amp;ServiceDateTo=2025-11-24&amp;DumpsterInvNr=13-P-500670", "13-P-500670")</f>
        <v>13-P-500670</v>
      </c>
      <c r="C3686">
        <v>2.5</v>
      </c>
      <c r="D3686" t="s">
        <v>5107</v>
      </c>
      <c r="E3686" t="s">
        <v>11</v>
      </c>
      <c r="F3686" t="s">
        <v>13</v>
      </c>
      <c r="G3686" t="s">
        <v>2178</v>
      </c>
      <c r="H3686" t="s">
        <v>432</v>
      </c>
    </row>
    <row r="3687" spans="1:10" hidden="1" x14ac:dyDescent="0.25">
      <c r="A3687" t="s">
        <v>5108</v>
      </c>
      <c r="B3687" s="1" t="str">
        <f>HYPERLINK("https://asmlis.vasa.lt/Dashboard/Served?ServiceDateFrom=2025-11-24&amp;ServiceDateTo=2025-11-24&amp;DumpsterInvNr=13-P-404068", "13-P-404068")</f>
        <v>13-P-404068</v>
      </c>
      <c r="C3687">
        <v>0.24</v>
      </c>
      <c r="D3687" t="s">
        <v>5109</v>
      </c>
      <c r="E3687" t="s">
        <v>11</v>
      </c>
      <c r="F3687" t="s">
        <v>1209</v>
      </c>
      <c r="G3687" t="s">
        <v>264</v>
      </c>
      <c r="H3687" t="s">
        <v>14</v>
      </c>
    </row>
    <row r="3688" spans="1:10" x14ac:dyDescent="0.25">
      <c r="A3688" t="s">
        <v>3915</v>
      </c>
      <c r="B3688" s="1" t="str">
        <f>HYPERLINK("https://asmlis.vasa.lt/Dashboard/Served?ServiceDateFrom=2025-11-24&amp;ServiceDateTo=2025-11-24&amp;DumpsterInvNr=13-L-300495", "13-L-300495")</f>
        <v>13-L-300495</v>
      </c>
      <c r="C3688">
        <v>0.77</v>
      </c>
      <c r="D3688" t="s">
        <v>2154</v>
      </c>
      <c r="E3688" t="s">
        <v>11</v>
      </c>
      <c r="F3688" t="s">
        <v>1215</v>
      </c>
      <c r="G3688" t="s">
        <v>9</v>
      </c>
      <c r="H3688" t="s">
        <v>14</v>
      </c>
      <c r="J3688" t="s">
        <v>17511</v>
      </c>
    </row>
    <row r="3689" spans="1:10" hidden="1" x14ac:dyDescent="0.25">
      <c r="A3689" t="s">
        <v>3915</v>
      </c>
      <c r="B3689" s="1" t="str">
        <f>HYPERLINK("https://asmlis.vasa.lt/Dashboard/Served?ServiceDateFrom=2025-11-24&amp;ServiceDateTo=2025-11-24&amp;DumpsterInvNr=13-P-500671", "13-P-500671")</f>
        <v>13-P-500671</v>
      </c>
      <c r="C3689">
        <v>2.5</v>
      </c>
      <c r="D3689" t="s">
        <v>5107</v>
      </c>
      <c r="E3689" t="s">
        <v>11</v>
      </c>
      <c r="F3689" t="s">
        <v>13</v>
      </c>
      <c r="G3689" t="s">
        <v>2178</v>
      </c>
      <c r="H3689" t="s">
        <v>432</v>
      </c>
    </row>
    <row r="3690" spans="1:10" hidden="1" x14ac:dyDescent="0.25">
      <c r="A3690" t="s">
        <v>3935</v>
      </c>
      <c r="B3690" s="1" t="str">
        <f>HYPERLINK("https://asmlis.vasa.lt/Dashboard/Served?ServiceDateFrom=2025-11-24&amp;ServiceDateTo=2025-11-24&amp;DumpsterInvNr=13-P-400263", "13-P-400263")</f>
        <v>13-P-400263</v>
      </c>
      <c r="C3690">
        <v>0.24</v>
      </c>
      <c r="D3690" t="s">
        <v>5111</v>
      </c>
      <c r="E3690" t="s">
        <v>11</v>
      </c>
      <c r="F3690" t="s">
        <v>1209</v>
      </c>
      <c r="G3690" t="s">
        <v>264</v>
      </c>
      <c r="H3690" t="s">
        <v>14</v>
      </c>
    </row>
    <row r="3691" spans="1:10" hidden="1" x14ac:dyDescent="0.25">
      <c r="A3691" t="s">
        <v>4539</v>
      </c>
      <c r="B3691" s="1" t="str">
        <f>HYPERLINK("https://asmlis.vasa.lt/Dashboard/Served?ServiceDateFrom=2025-11-24&amp;ServiceDateTo=2025-11-24&amp;DumpsterInvNr=13-P-115576", "13-P-115576")</f>
        <v>13-P-115576</v>
      </c>
      <c r="C3691">
        <v>1.1000000000000001</v>
      </c>
      <c r="D3691" t="s">
        <v>5112</v>
      </c>
      <c r="E3691" t="s">
        <v>11</v>
      </c>
      <c r="G3691" t="s">
        <v>1917</v>
      </c>
      <c r="H3691" t="s">
        <v>432</v>
      </c>
    </row>
    <row r="3692" spans="1:10" hidden="1" x14ac:dyDescent="0.25">
      <c r="A3692" t="s">
        <v>5110</v>
      </c>
      <c r="B3692" s="1" t="str">
        <f>HYPERLINK("https://asmlis.vasa.lt/Dashboard/Served?ServiceDateFrom=2025-11-24&amp;ServiceDateTo=2025-11-24&amp;DumpsterInvNr=13-L-423088", "13-L-423088")</f>
        <v>13-L-423088</v>
      </c>
      <c r="C3692">
        <v>1.1000000000000001</v>
      </c>
      <c r="D3692" t="s">
        <v>5113</v>
      </c>
      <c r="E3692" t="s">
        <v>11</v>
      </c>
      <c r="G3692" t="s">
        <v>74</v>
      </c>
      <c r="H3692" t="s">
        <v>14</v>
      </c>
    </row>
    <row r="3693" spans="1:10" hidden="1" x14ac:dyDescent="0.25">
      <c r="A3693" t="s">
        <v>5114</v>
      </c>
      <c r="B3693" s="1" t="str">
        <f>HYPERLINK("https://asmlis.vasa.lt/Dashboard/Served?ServiceDateFrom=2025-11-24&amp;ServiceDateTo=2025-11-24&amp;DumpsterInvNr=13-P-500669", "13-P-500669")</f>
        <v>13-P-500669</v>
      </c>
      <c r="C3693">
        <v>2.5</v>
      </c>
      <c r="D3693" t="s">
        <v>5107</v>
      </c>
      <c r="E3693" t="s">
        <v>11</v>
      </c>
      <c r="F3693" t="s">
        <v>13</v>
      </c>
      <c r="G3693" t="s">
        <v>2178</v>
      </c>
      <c r="H3693" t="s">
        <v>432</v>
      </c>
    </row>
    <row r="3694" spans="1:10" x14ac:dyDescent="0.25">
      <c r="A3694" t="s">
        <v>5115</v>
      </c>
      <c r="B3694" s="1" t="str">
        <f>HYPERLINK("https://asmlis.vasa.lt/Dashboard/Served?ServiceDateFrom=2025-11-24&amp;ServiceDateTo=2025-11-24&amp;DumpsterInvNr=13-L-314387", "13-L-314387")</f>
        <v>13-L-314387</v>
      </c>
      <c r="C3694">
        <v>0.77</v>
      </c>
      <c r="D3694" t="s">
        <v>2154</v>
      </c>
      <c r="E3694" t="s">
        <v>11</v>
      </c>
      <c r="F3694" t="s">
        <v>1215</v>
      </c>
      <c r="G3694" t="s">
        <v>9</v>
      </c>
      <c r="H3694" t="s">
        <v>14</v>
      </c>
      <c r="J3694" t="s">
        <v>17511</v>
      </c>
    </row>
    <row r="3695" spans="1:10" hidden="1" x14ac:dyDescent="0.25">
      <c r="A3695" t="s">
        <v>3911</v>
      </c>
      <c r="B3695" s="1" t="str">
        <f>HYPERLINK("https://asmlis.vasa.lt/Dashboard/Served?ServiceDateFrom=2025-11-24&amp;ServiceDateTo=2025-11-24&amp;DumpsterInvNr=13-L-129731", "13-L-129731")</f>
        <v>13-L-129731</v>
      </c>
      <c r="C3695">
        <v>5</v>
      </c>
      <c r="D3695" t="s">
        <v>5116</v>
      </c>
      <c r="E3695" t="s">
        <v>11</v>
      </c>
      <c r="F3695" t="s">
        <v>13</v>
      </c>
      <c r="G3695" t="s">
        <v>430</v>
      </c>
      <c r="H3695" t="s">
        <v>432</v>
      </c>
    </row>
    <row r="3696" spans="1:10" hidden="1" x14ac:dyDescent="0.25">
      <c r="A3696" t="s">
        <v>5117</v>
      </c>
      <c r="B3696" s="1" t="str">
        <f>HYPERLINK("https://asmlis.vasa.lt/Dashboard/Served?ServiceDateFrom=2025-11-24&amp;ServiceDateTo=2025-11-24&amp;DumpsterInvNr=13-L-318391", "13-L-318391")</f>
        <v>13-L-318391</v>
      </c>
      <c r="C3696">
        <v>1.1000000000000001</v>
      </c>
      <c r="D3696" t="s">
        <v>5106</v>
      </c>
      <c r="E3696" t="s">
        <v>11</v>
      </c>
      <c r="G3696" t="s">
        <v>9</v>
      </c>
      <c r="H3696" t="s">
        <v>14</v>
      </c>
    </row>
    <row r="3697" spans="1:10" hidden="1" x14ac:dyDescent="0.25">
      <c r="A3697" t="s">
        <v>5117</v>
      </c>
      <c r="B3697" s="1" t="str">
        <f>HYPERLINK("https://asmlis.vasa.lt/Dashboard/Served?ServiceDateFrom=2025-11-24&amp;ServiceDateTo=2025-11-24&amp;DumpsterInvNr=13-P-409110", "13-P-409110")</f>
        <v>13-P-409110</v>
      </c>
      <c r="C3697">
        <v>1.1000000000000001</v>
      </c>
      <c r="D3697" t="s">
        <v>5119</v>
      </c>
      <c r="E3697" t="s">
        <v>11</v>
      </c>
      <c r="G3697" t="s">
        <v>264</v>
      </c>
      <c r="H3697" t="s">
        <v>14</v>
      </c>
    </row>
    <row r="3698" spans="1:10" hidden="1" x14ac:dyDescent="0.25">
      <c r="A3698" t="s">
        <v>5120</v>
      </c>
      <c r="B3698" s="1" t="str">
        <f>HYPERLINK("https://asmlis.vasa.lt/Dashboard/Served?ServiceDateFrom=2025-11-24&amp;ServiceDateTo=2025-11-24&amp;DumpsterInvNr=13-L-143736", "13-L-143736")</f>
        <v>13-L-143736</v>
      </c>
      <c r="C3698">
        <v>5</v>
      </c>
      <c r="D3698" t="s">
        <v>5121</v>
      </c>
      <c r="E3698" t="s">
        <v>11</v>
      </c>
      <c r="F3698" t="s">
        <v>13</v>
      </c>
      <c r="G3698" t="s">
        <v>1912</v>
      </c>
      <c r="H3698" t="s">
        <v>432</v>
      </c>
    </row>
    <row r="3699" spans="1:10" hidden="1" x14ac:dyDescent="0.25">
      <c r="A3699" t="s">
        <v>5120</v>
      </c>
      <c r="B3699" s="1" t="str">
        <f>HYPERLINK("https://asmlis.vasa.lt/Dashboard/Served?ServiceDateFrom=2025-11-24&amp;ServiceDateTo=2025-11-24&amp;DumpsterInvNr=13-P-403120", "13-P-403120")</f>
        <v>13-P-403120</v>
      </c>
      <c r="C3699">
        <v>0.24</v>
      </c>
      <c r="D3699" t="s">
        <v>5122</v>
      </c>
      <c r="E3699" t="s">
        <v>11</v>
      </c>
      <c r="G3699" t="s">
        <v>264</v>
      </c>
      <c r="H3699" t="s">
        <v>14</v>
      </c>
    </row>
    <row r="3700" spans="1:10" x14ac:dyDescent="0.25">
      <c r="A3700" t="s">
        <v>5123</v>
      </c>
      <c r="B3700" s="1" t="str">
        <f>HYPERLINK("https://asmlis.vasa.lt/Dashboard/Served?ServiceDateFrom=2025-11-24&amp;ServiceDateTo=2025-11-24&amp;DumpsterInvNr=13-L-390065", "13-L-390065")</f>
        <v>13-L-390065</v>
      </c>
      <c r="C3700">
        <v>0.66</v>
      </c>
      <c r="D3700" t="s">
        <v>2154</v>
      </c>
      <c r="E3700" t="s">
        <v>11</v>
      </c>
      <c r="F3700" t="s">
        <v>1215</v>
      </c>
      <c r="G3700" t="s">
        <v>9</v>
      </c>
      <c r="H3700" t="s">
        <v>14</v>
      </c>
      <c r="J3700" t="s">
        <v>17511</v>
      </c>
    </row>
    <row r="3701" spans="1:10" hidden="1" x14ac:dyDescent="0.25">
      <c r="A3701" t="s">
        <v>5124</v>
      </c>
      <c r="B3701" s="1" t="str">
        <f>HYPERLINK("https://asmlis.vasa.lt/Dashboard/Served?ServiceDateFrom=2025-11-24&amp;ServiceDateTo=2025-11-24&amp;DumpsterInvNr=13-P-508419", "13-P-508419")</f>
        <v>13-P-508419</v>
      </c>
      <c r="C3701">
        <v>0.24</v>
      </c>
      <c r="D3701" t="s">
        <v>5125</v>
      </c>
      <c r="E3701" t="s">
        <v>11</v>
      </c>
      <c r="G3701" t="s">
        <v>2178</v>
      </c>
      <c r="H3701" t="s">
        <v>432</v>
      </c>
    </row>
    <row r="3702" spans="1:10" hidden="1" x14ac:dyDescent="0.25">
      <c r="A3702" t="s">
        <v>5126</v>
      </c>
      <c r="B3702" s="1" t="str">
        <f>HYPERLINK("https://asmlis.vasa.lt/Dashboard/Served?ServiceDateFrom=2025-11-24&amp;ServiceDateTo=2025-11-24&amp;DumpsterInvNr=13-P-306883", "13-P-306883")</f>
        <v>13-P-306883</v>
      </c>
      <c r="C3702">
        <v>1.1000000000000001</v>
      </c>
      <c r="D3702" t="s">
        <v>2000</v>
      </c>
      <c r="E3702" t="s">
        <v>11</v>
      </c>
      <c r="G3702" t="s">
        <v>412</v>
      </c>
      <c r="H3702" t="s">
        <v>14</v>
      </c>
    </row>
    <row r="3703" spans="1:10" hidden="1" x14ac:dyDescent="0.25">
      <c r="A3703" t="s">
        <v>5127</v>
      </c>
      <c r="B3703" s="1" t="str">
        <f>HYPERLINK("https://asmlis.vasa.lt/Dashboard/Served?ServiceDateFrom=2025-11-24&amp;ServiceDateTo=2025-11-24&amp;DumpsterInvNr=13-L-218994", "13-L-218994")</f>
        <v>13-L-218994</v>
      </c>
      <c r="C3703">
        <v>0.77</v>
      </c>
      <c r="D3703" t="s">
        <v>5129</v>
      </c>
      <c r="E3703" t="s">
        <v>11</v>
      </c>
      <c r="G3703" t="s">
        <v>936</v>
      </c>
      <c r="H3703" t="s">
        <v>938</v>
      </c>
    </row>
    <row r="3704" spans="1:10" hidden="1" x14ac:dyDescent="0.25">
      <c r="A3704" t="s">
        <v>5130</v>
      </c>
      <c r="B3704" s="1" t="str">
        <f>HYPERLINK("https://asmlis.vasa.lt/Dashboard/Served?ServiceDateFrom=2025-11-24&amp;ServiceDateTo=2025-11-24&amp;DumpsterInvNr=13-L-143029", "13-L-143029")</f>
        <v>13-L-143029</v>
      </c>
      <c r="C3704">
        <v>0.24</v>
      </c>
      <c r="D3704" t="s">
        <v>5131</v>
      </c>
      <c r="E3704" t="s">
        <v>11</v>
      </c>
      <c r="G3704" t="s">
        <v>1912</v>
      </c>
      <c r="H3704" t="s">
        <v>432</v>
      </c>
    </row>
    <row r="3705" spans="1:10" hidden="1" x14ac:dyDescent="0.25">
      <c r="A3705" t="s">
        <v>5132</v>
      </c>
      <c r="B3705" s="1" t="str">
        <f>HYPERLINK("https://asmlis.vasa.lt/Dashboard/Served?ServiceDateFrom=2025-11-24&amp;ServiceDateTo=2025-11-24&amp;DumpsterInvNr=13-L-224404", "13-L-224404")</f>
        <v>13-L-224404</v>
      </c>
      <c r="C3705">
        <v>5</v>
      </c>
      <c r="D3705" t="s">
        <v>5133</v>
      </c>
      <c r="E3705" t="s">
        <v>11</v>
      </c>
      <c r="G3705" t="s">
        <v>936</v>
      </c>
      <c r="H3705" t="s">
        <v>938</v>
      </c>
    </row>
    <row r="3706" spans="1:10" hidden="1" x14ac:dyDescent="0.25">
      <c r="A3706" t="s">
        <v>5134</v>
      </c>
      <c r="B3706" s="1" t="str">
        <f>HYPERLINK("https://asmlis.vasa.lt/Dashboard/Served?ServiceDateFrom=2025-11-24&amp;ServiceDateTo=2025-11-24&amp;DumpsterInvNr=13-P-103504", "13-P-103504")</f>
        <v>13-P-103504</v>
      </c>
      <c r="C3706">
        <v>0.24</v>
      </c>
      <c r="D3706" t="s">
        <v>5131</v>
      </c>
      <c r="E3706" t="s">
        <v>11</v>
      </c>
      <c r="G3706" t="s">
        <v>1917</v>
      </c>
      <c r="H3706" t="s">
        <v>432</v>
      </c>
    </row>
    <row r="3707" spans="1:10" hidden="1" x14ac:dyDescent="0.25">
      <c r="A3707" t="s">
        <v>5135</v>
      </c>
      <c r="B3707" s="1" t="str">
        <f>HYPERLINK("https://asmlis.vasa.lt/Dashboard/Served?ServiceDateFrom=2025-11-24&amp;ServiceDateTo=2025-11-24&amp;DumpsterInvNr=13-P-302565", "13-P-302565")</f>
        <v>13-P-302565</v>
      </c>
      <c r="C3707">
        <v>2.5</v>
      </c>
      <c r="D3707" t="s">
        <v>1726</v>
      </c>
      <c r="E3707" t="s">
        <v>11</v>
      </c>
      <c r="F3707" t="s">
        <v>13</v>
      </c>
      <c r="G3707" t="s">
        <v>412</v>
      </c>
      <c r="H3707" t="s">
        <v>14</v>
      </c>
    </row>
    <row r="3708" spans="1:10" hidden="1" x14ac:dyDescent="0.25">
      <c r="A3708" t="s">
        <v>5136</v>
      </c>
      <c r="B3708" s="1" t="str">
        <f>HYPERLINK("https://asmlis.vasa.lt/Dashboard/Served?ServiceDateFrom=2025-11-24&amp;ServiceDateTo=2025-11-24&amp;DumpsterInvNr=13-P-403118", "13-P-403118")</f>
        <v>13-P-403118</v>
      </c>
      <c r="C3708">
        <v>0.24</v>
      </c>
      <c r="D3708" t="s">
        <v>5137</v>
      </c>
      <c r="E3708" t="s">
        <v>11</v>
      </c>
      <c r="G3708" t="s">
        <v>264</v>
      </c>
      <c r="H3708" t="s">
        <v>14</v>
      </c>
    </row>
    <row r="3709" spans="1:10" hidden="1" x14ac:dyDescent="0.25">
      <c r="A3709" t="s">
        <v>5138</v>
      </c>
      <c r="B3709" s="1" t="str">
        <f>HYPERLINK("https://asmlis.vasa.lt/Dashboard/Served?ServiceDateFrom=2025-11-24&amp;ServiceDateTo=2025-11-24&amp;DumpsterInvNr=13-P-306948", "13-P-306948")</f>
        <v>13-P-306948</v>
      </c>
      <c r="C3709">
        <v>1.1000000000000001</v>
      </c>
      <c r="D3709" t="s">
        <v>2000</v>
      </c>
      <c r="E3709" t="s">
        <v>11</v>
      </c>
      <c r="F3709" t="s">
        <v>13</v>
      </c>
      <c r="G3709" t="s">
        <v>412</v>
      </c>
      <c r="H3709" t="s">
        <v>14</v>
      </c>
    </row>
    <row r="3710" spans="1:10" hidden="1" x14ac:dyDescent="0.25">
      <c r="A3710" t="s">
        <v>5139</v>
      </c>
      <c r="B3710" s="1" t="str">
        <f>HYPERLINK("https://asmlis.vasa.lt/Dashboard/Served?ServiceDateFrom=2025-11-24&amp;ServiceDateTo=2025-11-24&amp;DumpsterInvNr=13-P-403119", "13-P-403119")</f>
        <v>13-P-403119</v>
      </c>
      <c r="C3710">
        <v>0.24</v>
      </c>
      <c r="D3710" t="s">
        <v>5140</v>
      </c>
      <c r="E3710" t="s">
        <v>11</v>
      </c>
      <c r="F3710" t="s">
        <v>1209</v>
      </c>
      <c r="G3710" t="s">
        <v>264</v>
      </c>
      <c r="H3710" t="s">
        <v>14</v>
      </c>
    </row>
    <row r="3711" spans="1:10" hidden="1" x14ac:dyDescent="0.25">
      <c r="A3711" t="s">
        <v>5142</v>
      </c>
      <c r="B3711" s="1" t="str">
        <f>HYPERLINK("https://asmlis.vasa.lt/Dashboard/Served?ServiceDateFrom=2025-11-24&amp;ServiceDateTo=2025-11-24&amp;DumpsterInvNr=13-P-402398", "13-P-402398")</f>
        <v>13-P-402398</v>
      </c>
      <c r="C3711">
        <v>2.5</v>
      </c>
      <c r="D3711" t="s">
        <v>1053</v>
      </c>
      <c r="E3711" t="s">
        <v>11</v>
      </c>
      <c r="F3711" t="s">
        <v>13</v>
      </c>
      <c r="G3711" t="s">
        <v>264</v>
      </c>
      <c r="H3711" t="s">
        <v>14</v>
      </c>
    </row>
    <row r="3712" spans="1:10" hidden="1" x14ac:dyDescent="0.25">
      <c r="A3712" t="s">
        <v>5143</v>
      </c>
      <c r="B3712" s="1" t="str">
        <f>HYPERLINK("https://asmlis.vasa.lt/Dashboard/Served?ServiceDateFrom=2025-11-24&amp;ServiceDateTo=2025-11-24&amp;DumpsterInvNr=13-L-426751", "13-L-426751")</f>
        <v>13-L-426751</v>
      </c>
      <c r="C3712">
        <v>1.1000000000000001</v>
      </c>
      <c r="D3712" t="s">
        <v>5144</v>
      </c>
      <c r="E3712" t="s">
        <v>11</v>
      </c>
      <c r="G3712" t="s">
        <v>74</v>
      </c>
      <c r="H3712" t="s">
        <v>14</v>
      </c>
    </row>
    <row r="3713" spans="1:8" hidden="1" x14ac:dyDescent="0.25">
      <c r="A3713" t="s">
        <v>5145</v>
      </c>
      <c r="B3713" s="1" t="str">
        <f>HYPERLINK("https://asmlis.vasa.lt/Dashboard/Served?ServiceDateFrom=2025-11-24&amp;ServiceDateTo=2025-11-24&amp;DumpsterInvNr=13-S-103192", "13-S-103192")</f>
        <v>13-S-103192</v>
      </c>
      <c r="C3713">
        <v>0.12</v>
      </c>
      <c r="D3713" t="s">
        <v>5131</v>
      </c>
      <c r="E3713" t="s">
        <v>11</v>
      </c>
      <c r="F3713" t="s">
        <v>1209</v>
      </c>
      <c r="G3713" t="s">
        <v>1917</v>
      </c>
      <c r="H3713" t="s">
        <v>432</v>
      </c>
    </row>
    <row r="3714" spans="1:8" hidden="1" x14ac:dyDescent="0.25">
      <c r="A3714" t="s">
        <v>5145</v>
      </c>
      <c r="B3714" s="1" t="str">
        <f>HYPERLINK("https://asmlis.vasa.lt/Dashboard/Served?ServiceDateFrom=2025-11-24&amp;ServiceDateTo=2025-11-24&amp;DumpsterInvNr=13-P-415646", "13-P-415646")</f>
        <v>13-P-415646</v>
      </c>
      <c r="C3714">
        <v>5</v>
      </c>
      <c r="D3714" t="s">
        <v>5147</v>
      </c>
      <c r="E3714" t="s">
        <v>11</v>
      </c>
      <c r="G3714" t="s">
        <v>264</v>
      </c>
      <c r="H3714" t="s">
        <v>14</v>
      </c>
    </row>
    <row r="3715" spans="1:8" hidden="1" x14ac:dyDescent="0.25">
      <c r="A3715" t="s">
        <v>5148</v>
      </c>
      <c r="B3715" s="1" t="str">
        <f>HYPERLINK("https://asmlis.vasa.lt/Dashboard/Served?ServiceDateFrom=2025-11-24&amp;ServiceDateTo=2025-11-24&amp;DumpsterInvNr=13-L-313907", "13-L-313907")</f>
        <v>13-L-313907</v>
      </c>
      <c r="C3715">
        <v>5</v>
      </c>
      <c r="D3715" t="s">
        <v>5149</v>
      </c>
      <c r="E3715" t="s">
        <v>11</v>
      </c>
      <c r="G3715" t="s">
        <v>9</v>
      </c>
      <c r="H3715" t="s">
        <v>14</v>
      </c>
    </row>
    <row r="3716" spans="1:8" hidden="1" x14ac:dyDescent="0.25">
      <c r="A3716" t="s">
        <v>5150</v>
      </c>
      <c r="B3716" s="1" t="str">
        <f>HYPERLINK("https://asmlis.vasa.lt/Dashboard/Served?ServiceDateFrom=2025-11-24&amp;ServiceDateTo=2025-11-24&amp;DumpsterInvNr=13-L-422795", "13-L-422795")</f>
        <v>13-L-422795</v>
      </c>
      <c r="C3716">
        <v>1.1000000000000001</v>
      </c>
      <c r="D3716" t="s">
        <v>5151</v>
      </c>
      <c r="E3716" t="s">
        <v>11</v>
      </c>
      <c r="G3716" t="s">
        <v>74</v>
      </c>
      <c r="H3716" t="s">
        <v>14</v>
      </c>
    </row>
    <row r="3717" spans="1:8" hidden="1" x14ac:dyDescent="0.25">
      <c r="A3717" t="s">
        <v>5150</v>
      </c>
      <c r="B3717" s="1" t="str">
        <f>HYPERLINK("https://asmlis.vasa.lt/Dashboard/Served?ServiceDateFrom=2025-11-24&amp;ServiceDateTo=2025-11-24&amp;DumpsterInvNr=13-L-144919", "13-L-144919")</f>
        <v>13-L-144919</v>
      </c>
      <c r="C3717">
        <v>5</v>
      </c>
      <c r="D3717" t="s">
        <v>5152</v>
      </c>
      <c r="E3717" t="s">
        <v>11</v>
      </c>
      <c r="F3717" t="s">
        <v>13</v>
      </c>
      <c r="G3717" t="s">
        <v>430</v>
      </c>
      <c r="H3717" t="s">
        <v>432</v>
      </c>
    </row>
    <row r="3718" spans="1:8" hidden="1" x14ac:dyDescent="0.25">
      <c r="A3718" t="s">
        <v>5153</v>
      </c>
      <c r="B3718" s="1" t="str">
        <f>HYPERLINK("https://asmlis.vasa.lt/Dashboard/Served?ServiceDateFrom=2025-11-24&amp;ServiceDateTo=2025-11-24&amp;DumpsterInvNr=13-L-425043", "13-L-425043")</f>
        <v>13-L-425043</v>
      </c>
      <c r="C3718">
        <v>1.1000000000000001</v>
      </c>
      <c r="D3718" t="s">
        <v>5144</v>
      </c>
      <c r="E3718" t="s">
        <v>11</v>
      </c>
      <c r="G3718" t="s">
        <v>74</v>
      </c>
      <c r="H3718" t="s">
        <v>14</v>
      </c>
    </row>
    <row r="3719" spans="1:8" hidden="1" x14ac:dyDescent="0.25">
      <c r="A3719" t="s">
        <v>5154</v>
      </c>
      <c r="B3719" s="1" t="str">
        <f>HYPERLINK("https://asmlis.vasa.lt/Dashboard/Served?ServiceDateFrom=2025-11-24&amp;ServiceDateTo=2025-11-24&amp;DumpsterInvNr=13-L-311649", "13-L-311649")</f>
        <v>13-L-311649</v>
      </c>
      <c r="C3719">
        <v>1.1000000000000001</v>
      </c>
      <c r="D3719" t="s">
        <v>5106</v>
      </c>
      <c r="E3719" t="s">
        <v>11</v>
      </c>
      <c r="G3719" t="s">
        <v>9</v>
      </c>
      <c r="H3719" t="s">
        <v>14</v>
      </c>
    </row>
    <row r="3720" spans="1:8" hidden="1" x14ac:dyDescent="0.25">
      <c r="A3720" t="s">
        <v>5155</v>
      </c>
      <c r="B3720" s="1" t="str">
        <f>HYPERLINK("https://asmlis.vasa.lt/Dashboard/Served?ServiceDateFrom=2025-11-24&amp;ServiceDateTo=2025-11-24&amp;DumpsterInvNr=13-L-316341", "13-L-316341")</f>
        <v>13-L-316341</v>
      </c>
      <c r="C3720">
        <v>1.1000000000000001</v>
      </c>
      <c r="D3720" t="s">
        <v>5156</v>
      </c>
      <c r="E3720" t="s">
        <v>11</v>
      </c>
      <c r="F3720" t="s">
        <v>13</v>
      </c>
      <c r="G3720" t="s">
        <v>9</v>
      </c>
      <c r="H3720" t="s">
        <v>14</v>
      </c>
    </row>
    <row r="3721" spans="1:8" hidden="1" x14ac:dyDescent="0.25">
      <c r="A3721" t="s">
        <v>5157</v>
      </c>
      <c r="B3721" s="1" t="str">
        <f>HYPERLINK("https://asmlis.vasa.lt/Dashboard/Served?ServiceDateFrom=2025-11-24&amp;ServiceDateTo=2025-11-24&amp;DumpsterInvNr=13-P-301830", "13-P-301830")</f>
        <v>13-P-301830</v>
      </c>
      <c r="C3721">
        <v>1.1000000000000001</v>
      </c>
      <c r="D3721" t="s">
        <v>5158</v>
      </c>
      <c r="E3721" t="s">
        <v>11</v>
      </c>
      <c r="F3721" t="s">
        <v>13</v>
      </c>
      <c r="G3721" t="s">
        <v>412</v>
      </c>
      <c r="H3721" t="s">
        <v>14</v>
      </c>
    </row>
    <row r="3722" spans="1:8" hidden="1" x14ac:dyDescent="0.25">
      <c r="A3722" t="s">
        <v>5159</v>
      </c>
      <c r="B3722" s="1" t="str">
        <f>HYPERLINK("https://asmlis.vasa.lt/Dashboard/Served?ServiceDateFrom=2025-11-24&amp;ServiceDateTo=2025-11-24&amp;DumpsterInvNr=13-L-420955", "13-L-420955")</f>
        <v>13-L-420955</v>
      </c>
      <c r="C3722">
        <v>1.1000000000000001</v>
      </c>
      <c r="D3722" t="s">
        <v>5144</v>
      </c>
      <c r="E3722" t="s">
        <v>11</v>
      </c>
      <c r="G3722" t="s">
        <v>74</v>
      </c>
      <c r="H3722" t="s">
        <v>14</v>
      </c>
    </row>
    <row r="3723" spans="1:8" hidden="1" x14ac:dyDescent="0.25">
      <c r="A3723" t="s">
        <v>5159</v>
      </c>
      <c r="B3723" s="1" t="str">
        <f>HYPERLINK("https://asmlis.vasa.lt/Dashboard/Served?ServiceDateFrom=2025-11-24&amp;ServiceDateTo=2025-11-24&amp;DumpsterInvNr=13-P-402467", "13-P-402467")</f>
        <v>13-P-402467</v>
      </c>
      <c r="C3723">
        <v>0.24</v>
      </c>
      <c r="D3723" t="s">
        <v>5160</v>
      </c>
      <c r="E3723" t="s">
        <v>11</v>
      </c>
      <c r="G3723" t="s">
        <v>264</v>
      </c>
      <c r="H3723" t="s">
        <v>14</v>
      </c>
    </row>
    <row r="3724" spans="1:8" hidden="1" x14ac:dyDescent="0.25">
      <c r="A3724" t="s">
        <v>5161</v>
      </c>
      <c r="B3724" s="1" t="str">
        <f>HYPERLINK("https://asmlis.vasa.lt/Dashboard/Served?ServiceDateFrom=2025-11-24&amp;ServiceDateTo=2025-11-24&amp;DumpsterInvNr=13-L-317225", "13-L-317225")</f>
        <v>13-L-317225</v>
      </c>
      <c r="C3724">
        <v>1.1000000000000001</v>
      </c>
      <c r="D3724" t="s">
        <v>5156</v>
      </c>
      <c r="E3724" t="s">
        <v>11</v>
      </c>
      <c r="F3724" t="s">
        <v>13</v>
      </c>
      <c r="G3724" t="s">
        <v>9</v>
      </c>
      <c r="H3724" t="s">
        <v>14</v>
      </c>
    </row>
    <row r="3725" spans="1:8" hidden="1" x14ac:dyDescent="0.25">
      <c r="A3725" t="s">
        <v>5161</v>
      </c>
      <c r="B3725" s="1" t="str">
        <f>HYPERLINK("https://asmlis.vasa.lt/Dashboard/Served?ServiceDateFrom=2025-11-24&amp;ServiceDateTo=2025-11-24&amp;DumpsterInvNr=13-P-300228", "13-P-300228")</f>
        <v>13-P-300228</v>
      </c>
      <c r="C3725">
        <v>0.24</v>
      </c>
      <c r="D3725" t="s">
        <v>5158</v>
      </c>
      <c r="E3725" t="s">
        <v>11</v>
      </c>
      <c r="F3725" t="s">
        <v>13</v>
      </c>
      <c r="G3725" t="s">
        <v>412</v>
      </c>
      <c r="H3725" t="s">
        <v>14</v>
      </c>
    </row>
    <row r="3726" spans="1:8" hidden="1" x14ac:dyDescent="0.25">
      <c r="A3726" t="s">
        <v>5162</v>
      </c>
      <c r="B3726" s="1" t="str">
        <f>HYPERLINK("https://asmlis.vasa.lt/Dashboard/Served?ServiceDateFrom=2025-11-24&amp;ServiceDateTo=2025-11-24&amp;DumpsterInvNr=13-L-424443", "13-L-424443")</f>
        <v>13-L-424443</v>
      </c>
      <c r="C3726">
        <v>5</v>
      </c>
      <c r="D3726" t="s">
        <v>5163</v>
      </c>
      <c r="E3726" t="s">
        <v>11</v>
      </c>
      <c r="F3726" t="s">
        <v>13</v>
      </c>
      <c r="G3726" t="s">
        <v>74</v>
      </c>
      <c r="H3726" t="s">
        <v>14</v>
      </c>
    </row>
    <row r="3727" spans="1:8" hidden="1" x14ac:dyDescent="0.25">
      <c r="A3727" t="s">
        <v>5164</v>
      </c>
      <c r="B3727" s="1" t="str">
        <f>HYPERLINK("https://asmlis.vasa.lt/Dashboard/Served?ServiceDateFrom=2025-11-24&amp;ServiceDateTo=2025-11-24&amp;DumpsterInvNr=13-L-227667", "13-L-227667")</f>
        <v>13-L-227667</v>
      </c>
      <c r="C3727">
        <v>1.1000000000000001</v>
      </c>
      <c r="D3727" t="s">
        <v>5064</v>
      </c>
      <c r="E3727" t="s">
        <v>11</v>
      </c>
      <c r="G3727" t="s">
        <v>936</v>
      </c>
      <c r="H3727" t="s">
        <v>938</v>
      </c>
    </row>
    <row r="3728" spans="1:8" hidden="1" x14ac:dyDescent="0.25">
      <c r="A3728" t="s">
        <v>5164</v>
      </c>
      <c r="B3728" s="1" t="str">
        <f>HYPERLINK("https://asmlis.vasa.lt/Dashboard/Served?ServiceDateFrom=2025-11-24&amp;ServiceDateTo=2025-11-24&amp;DumpsterInvNr=13-P-415325", "13-P-415325")</f>
        <v>13-P-415325</v>
      </c>
      <c r="C3728">
        <v>5</v>
      </c>
      <c r="D3728" t="s">
        <v>5165</v>
      </c>
      <c r="E3728" t="s">
        <v>11</v>
      </c>
      <c r="G3728" t="s">
        <v>264</v>
      </c>
      <c r="H3728" t="s">
        <v>14</v>
      </c>
    </row>
    <row r="3729" spans="1:8" hidden="1" x14ac:dyDescent="0.25">
      <c r="A3729" t="s">
        <v>5166</v>
      </c>
      <c r="B3729" s="1" t="str">
        <f>HYPERLINK("https://asmlis.vasa.lt/Dashboard/Served?ServiceDateFrom=2025-11-24&amp;ServiceDateTo=2025-11-24&amp;DumpsterInvNr=13-L-316246", "13-L-316246")</f>
        <v>13-L-316246</v>
      </c>
      <c r="C3729">
        <v>0.77</v>
      </c>
      <c r="D3729" t="s">
        <v>5167</v>
      </c>
      <c r="E3729" t="s">
        <v>11</v>
      </c>
      <c r="F3729" t="s">
        <v>13</v>
      </c>
      <c r="G3729" t="s">
        <v>9</v>
      </c>
      <c r="H3729" t="s">
        <v>14</v>
      </c>
    </row>
    <row r="3730" spans="1:8" hidden="1" x14ac:dyDescent="0.25">
      <c r="A3730" t="s">
        <v>5166</v>
      </c>
      <c r="B3730" s="1" t="str">
        <f>HYPERLINK("https://asmlis.vasa.lt/Dashboard/Served?ServiceDateFrom=2025-11-24&amp;ServiceDateTo=2025-11-24&amp;DumpsterInvNr=13-P-300823", "13-P-300823")</f>
        <v>13-P-300823</v>
      </c>
      <c r="C3730">
        <v>1.1000000000000001</v>
      </c>
      <c r="D3730" t="s">
        <v>5158</v>
      </c>
      <c r="E3730" t="s">
        <v>11</v>
      </c>
      <c r="F3730" t="s">
        <v>13</v>
      </c>
      <c r="G3730" t="s">
        <v>412</v>
      </c>
      <c r="H3730" t="s">
        <v>14</v>
      </c>
    </row>
    <row r="3731" spans="1:8" hidden="1" x14ac:dyDescent="0.25">
      <c r="A3731" t="s">
        <v>5168</v>
      </c>
      <c r="B3731" s="1" t="str">
        <f>HYPERLINK("https://asmlis.vasa.lt/Dashboard/Served?ServiceDateFrom=2025-11-24&amp;ServiceDateTo=2025-11-24&amp;DumpsterInvNr=13-L-416027", "13-L-416027")</f>
        <v>13-L-416027</v>
      </c>
      <c r="C3731">
        <v>1.1000000000000001</v>
      </c>
      <c r="D3731" t="s">
        <v>5144</v>
      </c>
      <c r="E3731" t="s">
        <v>11</v>
      </c>
      <c r="G3731" t="s">
        <v>74</v>
      </c>
      <c r="H3731" t="s">
        <v>14</v>
      </c>
    </row>
    <row r="3732" spans="1:8" hidden="1" x14ac:dyDescent="0.25">
      <c r="A3732" t="s">
        <v>5168</v>
      </c>
      <c r="B3732" s="1" t="str">
        <f>HYPERLINK("https://asmlis.vasa.lt/Dashboard/Served?ServiceDateFrom=2025-11-24&amp;ServiceDateTo=2025-11-24&amp;DumpsterInvNr=13-L-224405", "13-L-224405")</f>
        <v>13-L-224405</v>
      </c>
      <c r="C3732">
        <v>5</v>
      </c>
      <c r="D3732" t="s">
        <v>5133</v>
      </c>
      <c r="E3732" t="s">
        <v>11</v>
      </c>
      <c r="F3732" t="s">
        <v>13</v>
      </c>
      <c r="G3732" t="s">
        <v>936</v>
      </c>
      <c r="H3732" t="s">
        <v>938</v>
      </c>
    </row>
    <row r="3733" spans="1:8" hidden="1" x14ac:dyDescent="0.25">
      <c r="A3733" t="s">
        <v>5169</v>
      </c>
      <c r="B3733" s="1" t="str">
        <f>HYPERLINK("https://asmlis.vasa.lt/Dashboard/Served?ServiceDateFrom=2025-11-24&amp;ServiceDateTo=2025-11-24&amp;DumpsterInvNr=13-L-311927", "13-L-311927")</f>
        <v>13-L-311927</v>
      </c>
      <c r="C3733">
        <v>0.77</v>
      </c>
      <c r="D3733" t="s">
        <v>5167</v>
      </c>
      <c r="E3733" t="s">
        <v>11</v>
      </c>
      <c r="F3733" t="s">
        <v>13</v>
      </c>
      <c r="G3733" t="s">
        <v>9</v>
      </c>
      <c r="H3733" t="s">
        <v>14</v>
      </c>
    </row>
    <row r="3734" spans="1:8" hidden="1" x14ac:dyDescent="0.25">
      <c r="A3734" t="s">
        <v>5169</v>
      </c>
      <c r="B3734" s="1" t="str">
        <f>HYPERLINK("https://asmlis.vasa.lt/Dashboard/Served?ServiceDateFrom=2025-11-24&amp;ServiceDateTo=2025-11-24&amp;DumpsterInvNr=13-P-300313", "13-P-300313")</f>
        <v>13-P-300313</v>
      </c>
      <c r="C3734">
        <v>1.1000000000000001</v>
      </c>
      <c r="D3734" t="s">
        <v>5158</v>
      </c>
      <c r="E3734" t="s">
        <v>11</v>
      </c>
      <c r="F3734" t="s">
        <v>13</v>
      </c>
      <c r="G3734" t="s">
        <v>412</v>
      </c>
      <c r="H3734" t="s">
        <v>14</v>
      </c>
    </row>
    <row r="3735" spans="1:8" hidden="1" x14ac:dyDescent="0.25">
      <c r="A3735" t="s">
        <v>5170</v>
      </c>
      <c r="B3735" s="1" t="str">
        <f>HYPERLINK("https://asmlis.vasa.lt/Dashboard/Served?ServiceDateFrom=2025-11-24&amp;ServiceDateTo=2025-11-24&amp;DumpsterInvNr=13-P-306824", "13-P-306824")</f>
        <v>13-P-306824</v>
      </c>
      <c r="C3735">
        <v>1.1000000000000001</v>
      </c>
      <c r="D3735" t="s">
        <v>5171</v>
      </c>
      <c r="E3735" t="s">
        <v>11</v>
      </c>
      <c r="F3735" t="s">
        <v>13</v>
      </c>
      <c r="G3735" t="s">
        <v>412</v>
      </c>
      <c r="H3735" t="s">
        <v>14</v>
      </c>
    </row>
    <row r="3736" spans="1:8" hidden="1" x14ac:dyDescent="0.25">
      <c r="A3736" t="s">
        <v>5172</v>
      </c>
      <c r="B3736" s="1" t="str">
        <f>HYPERLINK("https://asmlis.vasa.lt/Dashboard/Served?ServiceDateFrom=2025-11-24&amp;ServiceDateTo=2025-11-24&amp;DumpsterInvNr=13-P-408701", "13-P-408701")</f>
        <v>13-P-408701</v>
      </c>
      <c r="C3736">
        <v>0.24</v>
      </c>
      <c r="D3736" t="s">
        <v>5173</v>
      </c>
      <c r="E3736" t="s">
        <v>11</v>
      </c>
      <c r="G3736" t="s">
        <v>264</v>
      </c>
      <c r="H3736" t="s">
        <v>14</v>
      </c>
    </row>
    <row r="3737" spans="1:8" hidden="1" x14ac:dyDescent="0.25">
      <c r="A3737" t="s">
        <v>5174</v>
      </c>
      <c r="B3737" s="1" t="str">
        <f>HYPERLINK("https://asmlis.vasa.lt/Dashboard/Served?ServiceDateFrom=2025-11-24&amp;ServiceDateTo=2025-11-24&amp;DumpsterInvNr=13-P-205053", "13-P-205053")</f>
        <v>13-P-205053</v>
      </c>
      <c r="C3737">
        <v>5</v>
      </c>
      <c r="D3737" t="s">
        <v>5176</v>
      </c>
      <c r="E3737" t="s">
        <v>11</v>
      </c>
      <c r="G3737" t="s">
        <v>234</v>
      </c>
      <c r="H3737" t="s">
        <v>14</v>
      </c>
    </row>
    <row r="3738" spans="1:8" hidden="1" x14ac:dyDescent="0.25">
      <c r="A3738" t="s">
        <v>5177</v>
      </c>
      <c r="B3738" s="1" t="str">
        <f>HYPERLINK("https://asmlis.vasa.lt/Dashboard/Served?ServiceDateFrom=2025-11-24&amp;ServiceDateTo=2025-11-24&amp;DumpsterInvNr=13-L-220093", "13-L-220093")</f>
        <v>13-L-220093</v>
      </c>
      <c r="C3738">
        <v>0.77</v>
      </c>
      <c r="D3738" t="s">
        <v>5178</v>
      </c>
      <c r="E3738" t="s">
        <v>11</v>
      </c>
      <c r="G3738" t="s">
        <v>936</v>
      </c>
      <c r="H3738" t="s">
        <v>938</v>
      </c>
    </row>
    <row r="3739" spans="1:8" hidden="1" x14ac:dyDescent="0.25">
      <c r="A3739" t="s">
        <v>5179</v>
      </c>
      <c r="B3739" s="1" t="str">
        <f>HYPERLINK("https://asmlis.vasa.lt/Dashboard/Served?ServiceDateFrom=2025-11-24&amp;ServiceDateTo=2025-11-24&amp;DumpsterInvNr=13-P-210778", "13-P-210778")</f>
        <v>13-P-210778</v>
      </c>
      <c r="C3739">
        <v>0.24</v>
      </c>
      <c r="D3739" t="s">
        <v>5180</v>
      </c>
      <c r="E3739" t="s">
        <v>11</v>
      </c>
      <c r="G3739" t="s">
        <v>234</v>
      </c>
      <c r="H3739" t="s">
        <v>14</v>
      </c>
    </row>
    <row r="3740" spans="1:8" hidden="1" x14ac:dyDescent="0.25">
      <c r="A3740" t="s">
        <v>5181</v>
      </c>
      <c r="B3740" s="1" t="str">
        <f>HYPERLINK("https://asmlis.vasa.lt/Dashboard/Served?ServiceDateFrom=2025-11-24&amp;ServiceDateTo=2025-11-24&amp;DumpsterInvNr=13-L-220674", "13-L-220674")</f>
        <v>13-L-220674</v>
      </c>
      <c r="C3740">
        <v>1.1000000000000001</v>
      </c>
      <c r="D3740" t="s">
        <v>2833</v>
      </c>
      <c r="E3740" t="s">
        <v>11</v>
      </c>
      <c r="G3740" t="s">
        <v>936</v>
      </c>
      <c r="H3740" t="s">
        <v>938</v>
      </c>
    </row>
    <row r="3741" spans="1:8" hidden="1" x14ac:dyDescent="0.25">
      <c r="A3741" t="s">
        <v>5141</v>
      </c>
      <c r="B3741" s="1" t="str">
        <f>HYPERLINK("https://asmlis.vasa.lt/Dashboard/Served?ServiceDateFrom=2025-11-24&amp;ServiceDateTo=2025-11-24&amp;DumpsterInvNr=13-P-303497", "13-P-303497")</f>
        <v>13-P-303497</v>
      </c>
      <c r="C3741">
        <v>0.24</v>
      </c>
      <c r="D3741" t="s">
        <v>5182</v>
      </c>
      <c r="E3741" t="s">
        <v>11</v>
      </c>
      <c r="G3741" t="s">
        <v>412</v>
      </c>
      <c r="H3741" t="s">
        <v>14</v>
      </c>
    </row>
    <row r="3742" spans="1:8" hidden="1" x14ac:dyDescent="0.25">
      <c r="A3742" t="s">
        <v>5183</v>
      </c>
      <c r="B3742" s="1" t="str">
        <f>HYPERLINK("https://asmlis.vasa.lt/Dashboard/Served?ServiceDateFrom=2025-11-24&amp;ServiceDateTo=2025-11-24&amp;DumpsterInvNr=13-L-137002", "13-L-137002")</f>
        <v>13-L-137002</v>
      </c>
      <c r="C3742">
        <v>0.24</v>
      </c>
      <c r="D3742" t="s">
        <v>5184</v>
      </c>
      <c r="E3742" t="s">
        <v>11</v>
      </c>
      <c r="G3742" t="s">
        <v>430</v>
      </c>
      <c r="H3742" t="s">
        <v>432</v>
      </c>
    </row>
    <row r="3743" spans="1:8" hidden="1" x14ac:dyDescent="0.25">
      <c r="A3743" t="s">
        <v>5183</v>
      </c>
      <c r="B3743" s="1" t="str">
        <f>HYPERLINK("https://asmlis.vasa.lt/Dashboard/Served?ServiceDateFrom=2025-11-24&amp;ServiceDateTo=2025-11-24&amp;DumpsterInvNr=13-P-302334", "13-P-302334")</f>
        <v>13-P-302334</v>
      </c>
      <c r="C3743">
        <v>2.5</v>
      </c>
      <c r="D3743" t="s">
        <v>1699</v>
      </c>
      <c r="E3743" t="s">
        <v>11</v>
      </c>
      <c r="G3743" t="s">
        <v>412</v>
      </c>
      <c r="H3743" t="s">
        <v>14</v>
      </c>
    </row>
    <row r="3744" spans="1:8" hidden="1" x14ac:dyDescent="0.25">
      <c r="A3744" t="s">
        <v>5183</v>
      </c>
      <c r="B3744" s="1" t="str">
        <f>HYPERLINK("https://asmlis.vasa.lt/Dashboard/Served?ServiceDateFrom=2025-11-24&amp;ServiceDateTo=2025-11-24&amp;DumpsterInvNr=13-P-506836", "13-P-506836")</f>
        <v>13-P-506836</v>
      </c>
      <c r="C3744">
        <v>0.24</v>
      </c>
      <c r="D3744" t="s">
        <v>5184</v>
      </c>
      <c r="E3744" t="s">
        <v>11</v>
      </c>
      <c r="G3744" t="s">
        <v>2178</v>
      </c>
      <c r="H3744" t="s">
        <v>432</v>
      </c>
    </row>
    <row r="3745" spans="1:8" hidden="1" x14ac:dyDescent="0.25">
      <c r="A3745" t="s">
        <v>5185</v>
      </c>
      <c r="B3745" s="1" t="str">
        <f>HYPERLINK("https://asmlis.vasa.lt/Dashboard/Served?ServiceDateFrom=2025-11-24&amp;ServiceDateTo=2025-11-24&amp;DumpsterInvNr=13-L-206435", "13-L-206435")</f>
        <v>13-L-206435</v>
      </c>
      <c r="C3745">
        <v>0.24</v>
      </c>
      <c r="D3745" t="s">
        <v>5186</v>
      </c>
      <c r="E3745" t="s">
        <v>11</v>
      </c>
      <c r="G3745" t="s">
        <v>936</v>
      </c>
      <c r="H3745" t="s">
        <v>938</v>
      </c>
    </row>
    <row r="3746" spans="1:8" hidden="1" x14ac:dyDescent="0.25">
      <c r="A3746" t="s">
        <v>5187</v>
      </c>
      <c r="B3746" s="1" t="str">
        <f>HYPERLINK("https://asmlis.vasa.lt/Dashboard/Served?ServiceDateFrom=2025-11-24&amp;ServiceDateTo=2025-11-24&amp;DumpsterInvNr=13-P-500516", "13-P-500516")</f>
        <v>13-P-500516</v>
      </c>
      <c r="C3746">
        <v>5</v>
      </c>
      <c r="D3746" t="s">
        <v>5188</v>
      </c>
      <c r="E3746" t="s">
        <v>11</v>
      </c>
      <c r="F3746" t="s">
        <v>13</v>
      </c>
      <c r="G3746" t="s">
        <v>2178</v>
      </c>
      <c r="H3746" t="s">
        <v>432</v>
      </c>
    </row>
    <row r="3747" spans="1:8" hidden="1" x14ac:dyDescent="0.25">
      <c r="A3747" t="s">
        <v>5189</v>
      </c>
      <c r="B3747" s="1" t="str">
        <f>HYPERLINK("https://asmlis.vasa.lt/Dashboard/Served?ServiceDateFrom=2025-11-24&amp;ServiceDateTo=2025-11-24&amp;DumpsterInvNr=13-L-117590", "13-L-117590")</f>
        <v>13-L-117590</v>
      </c>
      <c r="C3747">
        <v>1.1000000000000001</v>
      </c>
      <c r="D3747" t="s">
        <v>3109</v>
      </c>
      <c r="E3747" t="s">
        <v>11</v>
      </c>
      <c r="G3747" t="s">
        <v>1912</v>
      </c>
      <c r="H3747" t="s">
        <v>432</v>
      </c>
    </row>
    <row r="3748" spans="1:8" hidden="1" x14ac:dyDescent="0.25">
      <c r="A3748" t="s">
        <v>5190</v>
      </c>
      <c r="B3748" s="1" t="str">
        <f>HYPERLINK("https://asmlis.vasa.lt/Dashboard/Served?ServiceDateFrom=2025-11-24&amp;ServiceDateTo=2025-11-24&amp;DumpsterInvNr=13-P-210937", "13-P-210937")</f>
        <v>13-P-210937</v>
      </c>
      <c r="C3748">
        <v>0.24</v>
      </c>
      <c r="D3748" t="s">
        <v>5191</v>
      </c>
      <c r="E3748" t="s">
        <v>11</v>
      </c>
      <c r="G3748" t="s">
        <v>234</v>
      </c>
      <c r="H3748" t="s">
        <v>14</v>
      </c>
    </row>
    <row r="3749" spans="1:8" hidden="1" x14ac:dyDescent="0.25">
      <c r="A3749" t="s">
        <v>5192</v>
      </c>
      <c r="B3749" s="1" t="str">
        <f>HYPERLINK("https://asmlis.vasa.lt/Dashboard/Served?ServiceDateFrom=2025-11-24&amp;ServiceDateTo=2025-11-24&amp;DumpsterInvNr=13-L-140792", "13-L-140792")</f>
        <v>13-L-140792</v>
      </c>
      <c r="C3749">
        <v>0.24</v>
      </c>
      <c r="D3749" t="s">
        <v>5193</v>
      </c>
      <c r="E3749" t="s">
        <v>11</v>
      </c>
      <c r="G3749" t="s">
        <v>430</v>
      </c>
      <c r="H3749" t="s">
        <v>432</v>
      </c>
    </row>
    <row r="3750" spans="1:8" hidden="1" x14ac:dyDescent="0.25">
      <c r="A3750" t="s">
        <v>5195</v>
      </c>
      <c r="B3750" s="1" t="str">
        <f>HYPERLINK("https://asmlis.vasa.lt/Dashboard/Served?ServiceDateFrom=2025-11-24&amp;ServiceDateTo=2025-11-24&amp;DumpsterInvNr=13-L-206614", "13-L-206614")</f>
        <v>13-L-206614</v>
      </c>
      <c r="C3750">
        <v>0.24</v>
      </c>
      <c r="D3750" t="s">
        <v>5196</v>
      </c>
      <c r="E3750" t="s">
        <v>11</v>
      </c>
      <c r="G3750" t="s">
        <v>936</v>
      </c>
      <c r="H3750" t="s">
        <v>938</v>
      </c>
    </row>
    <row r="3751" spans="1:8" hidden="1" x14ac:dyDescent="0.25">
      <c r="A3751" t="s">
        <v>5197</v>
      </c>
      <c r="B3751" s="1" t="str">
        <f>HYPERLINK("https://asmlis.vasa.lt/Dashboard/Served?ServiceDateFrom=2025-11-24&amp;ServiceDateTo=2025-11-24&amp;DumpsterInvNr=13-L-137034", "13-L-137034")</f>
        <v>13-L-137034</v>
      </c>
      <c r="C3751">
        <v>0.24</v>
      </c>
      <c r="D3751" t="s">
        <v>5198</v>
      </c>
      <c r="E3751" t="s">
        <v>11</v>
      </c>
      <c r="G3751" t="s">
        <v>430</v>
      </c>
      <c r="H3751" t="s">
        <v>432</v>
      </c>
    </row>
    <row r="3752" spans="1:8" hidden="1" x14ac:dyDescent="0.25">
      <c r="A3752" t="s">
        <v>5197</v>
      </c>
      <c r="B3752" s="1" t="str">
        <f>HYPERLINK("https://asmlis.vasa.lt/Dashboard/Served?ServiceDateFrom=2025-11-24&amp;ServiceDateTo=2025-11-24&amp;DumpsterInvNr=13-P-506825", "13-P-506825")</f>
        <v>13-P-506825</v>
      </c>
      <c r="C3752">
        <v>0.24</v>
      </c>
      <c r="D3752" t="s">
        <v>5200</v>
      </c>
      <c r="E3752" t="s">
        <v>11</v>
      </c>
      <c r="G3752" t="s">
        <v>2178</v>
      </c>
      <c r="H3752" t="s">
        <v>432</v>
      </c>
    </row>
    <row r="3753" spans="1:8" hidden="1" x14ac:dyDescent="0.25">
      <c r="A3753" t="s">
        <v>5201</v>
      </c>
      <c r="B3753" s="1" t="str">
        <f>HYPERLINK("https://asmlis.vasa.lt/Dashboard/Served?ServiceDateFrom=2025-11-24&amp;ServiceDateTo=2025-11-24&amp;DumpsterInvNr=13-L-424311", "13-L-424311")</f>
        <v>13-L-424311</v>
      </c>
      <c r="C3753">
        <v>5</v>
      </c>
      <c r="D3753" t="s">
        <v>5202</v>
      </c>
      <c r="E3753" t="s">
        <v>11</v>
      </c>
      <c r="F3753" t="s">
        <v>13</v>
      </c>
      <c r="G3753" t="s">
        <v>74</v>
      </c>
      <c r="H3753" t="s">
        <v>14</v>
      </c>
    </row>
    <row r="3754" spans="1:8" hidden="1" x14ac:dyDescent="0.25">
      <c r="A3754" t="s">
        <v>5203</v>
      </c>
      <c r="B3754" s="1" t="str">
        <f>HYPERLINK("https://asmlis.vasa.lt/Dashboard/Served?ServiceDateFrom=2025-11-24&amp;ServiceDateTo=2025-11-24&amp;DumpsterInvNr=13-L-314603", "13-L-314603")</f>
        <v>13-L-314603</v>
      </c>
      <c r="C3754">
        <v>1.1000000000000001</v>
      </c>
      <c r="D3754" t="s">
        <v>2185</v>
      </c>
      <c r="E3754" t="s">
        <v>11</v>
      </c>
      <c r="G3754" t="s">
        <v>9</v>
      </c>
      <c r="H3754" t="s">
        <v>14</v>
      </c>
    </row>
    <row r="3755" spans="1:8" hidden="1" x14ac:dyDescent="0.25">
      <c r="A3755" t="s">
        <v>5204</v>
      </c>
      <c r="B3755" s="1" t="str">
        <f>HYPERLINK("https://asmlis.vasa.lt/Dashboard/Served?ServiceDateFrom=2025-11-24&amp;ServiceDateTo=2025-11-24&amp;DumpsterInvNr=13-L-425093", "13-L-425093")</f>
        <v>13-L-425093</v>
      </c>
      <c r="C3755">
        <v>0.24</v>
      </c>
      <c r="D3755" t="s">
        <v>5205</v>
      </c>
      <c r="E3755" t="s">
        <v>11</v>
      </c>
      <c r="F3755" t="s">
        <v>1209</v>
      </c>
      <c r="G3755" t="s">
        <v>74</v>
      </c>
      <c r="H3755" t="s">
        <v>14</v>
      </c>
    </row>
    <row r="3756" spans="1:8" hidden="1" x14ac:dyDescent="0.25">
      <c r="A3756" t="s">
        <v>5204</v>
      </c>
      <c r="B3756" s="1" t="str">
        <f>HYPERLINK("https://asmlis.vasa.lt/Dashboard/Served?ServiceDateFrom=2025-11-24&amp;ServiceDateTo=2025-11-24&amp;DumpsterInvNr=13-P-301742", "13-P-301742")</f>
        <v>13-P-301742</v>
      </c>
      <c r="C3756">
        <v>2.5</v>
      </c>
      <c r="D3756" t="s">
        <v>1699</v>
      </c>
      <c r="E3756" t="s">
        <v>11</v>
      </c>
      <c r="F3756" t="s">
        <v>13</v>
      </c>
      <c r="G3756" t="s">
        <v>412</v>
      </c>
      <c r="H3756" t="s">
        <v>14</v>
      </c>
    </row>
    <row r="3757" spans="1:8" hidden="1" x14ac:dyDescent="0.25">
      <c r="A3757" t="s">
        <v>5206</v>
      </c>
      <c r="B3757" s="1" t="str">
        <f>HYPERLINK("https://asmlis.vasa.lt/Dashboard/Served?ServiceDateFrom=2025-11-24&amp;ServiceDateTo=2025-11-24&amp;DumpsterInvNr=13-P-210856", "13-P-210856")</f>
        <v>13-P-210856</v>
      </c>
      <c r="C3757">
        <v>0.24</v>
      </c>
      <c r="D3757" t="s">
        <v>5207</v>
      </c>
      <c r="E3757" t="s">
        <v>11</v>
      </c>
      <c r="G3757" t="s">
        <v>234</v>
      </c>
      <c r="H3757" t="s">
        <v>14</v>
      </c>
    </row>
    <row r="3758" spans="1:8" hidden="1" x14ac:dyDescent="0.25">
      <c r="A3758" t="s">
        <v>5208</v>
      </c>
      <c r="B3758" s="1" t="str">
        <f>HYPERLINK("https://asmlis.vasa.lt/Dashboard/Served?ServiceDateFrom=2025-11-24&amp;ServiceDateTo=2025-11-24&amp;DumpsterInvNr=13-L-149114", "13-L-149114")</f>
        <v>13-L-149114</v>
      </c>
      <c r="C3758">
        <v>1.1000000000000001</v>
      </c>
      <c r="D3758" t="s">
        <v>5209</v>
      </c>
      <c r="E3758" t="s">
        <v>11</v>
      </c>
      <c r="G3758" t="s">
        <v>430</v>
      </c>
      <c r="H3758" t="s">
        <v>432</v>
      </c>
    </row>
    <row r="3759" spans="1:8" hidden="1" x14ac:dyDescent="0.25">
      <c r="A3759" t="s">
        <v>5210</v>
      </c>
      <c r="B3759" s="1" t="str">
        <f>HYPERLINK("https://asmlis.vasa.lt/Dashboard/Served?ServiceDateFrom=2025-11-24&amp;ServiceDateTo=2025-11-24&amp;DumpsterInvNr=13-L-139194", "13-L-139194")</f>
        <v>13-L-139194</v>
      </c>
      <c r="C3759">
        <v>0.24</v>
      </c>
      <c r="D3759" t="s">
        <v>5200</v>
      </c>
      <c r="E3759" t="s">
        <v>11</v>
      </c>
      <c r="G3759" t="s">
        <v>430</v>
      </c>
      <c r="H3759" t="s">
        <v>432</v>
      </c>
    </row>
    <row r="3760" spans="1:8" hidden="1" x14ac:dyDescent="0.25">
      <c r="A3760" t="s">
        <v>5210</v>
      </c>
      <c r="B3760" s="1" t="str">
        <f>HYPERLINK("https://asmlis.vasa.lt/Dashboard/Served?ServiceDateFrom=2025-11-24&amp;ServiceDateTo=2025-11-24&amp;DumpsterInvNr=13-P-506830", "13-P-506830")</f>
        <v>13-P-506830</v>
      </c>
      <c r="C3760">
        <v>0.24</v>
      </c>
      <c r="D3760" t="s">
        <v>5198</v>
      </c>
      <c r="E3760" t="s">
        <v>11</v>
      </c>
      <c r="G3760" t="s">
        <v>2178</v>
      </c>
      <c r="H3760" t="s">
        <v>432</v>
      </c>
    </row>
    <row r="3761" spans="1:8" hidden="1" x14ac:dyDescent="0.25">
      <c r="A3761" t="s">
        <v>5213</v>
      </c>
      <c r="B3761" s="1" t="str">
        <f>HYPERLINK("https://asmlis.vasa.lt/Dashboard/Served?ServiceDateFrom=2025-11-24&amp;ServiceDateTo=2025-11-24&amp;DumpsterInvNr=13-L-420805", "13-L-420805")</f>
        <v>13-L-420805</v>
      </c>
      <c r="C3761">
        <v>5</v>
      </c>
      <c r="D3761" t="s">
        <v>2537</v>
      </c>
      <c r="E3761" t="s">
        <v>11</v>
      </c>
      <c r="F3761" t="s">
        <v>13</v>
      </c>
      <c r="G3761" t="s">
        <v>74</v>
      </c>
      <c r="H3761" t="s">
        <v>14</v>
      </c>
    </row>
    <row r="3762" spans="1:8" hidden="1" x14ac:dyDescent="0.25">
      <c r="A3762" t="s">
        <v>5214</v>
      </c>
      <c r="B3762" s="1" t="str">
        <f>HYPERLINK("https://asmlis.vasa.lt/Dashboard/Served?ServiceDateFrom=2025-11-24&amp;ServiceDateTo=2025-11-24&amp;DumpsterInvNr=13-L-316870", "13-L-316870")</f>
        <v>13-L-316870</v>
      </c>
      <c r="C3762">
        <v>1.1000000000000001</v>
      </c>
      <c r="D3762" t="s">
        <v>2185</v>
      </c>
      <c r="E3762" t="s">
        <v>11</v>
      </c>
      <c r="G3762" t="s">
        <v>9</v>
      </c>
      <c r="H3762" t="s">
        <v>14</v>
      </c>
    </row>
    <row r="3763" spans="1:8" hidden="1" x14ac:dyDescent="0.25">
      <c r="A3763" t="s">
        <v>5215</v>
      </c>
      <c r="B3763" s="1" t="str">
        <f>HYPERLINK("https://asmlis.vasa.lt/Dashboard/Served?ServiceDateFrom=2025-11-24&amp;ServiceDateTo=2025-11-24&amp;DumpsterInvNr=13-P-402593", "13-P-402593")</f>
        <v>13-P-402593</v>
      </c>
      <c r="C3763">
        <v>1.1000000000000001</v>
      </c>
      <c r="D3763" t="s">
        <v>5216</v>
      </c>
      <c r="E3763" t="s">
        <v>11</v>
      </c>
      <c r="G3763" t="s">
        <v>264</v>
      </c>
      <c r="H3763" t="s">
        <v>14</v>
      </c>
    </row>
    <row r="3764" spans="1:8" hidden="1" x14ac:dyDescent="0.25">
      <c r="A3764" t="s">
        <v>5217</v>
      </c>
      <c r="B3764" s="1" t="str">
        <f>HYPERLINK("https://asmlis.vasa.lt/Dashboard/Served?ServiceDateFrom=2025-11-24&amp;ServiceDateTo=2025-11-24&amp;DumpsterInvNr=13-L-426091", "13-L-426091")</f>
        <v>13-L-426091</v>
      </c>
      <c r="C3764">
        <v>0.24</v>
      </c>
      <c r="D3764" t="s">
        <v>5218</v>
      </c>
      <c r="E3764" t="s">
        <v>11</v>
      </c>
      <c r="G3764" t="s">
        <v>74</v>
      </c>
      <c r="H3764" t="s">
        <v>14</v>
      </c>
    </row>
    <row r="3765" spans="1:8" hidden="1" x14ac:dyDescent="0.25">
      <c r="A3765" t="s">
        <v>5219</v>
      </c>
      <c r="B3765" s="1" t="str">
        <f>HYPERLINK("https://asmlis.vasa.lt/Dashboard/Served?ServiceDateFrom=2025-11-24&amp;ServiceDateTo=2025-11-24&amp;DumpsterInvNr=13-L-426092", "13-L-426092")</f>
        <v>13-L-426092</v>
      </c>
      <c r="C3765">
        <v>0.77</v>
      </c>
      <c r="D3765" t="s">
        <v>5218</v>
      </c>
      <c r="E3765" t="s">
        <v>11</v>
      </c>
      <c r="G3765" t="s">
        <v>74</v>
      </c>
      <c r="H3765" t="s">
        <v>14</v>
      </c>
    </row>
    <row r="3766" spans="1:8" hidden="1" x14ac:dyDescent="0.25">
      <c r="A3766" t="s">
        <v>5220</v>
      </c>
      <c r="B3766" s="1" t="str">
        <f>HYPERLINK("https://asmlis.vasa.lt/Dashboard/Served?ServiceDateFrom=2025-11-24&amp;ServiceDateTo=2025-11-24&amp;DumpsterInvNr=13-P-102470", "13-P-102470")</f>
        <v>13-P-102470</v>
      </c>
      <c r="C3766">
        <v>5</v>
      </c>
      <c r="D3766" t="s">
        <v>5221</v>
      </c>
      <c r="E3766" t="s">
        <v>11</v>
      </c>
      <c r="F3766" t="s">
        <v>13</v>
      </c>
      <c r="G3766" t="s">
        <v>1917</v>
      </c>
      <c r="H3766" t="s">
        <v>432</v>
      </c>
    </row>
    <row r="3767" spans="1:8" hidden="1" x14ac:dyDescent="0.25">
      <c r="A3767" t="s">
        <v>5222</v>
      </c>
      <c r="B3767" s="1" t="str">
        <f>HYPERLINK("https://asmlis.vasa.lt/Dashboard/Served?ServiceDateFrom=2025-11-24&amp;ServiceDateTo=2025-11-24&amp;DumpsterInvNr=13-L-149123", "13-L-149123")</f>
        <v>13-L-149123</v>
      </c>
      <c r="C3767">
        <v>1.1000000000000001</v>
      </c>
      <c r="D3767" t="s">
        <v>5209</v>
      </c>
      <c r="E3767" t="s">
        <v>11</v>
      </c>
      <c r="G3767" t="s">
        <v>430</v>
      </c>
      <c r="H3767" t="s">
        <v>432</v>
      </c>
    </row>
    <row r="3768" spans="1:8" hidden="1" x14ac:dyDescent="0.25">
      <c r="A3768" t="s">
        <v>5223</v>
      </c>
      <c r="B3768" s="1" t="str">
        <f>HYPERLINK("https://asmlis.vasa.lt/Dashboard/Served?ServiceDateFrom=2025-11-24&amp;ServiceDateTo=2025-11-24&amp;DumpsterInvNr=13-P-210715", "13-P-210715")</f>
        <v>13-P-210715</v>
      </c>
      <c r="C3768">
        <v>0.24</v>
      </c>
      <c r="D3768" t="s">
        <v>5224</v>
      </c>
      <c r="E3768" t="s">
        <v>11</v>
      </c>
      <c r="G3768" t="s">
        <v>234</v>
      </c>
      <c r="H3768" t="s">
        <v>14</v>
      </c>
    </row>
    <row r="3769" spans="1:8" hidden="1" x14ac:dyDescent="0.25">
      <c r="A3769" t="s">
        <v>5225</v>
      </c>
      <c r="B3769" s="1" t="str">
        <f>HYPERLINK("https://asmlis.vasa.lt/Dashboard/Served?ServiceDateFrom=2025-11-24&amp;ServiceDateTo=2025-11-24&amp;DumpsterInvNr=13-L-134144", "13-L-134144")</f>
        <v>13-L-134144</v>
      </c>
      <c r="C3769">
        <v>0.24</v>
      </c>
      <c r="D3769" t="s">
        <v>5226</v>
      </c>
      <c r="E3769" t="s">
        <v>11</v>
      </c>
      <c r="G3769" t="s">
        <v>430</v>
      </c>
      <c r="H3769" t="s">
        <v>432</v>
      </c>
    </row>
    <row r="3770" spans="1:8" hidden="1" x14ac:dyDescent="0.25">
      <c r="A3770" t="s">
        <v>5225</v>
      </c>
      <c r="B3770" s="1" t="str">
        <f>HYPERLINK("https://asmlis.vasa.lt/Dashboard/Served?ServiceDateFrom=2025-11-24&amp;ServiceDateTo=2025-11-24&amp;DumpsterInvNr=13-L-137319", "13-L-137319")</f>
        <v>13-L-137319</v>
      </c>
      <c r="C3770">
        <v>0.24</v>
      </c>
      <c r="D3770" t="s">
        <v>5227</v>
      </c>
      <c r="E3770" t="s">
        <v>11</v>
      </c>
      <c r="G3770" t="s">
        <v>430</v>
      </c>
      <c r="H3770" t="s">
        <v>432</v>
      </c>
    </row>
    <row r="3771" spans="1:8" hidden="1" x14ac:dyDescent="0.25">
      <c r="A3771" t="s">
        <v>5225</v>
      </c>
      <c r="B3771" s="1" t="str">
        <f>HYPERLINK("https://asmlis.vasa.lt/Dashboard/Served?ServiceDateFrom=2025-11-24&amp;ServiceDateTo=2025-11-24&amp;DumpsterInvNr=13-P-506800", "13-P-506800")</f>
        <v>13-P-506800</v>
      </c>
      <c r="C3771">
        <v>0.24</v>
      </c>
      <c r="D3771" t="s">
        <v>5227</v>
      </c>
      <c r="E3771" t="s">
        <v>11</v>
      </c>
      <c r="G3771" t="s">
        <v>2178</v>
      </c>
      <c r="H3771" t="s">
        <v>432</v>
      </c>
    </row>
    <row r="3772" spans="1:8" hidden="1" x14ac:dyDescent="0.25">
      <c r="A3772" t="s">
        <v>5229</v>
      </c>
      <c r="B3772" s="1" t="str">
        <f>HYPERLINK("https://asmlis.vasa.lt/Dashboard/Served?ServiceDateFrom=2025-11-24&amp;ServiceDateTo=2025-11-24&amp;DumpsterInvNr=13-P-402586", "13-P-402586")</f>
        <v>13-P-402586</v>
      </c>
      <c r="C3772">
        <v>1.1000000000000001</v>
      </c>
      <c r="D3772" t="s">
        <v>5216</v>
      </c>
      <c r="E3772" t="s">
        <v>11</v>
      </c>
      <c r="G3772" t="s">
        <v>264</v>
      </c>
      <c r="H3772" t="s">
        <v>14</v>
      </c>
    </row>
    <row r="3773" spans="1:8" hidden="1" x14ac:dyDescent="0.25">
      <c r="A3773" t="s">
        <v>5230</v>
      </c>
      <c r="B3773" s="1" t="str">
        <f>HYPERLINK("https://asmlis.vasa.lt/Dashboard/Served?ServiceDateFrom=2025-11-24&amp;ServiceDateTo=2025-11-24&amp;DumpsterInvNr=13-L-149157", "13-L-149157")</f>
        <v>13-L-149157</v>
      </c>
      <c r="C3773">
        <v>1.1000000000000001</v>
      </c>
      <c r="D3773" t="s">
        <v>5209</v>
      </c>
      <c r="E3773" t="s">
        <v>11</v>
      </c>
      <c r="G3773" t="s">
        <v>430</v>
      </c>
      <c r="H3773" t="s">
        <v>432</v>
      </c>
    </row>
    <row r="3774" spans="1:8" hidden="1" x14ac:dyDescent="0.25">
      <c r="A3774" t="s">
        <v>5231</v>
      </c>
      <c r="B3774" s="1" t="str">
        <f>HYPERLINK("https://asmlis.vasa.lt/Dashboard/Served?ServiceDateFrom=2025-11-24&amp;ServiceDateTo=2025-11-24&amp;DumpsterInvNr=13-L-426036", "13-L-426036")</f>
        <v>13-L-426036</v>
      </c>
      <c r="C3774">
        <v>1.1000000000000001</v>
      </c>
      <c r="D3774" t="s">
        <v>5232</v>
      </c>
      <c r="E3774" t="s">
        <v>11</v>
      </c>
      <c r="G3774" t="s">
        <v>74</v>
      </c>
      <c r="H3774" t="s">
        <v>14</v>
      </c>
    </row>
    <row r="3775" spans="1:8" hidden="1" x14ac:dyDescent="0.25">
      <c r="A3775" t="s">
        <v>5231</v>
      </c>
      <c r="B3775" s="1" t="str">
        <f>HYPERLINK("https://asmlis.vasa.lt/Dashboard/Served?ServiceDateFrom=2025-11-24&amp;ServiceDateTo=2025-11-24&amp;DumpsterInvNr=13-P-434846", "13-P-434846")</f>
        <v>13-P-434846</v>
      </c>
      <c r="C3775">
        <v>0.24</v>
      </c>
      <c r="D3775" t="s">
        <v>5233</v>
      </c>
      <c r="E3775" t="s">
        <v>11</v>
      </c>
      <c r="G3775" t="s">
        <v>264</v>
      </c>
      <c r="H3775" t="s">
        <v>14</v>
      </c>
    </row>
    <row r="3776" spans="1:8" hidden="1" x14ac:dyDescent="0.25">
      <c r="A3776" t="s">
        <v>5234</v>
      </c>
      <c r="B3776" s="1" t="str">
        <f>HYPERLINK("https://asmlis.vasa.lt/Dashboard/Served?ServiceDateFrom=2025-11-24&amp;ServiceDateTo=2025-11-24&amp;DumpsterInvNr=13-L-304364", "13-L-304364")</f>
        <v>13-L-304364</v>
      </c>
      <c r="C3776">
        <v>5</v>
      </c>
      <c r="D3776" t="s">
        <v>5235</v>
      </c>
      <c r="E3776" t="s">
        <v>11</v>
      </c>
      <c r="F3776" t="s">
        <v>13</v>
      </c>
      <c r="G3776" t="s">
        <v>9</v>
      </c>
      <c r="H3776" t="s">
        <v>14</v>
      </c>
    </row>
    <row r="3777" spans="1:8" hidden="1" x14ac:dyDescent="0.25">
      <c r="A3777" t="s">
        <v>5236</v>
      </c>
      <c r="B3777" s="1" t="str">
        <f>HYPERLINK("https://asmlis.vasa.lt/Dashboard/Served?ServiceDateFrom=2025-11-24&amp;ServiceDateTo=2025-11-24&amp;DumpsterInvNr=13-L-204273", "13-L-204273")</f>
        <v>13-L-204273</v>
      </c>
      <c r="C3777">
        <v>1.1000000000000001</v>
      </c>
      <c r="D3777" t="s">
        <v>2833</v>
      </c>
      <c r="E3777" t="s">
        <v>11</v>
      </c>
      <c r="F3777" t="s">
        <v>13</v>
      </c>
      <c r="G3777" t="s">
        <v>936</v>
      </c>
      <c r="H3777" t="s">
        <v>938</v>
      </c>
    </row>
    <row r="3778" spans="1:8" hidden="1" x14ac:dyDescent="0.25">
      <c r="A3778" t="s">
        <v>5237</v>
      </c>
      <c r="B3778" s="1" t="str">
        <f>HYPERLINK("https://asmlis.vasa.lt/Dashboard/Served?ServiceDateFrom=2025-11-24&amp;ServiceDateTo=2025-11-24&amp;DumpsterInvNr=13-P-415257", "13-P-415257")</f>
        <v>13-P-415257</v>
      </c>
      <c r="C3778">
        <v>5</v>
      </c>
      <c r="D3778" t="s">
        <v>5238</v>
      </c>
      <c r="E3778" t="s">
        <v>11</v>
      </c>
      <c r="G3778" t="s">
        <v>264</v>
      </c>
      <c r="H3778" t="s">
        <v>14</v>
      </c>
    </row>
    <row r="3779" spans="1:8" hidden="1" x14ac:dyDescent="0.25">
      <c r="A3779" t="s">
        <v>5239</v>
      </c>
      <c r="B3779" s="1" t="str">
        <f>HYPERLINK("https://asmlis.vasa.lt/Dashboard/Served?ServiceDateFrom=2025-11-24&amp;ServiceDateTo=2025-11-24&amp;DumpsterInvNr=13-P-500668", "13-P-500668")</f>
        <v>13-P-500668</v>
      </c>
      <c r="C3779">
        <v>5</v>
      </c>
      <c r="D3779" t="s">
        <v>5240</v>
      </c>
      <c r="E3779" t="s">
        <v>11</v>
      </c>
      <c r="F3779" t="s">
        <v>13</v>
      </c>
      <c r="G3779" t="s">
        <v>2178</v>
      </c>
      <c r="H3779" t="s">
        <v>432</v>
      </c>
    </row>
    <row r="3780" spans="1:8" hidden="1" x14ac:dyDescent="0.25">
      <c r="A3780" t="s">
        <v>5241</v>
      </c>
      <c r="B3780" s="1" t="str">
        <f>HYPERLINK("https://asmlis.vasa.lt/Dashboard/Served?ServiceDateFrom=2025-11-24&amp;ServiceDateTo=2025-11-24&amp;DumpsterInvNr=13-P-111114", "13-P-111114")</f>
        <v>13-P-111114</v>
      </c>
      <c r="C3780">
        <v>1.1000000000000001</v>
      </c>
      <c r="D3780" t="s">
        <v>5242</v>
      </c>
      <c r="E3780" t="s">
        <v>11</v>
      </c>
      <c r="G3780" t="s">
        <v>1917</v>
      </c>
      <c r="H3780" t="s">
        <v>432</v>
      </c>
    </row>
    <row r="3781" spans="1:8" hidden="1" x14ac:dyDescent="0.25">
      <c r="A3781" t="s">
        <v>5243</v>
      </c>
      <c r="B3781" s="1" t="str">
        <f>HYPERLINK("https://asmlis.vasa.lt/Dashboard/Served?ServiceDateFrom=2025-11-24&amp;ServiceDateTo=2025-11-24&amp;DumpsterInvNr=13-L-424310", "13-L-424310")</f>
        <v>13-L-424310</v>
      </c>
      <c r="C3781">
        <v>5</v>
      </c>
      <c r="D3781" t="s">
        <v>5244</v>
      </c>
      <c r="E3781" t="s">
        <v>11</v>
      </c>
      <c r="G3781" t="s">
        <v>74</v>
      </c>
      <c r="H3781" t="s">
        <v>14</v>
      </c>
    </row>
    <row r="3782" spans="1:8" hidden="1" x14ac:dyDescent="0.25">
      <c r="A3782" t="s">
        <v>5245</v>
      </c>
      <c r="B3782" s="1" t="str">
        <f>HYPERLINK("https://asmlis.vasa.lt/Dashboard/Served?ServiceDateFrom=2025-11-24&amp;ServiceDateTo=2025-11-24&amp;DumpsterInvNr=13-L-228341", "13-L-228341")</f>
        <v>13-L-228341</v>
      </c>
      <c r="C3782">
        <v>1.1000000000000001</v>
      </c>
      <c r="D3782" t="s">
        <v>5246</v>
      </c>
      <c r="E3782" t="s">
        <v>11</v>
      </c>
      <c r="F3782" t="s">
        <v>13</v>
      </c>
      <c r="G3782" t="s">
        <v>936</v>
      </c>
      <c r="H3782" t="s">
        <v>938</v>
      </c>
    </row>
    <row r="3783" spans="1:8" hidden="1" x14ac:dyDescent="0.25">
      <c r="A3783" t="s">
        <v>5247</v>
      </c>
      <c r="B3783" s="1" t="str">
        <f>HYPERLINK("https://asmlis.vasa.lt/Dashboard/Served?ServiceDateFrom=2025-11-24&amp;ServiceDateTo=2025-11-24&amp;DumpsterInvNr=13-L-141276", "13-L-141276")</f>
        <v>13-L-141276</v>
      </c>
      <c r="C3783">
        <v>1.1000000000000001</v>
      </c>
      <c r="D3783" t="s">
        <v>5209</v>
      </c>
      <c r="E3783" t="s">
        <v>11</v>
      </c>
      <c r="G3783" t="s">
        <v>430</v>
      </c>
      <c r="H3783" t="s">
        <v>432</v>
      </c>
    </row>
    <row r="3784" spans="1:8" hidden="1" x14ac:dyDescent="0.25">
      <c r="A3784" t="s">
        <v>3887</v>
      </c>
      <c r="B3784" s="1" t="str">
        <f>HYPERLINK("https://asmlis.vasa.lt/Dashboard/Served?ServiceDateFrom=2025-11-24&amp;ServiceDateTo=2025-11-24&amp;DumpsterInvNr=13-P-434783", "13-P-434783")</f>
        <v>13-P-434783</v>
      </c>
      <c r="C3784">
        <v>0.24</v>
      </c>
      <c r="D3784" t="s">
        <v>5248</v>
      </c>
      <c r="E3784" t="s">
        <v>11</v>
      </c>
      <c r="F3784" t="s">
        <v>1209</v>
      </c>
      <c r="G3784" t="s">
        <v>264</v>
      </c>
      <c r="H3784" t="s">
        <v>14</v>
      </c>
    </row>
    <row r="3785" spans="1:8" hidden="1" x14ac:dyDescent="0.25">
      <c r="A3785" t="s">
        <v>3887</v>
      </c>
      <c r="B3785" s="1" t="str">
        <f>HYPERLINK("https://asmlis.vasa.lt/Dashboard/Served?ServiceDateFrom=2025-11-24&amp;ServiceDateTo=2025-11-24&amp;DumpsterInvNr=13-P-434913", "13-P-434913")</f>
        <v>13-P-434913</v>
      </c>
      <c r="C3785">
        <v>0.24</v>
      </c>
      <c r="D3785" t="s">
        <v>5249</v>
      </c>
      <c r="E3785" t="s">
        <v>11</v>
      </c>
      <c r="F3785" t="s">
        <v>1209</v>
      </c>
      <c r="G3785" t="s">
        <v>264</v>
      </c>
      <c r="H3785" t="s">
        <v>14</v>
      </c>
    </row>
    <row r="3786" spans="1:8" hidden="1" x14ac:dyDescent="0.25">
      <c r="A3786" t="s">
        <v>3887</v>
      </c>
      <c r="B3786" s="1" t="str">
        <f>HYPERLINK("https://asmlis.vasa.lt/Dashboard/Served?ServiceDateFrom=2025-11-24&amp;ServiceDateTo=2025-11-24&amp;DumpsterInvNr=13-L-147588", "13-L-147588")</f>
        <v>13-L-147588</v>
      </c>
      <c r="C3786">
        <v>1.1000000000000001</v>
      </c>
      <c r="D3786" t="s">
        <v>5251</v>
      </c>
      <c r="E3786" t="s">
        <v>11</v>
      </c>
      <c r="G3786" t="s">
        <v>1912</v>
      </c>
      <c r="H3786" t="s">
        <v>432</v>
      </c>
    </row>
    <row r="3787" spans="1:8" hidden="1" x14ac:dyDescent="0.25">
      <c r="A3787" t="s">
        <v>5128</v>
      </c>
      <c r="B3787" s="1" t="str">
        <f>HYPERLINK("https://asmlis.vasa.lt/Dashboard/Served?ServiceDateFrom=2025-11-24&amp;ServiceDateTo=2025-11-24&amp;DumpsterInvNr=13-L-424893", "13-L-424893")</f>
        <v>13-L-424893</v>
      </c>
      <c r="C3787">
        <v>1.1000000000000001</v>
      </c>
      <c r="D3787" t="s">
        <v>5232</v>
      </c>
      <c r="E3787" t="s">
        <v>11</v>
      </c>
      <c r="G3787" t="s">
        <v>74</v>
      </c>
      <c r="H3787" t="s">
        <v>14</v>
      </c>
    </row>
    <row r="3788" spans="1:8" hidden="1" x14ac:dyDescent="0.25">
      <c r="A3788" t="s">
        <v>5253</v>
      </c>
      <c r="B3788" s="1" t="str">
        <f>HYPERLINK("https://asmlis.vasa.lt/Dashboard/Served?ServiceDateFrom=2025-11-24&amp;ServiceDateTo=2025-11-24&amp;DumpsterInvNr=13-P-402596", "13-P-402596")</f>
        <v>13-P-402596</v>
      </c>
      <c r="C3788">
        <v>1.1000000000000001</v>
      </c>
      <c r="D3788" t="s">
        <v>5216</v>
      </c>
      <c r="E3788" t="s">
        <v>11</v>
      </c>
      <c r="G3788" t="s">
        <v>264</v>
      </c>
      <c r="H3788" t="s">
        <v>14</v>
      </c>
    </row>
    <row r="3789" spans="1:8" hidden="1" x14ac:dyDescent="0.25">
      <c r="A3789" t="s">
        <v>5254</v>
      </c>
      <c r="B3789" s="1" t="str">
        <f>HYPERLINK("https://asmlis.vasa.lt/Dashboard/Served?ServiceDateFrom=2025-11-24&amp;ServiceDateTo=2025-11-24&amp;DumpsterInvNr=13-L-139510", "13-L-139510")</f>
        <v>13-L-139510</v>
      </c>
      <c r="C3789">
        <v>0.24</v>
      </c>
      <c r="D3789" t="s">
        <v>5255</v>
      </c>
      <c r="E3789" t="s">
        <v>11</v>
      </c>
      <c r="G3789" t="s">
        <v>430</v>
      </c>
      <c r="H3789" t="s">
        <v>432</v>
      </c>
    </row>
    <row r="3790" spans="1:8" hidden="1" x14ac:dyDescent="0.25">
      <c r="A3790" t="s">
        <v>5254</v>
      </c>
      <c r="B3790" s="1" t="str">
        <f>HYPERLINK("https://asmlis.vasa.lt/Dashboard/Served?ServiceDateFrom=2025-11-24&amp;ServiceDateTo=2025-11-24&amp;DumpsterInvNr=13-P-502697", "13-P-502697")</f>
        <v>13-P-502697</v>
      </c>
      <c r="C3790">
        <v>0.24</v>
      </c>
      <c r="D3790" t="s">
        <v>5255</v>
      </c>
      <c r="E3790" t="s">
        <v>11</v>
      </c>
      <c r="G3790" t="s">
        <v>2178</v>
      </c>
      <c r="H3790" t="s">
        <v>432</v>
      </c>
    </row>
    <row r="3791" spans="1:8" hidden="1" x14ac:dyDescent="0.25">
      <c r="A3791" t="s">
        <v>5257</v>
      </c>
      <c r="B3791" s="1" t="str">
        <f>HYPERLINK("https://asmlis.vasa.lt/Dashboard/Served?ServiceDateFrom=2025-11-24&amp;ServiceDateTo=2025-11-24&amp;DumpsterInvNr=13-S-209059", "13-S-209059")</f>
        <v>13-S-209059</v>
      </c>
      <c r="C3791">
        <v>0.12</v>
      </c>
      <c r="D3791" t="s">
        <v>5258</v>
      </c>
      <c r="E3791" t="s">
        <v>11</v>
      </c>
      <c r="G3791" t="s">
        <v>234</v>
      </c>
      <c r="H3791" t="s">
        <v>14</v>
      </c>
    </row>
    <row r="3792" spans="1:8" hidden="1" x14ac:dyDescent="0.25">
      <c r="A3792" t="s">
        <v>5259</v>
      </c>
      <c r="B3792" s="1" t="str">
        <f>HYPERLINK("https://asmlis.vasa.lt/Dashboard/Served?ServiceDateFrom=2025-11-24&amp;ServiceDateTo=2025-11-24&amp;DumpsterInvNr=13-L-425678", "13-L-425678")</f>
        <v>13-L-425678</v>
      </c>
      <c r="C3792">
        <v>1.1000000000000001</v>
      </c>
      <c r="D3792" t="s">
        <v>5232</v>
      </c>
      <c r="E3792" t="s">
        <v>11</v>
      </c>
      <c r="G3792" t="s">
        <v>74</v>
      </c>
      <c r="H3792" t="s">
        <v>14</v>
      </c>
    </row>
    <row r="3793" spans="1:8" hidden="1" x14ac:dyDescent="0.25">
      <c r="A3793" t="s">
        <v>5260</v>
      </c>
      <c r="B3793" s="1" t="str">
        <f>HYPERLINK("https://asmlis.vasa.lt/Dashboard/Served?ServiceDateFrom=2025-11-24&amp;ServiceDateTo=2025-11-24&amp;DumpsterInvNr=13-P-400538", "13-P-400538")</f>
        <v>13-P-400538</v>
      </c>
      <c r="C3793">
        <v>5</v>
      </c>
      <c r="D3793" t="s">
        <v>5261</v>
      </c>
      <c r="E3793" t="s">
        <v>11</v>
      </c>
      <c r="G3793" t="s">
        <v>264</v>
      </c>
      <c r="H3793" t="s">
        <v>14</v>
      </c>
    </row>
    <row r="3794" spans="1:8" hidden="1" x14ac:dyDescent="0.25">
      <c r="A3794" t="s">
        <v>5262</v>
      </c>
      <c r="B3794" s="1" t="str">
        <f>HYPERLINK("https://asmlis.vasa.lt/Dashboard/Served?ServiceDateFrom=2025-11-24&amp;ServiceDateTo=2025-11-24&amp;DumpsterInvNr=13-P-306847", "13-P-306847")</f>
        <v>13-P-306847</v>
      </c>
      <c r="C3794">
        <v>1.1000000000000001</v>
      </c>
      <c r="D3794" t="s">
        <v>5263</v>
      </c>
      <c r="E3794" t="s">
        <v>11</v>
      </c>
      <c r="G3794" t="s">
        <v>412</v>
      </c>
      <c r="H3794" t="s">
        <v>14</v>
      </c>
    </row>
    <row r="3795" spans="1:8" hidden="1" x14ac:dyDescent="0.25">
      <c r="A3795" t="s">
        <v>5262</v>
      </c>
      <c r="B3795" s="1" t="str">
        <f>HYPERLINK("https://asmlis.vasa.lt/Dashboard/Served?ServiceDateFrom=2025-11-24&amp;ServiceDateTo=2025-11-24&amp;DumpsterInvNr=13-P-212371", "13-P-212371")</f>
        <v>13-P-212371</v>
      </c>
      <c r="C3795">
        <v>0.24</v>
      </c>
      <c r="D3795" t="s">
        <v>5258</v>
      </c>
      <c r="E3795" t="s">
        <v>11</v>
      </c>
      <c r="G3795" t="s">
        <v>234</v>
      </c>
      <c r="H3795" t="s">
        <v>14</v>
      </c>
    </row>
    <row r="3796" spans="1:8" hidden="1" x14ac:dyDescent="0.25">
      <c r="A3796" t="s">
        <v>5264</v>
      </c>
      <c r="B3796" s="1" t="str">
        <f>HYPERLINK("https://asmlis.vasa.lt/Dashboard/Served?ServiceDateFrom=2025-11-24&amp;ServiceDateTo=2025-11-24&amp;DumpsterInvNr=13-L-220315", "13-L-220315")</f>
        <v>13-L-220315</v>
      </c>
      <c r="C3796">
        <v>0.24</v>
      </c>
      <c r="D3796" t="s">
        <v>5265</v>
      </c>
      <c r="E3796" t="s">
        <v>11</v>
      </c>
      <c r="G3796" t="s">
        <v>936</v>
      </c>
      <c r="H3796" t="s">
        <v>938</v>
      </c>
    </row>
    <row r="3797" spans="1:8" hidden="1" x14ac:dyDescent="0.25">
      <c r="A3797" t="s">
        <v>5266</v>
      </c>
      <c r="B3797" s="1" t="str">
        <f>HYPERLINK("https://asmlis.vasa.lt/Dashboard/Served?ServiceDateFrom=2025-11-24&amp;ServiceDateTo=2025-11-24&amp;DumpsterInvNr=13-L-141274", "13-L-141274")</f>
        <v>13-L-141274</v>
      </c>
      <c r="C3797">
        <v>1.1000000000000001</v>
      </c>
      <c r="D3797" t="s">
        <v>5209</v>
      </c>
      <c r="E3797" t="s">
        <v>11</v>
      </c>
      <c r="G3797" t="s">
        <v>430</v>
      </c>
      <c r="H3797" t="s">
        <v>432</v>
      </c>
    </row>
    <row r="3798" spans="1:8" hidden="1" x14ac:dyDescent="0.25">
      <c r="A3798" t="s">
        <v>5267</v>
      </c>
      <c r="B3798" s="1" t="str">
        <f>HYPERLINK("https://asmlis.vasa.lt/Dashboard/Served?ServiceDateFrom=2025-11-24&amp;ServiceDateTo=2025-11-24&amp;DumpsterInvNr=13-T-000400", "13-T-000400")</f>
        <v>13-T-000400</v>
      </c>
      <c r="C3798">
        <v>2.5</v>
      </c>
      <c r="D3798" t="s">
        <v>5268</v>
      </c>
      <c r="E3798" t="s">
        <v>11</v>
      </c>
      <c r="F3798" t="s">
        <v>13</v>
      </c>
      <c r="G3798" t="s">
        <v>1899</v>
      </c>
      <c r="H3798" t="s">
        <v>432</v>
      </c>
    </row>
    <row r="3799" spans="1:8" hidden="1" x14ac:dyDescent="0.25">
      <c r="A3799" t="s">
        <v>5269</v>
      </c>
      <c r="B3799" s="1" t="str">
        <f>HYPERLINK("https://asmlis.vasa.lt/Dashboard/Served?ServiceDateFrom=2025-11-24&amp;ServiceDateTo=2025-11-24&amp;DumpsterInvNr=13-L-221676", "13-L-221676")</f>
        <v>13-L-221676</v>
      </c>
      <c r="C3799">
        <v>0.24</v>
      </c>
      <c r="D3799" t="s">
        <v>5270</v>
      </c>
      <c r="E3799" t="s">
        <v>11</v>
      </c>
      <c r="G3799" t="s">
        <v>936</v>
      </c>
      <c r="H3799" t="s">
        <v>938</v>
      </c>
    </row>
    <row r="3800" spans="1:8" hidden="1" x14ac:dyDescent="0.25">
      <c r="A3800" t="s">
        <v>5014</v>
      </c>
      <c r="B3800" s="1" t="str">
        <f>HYPERLINK("https://asmlis.vasa.lt/Dashboard/Served?ServiceDateFrom=2025-11-24&amp;ServiceDateTo=2025-11-24&amp;DumpsterInvNr=13-L-314628", "13-L-314628")</f>
        <v>13-L-314628</v>
      </c>
      <c r="C3800">
        <v>1.1000000000000001</v>
      </c>
      <c r="D3800" t="s">
        <v>5271</v>
      </c>
      <c r="E3800" t="s">
        <v>11</v>
      </c>
      <c r="G3800" t="s">
        <v>9</v>
      </c>
      <c r="H3800" t="s">
        <v>14</v>
      </c>
    </row>
    <row r="3801" spans="1:8" hidden="1" x14ac:dyDescent="0.25">
      <c r="A3801" t="s">
        <v>5272</v>
      </c>
      <c r="B3801" s="1" t="str">
        <f>HYPERLINK("https://asmlis.vasa.lt/Dashboard/Served?ServiceDateFrom=2025-11-24&amp;ServiceDateTo=2025-11-24&amp;DumpsterInvNr=13-L-214753", "13-L-214753")</f>
        <v>13-L-214753</v>
      </c>
      <c r="C3801">
        <v>0.77</v>
      </c>
      <c r="D3801" t="s">
        <v>5273</v>
      </c>
      <c r="E3801" t="s">
        <v>11</v>
      </c>
      <c r="G3801" t="s">
        <v>936</v>
      </c>
      <c r="H3801" t="s">
        <v>938</v>
      </c>
    </row>
    <row r="3802" spans="1:8" hidden="1" x14ac:dyDescent="0.25">
      <c r="A3802" t="s">
        <v>5272</v>
      </c>
      <c r="B3802" s="1" t="str">
        <f>HYPERLINK("https://asmlis.vasa.lt/Dashboard/Served?ServiceDateFrom=2025-11-24&amp;ServiceDateTo=2025-11-24&amp;DumpsterInvNr=13-P-306998", "13-P-306998")</f>
        <v>13-P-306998</v>
      </c>
      <c r="C3802">
        <v>1.1000000000000001</v>
      </c>
      <c r="D3802" t="s">
        <v>5263</v>
      </c>
      <c r="E3802" t="s">
        <v>11</v>
      </c>
      <c r="F3802" t="s">
        <v>13</v>
      </c>
      <c r="G3802" t="s">
        <v>412</v>
      </c>
      <c r="H3802" t="s">
        <v>14</v>
      </c>
    </row>
    <row r="3803" spans="1:8" hidden="1" x14ac:dyDescent="0.25">
      <c r="A3803" t="s">
        <v>5274</v>
      </c>
      <c r="B3803" s="1" t="str">
        <f>HYPERLINK("https://asmlis.vasa.lt/Dashboard/Served?ServiceDateFrom=2025-11-24&amp;ServiceDateTo=2025-11-24&amp;DumpsterInvNr=13-L-317738", "13-L-317738")</f>
        <v>13-L-317738</v>
      </c>
      <c r="C3803">
        <v>0.77</v>
      </c>
      <c r="D3803" t="s">
        <v>5271</v>
      </c>
      <c r="E3803" t="s">
        <v>11</v>
      </c>
      <c r="G3803" t="s">
        <v>9</v>
      </c>
      <c r="H3803" t="s">
        <v>14</v>
      </c>
    </row>
    <row r="3804" spans="1:8" hidden="1" x14ac:dyDescent="0.25">
      <c r="A3804" t="s">
        <v>5275</v>
      </c>
      <c r="B3804" s="1" t="str">
        <f>HYPERLINK("https://asmlis.vasa.lt/Dashboard/Served?ServiceDateFrom=2025-11-24&amp;ServiceDateTo=2025-11-24&amp;DumpsterInvNr=13-P-205019", "13-P-205019")</f>
        <v>13-P-205019</v>
      </c>
      <c r="C3804">
        <v>5</v>
      </c>
      <c r="D3804" t="s">
        <v>5276</v>
      </c>
      <c r="E3804" t="s">
        <v>11</v>
      </c>
      <c r="G3804" t="s">
        <v>234</v>
      </c>
      <c r="H3804" t="s">
        <v>14</v>
      </c>
    </row>
    <row r="3805" spans="1:8" hidden="1" x14ac:dyDescent="0.25">
      <c r="A3805" t="s">
        <v>5277</v>
      </c>
      <c r="B3805" s="1" t="str">
        <f>HYPERLINK("https://asmlis.vasa.lt/Dashboard/Served?ServiceDateFrom=2025-11-24&amp;ServiceDateTo=2025-11-24&amp;DumpsterInvNr=13-L-318763", "13-L-318763")</f>
        <v>13-L-318763</v>
      </c>
      <c r="C3805">
        <v>1.1000000000000001</v>
      </c>
      <c r="D3805" t="s">
        <v>5278</v>
      </c>
      <c r="E3805" t="s">
        <v>11</v>
      </c>
      <c r="G3805" t="s">
        <v>9</v>
      </c>
      <c r="H3805" t="s">
        <v>14</v>
      </c>
    </row>
    <row r="3806" spans="1:8" hidden="1" x14ac:dyDescent="0.25">
      <c r="A3806" t="s">
        <v>5279</v>
      </c>
      <c r="B3806" s="1" t="str">
        <f>HYPERLINK("https://asmlis.vasa.lt/Dashboard/Served?ServiceDateFrom=2025-11-24&amp;ServiceDateTo=2025-11-24&amp;DumpsterInvNr=13-L-125218", "13-L-125218")</f>
        <v>13-L-125218</v>
      </c>
      <c r="C3806">
        <v>0.24</v>
      </c>
      <c r="D3806" t="s">
        <v>5280</v>
      </c>
      <c r="E3806" t="s">
        <v>11</v>
      </c>
      <c r="G3806" t="s">
        <v>430</v>
      </c>
      <c r="H3806" t="s">
        <v>432</v>
      </c>
    </row>
    <row r="3807" spans="1:8" hidden="1" x14ac:dyDescent="0.25">
      <c r="A3807" t="s">
        <v>5279</v>
      </c>
      <c r="B3807" s="1" t="str">
        <f>HYPERLINK("https://asmlis.vasa.lt/Dashboard/Served?ServiceDateFrom=2025-11-24&amp;ServiceDateTo=2025-11-24&amp;DumpsterInvNr=13-P-502696", "13-P-502696")</f>
        <v>13-P-502696</v>
      </c>
      <c r="C3807">
        <v>0.24</v>
      </c>
      <c r="D3807" t="s">
        <v>5280</v>
      </c>
      <c r="E3807" t="s">
        <v>11</v>
      </c>
      <c r="G3807" t="s">
        <v>2178</v>
      </c>
      <c r="H3807" t="s">
        <v>432</v>
      </c>
    </row>
    <row r="3808" spans="1:8" hidden="1" x14ac:dyDescent="0.25">
      <c r="A3808" t="s">
        <v>5282</v>
      </c>
      <c r="B3808" s="1" t="str">
        <f>HYPERLINK("https://asmlis.vasa.lt/Dashboard/Served?ServiceDateFrom=2025-11-24&amp;ServiceDateTo=2025-11-24&amp;DumpsterInvNr=13-L-141275", "13-L-141275")</f>
        <v>13-L-141275</v>
      </c>
      <c r="C3808">
        <v>1.1000000000000001</v>
      </c>
      <c r="D3808" t="s">
        <v>5209</v>
      </c>
      <c r="E3808" t="s">
        <v>11</v>
      </c>
      <c r="G3808" t="s">
        <v>430</v>
      </c>
      <c r="H3808" t="s">
        <v>432</v>
      </c>
    </row>
    <row r="3809" spans="1:8" hidden="1" x14ac:dyDescent="0.25">
      <c r="A3809" t="s">
        <v>5283</v>
      </c>
      <c r="B3809" s="1" t="str">
        <f>HYPERLINK("https://asmlis.vasa.lt/Dashboard/Served?ServiceDateFrom=2025-11-24&amp;ServiceDateTo=2025-11-24&amp;DumpsterInvNr=13-L-315571", "13-L-315571")</f>
        <v>13-L-315571</v>
      </c>
      <c r="C3809">
        <v>1.1000000000000001</v>
      </c>
      <c r="D3809" t="s">
        <v>5284</v>
      </c>
      <c r="E3809" t="s">
        <v>11</v>
      </c>
      <c r="G3809" t="s">
        <v>9</v>
      </c>
      <c r="H3809" t="s">
        <v>14</v>
      </c>
    </row>
    <row r="3810" spans="1:8" hidden="1" x14ac:dyDescent="0.25">
      <c r="A3810" t="s">
        <v>5285</v>
      </c>
      <c r="B3810" s="1" t="str">
        <f>HYPERLINK("https://asmlis.vasa.lt/Dashboard/Served?ServiceDateFrom=2025-11-24&amp;ServiceDateTo=2025-11-24&amp;DumpsterInvNr=13-L-217871", "13-L-217871")</f>
        <v>13-L-217871</v>
      </c>
      <c r="C3810">
        <v>0.24</v>
      </c>
      <c r="D3810" t="s">
        <v>5286</v>
      </c>
      <c r="E3810" t="s">
        <v>11</v>
      </c>
      <c r="G3810" t="s">
        <v>936</v>
      </c>
      <c r="H3810" t="s">
        <v>938</v>
      </c>
    </row>
    <row r="3811" spans="1:8" hidden="1" x14ac:dyDescent="0.25">
      <c r="A3811" t="s">
        <v>5287</v>
      </c>
      <c r="B3811" s="1" t="str">
        <f>HYPERLINK("https://asmlis.vasa.lt/Dashboard/Served?ServiceDateFrom=2025-11-24&amp;ServiceDateTo=2025-11-24&amp;DumpsterInvNr=13-L-140987", "13-L-140987")</f>
        <v>13-L-140987</v>
      </c>
      <c r="C3811">
        <v>0.24</v>
      </c>
      <c r="D3811" t="s">
        <v>5288</v>
      </c>
      <c r="E3811" t="s">
        <v>11</v>
      </c>
      <c r="G3811" t="s">
        <v>430</v>
      </c>
      <c r="H3811" t="s">
        <v>432</v>
      </c>
    </row>
    <row r="3812" spans="1:8" hidden="1" x14ac:dyDescent="0.25">
      <c r="A3812" t="s">
        <v>5289</v>
      </c>
      <c r="B3812" s="1" t="str">
        <f>HYPERLINK("https://asmlis.vasa.lt/Dashboard/Served?ServiceDateFrom=2025-11-24&amp;ServiceDateTo=2025-11-24&amp;DumpsterInvNr=13-P-500517", "13-P-500517")</f>
        <v>13-P-500517</v>
      </c>
      <c r="C3812">
        <v>5</v>
      </c>
      <c r="D3812" t="s">
        <v>5290</v>
      </c>
      <c r="E3812" t="s">
        <v>11</v>
      </c>
      <c r="F3812" t="s">
        <v>13</v>
      </c>
      <c r="G3812" t="s">
        <v>2178</v>
      </c>
      <c r="H3812" t="s">
        <v>432</v>
      </c>
    </row>
    <row r="3813" spans="1:8" hidden="1" x14ac:dyDescent="0.25">
      <c r="A3813" t="s">
        <v>5291</v>
      </c>
      <c r="B3813" s="1" t="str">
        <f>HYPERLINK("https://asmlis.vasa.lt/Dashboard/Served?ServiceDateFrom=2025-11-24&amp;ServiceDateTo=2025-11-24&amp;DumpsterInvNr=13-L-145117", "13-L-145117")</f>
        <v>13-L-145117</v>
      </c>
      <c r="C3813">
        <v>1.1000000000000001</v>
      </c>
      <c r="D3813" t="s">
        <v>5209</v>
      </c>
      <c r="E3813" t="s">
        <v>11</v>
      </c>
      <c r="G3813" t="s">
        <v>430</v>
      </c>
      <c r="H3813" t="s">
        <v>432</v>
      </c>
    </row>
    <row r="3814" spans="1:8" hidden="1" x14ac:dyDescent="0.25">
      <c r="A3814" t="s">
        <v>5292</v>
      </c>
      <c r="B3814" s="1" t="str">
        <f>HYPERLINK("https://asmlis.vasa.lt/Dashboard/Served?ServiceDateFrom=2025-11-24&amp;ServiceDateTo=2025-11-24&amp;DumpsterInvNr=13-L-102853", "13-L-102853")</f>
        <v>13-L-102853</v>
      </c>
      <c r="C3814">
        <v>0.24</v>
      </c>
      <c r="D3814" t="s">
        <v>5293</v>
      </c>
      <c r="E3814" t="s">
        <v>11</v>
      </c>
      <c r="G3814" t="s">
        <v>1912</v>
      </c>
      <c r="H3814" t="s">
        <v>432</v>
      </c>
    </row>
    <row r="3815" spans="1:8" hidden="1" x14ac:dyDescent="0.25">
      <c r="A3815" t="s">
        <v>5294</v>
      </c>
      <c r="B3815" s="1" t="str">
        <f>HYPERLINK("https://asmlis.vasa.lt/Dashboard/Served?ServiceDateFrom=2025-11-24&amp;ServiceDateTo=2025-11-24&amp;DumpsterInvNr=13-L-134248", "13-L-134248")</f>
        <v>13-L-134248</v>
      </c>
      <c r="C3815">
        <v>5</v>
      </c>
      <c r="D3815" t="s">
        <v>2973</v>
      </c>
      <c r="E3815" t="s">
        <v>11</v>
      </c>
      <c r="F3815" t="s">
        <v>5295</v>
      </c>
      <c r="G3815" t="s">
        <v>1912</v>
      </c>
      <c r="H3815" t="s">
        <v>432</v>
      </c>
    </row>
    <row r="3816" spans="1:8" hidden="1" x14ac:dyDescent="0.25">
      <c r="A3816" t="s">
        <v>5296</v>
      </c>
      <c r="B3816" s="1" t="str">
        <f>HYPERLINK("https://asmlis.vasa.lt/Dashboard/Served?ServiceDateFrom=2025-11-24&amp;ServiceDateTo=2025-11-24&amp;DumpsterInvNr=13-P-103194", "13-P-103194")</f>
        <v>13-P-103194</v>
      </c>
      <c r="C3816">
        <v>0.24</v>
      </c>
      <c r="D3816" t="s">
        <v>5293</v>
      </c>
      <c r="E3816" t="s">
        <v>11</v>
      </c>
      <c r="G3816" t="s">
        <v>1917</v>
      </c>
      <c r="H3816" t="s">
        <v>432</v>
      </c>
    </row>
    <row r="3817" spans="1:8" hidden="1" x14ac:dyDescent="0.25">
      <c r="A3817" t="s">
        <v>5297</v>
      </c>
      <c r="B3817" s="1" t="str">
        <f>HYPERLINK("https://asmlis.vasa.lt/Dashboard/Served?ServiceDateFrom=2025-11-24&amp;ServiceDateTo=2025-11-24&amp;DumpsterInvNr=13-P-210404", "13-P-210404")</f>
        <v>13-P-210404</v>
      </c>
      <c r="C3817">
        <v>0.24</v>
      </c>
      <c r="D3817" t="s">
        <v>5298</v>
      </c>
      <c r="E3817" t="s">
        <v>11</v>
      </c>
      <c r="G3817" t="s">
        <v>234</v>
      </c>
      <c r="H3817" t="s">
        <v>14</v>
      </c>
    </row>
    <row r="3818" spans="1:8" hidden="1" x14ac:dyDescent="0.25">
      <c r="A3818" t="s">
        <v>5299</v>
      </c>
      <c r="B3818" s="1" t="str">
        <f>HYPERLINK("https://asmlis.vasa.lt/Dashboard/Served?ServiceDateFrom=2025-11-24&amp;ServiceDateTo=2025-11-24&amp;DumpsterInvNr=13-L-128505", "13-L-128505")</f>
        <v>13-L-128505</v>
      </c>
      <c r="C3818">
        <v>0.24</v>
      </c>
      <c r="D3818" t="s">
        <v>5300</v>
      </c>
      <c r="E3818" t="s">
        <v>11</v>
      </c>
      <c r="F3818" t="s">
        <v>1209</v>
      </c>
      <c r="G3818" t="s">
        <v>430</v>
      </c>
      <c r="H3818" t="s">
        <v>432</v>
      </c>
    </row>
    <row r="3819" spans="1:8" hidden="1" x14ac:dyDescent="0.25">
      <c r="A3819" t="s">
        <v>5301</v>
      </c>
      <c r="B3819" s="1" t="str">
        <f>HYPERLINK("https://asmlis.vasa.lt/Dashboard/Served?ServiceDateFrom=2025-11-24&amp;ServiceDateTo=2025-11-24&amp;DumpsterInvNr=13-L-226301", "13-L-226301")</f>
        <v>13-L-226301</v>
      </c>
      <c r="C3819">
        <v>0.77</v>
      </c>
      <c r="D3819" t="s">
        <v>5273</v>
      </c>
      <c r="E3819" t="s">
        <v>11</v>
      </c>
      <c r="G3819" t="s">
        <v>936</v>
      </c>
      <c r="H3819" t="s">
        <v>938</v>
      </c>
    </row>
    <row r="3820" spans="1:8" hidden="1" x14ac:dyDescent="0.25">
      <c r="A3820" t="s">
        <v>5301</v>
      </c>
      <c r="B3820" s="1" t="str">
        <f>HYPERLINK("https://asmlis.vasa.lt/Dashboard/Served?ServiceDateFrom=2025-11-24&amp;ServiceDateTo=2025-11-24&amp;DumpsterInvNr=13-P-303073", "13-P-303073")</f>
        <v>13-P-303073</v>
      </c>
      <c r="C3820">
        <v>0.24</v>
      </c>
      <c r="D3820" t="s">
        <v>5302</v>
      </c>
      <c r="E3820" t="s">
        <v>11</v>
      </c>
      <c r="G3820" t="s">
        <v>412</v>
      </c>
      <c r="H3820" t="s">
        <v>14</v>
      </c>
    </row>
    <row r="3821" spans="1:8" hidden="1" x14ac:dyDescent="0.25">
      <c r="A3821" t="s">
        <v>5303</v>
      </c>
      <c r="B3821" s="1" t="str">
        <f>HYPERLINK("https://asmlis.vasa.lt/Dashboard/Served?ServiceDateFrom=2025-11-24&amp;ServiceDateTo=2025-11-24&amp;DumpsterInvNr=13-L-301844", "13-L-301844")</f>
        <v>13-L-301844</v>
      </c>
      <c r="C3821">
        <v>1.1000000000000001</v>
      </c>
      <c r="D3821" t="s">
        <v>5278</v>
      </c>
      <c r="E3821" t="s">
        <v>11</v>
      </c>
      <c r="G3821" t="s">
        <v>9</v>
      </c>
      <c r="H3821" t="s">
        <v>14</v>
      </c>
    </row>
    <row r="3822" spans="1:8" hidden="1" x14ac:dyDescent="0.25">
      <c r="A3822" t="s">
        <v>5304</v>
      </c>
      <c r="B3822" s="1" t="str">
        <f>HYPERLINK("https://asmlis.vasa.lt/Dashboard/Served?ServiceDateFrom=2025-11-24&amp;ServiceDateTo=2025-11-24&amp;DumpsterInvNr=13-P-401572", "13-P-401572")</f>
        <v>13-P-401572</v>
      </c>
      <c r="C3822">
        <v>2.5</v>
      </c>
      <c r="D3822" t="s">
        <v>1080</v>
      </c>
      <c r="E3822" t="s">
        <v>11</v>
      </c>
      <c r="F3822" t="s">
        <v>13</v>
      </c>
      <c r="G3822" t="s">
        <v>264</v>
      </c>
      <c r="H3822" t="s">
        <v>14</v>
      </c>
    </row>
    <row r="3823" spans="1:8" hidden="1" x14ac:dyDescent="0.25">
      <c r="A3823" t="s">
        <v>5305</v>
      </c>
      <c r="B3823" s="1" t="str">
        <f>HYPERLINK("https://asmlis.vasa.lt/Dashboard/Served?ServiceDateFrom=2025-11-24&amp;ServiceDateTo=2025-11-24&amp;DumpsterInvNr=13-L-317594", "13-L-317594")</f>
        <v>13-L-317594</v>
      </c>
      <c r="C3823">
        <v>5</v>
      </c>
      <c r="D3823" t="s">
        <v>5306</v>
      </c>
      <c r="E3823" t="s">
        <v>11</v>
      </c>
      <c r="F3823" t="s">
        <v>13</v>
      </c>
      <c r="G3823" t="s">
        <v>9</v>
      </c>
      <c r="H3823" t="s">
        <v>14</v>
      </c>
    </row>
    <row r="3824" spans="1:8" hidden="1" x14ac:dyDescent="0.25">
      <c r="A3824" t="s">
        <v>5307</v>
      </c>
      <c r="B3824" s="1" t="str">
        <f>HYPERLINK("https://asmlis.vasa.lt/Dashboard/Served?ServiceDateFrom=2025-11-24&amp;ServiceDateTo=2025-11-24&amp;DumpsterInvNr=13-L-420956", "13-L-420956")</f>
        <v>13-L-420956</v>
      </c>
      <c r="C3824">
        <v>1.1000000000000001</v>
      </c>
      <c r="D3824" t="s">
        <v>5308</v>
      </c>
      <c r="E3824" t="s">
        <v>11</v>
      </c>
      <c r="G3824" t="s">
        <v>74</v>
      </c>
      <c r="H3824" t="s">
        <v>14</v>
      </c>
    </row>
    <row r="3825" spans="1:8" hidden="1" x14ac:dyDescent="0.25">
      <c r="A3825" t="s">
        <v>5307</v>
      </c>
      <c r="B3825" s="1" t="str">
        <f>HYPERLINK("https://asmlis.vasa.lt/Dashboard/Served?ServiceDateFrom=2025-11-24&amp;ServiceDateTo=2025-11-24&amp;DumpsterInvNr=13-P-402162", "13-P-402162")</f>
        <v>13-P-402162</v>
      </c>
      <c r="C3825">
        <v>0.24</v>
      </c>
      <c r="D3825" t="s">
        <v>5309</v>
      </c>
      <c r="E3825" t="s">
        <v>11</v>
      </c>
      <c r="G3825" t="s">
        <v>264</v>
      </c>
      <c r="H3825" t="s">
        <v>14</v>
      </c>
    </row>
    <row r="3826" spans="1:8" hidden="1" x14ac:dyDescent="0.25">
      <c r="A3826" t="s">
        <v>5307</v>
      </c>
      <c r="B3826" s="1" t="str">
        <f>HYPERLINK("https://asmlis.vasa.lt/Dashboard/Served?ServiceDateFrom=2025-11-24&amp;ServiceDateTo=2025-11-24&amp;DumpsterInvNr=13-P-400552", "13-P-400552")</f>
        <v>13-P-400552</v>
      </c>
      <c r="C3826">
        <v>2.5</v>
      </c>
      <c r="D3826" t="s">
        <v>1080</v>
      </c>
      <c r="E3826" t="s">
        <v>11</v>
      </c>
      <c r="F3826" t="s">
        <v>13</v>
      </c>
      <c r="G3826" t="s">
        <v>264</v>
      </c>
      <c r="H3826" t="s">
        <v>14</v>
      </c>
    </row>
    <row r="3827" spans="1:8" hidden="1" x14ac:dyDescent="0.25">
      <c r="A3827" t="s">
        <v>5311</v>
      </c>
      <c r="B3827" s="1" t="str">
        <f>HYPERLINK("https://asmlis.vasa.lt/Dashboard/Served?ServiceDateFrom=2025-11-24&amp;ServiceDateTo=2025-11-24&amp;DumpsterInvNr=13-L-424309", "13-L-424309")</f>
        <v>13-L-424309</v>
      </c>
      <c r="C3827">
        <v>5</v>
      </c>
      <c r="D3827" t="s">
        <v>5244</v>
      </c>
      <c r="E3827" t="s">
        <v>11</v>
      </c>
      <c r="F3827" t="s">
        <v>13</v>
      </c>
      <c r="G3827" t="s">
        <v>74</v>
      </c>
      <c r="H3827" t="s">
        <v>14</v>
      </c>
    </row>
    <row r="3828" spans="1:8" hidden="1" x14ac:dyDescent="0.25">
      <c r="A3828" t="s">
        <v>5312</v>
      </c>
      <c r="B3828" s="1" t="str">
        <f>HYPERLINK("https://asmlis.vasa.lt/Dashboard/Served?ServiceDateFrom=2025-11-24&amp;ServiceDateTo=2025-11-24&amp;DumpsterInvNr=13-L-318955", "13-L-318955")</f>
        <v>13-L-318955</v>
      </c>
      <c r="C3828">
        <v>1.1000000000000001</v>
      </c>
      <c r="D3828" t="s">
        <v>5278</v>
      </c>
      <c r="E3828" t="s">
        <v>11</v>
      </c>
      <c r="G3828" t="s">
        <v>9</v>
      </c>
      <c r="H3828" t="s">
        <v>14</v>
      </c>
    </row>
    <row r="3829" spans="1:8" hidden="1" x14ac:dyDescent="0.25">
      <c r="A3829" t="s">
        <v>5313</v>
      </c>
      <c r="B3829" s="1" t="str">
        <f>HYPERLINK("https://asmlis.vasa.lt/Dashboard/Served?ServiceDateFrom=2025-11-24&amp;ServiceDateTo=2025-11-24&amp;DumpsterInvNr=13-L-303794", "13-L-303794")</f>
        <v>13-L-303794</v>
      </c>
      <c r="C3829">
        <v>0.77</v>
      </c>
      <c r="D3829" t="s">
        <v>5271</v>
      </c>
      <c r="E3829" t="s">
        <v>11</v>
      </c>
      <c r="F3829" t="s">
        <v>13</v>
      </c>
      <c r="G3829" t="s">
        <v>9</v>
      </c>
      <c r="H3829" t="s">
        <v>14</v>
      </c>
    </row>
    <row r="3830" spans="1:8" hidden="1" x14ac:dyDescent="0.25">
      <c r="A3830" t="s">
        <v>5314</v>
      </c>
      <c r="B3830" s="1" t="str">
        <f>HYPERLINK("https://asmlis.vasa.lt/Dashboard/Served?ServiceDateFrom=2025-11-24&amp;ServiceDateTo=2025-11-24&amp;DumpsterInvNr=13-L-421123", "13-L-421123")</f>
        <v>13-L-421123</v>
      </c>
      <c r="C3830">
        <v>1.1000000000000001</v>
      </c>
      <c r="D3830" t="s">
        <v>5308</v>
      </c>
      <c r="E3830" t="s">
        <v>11</v>
      </c>
      <c r="G3830" t="s">
        <v>74</v>
      </c>
      <c r="H3830" t="s">
        <v>14</v>
      </c>
    </row>
    <row r="3831" spans="1:8" hidden="1" x14ac:dyDescent="0.25">
      <c r="A3831" t="s">
        <v>5314</v>
      </c>
      <c r="B3831" s="1" t="str">
        <f>HYPERLINK("https://asmlis.vasa.lt/Dashboard/Served?ServiceDateFrom=2025-11-24&amp;ServiceDateTo=2025-11-24&amp;DumpsterInvNr=13-L-203041", "13-L-203041")</f>
        <v>13-L-203041</v>
      </c>
      <c r="C3831">
        <v>0.12</v>
      </c>
      <c r="D3831" t="s">
        <v>5315</v>
      </c>
      <c r="E3831" t="s">
        <v>11</v>
      </c>
      <c r="F3831" t="s">
        <v>1209</v>
      </c>
      <c r="G3831" t="s">
        <v>936</v>
      </c>
      <c r="H3831" t="s">
        <v>938</v>
      </c>
    </row>
    <row r="3832" spans="1:8" hidden="1" x14ac:dyDescent="0.25">
      <c r="A3832" t="s">
        <v>5316</v>
      </c>
      <c r="B3832" s="1" t="str">
        <f>HYPERLINK("https://asmlis.vasa.lt/Dashboard/Served?ServiceDateFrom=2025-11-24&amp;ServiceDateTo=2025-11-24&amp;DumpsterInvNr=13-P-415373", "13-P-415373")</f>
        <v>13-P-415373</v>
      </c>
      <c r="C3832">
        <v>3</v>
      </c>
      <c r="D3832" t="s">
        <v>5238</v>
      </c>
      <c r="E3832" t="s">
        <v>11</v>
      </c>
      <c r="F3832" t="s">
        <v>13</v>
      </c>
      <c r="G3832" t="s">
        <v>264</v>
      </c>
      <c r="H3832" t="s">
        <v>14</v>
      </c>
    </row>
    <row r="3833" spans="1:8" hidden="1" x14ac:dyDescent="0.25">
      <c r="A3833" t="s">
        <v>5317</v>
      </c>
      <c r="B3833" s="1" t="str">
        <f>HYPERLINK("https://asmlis.vasa.lt/Dashboard/Served?ServiceDateFrom=2025-11-24&amp;ServiceDateTo=2025-11-24&amp;DumpsterInvNr=13-P-209801", "13-P-209801")</f>
        <v>13-P-209801</v>
      </c>
      <c r="C3833">
        <v>0.24</v>
      </c>
      <c r="D3833" t="s">
        <v>5318</v>
      </c>
      <c r="E3833" t="s">
        <v>11</v>
      </c>
      <c r="F3833" t="s">
        <v>1209</v>
      </c>
      <c r="G3833" t="s">
        <v>234</v>
      </c>
      <c r="H3833" t="s">
        <v>14</v>
      </c>
    </row>
    <row r="3834" spans="1:8" hidden="1" x14ac:dyDescent="0.25">
      <c r="A3834" t="s">
        <v>5320</v>
      </c>
      <c r="B3834" s="1" t="str">
        <f>HYPERLINK("https://asmlis.vasa.lt/Dashboard/Served?ServiceDateFrom=2025-11-24&amp;ServiceDateTo=2025-11-24&amp;DumpsterInvNr=13-L-302202", "13-L-302202")</f>
        <v>13-L-302202</v>
      </c>
      <c r="C3834">
        <v>1.1000000000000001</v>
      </c>
      <c r="D3834" t="s">
        <v>5271</v>
      </c>
      <c r="E3834" t="s">
        <v>11</v>
      </c>
      <c r="F3834" t="s">
        <v>13</v>
      </c>
      <c r="G3834" t="s">
        <v>9</v>
      </c>
      <c r="H3834" t="s">
        <v>14</v>
      </c>
    </row>
    <row r="3835" spans="1:8" hidden="1" x14ac:dyDescent="0.25">
      <c r="A3835" t="s">
        <v>5321</v>
      </c>
      <c r="B3835" s="1" t="str">
        <f>HYPERLINK("https://asmlis.vasa.lt/Dashboard/Served?ServiceDateFrom=2025-11-24&amp;ServiceDateTo=2025-11-24&amp;DumpsterInvNr=13-P-413663", "13-P-413663")</f>
        <v>13-P-413663</v>
      </c>
      <c r="C3835">
        <v>0.24</v>
      </c>
      <c r="D3835" t="s">
        <v>5322</v>
      </c>
      <c r="E3835" t="s">
        <v>11</v>
      </c>
      <c r="G3835" t="s">
        <v>264</v>
      </c>
      <c r="H3835" t="s">
        <v>14</v>
      </c>
    </row>
    <row r="3836" spans="1:8" hidden="1" x14ac:dyDescent="0.25">
      <c r="A3836" t="s">
        <v>5323</v>
      </c>
      <c r="B3836" s="1" t="str">
        <f>HYPERLINK("https://asmlis.vasa.lt/Dashboard/Served?ServiceDateFrom=2025-11-24&amp;ServiceDateTo=2025-11-24&amp;DumpsterInvNr=13-L-307741", "13-L-307741")</f>
        <v>13-L-307741</v>
      </c>
      <c r="C3836">
        <v>0.77</v>
      </c>
      <c r="D3836" t="s">
        <v>1048</v>
      </c>
      <c r="E3836" t="s">
        <v>11</v>
      </c>
      <c r="F3836" t="s">
        <v>13</v>
      </c>
      <c r="G3836" t="s">
        <v>9</v>
      </c>
      <c r="H3836" t="s">
        <v>14</v>
      </c>
    </row>
    <row r="3837" spans="1:8" hidden="1" x14ac:dyDescent="0.25">
      <c r="A3837" t="s">
        <v>5324</v>
      </c>
      <c r="B3837" s="1" t="str">
        <f>HYPERLINK("https://asmlis.vasa.lt/Dashboard/Served?ServiceDateFrom=2025-11-24&amp;ServiceDateTo=2025-11-24&amp;DumpsterInvNr=13-P-412006", "13-P-412006")</f>
        <v>13-P-412006</v>
      </c>
      <c r="C3837">
        <v>0.24</v>
      </c>
      <c r="D3837" t="s">
        <v>5325</v>
      </c>
      <c r="E3837" t="s">
        <v>11</v>
      </c>
      <c r="G3837" t="s">
        <v>264</v>
      </c>
      <c r="H3837" t="s">
        <v>14</v>
      </c>
    </row>
    <row r="3838" spans="1:8" hidden="1" x14ac:dyDescent="0.25">
      <c r="A3838" t="s">
        <v>5326</v>
      </c>
      <c r="B3838" s="1" t="str">
        <f>HYPERLINK("https://asmlis.vasa.lt/Dashboard/Served?ServiceDateFrom=2025-11-24&amp;ServiceDateTo=2025-11-24&amp;DumpsterInvNr=13-P-300798", "13-P-300798")</f>
        <v>13-P-300798</v>
      </c>
      <c r="C3838">
        <v>5</v>
      </c>
      <c r="D3838" t="s">
        <v>1636</v>
      </c>
      <c r="E3838" t="s">
        <v>11</v>
      </c>
      <c r="F3838" t="s">
        <v>13</v>
      </c>
      <c r="G3838" t="s">
        <v>412</v>
      </c>
      <c r="H3838" t="s">
        <v>14</v>
      </c>
    </row>
    <row r="3839" spans="1:8" hidden="1" x14ac:dyDescent="0.25">
      <c r="A3839" t="s">
        <v>5327</v>
      </c>
      <c r="B3839" s="1" t="str">
        <f>HYPERLINK("https://asmlis.vasa.lt/Dashboard/Served?ServiceDateFrom=2025-11-24&amp;ServiceDateTo=2025-11-24&amp;DumpsterInvNr=13-P-404464", "13-P-404464")</f>
        <v>13-P-404464</v>
      </c>
      <c r="C3839">
        <v>3</v>
      </c>
      <c r="D3839" t="s">
        <v>5328</v>
      </c>
      <c r="E3839" t="s">
        <v>11</v>
      </c>
      <c r="F3839" t="s">
        <v>13</v>
      </c>
      <c r="G3839" t="s">
        <v>264</v>
      </c>
      <c r="H3839" t="s">
        <v>14</v>
      </c>
    </row>
    <row r="3840" spans="1:8" hidden="1" x14ac:dyDescent="0.25">
      <c r="A3840" t="s">
        <v>5329</v>
      </c>
      <c r="B3840" s="1" t="str">
        <f>HYPERLINK("https://asmlis.vasa.lt/Dashboard/Served?ServiceDateFrom=2025-11-24&amp;ServiceDateTo=2025-11-24&amp;DumpsterInvNr=13-L-203487", "13-L-203487")</f>
        <v>13-L-203487</v>
      </c>
      <c r="C3840">
        <v>0.24</v>
      </c>
      <c r="D3840" t="s">
        <v>5330</v>
      </c>
      <c r="E3840" t="s">
        <v>11</v>
      </c>
      <c r="G3840" t="s">
        <v>936</v>
      </c>
      <c r="H3840" t="s">
        <v>938</v>
      </c>
    </row>
    <row r="3841" spans="1:8" hidden="1" x14ac:dyDescent="0.25">
      <c r="A3841" t="s">
        <v>5329</v>
      </c>
      <c r="B3841" s="1" t="str">
        <f>HYPERLINK("https://asmlis.vasa.lt/Dashboard/Served?ServiceDateFrom=2025-11-24&amp;ServiceDateTo=2025-11-24&amp;DumpsterInvNr=13-P-416837", "13-P-416837")</f>
        <v>13-P-416837</v>
      </c>
      <c r="C3841">
        <v>3</v>
      </c>
      <c r="D3841" t="s">
        <v>5328</v>
      </c>
      <c r="E3841" t="s">
        <v>11</v>
      </c>
      <c r="F3841" t="s">
        <v>13</v>
      </c>
      <c r="G3841" t="s">
        <v>264</v>
      </c>
      <c r="H3841" t="s">
        <v>14</v>
      </c>
    </row>
    <row r="3842" spans="1:8" hidden="1" x14ac:dyDescent="0.25">
      <c r="A3842" t="s">
        <v>5331</v>
      </c>
      <c r="B3842" s="1" t="str">
        <f>HYPERLINK("https://asmlis.vasa.lt/Dashboard/Served?ServiceDateFrom=2025-11-24&amp;ServiceDateTo=2025-11-24&amp;DumpsterInvNr=13-L-424277", "13-L-424277")</f>
        <v>13-L-424277</v>
      </c>
      <c r="C3842">
        <v>1.1000000000000001</v>
      </c>
      <c r="D3842" t="s">
        <v>5332</v>
      </c>
      <c r="E3842" t="s">
        <v>11</v>
      </c>
      <c r="G3842" t="s">
        <v>74</v>
      </c>
      <c r="H3842" t="s">
        <v>14</v>
      </c>
    </row>
    <row r="3843" spans="1:8" hidden="1" x14ac:dyDescent="0.25">
      <c r="A3843" t="s">
        <v>5333</v>
      </c>
      <c r="B3843" s="1" t="str">
        <f>HYPERLINK("https://asmlis.vasa.lt/Dashboard/Served?ServiceDateFrom=2025-11-24&amp;ServiceDateTo=2025-11-24&amp;DumpsterInvNr=13-P-105622", "13-P-105622")</f>
        <v>13-P-105622</v>
      </c>
      <c r="C3843">
        <v>0.24</v>
      </c>
      <c r="D3843" t="s">
        <v>5334</v>
      </c>
      <c r="E3843" t="s">
        <v>11</v>
      </c>
      <c r="G3843" t="s">
        <v>1917</v>
      </c>
      <c r="H3843" t="s">
        <v>432</v>
      </c>
    </row>
    <row r="3844" spans="1:8" hidden="1" x14ac:dyDescent="0.25">
      <c r="A3844" t="s">
        <v>5336</v>
      </c>
      <c r="B3844" s="1" t="str">
        <f>HYPERLINK("https://asmlis.vasa.lt/Dashboard/Served?ServiceDateFrom=2025-11-24&amp;ServiceDateTo=2025-11-24&amp;DumpsterInvNr=13-L-146371", "13-L-146371")</f>
        <v>13-L-146371</v>
      </c>
      <c r="C3844">
        <v>5</v>
      </c>
      <c r="D3844" t="s">
        <v>5337</v>
      </c>
      <c r="E3844" t="s">
        <v>11</v>
      </c>
      <c r="F3844" t="s">
        <v>13</v>
      </c>
      <c r="G3844" t="s">
        <v>430</v>
      </c>
      <c r="H3844" t="s">
        <v>432</v>
      </c>
    </row>
    <row r="3845" spans="1:8" hidden="1" x14ac:dyDescent="0.25">
      <c r="A3845" t="s">
        <v>5338</v>
      </c>
      <c r="B3845" s="1" t="str">
        <f>HYPERLINK("https://asmlis.vasa.lt/Dashboard/Served?ServiceDateFrom=2025-11-24&amp;ServiceDateTo=2025-11-24&amp;DumpsterInvNr=13-P-204802", "13-P-204802")</f>
        <v>13-P-204802</v>
      </c>
      <c r="C3845">
        <v>5</v>
      </c>
      <c r="D3845" t="s">
        <v>5339</v>
      </c>
      <c r="E3845" t="s">
        <v>11</v>
      </c>
      <c r="G3845" t="s">
        <v>234</v>
      </c>
      <c r="H3845" t="s">
        <v>14</v>
      </c>
    </row>
    <row r="3846" spans="1:8" hidden="1" x14ac:dyDescent="0.25">
      <c r="A3846" t="s">
        <v>5340</v>
      </c>
      <c r="B3846" s="1" t="str">
        <f>HYPERLINK("https://asmlis.vasa.lt/Dashboard/Served?ServiceDateFrom=2025-11-24&amp;ServiceDateTo=2025-11-24&amp;DumpsterInvNr=13-L-129612", "13-L-129612")</f>
        <v>13-L-129612</v>
      </c>
      <c r="C3846">
        <v>1.1000000000000001</v>
      </c>
      <c r="D3846" t="s">
        <v>5341</v>
      </c>
      <c r="E3846" t="s">
        <v>11</v>
      </c>
      <c r="G3846" t="s">
        <v>430</v>
      </c>
      <c r="H3846" t="s">
        <v>432</v>
      </c>
    </row>
    <row r="3847" spans="1:8" hidden="1" x14ac:dyDescent="0.25">
      <c r="A3847" t="s">
        <v>5342</v>
      </c>
      <c r="B3847" s="1" t="str">
        <f>HYPERLINK("https://asmlis.vasa.lt/Dashboard/Served?ServiceDateFrom=2025-11-24&amp;ServiceDateTo=2025-11-24&amp;DumpsterInvNr=13-L-133432", "13-L-133432")</f>
        <v>13-L-133432</v>
      </c>
      <c r="C3847">
        <v>5</v>
      </c>
      <c r="D3847" t="s">
        <v>5343</v>
      </c>
      <c r="E3847" t="s">
        <v>11</v>
      </c>
      <c r="F3847" t="s">
        <v>13</v>
      </c>
      <c r="G3847" t="s">
        <v>430</v>
      </c>
      <c r="H3847" t="s">
        <v>432</v>
      </c>
    </row>
    <row r="3848" spans="1:8" hidden="1" x14ac:dyDescent="0.25">
      <c r="A3848" t="s">
        <v>5342</v>
      </c>
      <c r="B3848" s="1" t="str">
        <f>HYPERLINK("https://asmlis.vasa.lt/Dashboard/Served?ServiceDateFrom=2025-11-24&amp;ServiceDateTo=2025-11-24&amp;DumpsterInvNr=13-L-147589", "13-L-147589")</f>
        <v>13-L-147589</v>
      </c>
      <c r="C3848">
        <v>1.1000000000000001</v>
      </c>
      <c r="D3848" t="s">
        <v>5251</v>
      </c>
      <c r="E3848" t="s">
        <v>11</v>
      </c>
      <c r="F3848" t="s">
        <v>13</v>
      </c>
      <c r="G3848" t="s">
        <v>1912</v>
      </c>
      <c r="H3848" t="s">
        <v>432</v>
      </c>
    </row>
    <row r="3849" spans="1:8" hidden="1" x14ac:dyDescent="0.25">
      <c r="A3849" t="s">
        <v>5346</v>
      </c>
      <c r="B3849" s="1" t="str">
        <f>HYPERLINK("https://asmlis.vasa.lt/Dashboard/Served?ServiceDateFrom=2025-11-24&amp;ServiceDateTo=2025-11-24&amp;DumpsterInvNr=13-P-433852", "13-P-433852")</f>
        <v>13-P-433852</v>
      </c>
      <c r="C3849">
        <v>0.24</v>
      </c>
      <c r="D3849" t="s">
        <v>5347</v>
      </c>
      <c r="E3849" t="s">
        <v>11</v>
      </c>
      <c r="G3849" t="s">
        <v>264</v>
      </c>
      <c r="H3849" t="s">
        <v>14</v>
      </c>
    </row>
    <row r="3850" spans="1:8" hidden="1" x14ac:dyDescent="0.25">
      <c r="A3850" t="s">
        <v>5348</v>
      </c>
      <c r="B3850" s="1" t="str">
        <f>HYPERLINK("https://asmlis.vasa.lt/Dashboard/Served?ServiceDateFrom=2025-11-24&amp;ServiceDateTo=2025-11-24&amp;DumpsterInvNr=13-L-421197", "13-L-421197")</f>
        <v>13-L-421197</v>
      </c>
      <c r="C3850">
        <v>5</v>
      </c>
      <c r="D3850" t="s">
        <v>1642</v>
      </c>
      <c r="E3850" t="s">
        <v>11</v>
      </c>
      <c r="F3850" t="s">
        <v>13</v>
      </c>
      <c r="G3850" t="s">
        <v>74</v>
      </c>
      <c r="H3850" t="s">
        <v>14</v>
      </c>
    </row>
    <row r="3851" spans="1:8" hidden="1" x14ac:dyDescent="0.25">
      <c r="A3851" t="s">
        <v>5349</v>
      </c>
      <c r="B3851" s="1" t="str">
        <f>HYPERLINK("https://asmlis.vasa.lt/Dashboard/Served?ServiceDateFrom=2025-11-24&amp;ServiceDateTo=2025-11-24&amp;DumpsterInvNr=13-L-133160", "13-L-133160")</f>
        <v>13-L-133160</v>
      </c>
      <c r="C3851">
        <v>0.24</v>
      </c>
      <c r="D3851" t="s">
        <v>5350</v>
      </c>
      <c r="E3851" t="s">
        <v>11</v>
      </c>
      <c r="G3851" t="s">
        <v>1912</v>
      </c>
      <c r="H3851" t="s">
        <v>432</v>
      </c>
    </row>
    <row r="3852" spans="1:8" hidden="1" x14ac:dyDescent="0.25">
      <c r="A3852" t="s">
        <v>5351</v>
      </c>
      <c r="B3852" s="1" t="str">
        <f>HYPERLINK("https://asmlis.vasa.lt/Dashboard/Served?ServiceDateFrom=2025-11-24&amp;ServiceDateTo=2025-11-24&amp;DumpsterInvNr=13-P-103179", "13-P-103179")</f>
        <v>13-P-103179</v>
      </c>
      <c r="C3852">
        <v>0.24</v>
      </c>
      <c r="D3852" t="s">
        <v>5350</v>
      </c>
      <c r="E3852" t="s">
        <v>11</v>
      </c>
      <c r="G3852" t="s">
        <v>1917</v>
      </c>
      <c r="H3852" t="s">
        <v>432</v>
      </c>
    </row>
    <row r="3853" spans="1:8" hidden="1" x14ac:dyDescent="0.25">
      <c r="A3853" t="s">
        <v>5353</v>
      </c>
      <c r="B3853" s="1" t="str">
        <f>HYPERLINK("https://asmlis.vasa.lt/Dashboard/Served?ServiceDateFrom=2025-11-24&amp;ServiceDateTo=2025-11-24&amp;DumpsterInvNr=13-L-110366", "13-L-110366")</f>
        <v>13-L-110366</v>
      </c>
      <c r="C3853">
        <v>0.12</v>
      </c>
      <c r="D3853" t="s">
        <v>5354</v>
      </c>
      <c r="E3853" t="s">
        <v>11</v>
      </c>
      <c r="G3853" t="s">
        <v>430</v>
      </c>
      <c r="H3853" t="s">
        <v>432</v>
      </c>
    </row>
    <row r="3854" spans="1:8" hidden="1" x14ac:dyDescent="0.25">
      <c r="A3854" t="s">
        <v>5355</v>
      </c>
      <c r="B3854" s="1" t="str">
        <f>HYPERLINK("https://asmlis.vasa.lt/Dashboard/Served?ServiceDateFrom=2025-11-24&amp;ServiceDateTo=2025-11-24&amp;DumpsterInvNr=13-P-509174", "13-P-509174")</f>
        <v>13-P-509174</v>
      </c>
      <c r="C3854">
        <v>4</v>
      </c>
      <c r="D3854" t="s">
        <v>5356</v>
      </c>
      <c r="E3854" t="s">
        <v>11</v>
      </c>
      <c r="F3854" t="s">
        <v>13</v>
      </c>
      <c r="G3854" t="s">
        <v>2178</v>
      </c>
      <c r="H3854" t="s">
        <v>432</v>
      </c>
    </row>
    <row r="3855" spans="1:8" hidden="1" x14ac:dyDescent="0.25">
      <c r="A3855" t="s">
        <v>5358</v>
      </c>
      <c r="B3855" s="1" t="str">
        <f>HYPERLINK("https://asmlis.vasa.lt/Dashboard/Served?ServiceDateFrom=2025-11-24&amp;ServiceDateTo=2025-11-24&amp;DumpsterInvNr=13-L-114462", "13-L-114462")</f>
        <v>13-L-114462</v>
      </c>
      <c r="C3855">
        <v>0.24</v>
      </c>
      <c r="D3855" t="s">
        <v>5359</v>
      </c>
      <c r="E3855" t="s">
        <v>11</v>
      </c>
      <c r="G3855" t="s">
        <v>430</v>
      </c>
      <c r="H3855" t="s">
        <v>432</v>
      </c>
    </row>
    <row r="3856" spans="1:8" hidden="1" x14ac:dyDescent="0.25">
      <c r="A3856" t="s">
        <v>5358</v>
      </c>
      <c r="B3856" s="1" t="str">
        <f>HYPERLINK("https://asmlis.vasa.lt/Dashboard/Served?ServiceDateFrom=2025-11-24&amp;ServiceDateTo=2025-11-24&amp;DumpsterInvNr=13-P-502693", "13-P-502693")</f>
        <v>13-P-502693</v>
      </c>
      <c r="C3856">
        <v>0.24</v>
      </c>
      <c r="D3856" t="s">
        <v>5354</v>
      </c>
      <c r="E3856" t="s">
        <v>11</v>
      </c>
      <c r="G3856" t="s">
        <v>2178</v>
      </c>
      <c r="H3856" t="s">
        <v>432</v>
      </c>
    </row>
    <row r="3857" spans="1:8" hidden="1" x14ac:dyDescent="0.25">
      <c r="A3857" t="s">
        <v>5361</v>
      </c>
      <c r="B3857" s="1" t="str">
        <f>HYPERLINK("https://asmlis.vasa.lt/Dashboard/Served?ServiceDateFrom=2025-11-24&amp;ServiceDateTo=2025-11-24&amp;DumpsterInvNr=13-L-129611", "13-L-129611")</f>
        <v>13-L-129611</v>
      </c>
      <c r="C3857">
        <v>1.1000000000000001</v>
      </c>
      <c r="D3857" t="s">
        <v>5341</v>
      </c>
      <c r="E3857" t="s">
        <v>11</v>
      </c>
      <c r="G3857" t="s">
        <v>430</v>
      </c>
      <c r="H3857" t="s">
        <v>432</v>
      </c>
    </row>
    <row r="3858" spans="1:8" hidden="1" x14ac:dyDescent="0.25">
      <c r="A3858" t="s">
        <v>5361</v>
      </c>
      <c r="B3858" s="1" t="str">
        <f>HYPERLINK("https://asmlis.vasa.lt/Dashboard/Served?ServiceDateFrom=2025-11-24&amp;ServiceDateTo=2025-11-24&amp;DumpsterInvNr=13-L-139234", "13-L-139234")</f>
        <v>13-L-139234</v>
      </c>
      <c r="C3858">
        <v>5</v>
      </c>
      <c r="D3858" t="s">
        <v>5363</v>
      </c>
      <c r="E3858" t="s">
        <v>11</v>
      </c>
      <c r="F3858" t="s">
        <v>13</v>
      </c>
      <c r="G3858" t="s">
        <v>430</v>
      </c>
      <c r="H3858" t="s">
        <v>432</v>
      </c>
    </row>
    <row r="3859" spans="1:8" hidden="1" x14ac:dyDescent="0.25">
      <c r="A3859" t="s">
        <v>5364</v>
      </c>
      <c r="B3859" s="1" t="str">
        <f>HYPERLINK("https://asmlis.vasa.lt/Dashboard/Served?ServiceDateFrom=2025-11-24&amp;ServiceDateTo=2025-11-24&amp;DumpsterInvNr=13-P-302036", "13-P-302036")</f>
        <v>13-P-302036</v>
      </c>
      <c r="C3859">
        <v>1.1000000000000001</v>
      </c>
      <c r="D3859" t="s">
        <v>4673</v>
      </c>
      <c r="E3859" t="s">
        <v>11</v>
      </c>
      <c r="G3859" t="s">
        <v>412</v>
      </c>
      <c r="H3859" t="s">
        <v>14</v>
      </c>
    </row>
    <row r="3860" spans="1:8" hidden="1" x14ac:dyDescent="0.25">
      <c r="A3860" t="s">
        <v>5365</v>
      </c>
      <c r="B3860" s="1" t="str">
        <f>HYPERLINK("https://asmlis.vasa.lt/Dashboard/Served?ServiceDateFrom=2025-11-24&amp;ServiceDateTo=2025-11-24&amp;DumpsterInvNr=13-L-106344", "13-L-106344")</f>
        <v>13-L-106344</v>
      </c>
      <c r="C3860">
        <v>0.24</v>
      </c>
      <c r="D3860" t="s">
        <v>5334</v>
      </c>
      <c r="E3860" t="s">
        <v>11</v>
      </c>
      <c r="F3860" t="s">
        <v>1209</v>
      </c>
      <c r="G3860" t="s">
        <v>1912</v>
      </c>
      <c r="H3860" t="s">
        <v>432</v>
      </c>
    </row>
    <row r="3861" spans="1:8" hidden="1" x14ac:dyDescent="0.25">
      <c r="A3861" t="s">
        <v>5366</v>
      </c>
      <c r="B3861" s="1" t="str">
        <f>HYPERLINK("https://asmlis.vasa.lt/Dashboard/Served?ServiceDateFrom=2025-11-24&amp;ServiceDateTo=2025-11-24&amp;DumpsterInvNr=13-L-420826", "13-L-420826")</f>
        <v>13-L-420826</v>
      </c>
      <c r="C3861">
        <v>1.1000000000000001</v>
      </c>
      <c r="D3861" t="s">
        <v>5332</v>
      </c>
      <c r="E3861" t="s">
        <v>11</v>
      </c>
      <c r="G3861" t="s">
        <v>74</v>
      </c>
      <c r="H3861" t="s">
        <v>14</v>
      </c>
    </row>
    <row r="3862" spans="1:8" hidden="1" x14ac:dyDescent="0.25">
      <c r="A3862" t="s">
        <v>5367</v>
      </c>
      <c r="B3862" s="1" t="str">
        <f>HYPERLINK("https://asmlis.vasa.lt/Dashboard/Served?ServiceDateFrom=2025-11-24&amp;ServiceDateTo=2025-11-24&amp;DumpsterInvNr=13-P-209807", "13-P-209807")</f>
        <v>13-P-209807</v>
      </c>
      <c r="C3862">
        <v>0.24</v>
      </c>
      <c r="D3862" t="s">
        <v>5368</v>
      </c>
      <c r="E3862" t="s">
        <v>11</v>
      </c>
      <c r="F3862" t="s">
        <v>1209</v>
      </c>
      <c r="G3862" t="s">
        <v>234</v>
      </c>
      <c r="H3862" t="s">
        <v>14</v>
      </c>
    </row>
    <row r="3863" spans="1:8" hidden="1" x14ac:dyDescent="0.25">
      <c r="A3863" t="s">
        <v>5369</v>
      </c>
      <c r="B3863" s="1" t="str">
        <f>HYPERLINK("https://asmlis.vasa.lt/Dashboard/Served?ServiceDateFrom=2025-11-24&amp;ServiceDateTo=2025-11-24&amp;DumpsterInvNr=13-P-502694", "13-P-502694")</f>
        <v>13-P-502694</v>
      </c>
      <c r="C3863">
        <v>0.24</v>
      </c>
      <c r="D3863" t="s">
        <v>5359</v>
      </c>
      <c r="E3863" t="s">
        <v>11</v>
      </c>
      <c r="G3863" t="s">
        <v>2178</v>
      </c>
      <c r="H3863" t="s">
        <v>432</v>
      </c>
    </row>
    <row r="3864" spans="1:8" hidden="1" x14ac:dyDescent="0.25">
      <c r="A3864" t="s">
        <v>5370</v>
      </c>
      <c r="B3864" s="1" t="str">
        <f>HYPERLINK("https://asmlis.vasa.lt/Dashboard/Served?ServiceDateFrom=2025-11-24&amp;ServiceDateTo=2025-11-24&amp;DumpsterInvNr=13-L-227403", "13-L-227403")</f>
        <v>13-L-227403</v>
      </c>
      <c r="C3864">
        <v>1.1000000000000001</v>
      </c>
      <c r="D3864" t="s">
        <v>5286</v>
      </c>
      <c r="E3864" t="s">
        <v>11</v>
      </c>
      <c r="F3864" t="s">
        <v>1209</v>
      </c>
      <c r="G3864" t="s">
        <v>936</v>
      </c>
      <c r="H3864" t="s">
        <v>938</v>
      </c>
    </row>
    <row r="3865" spans="1:8" hidden="1" x14ac:dyDescent="0.25">
      <c r="A3865" t="s">
        <v>5371</v>
      </c>
      <c r="B3865" s="1" t="str">
        <f>HYPERLINK("https://asmlis.vasa.lt/Dashboard/Served?ServiceDateFrom=2025-11-24&amp;ServiceDateTo=2025-11-24&amp;DumpsterInvNr=13-P-205145", "13-P-205145")</f>
        <v>13-P-205145</v>
      </c>
      <c r="C3865">
        <v>0.24</v>
      </c>
      <c r="D3865" t="s">
        <v>5372</v>
      </c>
      <c r="E3865" t="s">
        <v>11</v>
      </c>
      <c r="F3865" t="s">
        <v>1209</v>
      </c>
      <c r="G3865" t="s">
        <v>234</v>
      </c>
      <c r="H3865" t="s">
        <v>14</v>
      </c>
    </row>
    <row r="3866" spans="1:8" hidden="1" x14ac:dyDescent="0.25">
      <c r="A3866" t="s">
        <v>5373</v>
      </c>
      <c r="B3866" s="1" t="str">
        <f>HYPERLINK("https://asmlis.vasa.lt/Dashboard/Served?ServiceDateFrom=2025-11-24&amp;ServiceDateTo=2025-11-24&amp;DumpsterInvNr=13-L-421521", "13-L-421521")</f>
        <v>13-L-421521</v>
      </c>
      <c r="C3866">
        <v>0.77</v>
      </c>
      <c r="D3866" t="s">
        <v>5374</v>
      </c>
      <c r="E3866" t="s">
        <v>11</v>
      </c>
      <c r="G3866" t="s">
        <v>74</v>
      </c>
      <c r="H3866" t="s">
        <v>14</v>
      </c>
    </row>
    <row r="3867" spans="1:8" hidden="1" x14ac:dyDescent="0.25">
      <c r="A3867" t="s">
        <v>5375</v>
      </c>
      <c r="B3867" s="1" t="str">
        <f>HYPERLINK("https://asmlis.vasa.lt/Dashboard/Served?ServiceDateFrom=2025-11-24&amp;ServiceDateTo=2025-11-24&amp;DumpsterInvNr=13-P-111089", "13-P-111089")</f>
        <v>13-P-111089</v>
      </c>
      <c r="C3867">
        <v>1.1000000000000001</v>
      </c>
      <c r="D3867" t="s">
        <v>5376</v>
      </c>
      <c r="E3867" t="s">
        <v>11</v>
      </c>
      <c r="G3867" t="s">
        <v>1917</v>
      </c>
      <c r="H3867" t="s">
        <v>432</v>
      </c>
    </row>
    <row r="3868" spans="1:8" hidden="1" x14ac:dyDescent="0.25">
      <c r="A3868" t="s">
        <v>5378</v>
      </c>
      <c r="B3868" s="1" t="str">
        <f>HYPERLINK("https://asmlis.vasa.lt/Dashboard/Served?ServiceDateFrom=2025-11-24&amp;ServiceDateTo=2025-11-24&amp;DumpsterInvNr=13-P-301956", "13-P-301956")</f>
        <v>13-P-301956</v>
      </c>
      <c r="C3868">
        <v>1.1000000000000001</v>
      </c>
      <c r="D3868" t="s">
        <v>4673</v>
      </c>
      <c r="E3868" t="s">
        <v>11</v>
      </c>
      <c r="G3868" t="s">
        <v>412</v>
      </c>
      <c r="H3868" t="s">
        <v>14</v>
      </c>
    </row>
    <row r="3869" spans="1:8" hidden="1" x14ac:dyDescent="0.25">
      <c r="A3869" t="s">
        <v>5379</v>
      </c>
      <c r="B3869" s="1" t="str">
        <f>HYPERLINK("https://asmlis.vasa.lt/Dashboard/Served?ServiceDateFrom=2025-11-24&amp;ServiceDateTo=2025-11-24&amp;DumpsterInvNr=13-P-412002", "13-P-412002")</f>
        <v>13-P-412002</v>
      </c>
      <c r="C3869">
        <v>0.24</v>
      </c>
      <c r="D3869" t="s">
        <v>5380</v>
      </c>
      <c r="E3869" t="s">
        <v>11</v>
      </c>
      <c r="G3869" t="s">
        <v>264</v>
      </c>
      <c r="H3869" t="s">
        <v>14</v>
      </c>
    </row>
    <row r="3870" spans="1:8" hidden="1" x14ac:dyDescent="0.25">
      <c r="A3870" t="s">
        <v>5381</v>
      </c>
      <c r="B3870" s="1" t="str">
        <f>HYPERLINK("https://asmlis.vasa.lt/Dashboard/Served?ServiceDateFrom=2025-11-24&amp;ServiceDateTo=2025-11-24&amp;DumpsterInvNr=13-S-433908", "13-S-433908")</f>
        <v>13-S-433908</v>
      </c>
      <c r="C3870">
        <v>0.12</v>
      </c>
      <c r="D3870" t="s">
        <v>5347</v>
      </c>
      <c r="E3870" t="s">
        <v>11</v>
      </c>
      <c r="F3870" t="s">
        <v>1209</v>
      </c>
      <c r="G3870" t="s">
        <v>264</v>
      </c>
      <c r="H3870" t="s">
        <v>14</v>
      </c>
    </row>
    <row r="3871" spans="1:8" hidden="1" x14ac:dyDescent="0.25">
      <c r="A3871" t="s">
        <v>5382</v>
      </c>
      <c r="B3871" s="1" t="str">
        <f>HYPERLINK("https://asmlis.vasa.lt/Dashboard/Served?ServiceDateFrom=2025-11-24&amp;ServiceDateTo=2025-11-24&amp;DumpsterInvNr=13-L-142349", "13-L-142349")</f>
        <v>13-L-142349</v>
      </c>
      <c r="C3871">
        <v>1.1000000000000001</v>
      </c>
      <c r="D3871" t="s">
        <v>5383</v>
      </c>
      <c r="E3871" t="s">
        <v>11</v>
      </c>
      <c r="G3871" t="s">
        <v>430</v>
      </c>
      <c r="H3871" t="s">
        <v>432</v>
      </c>
    </row>
    <row r="3872" spans="1:8" hidden="1" x14ac:dyDescent="0.25">
      <c r="A3872" t="s">
        <v>5382</v>
      </c>
      <c r="B3872" s="1" t="str">
        <f>HYPERLINK("https://asmlis.vasa.lt/Dashboard/Served?ServiceDateFrom=2025-11-24&amp;ServiceDateTo=2025-11-24&amp;DumpsterInvNr=13-L-142350", "13-L-142350")</f>
        <v>13-L-142350</v>
      </c>
      <c r="C3872">
        <v>1.1000000000000001</v>
      </c>
      <c r="D3872" t="s">
        <v>5383</v>
      </c>
      <c r="E3872" t="s">
        <v>11</v>
      </c>
      <c r="G3872" t="s">
        <v>430</v>
      </c>
      <c r="H3872" t="s">
        <v>432</v>
      </c>
    </row>
    <row r="3873" spans="1:8" hidden="1" x14ac:dyDescent="0.25">
      <c r="A3873" t="s">
        <v>5382</v>
      </c>
      <c r="B3873" s="1" t="str">
        <f>HYPERLINK("https://asmlis.vasa.lt/Dashboard/Served?ServiceDateFrom=2025-11-24&amp;ServiceDateTo=2025-11-24&amp;DumpsterInvNr=13-L-142351", "13-L-142351")</f>
        <v>13-L-142351</v>
      </c>
      <c r="C3873">
        <v>1.1000000000000001</v>
      </c>
      <c r="D3873" t="s">
        <v>5383</v>
      </c>
      <c r="E3873" t="s">
        <v>11</v>
      </c>
      <c r="G3873" t="s">
        <v>430</v>
      </c>
      <c r="H3873" t="s">
        <v>432</v>
      </c>
    </row>
    <row r="3874" spans="1:8" hidden="1" x14ac:dyDescent="0.25">
      <c r="A3874" t="s">
        <v>5382</v>
      </c>
      <c r="B3874" s="1" t="str">
        <f>HYPERLINK("https://asmlis.vasa.lt/Dashboard/Served?ServiceDateFrom=2025-11-24&amp;ServiceDateTo=2025-11-24&amp;DumpsterInvNr=13-L-142352", "13-L-142352")</f>
        <v>13-L-142352</v>
      </c>
      <c r="C3874">
        <v>1.1000000000000001</v>
      </c>
      <c r="D3874" t="s">
        <v>5383</v>
      </c>
      <c r="E3874" t="s">
        <v>11</v>
      </c>
      <c r="G3874" t="s">
        <v>430</v>
      </c>
      <c r="H3874" t="s">
        <v>432</v>
      </c>
    </row>
    <row r="3875" spans="1:8" hidden="1" x14ac:dyDescent="0.25">
      <c r="A3875" t="s">
        <v>5382</v>
      </c>
      <c r="B3875" s="1" t="str">
        <f>HYPERLINK("https://asmlis.vasa.lt/Dashboard/Served?ServiceDateFrom=2025-11-24&amp;ServiceDateTo=2025-11-24&amp;DumpsterInvNr=13-L-142353", "13-L-142353")</f>
        <v>13-L-142353</v>
      </c>
      <c r="C3875">
        <v>1.1000000000000001</v>
      </c>
      <c r="D3875" t="s">
        <v>5383</v>
      </c>
      <c r="E3875" t="s">
        <v>11</v>
      </c>
      <c r="G3875" t="s">
        <v>430</v>
      </c>
      <c r="H3875" t="s">
        <v>432</v>
      </c>
    </row>
    <row r="3876" spans="1:8" hidden="1" x14ac:dyDescent="0.25">
      <c r="A3876" t="s">
        <v>5382</v>
      </c>
      <c r="B3876" s="1" t="str">
        <f>HYPERLINK("https://asmlis.vasa.lt/Dashboard/Served?ServiceDateFrom=2025-11-24&amp;ServiceDateTo=2025-11-24&amp;DumpsterInvNr=13-L-142354", "13-L-142354")</f>
        <v>13-L-142354</v>
      </c>
      <c r="C3876">
        <v>1.1000000000000001</v>
      </c>
      <c r="D3876" t="s">
        <v>5383</v>
      </c>
      <c r="E3876" t="s">
        <v>11</v>
      </c>
      <c r="G3876" t="s">
        <v>430</v>
      </c>
      <c r="H3876" t="s">
        <v>432</v>
      </c>
    </row>
    <row r="3877" spans="1:8" hidden="1" x14ac:dyDescent="0.25">
      <c r="A3877" t="s">
        <v>5382</v>
      </c>
      <c r="B3877" s="1" t="str">
        <f>HYPERLINK("https://asmlis.vasa.lt/Dashboard/Served?ServiceDateFrom=2025-11-24&amp;ServiceDateTo=2025-11-24&amp;DumpsterInvNr=13-L-142355", "13-L-142355")</f>
        <v>13-L-142355</v>
      </c>
      <c r="C3877">
        <v>1.1000000000000001</v>
      </c>
      <c r="D3877" t="s">
        <v>5383</v>
      </c>
      <c r="E3877" t="s">
        <v>11</v>
      </c>
      <c r="G3877" t="s">
        <v>430</v>
      </c>
      <c r="H3877" t="s">
        <v>432</v>
      </c>
    </row>
    <row r="3878" spans="1:8" hidden="1" x14ac:dyDescent="0.25">
      <c r="A3878" t="s">
        <v>5382</v>
      </c>
      <c r="B3878" s="1" t="str">
        <f>HYPERLINK("https://asmlis.vasa.lt/Dashboard/Served?ServiceDateFrom=2025-11-24&amp;ServiceDateTo=2025-11-24&amp;DumpsterInvNr=13-L-142356", "13-L-142356")</f>
        <v>13-L-142356</v>
      </c>
      <c r="C3878">
        <v>1.1000000000000001</v>
      </c>
      <c r="D3878" t="s">
        <v>5383</v>
      </c>
      <c r="E3878" t="s">
        <v>11</v>
      </c>
      <c r="G3878" t="s">
        <v>430</v>
      </c>
      <c r="H3878" t="s">
        <v>432</v>
      </c>
    </row>
    <row r="3879" spans="1:8" hidden="1" x14ac:dyDescent="0.25">
      <c r="A3879" t="s">
        <v>5382</v>
      </c>
      <c r="B3879" s="1" t="str">
        <f>HYPERLINK("https://asmlis.vasa.lt/Dashboard/Served?ServiceDateFrom=2025-11-24&amp;ServiceDateTo=2025-11-24&amp;DumpsterInvNr=13-L-142357", "13-L-142357")</f>
        <v>13-L-142357</v>
      </c>
      <c r="C3879">
        <v>1.1000000000000001</v>
      </c>
      <c r="D3879" t="s">
        <v>5383</v>
      </c>
      <c r="E3879" t="s">
        <v>11</v>
      </c>
      <c r="G3879" t="s">
        <v>430</v>
      </c>
      <c r="H3879" t="s">
        <v>432</v>
      </c>
    </row>
    <row r="3880" spans="1:8" hidden="1" x14ac:dyDescent="0.25">
      <c r="A3880" t="s">
        <v>5382</v>
      </c>
      <c r="B3880" s="1" t="str">
        <f>HYPERLINK("https://asmlis.vasa.lt/Dashboard/Served?ServiceDateFrom=2025-11-24&amp;ServiceDateTo=2025-11-24&amp;DumpsterInvNr=13-L-142358", "13-L-142358")</f>
        <v>13-L-142358</v>
      </c>
      <c r="C3880">
        <v>1.1000000000000001</v>
      </c>
      <c r="D3880" t="s">
        <v>5383</v>
      </c>
      <c r="E3880" t="s">
        <v>11</v>
      </c>
      <c r="G3880" t="s">
        <v>430</v>
      </c>
      <c r="H3880" t="s">
        <v>432</v>
      </c>
    </row>
    <row r="3881" spans="1:8" hidden="1" x14ac:dyDescent="0.25">
      <c r="A3881" t="s">
        <v>5382</v>
      </c>
      <c r="B3881" s="1" t="str">
        <f>HYPERLINK("https://asmlis.vasa.lt/Dashboard/Served?ServiceDateFrom=2025-11-24&amp;ServiceDateTo=2025-11-24&amp;DumpsterInvNr=13-L-142359", "13-L-142359")</f>
        <v>13-L-142359</v>
      </c>
      <c r="C3881">
        <v>1.1000000000000001</v>
      </c>
      <c r="D3881" t="s">
        <v>5383</v>
      </c>
      <c r="E3881" t="s">
        <v>11</v>
      </c>
      <c r="G3881" t="s">
        <v>430</v>
      </c>
      <c r="H3881" t="s">
        <v>432</v>
      </c>
    </row>
    <row r="3882" spans="1:8" hidden="1" x14ac:dyDescent="0.25">
      <c r="A3882" t="s">
        <v>5382</v>
      </c>
      <c r="B3882" s="1" t="str">
        <f>HYPERLINK("https://asmlis.vasa.lt/Dashboard/Served?ServiceDateFrom=2025-11-24&amp;ServiceDateTo=2025-11-24&amp;DumpsterInvNr=13-L-142360", "13-L-142360")</f>
        <v>13-L-142360</v>
      </c>
      <c r="C3882">
        <v>1.1000000000000001</v>
      </c>
      <c r="D3882" t="s">
        <v>5383</v>
      </c>
      <c r="E3882" t="s">
        <v>11</v>
      </c>
      <c r="G3882" t="s">
        <v>430</v>
      </c>
      <c r="H3882" t="s">
        <v>432</v>
      </c>
    </row>
    <row r="3883" spans="1:8" hidden="1" x14ac:dyDescent="0.25">
      <c r="A3883" t="s">
        <v>5382</v>
      </c>
      <c r="B3883" s="1" t="str">
        <f>HYPERLINK("https://asmlis.vasa.lt/Dashboard/Served?ServiceDateFrom=2025-11-24&amp;ServiceDateTo=2025-11-24&amp;DumpsterInvNr=13-L-142361", "13-L-142361")</f>
        <v>13-L-142361</v>
      </c>
      <c r="C3883">
        <v>1.1000000000000001</v>
      </c>
      <c r="D3883" t="s">
        <v>5383</v>
      </c>
      <c r="E3883" t="s">
        <v>11</v>
      </c>
      <c r="G3883" t="s">
        <v>430</v>
      </c>
      <c r="H3883" t="s">
        <v>432</v>
      </c>
    </row>
    <row r="3884" spans="1:8" hidden="1" x14ac:dyDescent="0.25">
      <c r="A3884" t="s">
        <v>5382</v>
      </c>
      <c r="B3884" s="1" t="str">
        <f>HYPERLINK("https://asmlis.vasa.lt/Dashboard/Served?ServiceDateFrom=2025-11-24&amp;ServiceDateTo=2025-11-24&amp;DumpsterInvNr=13-L-142362", "13-L-142362")</f>
        <v>13-L-142362</v>
      </c>
      <c r="C3884">
        <v>1.1000000000000001</v>
      </c>
      <c r="D3884" t="s">
        <v>5383</v>
      </c>
      <c r="E3884" t="s">
        <v>11</v>
      </c>
      <c r="G3884" t="s">
        <v>430</v>
      </c>
      <c r="H3884" t="s">
        <v>432</v>
      </c>
    </row>
    <row r="3885" spans="1:8" hidden="1" x14ac:dyDescent="0.25">
      <c r="A3885" t="s">
        <v>5382</v>
      </c>
      <c r="B3885" s="1" t="str">
        <f>HYPERLINK("https://asmlis.vasa.lt/Dashboard/Served?ServiceDateFrom=2025-11-24&amp;ServiceDateTo=2025-11-24&amp;DumpsterInvNr=13-L-142363", "13-L-142363")</f>
        <v>13-L-142363</v>
      </c>
      <c r="C3885">
        <v>1.1000000000000001</v>
      </c>
      <c r="D3885" t="s">
        <v>5383</v>
      </c>
      <c r="E3885" t="s">
        <v>11</v>
      </c>
      <c r="G3885" t="s">
        <v>430</v>
      </c>
      <c r="H3885" t="s">
        <v>432</v>
      </c>
    </row>
    <row r="3886" spans="1:8" hidden="1" x14ac:dyDescent="0.25">
      <c r="A3886" t="s">
        <v>5382</v>
      </c>
      <c r="B3886" s="1" t="str">
        <f>HYPERLINK("https://asmlis.vasa.lt/Dashboard/Served?ServiceDateFrom=2025-11-24&amp;ServiceDateTo=2025-11-24&amp;DumpsterInvNr=13-L-142364", "13-L-142364")</f>
        <v>13-L-142364</v>
      </c>
      <c r="C3886">
        <v>1.1000000000000001</v>
      </c>
      <c r="D3886" t="s">
        <v>5383</v>
      </c>
      <c r="E3886" t="s">
        <v>11</v>
      </c>
      <c r="G3886" t="s">
        <v>430</v>
      </c>
      <c r="H3886" t="s">
        <v>432</v>
      </c>
    </row>
    <row r="3887" spans="1:8" hidden="1" x14ac:dyDescent="0.25">
      <c r="A3887" t="s">
        <v>5382</v>
      </c>
      <c r="B3887" s="1" t="str">
        <f>HYPERLINK("https://asmlis.vasa.lt/Dashboard/Served?ServiceDateFrom=2025-11-24&amp;ServiceDateTo=2025-11-24&amp;DumpsterInvNr=13-L-142365", "13-L-142365")</f>
        <v>13-L-142365</v>
      </c>
      <c r="C3887">
        <v>1.1000000000000001</v>
      </c>
      <c r="D3887" t="s">
        <v>5383</v>
      </c>
      <c r="E3887" t="s">
        <v>11</v>
      </c>
      <c r="G3887" t="s">
        <v>430</v>
      </c>
      <c r="H3887" t="s">
        <v>432</v>
      </c>
    </row>
    <row r="3888" spans="1:8" hidden="1" x14ac:dyDescent="0.25">
      <c r="A3888" t="s">
        <v>5382</v>
      </c>
      <c r="B3888" s="1" t="str">
        <f>HYPERLINK("https://asmlis.vasa.lt/Dashboard/Served?ServiceDateFrom=2025-11-24&amp;ServiceDateTo=2025-11-24&amp;DumpsterInvNr=13-L-142366", "13-L-142366")</f>
        <v>13-L-142366</v>
      </c>
      <c r="C3888">
        <v>1.1000000000000001</v>
      </c>
      <c r="D3888" t="s">
        <v>5383</v>
      </c>
      <c r="E3888" t="s">
        <v>11</v>
      </c>
      <c r="G3888" t="s">
        <v>430</v>
      </c>
      <c r="H3888" t="s">
        <v>432</v>
      </c>
    </row>
    <row r="3889" spans="1:8" hidden="1" x14ac:dyDescent="0.25">
      <c r="A3889" t="s">
        <v>5382</v>
      </c>
      <c r="B3889" s="1" t="str">
        <f>HYPERLINK("https://asmlis.vasa.lt/Dashboard/Served?ServiceDateFrom=2025-11-24&amp;ServiceDateTo=2025-11-24&amp;DumpsterInvNr=13-L-149122", "13-L-149122")</f>
        <v>13-L-149122</v>
      </c>
      <c r="C3889">
        <v>1.1000000000000001</v>
      </c>
      <c r="D3889" t="s">
        <v>5383</v>
      </c>
      <c r="E3889" t="s">
        <v>11</v>
      </c>
      <c r="G3889" t="s">
        <v>430</v>
      </c>
      <c r="H3889" t="s">
        <v>432</v>
      </c>
    </row>
    <row r="3890" spans="1:8" hidden="1" x14ac:dyDescent="0.25">
      <c r="A3890" t="s">
        <v>5382</v>
      </c>
      <c r="B3890" s="1" t="str">
        <f>HYPERLINK("https://asmlis.vasa.lt/Dashboard/Served?ServiceDateFrom=2025-11-24&amp;ServiceDateTo=2025-11-24&amp;DumpsterInvNr=13-L-142369", "13-L-142369")</f>
        <v>13-L-142369</v>
      </c>
      <c r="C3890">
        <v>1.1000000000000001</v>
      </c>
      <c r="D3890" t="s">
        <v>5383</v>
      </c>
      <c r="E3890" t="s">
        <v>11</v>
      </c>
      <c r="G3890" t="s">
        <v>430</v>
      </c>
      <c r="H3890" t="s">
        <v>432</v>
      </c>
    </row>
    <row r="3891" spans="1:8" hidden="1" x14ac:dyDescent="0.25">
      <c r="A3891" t="s">
        <v>5382</v>
      </c>
      <c r="B3891" s="1" t="str">
        <f>HYPERLINK("https://asmlis.vasa.lt/Dashboard/Served?ServiceDateFrom=2025-11-24&amp;ServiceDateTo=2025-11-24&amp;DumpsterInvNr=13-L-146080", "13-L-146080")</f>
        <v>13-L-146080</v>
      </c>
      <c r="C3891">
        <v>1.1000000000000001</v>
      </c>
      <c r="D3891" t="s">
        <v>5383</v>
      </c>
      <c r="E3891" t="s">
        <v>11</v>
      </c>
      <c r="G3891" t="s">
        <v>430</v>
      </c>
      <c r="H3891" t="s">
        <v>432</v>
      </c>
    </row>
    <row r="3892" spans="1:8" hidden="1" x14ac:dyDescent="0.25">
      <c r="A3892" t="s">
        <v>5382</v>
      </c>
      <c r="B3892" s="1" t="str">
        <f>HYPERLINK("https://asmlis.vasa.lt/Dashboard/Served?ServiceDateFrom=2025-11-24&amp;ServiceDateTo=2025-11-24&amp;DumpsterInvNr=13-L-146079", "13-L-146079")</f>
        <v>13-L-146079</v>
      </c>
      <c r="C3892">
        <v>1.1000000000000001</v>
      </c>
      <c r="D3892" t="s">
        <v>5383</v>
      </c>
      <c r="E3892" t="s">
        <v>11</v>
      </c>
      <c r="G3892" t="s">
        <v>430</v>
      </c>
      <c r="H3892" t="s">
        <v>432</v>
      </c>
    </row>
    <row r="3893" spans="1:8" hidden="1" x14ac:dyDescent="0.25">
      <c r="A3893" t="s">
        <v>5382</v>
      </c>
      <c r="B3893" s="1" t="str">
        <f>HYPERLINK("https://asmlis.vasa.lt/Dashboard/Served?ServiceDateFrom=2025-11-24&amp;ServiceDateTo=2025-11-24&amp;DumpsterInvNr=13-L-146078", "13-L-146078")</f>
        <v>13-L-146078</v>
      </c>
      <c r="C3893">
        <v>1.1000000000000001</v>
      </c>
      <c r="D3893" t="s">
        <v>5383</v>
      </c>
      <c r="E3893" t="s">
        <v>11</v>
      </c>
      <c r="G3893" t="s">
        <v>430</v>
      </c>
      <c r="H3893" t="s">
        <v>432</v>
      </c>
    </row>
    <row r="3894" spans="1:8" hidden="1" x14ac:dyDescent="0.25">
      <c r="A3894" t="s">
        <v>5382</v>
      </c>
      <c r="B3894" s="1" t="str">
        <f>HYPERLINK("https://asmlis.vasa.lt/Dashboard/Served?ServiceDateFrom=2025-11-24&amp;ServiceDateTo=2025-11-24&amp;DumpsterInvNr=13-L-146077", "13-L-146077")</f>
        <v>13-L-146077</v>
      </c>
      <c r="C3894">
        <v>1.1000000000000001</v>
      </c>
      <c r="D3894" t="s">
        <v>5383</v>
      </c>
      <c r="E3894" t="s">
        <v>11</v>
      </c>
      <c r="G3894" t="s">
        <v>430</v>
      </c>
      <c r="H3894" t="s">
        <v>432</v>
      </c>
    </row>
    <row r="3895" spans="1:8" hidden="1" x14ac:dyDescent="0.25">
      <c r="A3895" t="s">
        <v>5382</v>
      </c>
      <c r="B3895" s="1" t="str">
        <f>HYPERLINK("https://asmlis.vasa.lt/Dashboard/Served?ServiceDateFrom=2025-11-24&amp;ServiceDateTo=2025-11-24&amp;DumpsterInvNr=13-L-148381", "13-L-148381")</f>
        <v>13-L-148381</v>
      </c>
      <c r="C3895">
        <v>1.1000000000000001</v>
      </c>
      <c r="D3895" t="s">
        <v>5383</v>
      </c>
      <c r="E3895" t="s">
        <v>11</v>
      </c>
      <c r="G3895" t="s">
        <v>430</v>
      </c>
      <c r="H3895" t="s">
        <v>432</v>
      </c>
    </row>
    <row r="3896" spans="1:8" hidden="1" x14ac:dyDescent="0.25">
      <c r="A3896" t="s">
        <v>5386</v>
      </c>
      <c r="B3896" s="1" t="str">
        <f>HYPERLINK("https://asmlis.vasa.lt/Dashboard/Served?ServiceDateFrom=2025-11-24&amp;ServiceDateTo=2025-11-24&amp;DumpsterInvNr=13-L-123383", "13-L-123383")</f>
        <v>13-L-123383</v>
      </c>
      <c r="C3896">
        <v>0.24</v>
      </c>
      <c r="D3896" t="s">
        <v>5387</v>
      </c>
      <c r="E3896" t="s">
        <v>11</v>
      </c>
      <c r="G3896" t="s">
        <v>430</v>
      </c>
      <c r="H3896" t="s">
        <v>432</v>
      </c>
    </row>
    <row r="3897" spans="1:8" hidden="1" x14ac:dyDescent="0.25">
      <c r="A3897" t="s">
        <v>5386</v>
      </c>
      <c r="B3897" s="1" t="str">
        <f>HYPERLINK("https://asmlis.vasa.lt/Dashboard/Served?ServiceDateFrom=2025-11-24&amp;ServiceDateTo=2025-11-24&amp;DumpsterInvNr=13-L-425205", "13-L-425205")</f>
        <v>13-L-425205</v>
      </c>
      <c r="C3897">
        <v>0.77</v>
      </c>
      <c r="D3897" t="s">
        <v>5374</v>
      </c>
      <c r="E3897" t="s">
        <v>11</v>
      </c>
      <c r="G3897" t="s">
        <v>74</v>
      </c>
      <c r="H3897" t="s">
        <v>14</v>
      </c>
    </row>
    <row r="3898" spans="1:8" hidden="1" x14ac:dyDescent="0.25">
      <c r="A3898" t="s">
        <v>5386</v>
      </c>
      <c r="B3898" s="1" t="str">
        <f>HYPERLINK("https://asmlis.vasa.lt/Dashboard/Served?ServiceDateFrom=2025-11-24&amp;ServiceDateTo=2025-11-24&amp;DumpsterInvNr=13-P-502692", "13-P-502692")</f>
        <v>13-P-502692</v>
      </c>
      <c r="C3898">
        <v>0.24</v>
      </c>
      <c r="D3898" t="s">
        <v>5387</v>
      </c>
      <c r="E3898" t="s">
        <v>11</v>
      </c>
      <c r="G3898" t="s">
        <v>2178</v>
      </c>
      <c r="H3898" t="s">
        <v>432</v>
      </c>
    </row>
    <row r="3899" spans="1:8" hidden="1" x14ac:dyDescent="0.25">
      <c r="A3899" t="s">
        <v>5388</v>
      </c>
      <c r="B3899" s="1" t="str">
        <f>HYPERLINK("https://asmlis.vasa.lt/Dashboard/Served?ServiceDateFrom=2025-11-24&amp;ServiceDateTo=2025-11-24&amp;DumpsterInvNr=13-L-424528", "13-L-424528")</f>
        <v>13-L-424528</v>
      </c>
      <c r="C3899">
        <v>5</v>
      </c>
      <c r="D3899" t="s">
        <v>5389</v>
      </c>
      <c r="E3899" t="s">
        <v>11</v>
      </c>
      <c r="G3899" t="s">
        <v>74</v>
      </c>
      <c r="H3899" t="s">
        <v>14</v>
      </c>
    </row>
    <row r="3900" spans="1:8" hidden="1" x14ac:dyDescent="0.25">
      <c r="A3900" t="s">
        <v>5390</v>
      </c>
      <c r="B3900" s="1" t="str">
        <f>HYPERLINK("https://asmlis.vasa.lt/Dashboard/Served?ServiceDateFrom=2025-11-24&amp;ServiceDateTo=2025-11-24&amp;DumpsterInvNr=13-L-406678", "13-L-406678")</f>
        <v>13-L-406678</v>
      </c>
      <c r="C3900">
        <v>1.1000000000000001</v>
      </c>
      <c r="D3900" t="s">
        <v>5391</v>
      </c>
      <c r="E3900" t="s">
        <v>11</v>
      </c>
      <c r="G3900" t="s">
        <v>74</v>
      </c>
      <c r="H3900" t="s">
        <v>14</v>
      </c>
    </row>
    <row r="3901" spans="1:8" hidden="1" x14ac:dyDescent="0.25">
      <c r="A3901" t="s">
        <v>5392</v>
      </c>
      <c r="B3901" s="1" t="str">
        <f>HYPERLINK("https://asmlis.vasa.lt/Dashboard/Served?ServiceDateFrom=2025-11-24&amp;ServiceDateTo=2025-11-24&amp;DumpsterInvNr=13-L-302657", "13-L-302657")</f>
        <v>13-L-302657</v>
      </c>
      <c r="C3901">
        <v>1.1000000000000001</v>
      </c>
      <c r="D3901" t="s">
        <v>5284</v>
      </c>
      <c r="E3901" t="s">
        <v>11</v>
      </c>
      <c r="G3901" t="s">
        <v>9</v>
      </c>
      <c r="H3901" t="s">
        <v>14</v>
      </c>
    </row>
    <row r="3902" spans="1:8" hidden="1" x14ac:dyDescent="0.25">
      <c r="A3902" t="s">
        <v>5393</v>
      </c>
      <c r="B3902" s="1" t="str">
        <f>HYPERLINK("https://asmlis.vasa.lt/Dashboard/Served?ServiceDateFrom=2025-11-24&amp;ServiceDateTo=2025-11-24&amp;DumpsterInvNr=13-L-213209", "13-L-213209")</f>
        <v>13-L-213209</v>
      </c>
      <c r="C3902">
        <v>0.12</v>
      </c>
      <c r="D3902" t="s">
        <v>5394</v>
      </c>
      <c r="E3902" t="s">
        <v>11</v>
      </c>
      <c r="F3902" t="s">
        <v>13</v>
      </c>
      <c r="G3902" t="s">
        <v>936</v>
      </c>
      <c r="H3902" t="s">
        <v>938</v>
      </c>
    </row>
    <row r="3903" spans="1:8" hidden="1" x14ac:dyDescent="0.25">
      <c r="A3903" t="s">
        <v>4629</v>
      </c>
      <c r="B3903" s="1" t="str">
        <f>HYPERLINK("https://asmlis.vasa.lt/Dashboard/Served?ServiceDateFrom=2025-11-24&amp;ServiceDateTo=2025-11-24&amp;DumpsterInvNr=13-P-107885", "13-P-107885")</f>
        <v>13-P-107885</v>
      </c>
      <c r="C3903">
        <v>0.24</v>
      </c>
      <c r="D3903" t="s">
        <v>5395</v>
      </c>
      <c r="E3903" t="s">
        <v>11</v>
      </c>
      <c r="G3903" t="s">
        <v>1917</v>
      </c>
      <c r="H3903" t="s">
        <v>432</v>
      </c>
    </row>
    <row r="3904" spans="1:8" hidden="1" x14ac:dyDescent="0.25">
      <c r="A3904" t="s">
        <v>5396</v>
      </c>
      <c r="B3904" s="1" t="str">
        <f>HYPERLINK("https://asmlis.vasa.lt/Dashboard/Served?ServiceDateFrom=2025-11-24&amp;ServiceDateTo=2025-11-24&amp;DumpsterInvNr=13-L-114458", "13-L-114458")</f>
        <v>13-L-114458</v>
      </c>
      <c r="C3904">
        <v>0.24</v>
      </c>
      <c r="D3904" t="s">
        <v>5395</v>
      </c>
      <c r="E3904" t="s">
        <v>11</v>
      </c>
      <c r="G3904" t="s">
        <v>1912</v>
      </c>
      <c r="H3904" t="s">
        <v>432</v>
      </c>
    </row>
    <row r="3905" spans="1:10" hidden="1" x14ac:dyDescent="0.25">
      <c r="A3905" t="s">
        <v>5397</v>
      </c>
      <c r="B3905" s="1" t="str">
        <f>HYPERLINK("https://asmlis.vasa.lt/Dashboard/Served?ServiceDateFrom=2025-11-24&amp;ServiceDateTo=2025-11-24&amp;DumpsterInvNr=13-P-212073", "13-P-212073")</f>
        <v>13-P-212073</v>
      </c>
      <c r="C3905">
        <v>0.24</v>
      </c>
      <c r="D3905" t="s">
        <v>5399</v>
      </c>
      <c r="E3905" t="s">
        <v>11</v>
      </c>
      <c r="G3905" t="s">
        <v>234</v>
      </c>
      <c r="H3905" t="s">
        <v>14</v>
      </c>
    </row>
    <row r="3906" spans="1:10" hidden="1" x14ac:dyDescent="0.25">
      <c r="A3906" t="s">
        <v>5400</v>
      </c>
      <c r="B3906" s="1" t="str">
        <f>HYPERLINK("https://asmlis.vasa.lt/Dashboard/Served?ServiceDateFrom=2025-11-24&amp;ServiceDateTo=2025-11-24&amp;DumpsterInvNr=13-L-307766", "13-L-307766")</f>
        <v>13-L-307766</v>
      </c>
      <c r="C3906">
        <v>0.77</v>
      </c>
      <c r="D3906" t="s">
        <v>1095</v>
      </c>
      <c r="E3906" t="s">
        <v>11</v>
      </c>
      <c r="G3906" t="s">
        <v>9</v>
      </c>
      <c r="H3906" t="s">
        <v>14</v>
      </c>
    </row>
    <row r="3907" spans="1:10" hidden="1" x14ac:dyDescent="0.25">
      <c r="A3907" t="s">
        <v>5084</v>
      </c>
      <c r="B3907" s="1" t="str">
        <f>HYPERLINK("https://asmlis.vasa.lt/Dashboard/Served?ServiceDateFrom=2025-11-24&amp;ServiceDateTo=2025-11-24&amp;DumpsterInvNr=13-L-416454", "13-L-416454")</f>
        <v>13-L-416454</v>
      </c>
      <c r="C3907">
        <v>1.1000000000000001</v>
      </c>
      <c r="D3907" t="s">
        <v>5332</v>
      </c>
      <c r="E3907" t="s">
        <v>11</v>
      </c>
      <c r="F3907" t="s">
        <v>13</v>
      </c>
      <c r="G3907" t="s">
        <v>74</v>
      </c>
      <c r="H3907" t="s">
        <v>14</v>
      </c>
    </row>
    <row r="3908" spans="1:10" hidden="1" x14ac:dyDescent="0.25">
      <c r="A3908" t="s">
        <v>5084</v>
      </c>
      <c r="B3908" s="1" t="str">
        <f>HYPERLINK("https://asmlis.vasa.lt/Dashboard/Served?ServiceDateFrom=2025-11-24&amp;ServiceDateTo=2025-11-24&amp;DumpsterInvNr=13-P-206817", "13-P-206817")</f>
        <v>13-P-206817</v>
      </c>
      <c r="C3908">
        <v>2.5</v>
      </c>
      <c r="D3908" t="s">
        <v>5402</v>
      </c>
      <c r="E3908" t="s">
        <v>11</v>
      </c>
      <c r="F3908" t="s">
        <v>13</v>
      </c>
      <c r="G3908" t="s">
        <v>234</v>
      </c>
      <c r="H3908" t="s">
        <v>14</v>
      </c>
    </row>
    <row r="3909" spans="1:10" hidden="1" x14ac:dyDescent="0.25">
      <c r="A3909" t="s">
        <v>5087</v>
      </c>
      <c r="B3909" s="1" t="str">
        <f>HYPERLINK("https://asmlis.vasa.lt/Dashboard/Served?ServiceDateFrom=2025-11-24&amp;ServiceDateTo=2025-11-24&amp;DumpsterInvNr=13-P-102468", "13-P-102468")</f>
        <v>13-P-102468</v>
      </c>
      <c r="C3909">
        <v>5</v>
      </c>
      <c r="D3909" t="s">
        <v>5403</v>
      </c>
      <c r="E3909" t="s">
        <v>12</v>
      </c>
      <c r="F3909" t="s">
        <v>5404</v>
      </c>
      <c r="G3909" t="s">
        <v>1917</v>
      </c>
      <c r="H3909" t="s">
        <v>432</v>
      </c>
      <c r="J3909" t="s">
        <v>17519</v>
      </c>
    </row>
    <row r="3910" spans="1:10" hidden="1" x14ac:dyDescent="0.25">
      <c r="A3910" t="s">
        <v>5406</v>
      </c>
      <c r="B3910" s="1" t="str">
        <f>HYPERLINK("https://asmlis.vasa.lt/Dashboard/Served?ServiceDateFrom=2025-11-24&amp;ServiceDateTo=2025-11-24&amp;DumpsterInvNr=13-P-206956", "13-P-206956")</f>
        <v>13-P-206956</v>
      </c>
      <c r="C3910">
        <v>2.5</v>
      </c>
      <c r="D3910" t="s">
        <v>5402</v>
      </c>
      <c r="E3910" t="s">
        <v>11</v>
      </c>
      <c r="F3910" t="s">
        <v>13</v>
      </c>
      <c r="G3910" t="s">
        <v>234</v>
      </c>
      <c r="H3910" t="s">
        <v>14</v>
      </c>
    </row>
    <row r="3911" spans="1:10" hidden="1" x14ac:dyDescent="0.25">
      <c r="A3911" t="s">
        <v>5407</v>
      </c>
      <c r="B3911" s="1" t="str">
        <f>HYPERLINK("https://asmlis.vasa.lt/Dashboard/Served?ServiceDateFrom=2025-11-24&amp;ServiceDateTo=2025-11-24&amp;DumpsterInvNr=13-P-502691", "13-P-502691")</f>
        <v>13-P-502691</v>
      </c>
      <c r="C3911">
        <v>0.24</v>
      </c>
      <c r="D3911" t="s">
        <v>5408</v>
      </c>
      <c r="E3911" t="s">
        <v>11</v>
      </c>
      <c r="G3911" t="s">
        <v>2178</v>
      </c>
      <c r="H3911" t="s">
        <v>432</v>
      </c>
    </row>
    <row r="3912" spans="1:10" hidden="1" x14ac:dyDescent="0.25">
      <c r="A3912" t="s">
        <v>5405</v>
      </c>
      <c r="B3912" s="1" t="str">
        <f>HYPERLINK("https://asmlis.vasa.lt/Dashboard/Served?ServiceDateFrom=2025-11-24&amp;ServiceDateTo=2025-11-24&amp;DumpsterInvNr=13-L-219087", "13-L-219087")</f>
        <v>13-L-219087</v>
      </c>
      <c r="C3912">
        <v>1.1000000000000001</v>
      </c>
      <c r="D3912" t="s">
        <v>5409</v>
      </c>
      <c r="E3912" t="s">
        <v>11</v>
      </c>
      <c r="G3912" t="s">
        <v>936</v>
      </c>
      <c r="H3912" t="s">
        <v>938</v>
      </c>
    </row>
    <row r="3913" spans="1:10" hidden="1" x14ac:dyDescent="0.25">
      <c r="A3913" t="s">
        <v>5405</v>
      </c>
      <c r="B3913" s="1" t="str">
        <f>HYPERLINK("https://asmlis.vasa.lt/Dashboard/Served?ServiceDateFrom=2025-11-24&amp;ServiceDateTo=2025-11-24&amp;DumpsterInvNr=13-P-213240", "13-P-213240")</f>
        <v>13-P-213240</v>
      </c>
      <c r="C3913">
        <v>0.24</v>
      </c>
      <c r="D3913" t="s">
        <v>5410</v>
      </c>
      <c r="E3913" t="s">
        <v>11</v>
      </c>
      <c r="G3913" t="s">
        <v>234</v>
      </c>
      <c r="H3913" t="s">
        <v>14</v>
      </c>
    </row>
    <row r="3914" spans="1:10" hidden="1" x14ac:dyDescent="0.25">
      <c r="A3914" t="s">
        <v>5411</v>
      </c>
      <c r="B3914" s="1" t="str">
        <f>HYPERLINK("https://asmlis.vasa.lt/Dashboard/Served?ServiceDateFrom=2025-11-24&amp;ServiceDateTo=2025-11-24&amp;DumpsterInvNr=13-L-108277", "13-L-108277")</f>
        <v>13-L-108277</v>
      </c>
      <c r="C3914">
        <v>0.24</v>
      </c>
      <c r="D3914" t="s">
        <v>5408</v>
      </c>
      <c r="E3914" t="s">
        <v>11</v>
      </c>
      <c r="G3914" t="s">
        <v>430</v>
      </c>
      <c r="H3914" t="s">
        <v>432</v>
      </c>
    </row>
    <row r="3915" spans="1:10" hidden="1" x14ac:dyDescent="0.25">
      <c r="A3915" t="s">
        <v>5411</v>
      </c>
      <c r="B3915" s="1" t="str">
        <f>HYPERLINK("https://asmlis.vasa.lt/Dashboard/Served?ServiceDateFrom=2025-11-24&amp;ServiceDateTo=2025-11-24&amp;DumpsterInvNr=13-P-502690", "13-P-502690")</f>
        <v>13-P-502690</v>
      </c>
      <c r="C3915">
        <v>0.24</v>
      </c>
      <c r="D3915" t="s">
        <v>5412</v>
      </c>
      <c r="E3915" t="s">
        <v>11</v>
      </c>
      <c r="G3915" t="s">
        <v>2178</v>
      </c>
      <c r="H3915" t="s">
        <v>432</v>
      </c>
    </row>
    <row r="3916" spans="1:10" hidden="1" x14ac:dyDescent="0.25">
      <c r="A3916" t="s">
        <v>5413</v>
      </c>
      <c r="B3916" s="1" t="str">
        <f>HYPERLINK("https://asmlis.vasa.lt/Dashboard/Served?ServiceDateFrom=2025-11-24&amp;ServiceDateTo=2025-11-24&amp;DumpsterInvNr=13-P-411903", "13-P-411903")</f>
        <v>13-P-411903</v>
      </c>
      <c r="C3916">
        <v>0.24</v>
      </c>
      <c r="D3916" t="s">
        <v>5414</v>
      </c>
      <c r="E3916" t="s">
        <v>11</v>
      </c>
      <c r="G3916" t="s">
        <v>264</v>
      </c>
      <c r="H3916" t="s">
        <v>14</v>
      </c>
    </row>
    <row r="3917" spans="1:10" hidden="1" x14ac:dyDescent="0.25">
      <c r="A3917" t="s">
        <v>5413</v>
      </c>
      <c r="B3917" s="1" t="str">
        <f>HYPERLINK("https://asmlis.vasa.lt/Dashboard/Served?ServiceDateFrom=2025-11-24&amp;ServiceDateTo=2025-11-24&amp;DumpsterInvNr=13-S-208326", "13-S-208326")</f>
        <v>13-S-208326</v>
      </c>
      <c r="C3917">
        <v>0.12</v>
      </c>
      <c r="D3917" t="s">
        <v>5410</v>
      </c>
      <c r="E3917" t="s">
        <v>11</v>
      </c>
      <c r="F3917" t="s">
        <v>1209</v>
      </c>
      <c r="G3917" t="s">
        <v>234</v>
      </c>
      <c r="H3917" t="s">
        <v>14</v>
      </c>
    </row>
    <row r="3918" spans="1:10" hidden="1" x14ac:dyDescent="0.25">
      <c r="A3918" t="s">
        <v>5415</v>
      </c>
      <c r="B3918" s="1" t="str">
        <f>HYPERLINK("https://asmlis.vasa.lt/Dashboard/Served?ServiceDateFrom=2025-11-24&amp;ServiceDateTo=2025-11-24&amp;DumpsterInvNr=13-L-211061", "13-L-211061")</f>
        <v>13-L-211061</v>
      </c>
      <c r="C3918">
        <v>0.24</v>
      </c>
      <c r="D3918" t="s">
        <v>5416</v>
      </c>
      <c r="E3918" t="s">
        <v>11</v>
      </c>
      <c r="G3918" t="s">
        <v>936</v>
      </c>
      <c r="H3918" t="s">
        <v>938</v>
      </c>
    </row>
    <row r="3919" spans="1:10" hidden="1" x14ac:dyDescent="0.25">
      <c r="A3919" t="s">
        <v>5417</v>
      </c>
      <c r="B3919" s="1" t="str">
        <f>HYPERLINK("https://asmlis.vasa.lt/Dashboard/Served?ServiceDateFrom=2025-11-24&amp;ServiceDateTo=2025-11-24&amp;DumpsterInvNr=13-L-201218", "13-L-201218")</f>
        <v>13-L-201218</v>
      </c>
      <c r="C3919">
        <v>0.77</v>
      </c>
      <c r="D3919" t="s">
        <v>5409</v>
      </c>
      <c r="E3919" t="s">
        <v>11</v>
      </c>
      <c r="G3919" t="s">
        <v>936</v>
      </c>
      <c r="H3919" t="s">
        <v>938</v>
      </c>
    </row>
    <row r="3920" spans="1:10" hidden="1" x14ac:dyDescent="0.25">
      <c r="A3920" t="s">
        <v>5417</v>
      </c>
      <c r="B3920" s="1" t="str">
        <f>HYPERLINK("https://asmlis.vasa.lt/Dashboard/Served?ServiceDateFrom=2025-11-24&amp;ServiceDateTo=2025-11-24&amp;DumpsterInvNr=13-P-209636", "13-P-209636")</f>
        <v>13-P-209636</v>
      </c>
      <c r="C3920">
        <v>0.24</v>
      </c>
      <c r="D3920" t="s">
        <v>5418</v>
      </c>
      <c r="E3920" t="s">
        <v>11</v>
      </c>
      <c r="G3920" t="s">
        <v>234</v>
      </c>
      <c r="H3920" t="s">
        <v>14</v>
      </c>
    </row>
    <row r="3921" spans="1:8" hidden="1" x14ac:dyDescent="0.25">
      <c r="A3921" t="s">
        <v>5419</v>
      </c>
      <c r="B3921" s="1" t="str">
        <f>HYPERLINK("https://asmlis.vasa.lt/Dashboard/Served?ServiceDateFrom=2025-11-24&amp;ServiceDateTo=2025-11-24&amp;DumpsterInvNr=13-L-106343", "13-L-106343")</f>
        <v>13-L-106343</v>
      </c>
      <c r="C3921">
        <v>0.24</v>
      </c>
      <c r="D3921" t="s">
        <v>5420</v>
      </c>
      <c r="E3921" t="s">
        <v>11</v>
      </c>
      <c r="G3921" t="s">
        <v>1912</v>
      </c>
      <c r="H3921" t="s">
        <v>432</v>
      </c>
    </row>
    <row r="3922" spans="1:8" hidden="1" x14ac:dyDescent="0.25">
      <c r="A3922" t="s">
        <v>5319</v>
      </c>
      <c r="B3922" s="1" t="str">
        <f>HYPERLINK("https://asmlis.vasa.lt/Dashboard/Served?ServiceDateFrom=2025-11-24&amp;ServiceDateTo=2025-11-24&amp;DumpsterInvNr=13-S-208312", "13-S-208312")</f>
        <v>13-S-208312</v>
      </c>
      <c r="C3922">
        <v>0.12</v>
      </c>
      <c r="D3922" t="s">
        <v>5421</v>
      </c>
      <c r="E3922" t="s">
        <v>11</v>
      </c>
      <c r="F3922" t="s">
        <v>1209</v>
      </c>
      <c r="G3922" t="s">
        <v>234</v>
      </c>
      <c r="H3922" t="s">
        <v>14</v>
      </c>
    </row>
    <row r="3923" spans="1:8" hidden="1" x14ac:dyDescent="0.25">
      <c r="A3923" t="s">
        <v>5422</v>
      </c>
      <c r="B3923" s="1" t="str">
        <f>HYPERLINK("https://asmlis.vasa.lt/Dashboard/Served?ServiceDateFrom=2025-11-24&amp;ServiceDateTo=2025-11-24&amp;DumpsterInvNr=13-P-304002", "13-P-304002")</f>
        <v>13-P-304002</v>
      </c>
      <c r="C3923">
        <v>3</v>
      </c>
      <c r="D3923" t="s">
        <v>1564</v>
      </c>
      <c r="E3923" t="s">
        <v>11</v>
      </c>
      <c r="G3923" t="s">
        <v>412</v>
      </c>
      <c r="H3923" t="s">
        <v>14</v>
      </c>
    </row>
    <row r="3924" spans="1:8" hidden="1" x14ac:dyDescent="0.25">
      <c r="A3924" t="s">
        <v>5423</v>
      </c>
      <c r="B3924" s="1" t="str">
        <f>HYPERLINK("https://asmlis.vasa.lt/Dashboard/Served?ServiceDateFrom=2025-11-24&amp;ServiceDateTo=2025-11-24&amp;DumpsterInvNr=13-L-225873", "13-L-225873")</f>
        <v>13-L-225873</v>
      </c>
      <c r="C3924">
        <v>3</v>
      </c>
      <c r="D3924" t="s">
        <v>5424</v>
      </c>
      <c r="E3924" t="s">
        <v>11</v>
      </c>
      <c r="G3924" t="s">
        <v>936</v>
      </c>
      <c r="H3924" t="s">
        <v>938</v>
      </c>
    </row>
    <row r="3925" spans="1:8" hidden="1" x14ac:dyDescent="0.25">
      <c r="A3925" t="s">
        <v>5425</v>
      </c>
      <c r="B3925" s="1" t="str">
        <f>HYPERLINK("https://asmlis.vasa.lt/Dashboard/Served?ServiceDateFrom=2025-11-24&amp;ServiceDateTo=2025-11-24&amp;DumpsterInvNr=13-L-140161", "13-L-140161")</f>
        <v>13-L-140161</v>
      </c>
      <c r="C3925">
        <v>0.24</v>
      </c>
      <c r="D3925" t="s">
        <v>5412</v>
      </c>
      <c r="E3925" t="s">
        <v>11</v>
      </c>
      <c r="G3925" t="s">
        <v>430</v>
      </c>
      <c r="H3925" t="s">
        <v>432</v>
      </c>
    </row>
    <row r="3926" spans="1:8" hidden="1" x14ac:dyDescent="0.25">
      <c r="A3926" t="s">
        <v>5425</v>
      </c>
      <c r="B3926" s="1" t="str">
        <f>HYPERLINK("https://asmlis.vasa.lt/Dashboard/Served?ServiceDateFrom=2025-11-24&amp;ServiceDateTo=2025-11-24&amp;DumpsterInvNr=13-L-206557", "13-L-206557")</f>
        <v>13-L-206557</v>
      </c>
      <c r="C3926">
        <v>0.24</v>
      </c>
      <c r="D3926" t="s">
        <v>5426</v>
      </c>
      <c r="E3926" t="s">
        <v>11</v>
      </c>
      <c r="F3926" t="s">
        <v>1209</v>
      </c>
      <c r="G3926" t="s">
        <v>936</v>
      </c>
      <c r="H3926" t="s">
        <v>938</v>
      </c>
    </row>
    <row r="3927" spans="1:8" hidden="1" x14ac:dyDescent="0.25">
      <c r="A3927" t="s">
        <v>5427</v>
      </c>
      <c r="B3927" s="1" t="str">
        <f>HYPERLINK("https://asmlis.vasa.lt/Dashboard/Served?ServiceDateFrom=2025-11-24&amp;ServiceDateTo=2025-11-24&amp;DumpsterInvNr=13-L-303138", "13-L-303138")</f>
        <v>13-L-303138</v>
      </c>
      <c r="C3927">
        <v>0.24</v>
      </c>
      <c r="D3927" t="s">
        <v>5428</v>
      </c>
      <c r="E3927" t="s">
        <v>11</v>
      </c>
      <c r="G3927" t="s">
        <v>9</v>
      </c>
      <c r="H3927" t="s">
        <v>14</v>
      </c>
    </row>
    <row r="3928" spans="1:8" hidden="1" x14ac:dyDescent="0.25">
      <c r="A3928" t="s">
        <v>5429</v>
      </c>
      <c r="B3928" s="1" t="str">
        <f>HYPERLINK("https://asmlis.vasa.lt/Dashboard/Served?ServiceDateFrom=2025-11-24&amp;ServiceDateTo=2025-11-24&amp;DumpsterInvNr=13-L-420712", "13-L-420712")</f>
        <v>13-L-420712</v>
      </c>
      <c r="C3928">
        <v>1.1000000000000001</v>
      </c>
      <c r="D3928" t="s">
        <v>3101</v>
      </c>
      <c r="E3928" t="s">
        <v>11</v>
      </c>
      <c r="G3928" t="s">
        <v>74</v>
      </c>
      <c r="H3928" t="s">
        <v>14</v>
      </c>
    </row>
    <row r="3929" spans="1:8" hidden="1" x14ac:dyDescent="0.25">
      <c r="A3929" t="s">
        <v>5429</v>
      </c>
      <c r="B3929" s="1" t="str">
        <f>HYPERLINK("https://asmlis.vasa.lt/Dashboard/Served?ServiceDateFrom=2025-11-24&amp;ServiceDateTo=2025-11-24&amp;DumpsterInvNr=13-M-203916", "13-M-203916")</f>
        <v>13-M-203916</v>
      </c>
      <c r="C3929">
        <v>0.12</v>
      </c>
      <c r="D3929" t="s">
        <v>5430</v>
      </c>
      <c r="E3929" t="s">
        <v>11</v>
      </c>
      <c r="G3929" t="s">
        <v>4876</v>
      </c>
      <c r="H3929" t="s">
        <v>938</v>
      </c>
    </row>
    <row r="3930" spans="1:8" hidden="1" x14ac:dyDescent="0.25">
      <c r="A3930" t="s">
        <v>5431</v>
      </c>
      <c r="B3930" s="1" t="str">
        <f>HYPERLINK("https://asmlis.vasa.lt/Dashboard/Served?ServiceDateFrom=2025-11-24&amp;ServiceDateTo=2025-11-24&amp;DumpsterInvNr=13-P-300749", "13-P-300749")</f>
        <v>13-P-300749</v>
      </c>
      <c r="C3930">
        <v>1.1000000000000001</v>
      </c>
      <c r="D3930" t="s">
        <v>1878</v>
      </c>
      <c r="E3930" t="s">
        <v>11</v>
      </c>
      <c r="G3930" t="s">
        <v>412</v>
      </c>
      <c r="H3930" t="s">
        <v>14</v>
      </c>
    </row>
    <row r="3931" spans="1:8" hidden="1" x14ac:dyDescent="0.25">
      <c r="A3931" t="s">
        <v>5432</v>
      </c>
      <c r="B3931" s="1" t="str">
        <f>HYPERLINK("https://asmlis.vasa.lt/Dashboard/Served?ServiceDateFrom=2025-11-24&amp;ServiceDateTo=2025-11-24&amp;DumpsterInvNr=13-L-143705", "13-L-143705")</f>
        <v>13-L-143705</v>
      </c>
      <c r="C3931">
        <v>5</v>
      </c>
      <c r="D3931" t="s">
        <v>5433</v>
      </c>
      <c r="E3931" t="s">
        <v>11</v>
      </c>
      <c r="F3931" t="s">
        <v>13</v>
      </c>
      <c r="G3931" t="s">
        <v>430</v>
      </c>
      <c r="H3931" t="s">
        <v>432</v>
      </c>
    </row>
    <row r="3932" spans="1:8" hidden="1" x14ac:dyDescent="0.25">
      <c r="A3932" t="s">
        <v>5435</v>
      </c>
      <c r="B3932" s="1" t="str">
        <f>HYPERLINK("https://asmlis.vasa.lt/Dashboard/Served?ServiceDateFrom=2025-11-24&amp;ServiceDateTo=2025-11-24&amp;DumpsterInvNr=13-L-226392", "13-L-226392")</f>
        <v>13-L-226392</v>
      </c>
      <c r="C3932">
        <v>1.1000000000000001</v>
      </c>
      <c r="D3932" t="s">
        <v>5286</v>
      </c>
      <c r="E3932" t="s">
        <v>11</v>
      </c>
      <c r="G3932" t="s">
        <v>936</v>
      </c>
      <c r="H3932" t="s">
        <v>938</v>
      </c>
    </row>
    <row r="3933" spans="1:8" hidden="1" x14ac:dyDescent="0.25">
      <c r="A3933" t="s">
        <v>5435</v>
      </c>
      <c r="B3933" s="1" t="str">
        <f>HYPERLINK("https://asmlis.vasa.lt/Dashboard/Served?ServiceDateFrom=2025-11-24&amp;ServiceDateTo=2025-11-24&amp;DumpsterInvNr=13-M-200955", "13-M-200955")</f>
        <v>13-M-200955</v>
      </c>
      <c r="C3933">
        <v>0.12</v>
      </c>
      <c r="D3933" t="s">
        <v>5436</v>
      </c>
      <c r="E3933" t="s">
        <v>11</v>
      </c>
      <c r="F3933" t="s">
        <v>1209</v>
      </c>
      <c r="G3933" t="s">
        <v>4876</v>
      </c>
      <c r="H3933" t="s">
        <v>938</v>
      </c>
    </row>
    <row r="3934" spans="1:8" hidden="1" x14ac:dyDescent="0.25">
      <c r="A3934" t="s">
        <v>5438</v>
      </c>
      <c r="B3934" s="1" t="str">
        <f>HYPERLINK("https://asmlis.vasa.lt/Dashboard/Served?ServiceDateFrom=2025-11-24&amp;ServiceDateTo=2025-11-24&amp;DumpsterInvNr=13-L-137766", "13-L-137766")</f>
        <v>13-L-137766</v>
      </c>
      <c r="C3934">
        <v>5</v>
      </c>
      <c r="D3934" t="s">
        <v>5439</v>
      </c>
      <c r="E3934" t="s">
        <v>11</v>
      </c>
      <c r="F3934" t="s">
        <v>13</v>
      </c>
      <c r="G3934" t="s">
        <v>430</v>
      </c>
      <c r="H3934" t="s">
        <v>432</v>
      </c>
    </row>
    <row r="3935" spans="1:8" hidden="1" x14ac:dyDescent="0.25">
      <c r="A3935" t="s">
        <v>4215</v>
      </c>
      <c r="B3935" s="1" t="str">
        <f>HYPERLINK("https://asmlis.vasa.lt/Dashboard/Served?ServiceDateFrom=2025-11-24&amp;ServiceDateTo=2025-11-24&amp;DumpsterInvNr=13-M-203922", "13-M-203922")</f>
        <v>13-M-203922</v>
      </c>
      <c r="C3935">
        <v>0.12</v>
      </c>
      <c r="D3935" t="s">
        <v>5440</v>
      </c>
      <c r="E3935" t="s">
        <v>11</v>
      </c>
      <c r="F3935" t="s">
        <v>1209</v>
      </c>
      <c r="G3935" t="s">
        <v>4876</v>
      </c>
      <c r="H3935" t="s">
        <v>938</v>
      </c>
    </row>
    <row r="3936" spans="1:8" hidden="1" x14ac:dyDescent="0.25">
      <c r="A3936" t="s">
        <v>4284</v>
      </c>
      <c r="B3936" s="1" t="str">
        <f>HYPERLINK("https://asmlis.vasa.lt/Dashboard/Served?ServiceDateFrom=2025-11-24&amp;ServiceDateTo=2025-11-24&amp;DumpsterInvNr=13-P-205237", "13-P-205237")</f>
        <v>13-P-205237</v>
      </c>
      <c r="C3936">
        <v>0.24</v>
      </c>
      <c r="D3936" t="s">
        <v>5442</v>
      </c>
      <c r="E3936" t="s">
        <v>11</v>
      </c>
      <c r="G3936" t="s">
        <v>234</v>
      </c>
      <c r="H3936" t="s">
        <v>14</v>
      </c>
    </row>
    <row r="3937" spans="1:8" hidden="1" x14ac:dyDescent="0.25">
      <c r="A3937" t="s">
        <v>5443</v>
      </c>
      <c r="B3937" s="1" t="str">
        <f>HYPERLINK("https://asmlis.vasa.lt/Dashboard/Served?ServiceDateFrom=2025-11-24&amp;ServiceDateTo=2025-11-24&amp;DumpsterInvNr=13-P-306798", "13-P-306798")</f>
        <v>13-P-306798</v>
      </c>
      <c r="C3937">
        <v>1.1000000000000001</v>
      </c>
      <c r="D3937" t="s">
        <v>1878</v>
      </c>
      <c r="E3937" t="s">
        <v>11</v>
      </c>
      <c r="G3937" t="s">
        <v>412</v>
      </c>
      <c r="H3937" t="s">
        <v>14</v>
      </c>
    </row>
    <row r="3938" spans="1:8" hidden="1" x14ac:dyDescent="0.25">
      <c r="A3938" t="s">
        <v>5444</v>
      </c>
      <c r="B3938" s="1" t="str">
        <f>HYPERLINK("https://asmlis.vasa.lt/Dashboard/Served?ServiceDateFrom=2025-11-24&amp;ServiceDateTo=2025-11-24&amp;DumpsterInvNr=13-P-304001", "13-P-304001")</f>
        <v>13-P-304001</v>
      </c>
      <c r="C3938">
        <v>3</v>
      </c>
      <c r="D3938" t="s">
        <v>1564</v>
      </c>
      <c r="E3938" t="s">
        <v>11</v>
      </c>
      <c r="G3938" t="s">
        <v>412</v>
      </c>
      <c r="H3938" t="s">
        <v>14</v>
      </c>
    </row>
    <row r="3939" spans="1:8" hidden="1" x14ac:dyDescent="0.25">
      <c r="A3939" t="s">
        <v>5445</v>
      </c>
      <c r="B3939" s="1" t="str">
        <f>HYPERLINK("https://asmlis.vasa.lt/Dashboard/Served?ServiceDateFrom=2025-11-24&amp;ServiceDateTo=2025-11-24&amp;DumpsterInvNr=13-P-210938", "13-P-210938")</f>
        <v>13-P-210938</v>
      </c>
      <c r="C3939">
        <v>0.24</v>
      </c>
      <c r="D3939" t="s">
        <v>5446</v>
      </c>
      <c r="E3939" t="s">
        <v>11</v>
      </c>
      <c r="F3939" t="s">
        <v>1209</v>
      </c>
      <c r="G3939" t="s">
        <v>234</v>
      </c>
      <c r="H3939" t="s">
        <v>14</v>
      </c>
    </row>
    <row r="3940" spans="1:8" hidden="1" x14ac:dyDescent="0.25">
      <c r="A3940" t="s">
        <v>5447</v>
      </c>
      <c r="B3940" s="1" t="str">
        <f>HYPERLINK("https://asmlis.vasa.lt/Dashboard/Served?ServiceDateFrom=2025-11-24&amp;ServiceDateTo=2025-11-24&amp;DumpsterInvNr=13-L-427090", "13-L-427090")</f>
        <v>13-L-427090</v>
      </c>
      <c r="C3940">
        <v>1.1000000000000001</v>
      </c>
      <c r="D3940" t="s">
        <v>3101</v>
      </c>
      <c r="E3940" t="s">
        <v>11</v>
      </c>
      <c r="G3940" t="s">
        <v>74</v>
      </c>
      <c r="H3940" t="s">
        <v>14</v>
      </c>
    </row>
    <row r="3941" spans="1:8" hidden="1" x14ac:dyDescent="0.25">
      <c r="A3941" t="s">
        <v>5448</v>
      </c>
      <c r="B3941" s="1" t="str">
        <f>HYPERLINK("https://asmlis.vasa.lt/Dashboard/Served?ServiceDateFrom=2025-11-24&amp;ServiceDateTo=2025-11-24&amp;DumpsterInvNr=13-M-200964", "13-M-200964")</f>
        <v>13-M-200964</v>
      </c>
      <c r="C3941">
        <v>0.12</v>
      </c>
      <c r="D3941" t="s">
        <v>5449</v>
      </c>
      <c r="E3941" t="s">
        <v>11</v>
      </c>
      <c r="F3941" t="s">
        <v>1209</v>
      </c>
      <c r="G3941" t="s">
        <v>4876</v>
      </c>
      <c r="H3941" t="s">
        <v>938</v>
      </c>
    </row>
    <row r="3942" spans="1:8" hidden="1" x14ac:dyDescent="0.25">
      <c r="A3942" t="s">
        <v>5450</v>
      </c>
      <c r="B3942" s="1" t="str">
        <f>HYPERLINK("https://asmlis.vasa.lt/Dashboard/Served?ServiceDateFrom=2025-11-24&amp;ServiceDateTo=2025-11-24&amp;DumpsterInvNr=13-L-114261", "13-L-114261")</f>
        <v>13-L-114261</v>
      </c>
      <c r="C3942">
        <v>0.24</v>
      </c>
      <c r="D3942" t="s">
        <v>5451</v>
      </c>
      <c r="E3942" t="s">
        <v>11</v>
      </c>
      <c r="G3942" t="s">
        <v>430</v>
      </c>
      <c r="H3942" t="s">
        <v>432</v>
      </c>
    </row>
    <row r="3943" spans="1:8" hidden="1" x14ac:dyDescent="0.25">
      <c r="A3943" t="s">
        <v>5450</v>
      </c>
      <c r="B3943" s="1" t="str">
        <f>HYPERLINK("https://asmlis.vasa.lt/Dashboard/Served?ServiceDateFrom=2025-11-24&amp;ServiceDateTo=2025-11-24&amp;DumpsterInvNr=13-L-219644", "13-L-219644")</f>
        <v>13-L-219644</v>
      </c>
      <c r="C3943">
        <v>0.24</v>
      </c>
      <c r="D3943" t="s">
        <v>5453</v>
      </c>
      <c r="E3943" t="s">
        <v>11</v>
      </c>
      <c r="G3943" t="s">
        <v>936</v>
      </c>
      <c r="H3943" t="s">
        <v>938</v>
      </c>
    </row>
    <row r="3944" spans="1:8" hidden="1" x14ac:dyDescent="0.25">
      <c r="A3944" t="s">
        <v>5454</v>
      </c>
      <c r="B3944" s="1" t="str">
        <f>HYPERLINK("https://asmlis.vasa.lt/Dashboard/Served?ServiceDateFrom=2025-11-24&amp;ServiceDateTo=2025-11-24&amp;DumpsterInvNr=13-L-220498", "13-L-220498")</f>
        <v>13-L-220498</v>
      </c>
      <c r="C3944">
        <v>1.1000000000000001</v>
      </c>
      <c r="D3944" t="s">
        <v>5286</v>
      </c>
      <c r="E3944" t="s">
        <v>11</v>
      </c>
      <c r="G3944" t="s">
        <v>936</v>
      </c>
      <c r="H3944" t="s">
        <v>938</v>
      </c>
    </row>
    <row r="3945" spans="1:8" hidden="1" x14ac:dyDescent="0.25">
      <c r="A3945" t="s">
        <v>5455</v>
      </c>
      <c r="B3945" s="1" t="str">
        <f>HYPERLINK("https://asmlis.vasa.lt/Dashboard/Served?ServiceDateFrom=2025-11-24&amp;ServiceDateTo=2025-11-24&amp;DumpsterInvNr=13-L-300566", "13-L-300566")</f>
        <v>13-L-300566</v>
      </c>
      <c r="C3945">
        <v>1.1000000000000001</v>
      </c>
      <c r="D3945" t="s">
        <v>5456</v>
      </c>
      <c r="E3945" t="s">
        <v>11</v>
      </c>
      <c r="G3945" t="s">
        <v>9</v>
      </c>
      <c r="H3945" t="s">
        <v>14</v>
      </c>
    </row>
    <row r="3946" spans="1:8" hidden="1" x14ac:dyDescent="0.25">
      <c r="A3946" t="s">
        <v>5457</v>
      </c>
      <c r="B3946" s="1" t="str">
        <f>HYPERLINK("https://asmlis.vasa.lt/Dashboard/Served?ServiceDateFrom=2025-11-24&amp;ServiceDateTo=2025-11-24&amp;DumpsterInvNr=13-P-300864", "13-P-300864")</f>
        <v>13-P-300864</v>
      </c>
      <c r="C3946">
        <v>1.1000000000000001</v>
      </c>
      <c r="D3946" t="s">
        <v>1878</v>
      </c>
      <c r="E3946" t="s">
        <v>11</v>
      </c>
      <c r="G3946" t="s">
        <v>412</v>
      </c>
      <c r="H3946" t="s">
        <v>14</v>
      </c>
    </row>
    <row r="3947" spans="1:8" hidden="1" x14ac:dyDescent="0.25">
      <c r="A3947" t="s">
        <v>5458</v>
      </c>
      <c r="B3947" s="1" t="str">
        <f>HYPERLINK("https://asmlis.vasa.lt/Dashboard/Served?ServiceDateFrom=2025-11-24&amp;ServiceDateTo=2025-11-24&amp;DumpsterInvNr=13-L-120406", "13-L-120406")</f>
        <v>13-L-120406</v>
      </c>
      <c r="C3947">
        <v>0.24</v>
      </c>
      <c r="D3947" t="s">
        <v>5459</v>
      </c>
      <c r="E3947" t="s">
        <v>11</v>
      </c>
      <c r="G3947" t="s">
        <v>1912</v>
      </c>
      <c r="H3947" t="s">
        <v>432</v>
      </c>
    </row>
    <row r="3948" spans="1:8" hidden="1" x14ac:dyDescent="0.25">
      <c r="A3948" t="s">
        <v>5458</v>
      </c>
      <c r="B3948" s="1" t="str">
        <f>HYPERLINK("https://asmlis.vasa.lt/Dashboard/Served?ServiceDateFrom=2025-11-24&amp;ServiceDateTo=2025-11-24&amp;DumpsterInvNr=13-P-205054", "13-P-205054")</f>
        <v>13-P-205054</v>
      </c>
      <c r="C3948">
        <v>5</v>
      </c>
      <c r="D3948" t="s">
        <v>5460</v>
      </c>
      <c r="E3948" t="s">
        <v>11</v>
      </c>
      <c r="G3948" t="s">
        <v>234</v>
      </c>
      <c r="H3948" t="s">
        <v>14</v>
      </c>
    </row>
    <row r="3949" spans="1:8" hidden="1" x14ac:dyDescent="0.25">
      <c r="A3949" t="s">
        <v>5461</v>
      </c>
      <c r="B3949" s="1" t="str">
        <f>HYPERLINK("https://asmlis.vasa.lt/Dashboard/Served?ServiceDateFrom=2025-11-24&amp;ServiceDateTo=2025-11-24&amp;DumpsterInvNr=13-M-200951", "13-M-200951")</f>
        <v>13-M-200951</v>
      </c>
      <c r="C3949">
        <v>0.12</v>
      </c>
      <c r="D3949" t="s">
        <v>5462</v>
      </c>
      <c r="E3949" t="s">
        <v>11</v>
      </c>
      <c r="F3949" t="s">
        <v>1209</v>
      </c>
      <c r="G3949" t="s">
        <v>4876</v>
      </c>
      <c r="H3949" t="s">
        <v>938</v>
      </c>
    </row>
    <row r="3950" spans="1:8" hidden="1" x14ac:dyDescent="0.25">
      <c r="A3950" t="s">
        <v>5463</v>
      </c>
      <c r="B3950" s="1" t="str">
        <f>HYPERLINK("https://asmlis.vasa.lt/Dashboard/Served?ServiceDateFrom=2025-11-24&amp;ServiceDateTo=2025-11-24&amp;DumpsterInvNr=13-P-402418", "13-P-402418")</f>
        <v>13-P-402418</v>
      </c>
      <c r="C3950">
        <v>1.1000000000000001</v>
      </c>
      <c r="D3950" t="s">
        <v>5464</v>
      </c>
      <c r="E3950" t="s">
        <v>11</v>
      </c>
      <c r="F3950" t="s">
        <v>13</v>
      </c>
      <c r="G3950" t="s">
        <v>264</v>
      </c>
      <c r="H3950" t="s">
        <v>14</v>
      </c>
    </row>
    <row r="3951" spans="1:8" hidden="1" x14ac:dyDescent="0.25">
      <c r="A3951" t="s">
        <v>5465</v>
      </c>
      <c r="B3951" s="1" t="str">
        <f>HYPERLINK("https://asmlis.vasa.lt/Dashboard/Served?ServiceDateFrom=2025-11-24&amp;ServiceDateTo=2025-11-24&amp;DumpsterInvNr=13-L-420613", "13-L-420613")</f>
        <v>13-L-420613</v>
      </c>
      <c r="C3951">
        <v>0.24</v>
      </c>
      <c r="D3951" t="s">
        <v>5466</v>
      </c>
      <c r="E3951" t="s">
        <v>11</v>
      </c>
      <c r="F3951" t="s">
        <v>1209</v>
      </c>
      <c r="G3951" t="s">
        <v>74</v>
      </c>
      <c r="H3951" t="s">
        <v>14</v>
      </c>
    </row>
    <row r="3952" spans="1:8" hidden="1" x14ac:dyDescent="0.25">
      <c r="A3952" t="s">
        <v>5468</v>
      </c>
      <c r="B3952" s="1" t="str">
        <f>HYPERLINK("https://asmlis.vasa.lt/Dashboard/Served?ServiceDateFrom=2025-11-24&amp;ServiceDateTo=2025-11-24&amp;DumpsterInvNr=13-L-123378", "13-L-123378")</f>
        <v>13-L-123378</v>
      </c>
      <c r="C3952">
        <v>0.12</v>
      </c>
      <c r="D3952" t="s">
        <v>5469</v>
      </c>
      <c r="E3952" t="s">
        <v>11</v>
      </c>
      <c r="G3952" t="s">
        <v>430</v>
      </c>
      <c r="H3952" t="s">
        <v>432</v>
      </c>
    </row>
    <row r="3953" spans="1:8" hidden="1" x14ac:dyDescent="0.25">
      <c r="A3953" t="s">
        <v>5468</v>
      </c>
      <c r="B3953" s="1" t="str">
        <f>HYPERLINK("https://asmlis.vasa.lt/Dashboard/Served?ServiceDateFrom=2025-11-24&amp;ServiceDateTo=2025-11-24&amp;DumpsterInvNr=13-L-318823", "13-L-318823")</f>
        <v>13-L-318823</v>
      </c>
      <c r="C3953">
        <v>1.1000000000000001</v>
      </c>
      <c r="D3953" t="s">
        <v>5471</v>
      </c>
      <c r="E3953" t="s">
        <v>11</v>
      </c>
      <c r="F3953" t="s">
        <v>13</v>
      </c>
      <c r="G3953" t="s">
        <v>9</v>
      </c>
      <c r="H3953" t="s">
        <v>14</v>
      </c>
    </row>
    <row r="3954" spans="1:8" hidden="1" x14ac:dyDescent="0.25">
      <c r="A3954" t="s">
        <v>5472</v>
      </c>
      <c r="B3954" s="1" t="str">
        <f>HYPERLINK("https://asmlis.vasa.lt/Dashboard/Served?ServiceDateFrom=2025-11-24&amp;ServiceDateTo=2025-11-24&amp;DumpsterInvNr=13-L-305931", "13-L-305931")</f>
        <v>13-L-305931</v>
      </c>
      <c r="C3954">
        <v>5</v>
      </c>
      <c r="D3954" t="s">
        <v>5473</v>
      </c>
      <c r="E3954" t="s">
        <v>11</v>
      </c>
      <c r="F3954" t="s">
        <v>13</v>
      </c>
      <c r="G3954" t="s">
        <v>9</v>
      </c>
      <c r="H3954" t="s">
        <v>14</v>
      </c>
    </row>
    <row r="3955" spans="1:8" hidden="1" x14ac:dyDescent="0.25">
      <c r="A3955" t="s">
        <v>5474</v>
      </c>
      <c r="B3955" s="1" t="str">
        <f>HYPERLINK("https://asmlis.vasa.lt/Dashboard/Served?ServiceDateFrom=2025-11-24&amp;ServiceDateTo=2025-11-24&amp;DumpsterInvNr=13-P-500675", "13-P-500675")</f>
        <v>13-P-500675</v>
      </c>
      <c r="C3955">
        <v>4</v>
      </c>
      <c r="D3955" t="s">
        <v>5475</v>
      </c>
      <c r="E3955" t="s">
        <v>11</v>
      </c>
      <c r="F3955" t="s">
        <v>13</v>
      </c>
      <c r="G3955" t="s">
        <v>2178</v>
      </c>
      <c r="H3955" t="s">
        <v>432</v>
      </c>
    </row>
    <row r="3956" spans="1:8" hidden="1" x14ac:dyDescent="0.25">
      <c r="A3956" t="s">
        <v>5476</v>
      </c>
      <c r="B3956" s="1" t="str">
        <f>HYPERLINK("https://asmlis.vasa.lt/Dashboard/Served?ServiceDateFrom=2025-11-24&amp;ServiceDateTo=2025-11-24&amp;DumpsterInvNr=13-L-219125", "13-L-219125")</f>
        <v>13-L-219125</v>
      </c>
      <c r="C3956">
        <v>1.1000000000000001</v>
      </c>
      <c r="D3956" t="s">
        <v>5286</v>
      </c>
      <c r="E3956" t="s">
        <v>11</v>
      </c>
      <c r="G3956" t="s">
        <v>936</v>
      </c>
      <c r="H3956" t="s">
        <v>938</v>
      </c>
    </row>
    <row r="3957" spans="1:8" hidden="1" x14ac:dyDescent="0.25">
      <c r="A3957" t="s">
        <v>4236</v>
      </c>
      <c r="B3957" s="1" t="str">
        <f>HYPERLINK("https://asmlis.vasa.lt/Dashboard/Served?ServiceDateFrom=2025-11-24&amp;ServiceDateTo=2025-11-24&amp;DumpsterInvNr=13-P-102469", "13-P-102469")</f>
        <v>13-P-102469</v>
      </c>
      <c r="C3957">
        <v>5</v>
      </c>
      <c r="D3957" t="s">
        <v>5477</v>
      </c>
      <c r="E3957" t="s">
        <v>11</v>
      </c>
      <c r="F3957" t="s">
        <v>13</v>
      </c>
      <c r="G3957" t="s">
        <v>1917</v>
      </c>
      <c r="H3957" t="s">
        <v>432</v>
      </c>
    </row>
    <row r="3958" spans="1:8" hidden="1" x14ac:dyDescent="0.25">
      <c r="A3958" t="s">
        <v>4236</v>
      </c>
      <c r="B3958" s="1" t="str">
        <f>HYPERLINK("https://asmlis.vasa.lt/Dashboard/Served?ServiceDateFrom=2025-11-24&amp;ServiceDateTo=2025-11-24&amp;DumpsterInvNr=13-L-314479", "13-L-314479")</f>
        <v>13-L-314479</v>
      </c>
      <c r="C3958">
        <v>0.77</v>
      </c>
      <c r="D3958" t="s">
        <v>5428</v>
      </c>
      <c r="E3958" t="s">
        <v>11</v>
      </c>
      <c r="F3958" t="s">
        <v>13</v>
      </c>
      <c r="G3958" t="s">
        <v>9</v>
      </c>
      <c r="H3958" t="s">
        <v>14</v>
      </c>
    </row>
    <row r="3959" spans="1:8" hidden="1" x14ac:dyDescent="0.25">
      <c r="A3959" t="s">
        <v>5478</v>
      </c>
      <c r="B3959" s="1" t="str">
        <f>HYPERLINK("https://asmlis.vasa.lt/Dashboard/Served?ServiceDateFrom=2025-11-24&amp;ServiceDateTo=2025-11-24&amp;DumpsterInvNr=13-L-225801", "13-L-225801")</f>
        <v>13-L-225801</v>
      </c>
      <c r="C3959">
        <v>1.1000000000000001</v>
      </c>
      <c r="D3959" t="s">
        <v>5286</v>
      </c>
      <c r="E3959" t="s">
        <v>11</v>
      </c>
      <c r="F3959" t="s">
        <v>13</v>
      </c>
      <c r="G3959" t="s">
        <v>936</v>
      </c>
      <c r="H3959" t="s">
        <v>938</v>
      </c>
    </row>
    <row r="3960" spans="1:8" hidden="1" x14ac:dyDescent="0.25">
      <c r="A3960" t="s">
        <v>5478</v>
      </c>
      <c r="B3960" s="1" t="str">
        <f>HYPERLINK("https://asmlis.vasa.lt/Dashboard/Served?ServiceDateFrom=2025-11-24&amp;ServiceDateTo=2025-11-24&amp;DumpsterInvNr=13-P-500676", "13-P-500676")</f>
        <v>13-P-500676</v>
      </c>
      <c r="C3960">
        <v>4</v>
      </c>
      <c r="D3960" t="s">
        <v>5475</v>
      </c>
      <c r="E3960" t="s">
        <v>11</v>
      </c>
      <c r="F3960" t="s">
        <v>13</v>
      </c>
      <c r="G3960" t="s">
        <v>2178</v>
      </c>
      <c r="H3960" t="s">
        <v>432</v>
      </c>
    </row>
    <row r="3961" spans="1:8" hidden="1" x14ac:dyDescent="0.25">
      <c r="A3961" t="s">
        <v>5479</v>
      </c>
      <c r="B3961" s="1" t="str">
        <f>HYPERLINK("https://asmlis.vasa.lt/Dashboard/Served?ServiceDateFrom=2025-11-24&amp;ServiceDateTo=2025-11-24&amp;DumpsterInvNr=13-L-421021", "13-L-421021")</f>
        <v>13-L-421021</v>
      </c>
      <c r="C3961">
        <v>1.1000000000000001</v>
      </c>
      <c r="D3961" t="s">
        <v>5480</v>
      </c>
      <c r="E3961" t="s">
        <v>11</v>
      </c>
      <c r="G3961" t="s">
        <v>74</v>
      </c>
      <c r="H3961" t="s">
        <v>14</v>
      </c>
    </row>
    <row r="3962" spans="1:8" hidden="1" x14ac:dyDescent="0.25">
      <c r="A3962" t="s">
        <v>5481</v>
      </c>
      <c r="B3962" s="1" t="str">
        <f>HYPERLINK("https://asmlis.vasa.lt/Dashboard/Served?ServiceDateFrom=2025-11-24&amp;ServiceDateTo=2025-11-24&amp;DumpsterInvNr=13-P-500518", "13-P-500518")</f>
        <v>13-P-500518</v>
      </c>
      <c r="C3962">
        <v>5</v>
      </c>
      <c r="D3962" t="s">
        <v>5482</v>
      </c>
      <c r="E3962" t="s">
        <v>11</v>
      </c>
      <c r="F3962" t="s">
        <v>13</v>
      </c>
      <c r="G3962" t="s">
        <v>2178</v>
      </c>
      <c r="H3962" t="s">
        <v>432</v>
      </c>
    </row>
    <row r="3963" spans="1:8" hidden="1" x14ac:dyDescent="0.25">
      <c r="A3963" t="s">
        <v>5483</v>
      </c>
      <c r="B3963" s="1" t="str">
        <f>HYPERLINK("https://asmlis.vasa.lt/Dashboard/Served?ServiceDateFrom=2025-11-24&amp;ServiceDateTo=2025-11-24&amp;DumpsterInvNr=13-L-421540", "13-L-421540")</f>
        <v>13-L-421540</v>
      </c>
      <c r="C3963">
        <v>1.1000000000000001</v>
      </c>
      <c r="D3963" t="s">
        <v>2055</v>
      </c>
      <c r="E3963" t="s">
        <v>11</v>
      </c>
      <c r="G3963" t="s">
        <v>74</v>
      </c>
      <c r="H3963" t="s">
        <v>14</v>
      </c>
    </row>
    <row r="3964" spans="1:8" hidden="1" x14ac:dyDescent="0.25">
      <c r="A3964" t="s">
        <v>5483</v>
      </c>
      <c r="B3964" s="1" t="str">
        <f>HYPERLINK("https://asmlis.vasa.lt/Dashboard/Served?ServiceDateFrom=2025-11-24&amp;ServiceDateTo=2025-11-24&amp;DumpsterInvNr=13-T-000055", "13-T-000055")</f>
        <v>13-T-000055</v>
      </c>
      <c r="C3964">
        <v>2.5</v>
      </c>
      <c r="D3964" t="s">
        <v>5484</v>
      </c>
      <c r="E3964" t="s">
        <v>11</v>
      </c>
      <c r="F3964" t="s">
        <v>13</v>
      </c>
      <c r="G3964" t="s">
        <v>1899</v>
      </c>
      <c r="H3964" t="s">
        <v>432</v>
      </c>
    </row>
    <row r="3965" spans="1:8" hidden="1" x14ac:dyDescent="0.25">
      <c r="A3965" t="s">
        <v>5485</v>
      </c>
      <c r="B3965" s="1" t="str">
        <f>HYPERLINK("https://asmlis.vasa.lt/Dashboard/Served?ServiceDateFrom=2025-11-24&amp;ServiceDateTo=2025-11-24&amp;DumpsterInvNr=13-L-135623", "13-L-135623")</f>
        <v>13-L-135623</v>
      </c>
      <c r="C3965">
        <v>0.24</v>
      </c>
      <c r="D3965" t="s">
        <v>5486</v>
      </c>
      <c r="E3965" t="s">
        <v>11</v>
      </c>
      <c r="G3965" t="s">
        <v>430</v>
      </c>
      <c r="H3965" t="s">
        <v>432</v>
      </c>
    </row>
    <row r="3966" spans="1:8" hidden="1" x14ac:dyDescent="0.25">
      <c r="A3966" t="s">
        <v>5485</v>
      </c>
      <c r="B3966" s="1" t="str">
        <f>HYPERLINK("https://asmlis.vasa.lt/Dashboard/Served?ServiceDateFrom=2025-11-24&amp;ServiceDateTo=2025-11-24&amp;DumpsterInvNr=13-P-506868", "13-P-506868")</f>
        <v>13-P-506868</v>
      </c>
      <c r="C3966">
        <v>0.24</v>
      </c>
      <c r="D3966" t="s">
        <v>5487</v>
      </c>
      <c r="E3966" t="s">
        <v>11</v>
      </c>
      <c r="G3966" t="s">
        <v>2178</v>
      </c>
      <c r="H3966" t="s">
        <v>432</v>
      </c>
    </row>
    <row r="3967" spans="1:8" hidden="1" x14ac:dyDescent="0.25">
      <c r="A3967" t="s">
        <v>5488</v>
      </c>
      <c r="B3967" s="1" t="str">
        <f>HYPERLINK("https://asmlis.vasa.lt/Dashboard/Served?ServiceDateFrom=2025-11-24&amp;ServiceDateTo=2025-11-24&amp;DumpsterInvNr=13-L-138558", "13-L-138558")</f>
        <v>13-L-138558</v>
      </c>
      <c r="C3967">
        <v>0.24</v>
      </c>
      <c r="D3967" t="s">
        <v>5489</v>
      </c>
      <c r="E3967" t="s">
        <v>11</v>
      </c>
      <c r="G3967" t="s">
        <v>430</v>
      </c>
      <c r="H3967" t="s">
        <v>432</v>
      </c>
    </row>
    <row r="3968" spans="1:8" hidden="1" x14ac:dyDescent="0.25">
      <c r="A3968" t="s">
        <v>5491</v>
      </c>
      <c r="B3968" s="1" t="str">
        <f>HYPERLINK("https://asmlis.vasa.lt/Dashboard/Served?ServiceDateFrom=2025-11-24&amp;ServiceDateTo=2025-11-24&amp;DumpsterInvNr=13-L-305382", "13-L-305382")</f>
        <v>13-L-305382</v>
      </c>
      <c r="C3968">
        <v>1.1000000000000001</v>
      </c>
      <c r="D3968" t="s">
        <v>5492</v>
      </c>
      <c r="E3968" t="s">
        <v>11</v>
      </c>
      <c r="F3968" t="s">
        <v>13</v>
      </c>
      <c r="G3968" t="s">
        <v>9</v>
      </c>
      <c r="H3968" t="s">
        <v>14</v>
      </c>
    </row>
    <row r="3969" spans="1:10" hidden="1" x14ac:dyDescent="0.25">
      <c r="A3969" t="s">
        <v>5491</v>
      </c>
      <c r="B3969" s="1" t="str">
        <f>HYPERLINK("https://asmlis.vasa.lt/Dashboard/Served?ServiceDateFrom=2025-11-24&amp;ServiceDateTo=2025-11-24&amp;DumpsterInvNr=13-L-305383", "13-L-305383")</f>
        <v>13-L-305383</v>
      </c>
      <c r="C3969">
        <v>1.1000000000000001</v>
      </c>
      <c r="D3969" t="s">
        <v>5492</v>
      </c>
      <c r="E3969" t="s">
        <v>11</v>
      </c>
      <c r="G3969" t="s">
        <v>9</v>
      </c>
      <c r="H3969" t="s">
        <v>14</v>
      </c>
    </row>
    <row r="3970" spans="1:10" hidden="1" x14ac:dyDescent="0.25">
      <c r="A3970" t="s">
        <v>5491</v>
      </c>
      <c r="B3970" s="1" t="str">
        <f>HYPERLINK("https://asmlis.vasa.lt/Dashboard/Served?ServiceDateFrom=2025-11-24&amp;ServiceDateTo=2025-11-24&amp;DumpsterInvNr=13-T-000121", "13-T-000121")</f>
        <v>13-T-000121</v>
      </c>
      <c r="C3970">
        <v>2.5</v>
      </c>
      <c r="D3970" t="s">
        <v>5484</v>
      </c>
      <c r="E3970" t="s">
        <v>11</v>
      </c>
      <c r="F3970" t="s">
        <v>13</v>
      </c>
      <c r="G3970" t="s">
        <v>1899</v>
      </c>
      <c r="H3970" t="s">
        <v>432</v>
      </c>
    </row>
    <row r="3971" spans="1:10" hidden="1" x14ac:dyDescent="0.25">
      <c r="A3971" t="s">
        <v>5493</v>
      </c>
      <c r="B3971" s="1" t="str">
        <f>HYPERLINK("https://asmlis.vasa.lt/Dashboard/Served?ServiceDateFrom=2025-11-24&amp;ServiceDateTo=2025-11-24&amp;DumpsterInvNr=13-L-427072", "13-L-427072")</f>
        <v>13-L-427072</v>
      </c>
      <c r="C3971">
        <v>1.1000000000000001</v>
      </c>
      <c r="D3971" t="s">
        <v>3101</v>
      </c>
      <c r="E3971" t="s">
        <v>11</v>
      </c>
      <c r="G3971" t="s">
        <v>74</v>
      </c>
      <c r="H3971" t="s">
        <v>14</v>
      </c>
    </row>
    <row r="3972" spans="1:10" hidden="1" x14ac:dyDescent="0.25">
      <c r="A3972" t="s">
        <v>5494</v>
      </c>
      <c r="B3972" s="1" t="str">
        <f>HYPERLINK("https://asmlis.vasa.lt/Dashboard/Served?ServiceDateFrom=2025-11-24&amp;ServiceDateTo=2025-11-24&amp;DumpsterInvNr=13-P-415455", "13-P-415455")</f>
        <v>13-P-415455</v>
      </c>
      <c r="C3972">
        <v>0.24</v>
      </c>
      <c r="D3972" t="s">
        <v>5495</v>
      </c>
      <c r="E3972" t="s">
        <v>11</v>
      </c>
      <c r="G3972" t="s">
        <v>264</v>
      </c>
      <c r="H3972" t="s">
        <v>14</v>
      </c>
    </row>
    <row r="3973" spans="1:10" hidden="1" x14ac:dyDescent="0.25">
      <c r="A3973" t="s">
        <v>5496</v>
      </c>
      <c r="B3973" s="1" t="str">
        <f>HYPERLINK("https://asmlis.vasa.lt/Dashboard/Served?ServiceDateFrom=2025-11-24&amp;ServiceDateTo=2025-11-24&amp;DumpsterInvNr=13-L-300565", "13-L-300565")</f>
        <v>13-L-300565</v>
      </c>
      <c r="C3973">
        <v>1.1000000000000001</v>
      </c>
      <c r="D3973" t="s">
        <v>5456</v>
      </c>
      <c r="E3973" t="s">
        <v>11</v>
      </c>
      <c r="F3973" t="s">
        <v>13</v>
      </c>
      <c r="G3973" t="s">
        <v>9</v>
      </c>
      <c r="H3973" t="s">
        <v>14</v>
      </c>
    </row>
    <row r="3974" spans="1:10" hidden="1" x14ac:dyDescent="0.25">
      <c r="A3974" t="s">
        <v>5497</v>
      </c>
      <c r="B3974" s="1" t="str">
        <f>HYPERLINK("https://asmlis.vasa.lt/Dashboard/Served?ServiceDateFrom=2025-11-24&amp;ServiceDateTo=2025-11-24&amp;DumpsterInvNr=13-L-309501", "13-L-309501")</f>
        <v>13-L-309501</v>
      </c>
      <c r="C3974">
        <v>0.24</v>
      </c>
      <c r="D3974" t="s">
        <v>5498</v>
      </c>
      <c r="E3974" t="s">
        <v>11</v>
      </c>
      <c r="G3974" t="s">
        <v>9</v>
      </c>
      <c r="H3974" t="s">
        <v>14</v>
      </c>
    </row>
    <row r="3975" spans="1:10" hidden="1" x14ac:dyDescent="0.25">
      <c r="A3975" t="s">
        <v>5497</v>
      </c>
      <c r="B3975" s="1" t="str">
        <f>HYPERLINK("https://asmlis.vasa.lt/Dashboard/Served?ServiceDateFrom=2025-11-24&amp;ServiceDateTo=2025-11-24&amp;DumpsterInvNr=13-L-426148", "13-L-426148")</f>
        <v>13-L-426148</v>
      </c>
      <c r="C3975">
        <v>1.1000000000000001</v>
      </c>
      <c r="D3975" t="s">
        <v>2055</v>
      </c>
      <c r="E3975" t="s">
        <v>11</v>
      </c>
      <c r="G3975" t="s">
        <v>74</v>
      </c>
      <c r="H3975" t="s">
        <v>14</v>
      </c>
    </row>
    <row r="3976" spans="1:10" hidden="1" x14ac:dyDescent="0.25">
      <c r="A3976" t="s">
        <v>5497</v>
      </c>
      <c r="B3976" s="1" t="str">
        <f>HYPERLINK("https://asmlis.vasa.lt/Dashboard/Served?ServiceDateFrom=2025-11-24&amp;ServiceDateTo=2025-11-24&amp;DumpsterInvNr=13-P-506869", "13-P-506869")</f>
        <v>13-P-506869</v>
      </c>
      <c r="C3976">
        <v>0.24</v>
      </c>
      <c r="D3976" t="s">
        <v>5499</v>
      </c>
      <c r="E3976" t="s">
        <v>11</v>
      </c>
      <c r="G3976" t="s">
        <v>2178</v>
      </c>
      <c r="H3976" t="s">
        <v>432</v>
      </c>
    </row>
    <row r="3977" spans="1:10" hidden="1" x14ac:dyDescent="0.25">
      <c r="A3977" t="s">
        <v>5500</v>
      </c>
      <c r="B3977" s="1" t="str">
        <f>HYPERLINK("https://asmlis.vasa.lt/Dashboard/Served?ServiceDateFrom=2025-11-24&amp;ServiceDateTo=2025-11-24&amp;DumpsterInvNr=13-P-116376", "13-P-116376")</f>
        <v>13-P-116376</v>
      </c>
      <c r="C3977">
        <v>1.1000000000000001</v>
      </c>
      <c r="D3977" t="s">
        <v>5502</v>
      </c>
      <c r="E3977" t="s">
        <v>11</v>
      </c>
      <c r="G3977" t="s">
        <v>1917</v>
      </c>
      <c r="H3977" t="s">
        <v>432</v>
      </c>
    </row>
    <row r="3978" spans="1:10" hidden="1" x14ac:dyDescent="0.25">
      <c r="A3978" t="s">
        <v>5503</v>
      </c>
      <c r="B3978" s="1" t="str">
        <f>HYPERLINK("https://asmlis.vasa.lt/Dashboard/Served?ServiceDateFrom=2025-11-24&amp;ServiceDateTo=2025-11-24&amp;DumpsterInvNr=13-L-138445", "13-L-138445")</f>
        <v>13-L-138445</v>
      </c>
      <c r="C3978">
        <v>0.24</v>
      </c>
      <c r="D3978" t="s">
        <v>5487</v>
      </c>
      <c r="E3978" t="s">
        <v>11</v>
      </c>
      <c r="G3978" t="s">
        <v>430</v>
      </c>
      <c r="H3978" t="s">
        <v>432</v>
      </c>
    </row>
    <row r="3979" spans="1:10" hidden="1" x14ac:dyDescent="0.25">
      <c r="A3979" t="s">
        <v>5503</v>
      </c>
      <c r="B3979" s="1" t="str">
        <f>HYPERLINK("https://asmlis.vasa.lt/Dashboard/Served?ServiceDateFrom=2025-11-24&amp;ServiceDateTo=2025-11-24&amp;DumpsterInvNr=13-P-506866", "13-P-506866")</f>
        <v>13-P-506866</v>
      </c>
      <c r="C3979">
        <v>0.24</v>
      </c>
      <c r="D3979" t="s">
        <v>5486</v>
      </c>
      <c r="E3979" t="s">
        <v>11</v>
      </c>
      <c r="G3979" t="s">
        <v>2178</v>
      </c>
      <c r="H3979" t="s">
        <v>432</v>
      </c>
    </row>
    <row r="3980" spans="1:10" hidden="1" x14ac:dyDescent="0.25">
      <c r="A3980" t="s">
        <v>5506</v>
      </c>
      <c r="B3980" s="1" t="str">
        <f>HYPERLINK("https://asmlis.vasa.lt/Dashboard/Served?ServiceDateFrom=2025-11-24&amp;ServiceDateTo=2025-11-24&amp;DumpsterInvNr=13-L-421013", "13-L-421013")</f>
        <v>13-L-421013</v>
      </c>
      <c r="C3980">
        <v>1.1000000000000001</v>
      </c>
      <c r="D3980" t="s">
        <v>3101</v>
      </c>
      <c r="E3980" t="s">
        <v>11</v>
      </c>
      <c r="G3980" t="s">
        <v>74</v>
      </c>
      <c r="H3980" t="s">
        <v>14</v>
      </c>
    </row>
    <row r="3981" spans="1:10" hidden="1" x14ac:dyDescent="0.25">
      <c r="A3981" t="s">
        <v>5507</v>
      </c>
      <c r="B3981" s="1" t="str">
        <f>HYPERLINK("https://asmlis.vasa.lt/Dashboard/Served?ServiceDateFrom=2025-11-24&amp;ServiceDateTo=2025-11-24&amp;DumpsterInvNr=13-L-317179", "13-L-317179")</f>
        <v>13-L-317179</v>
      </c>
      <c r="C3981">
        <v>1.1000000000000001</v>
      </c>
      <c r="D3981" t="s">
        <v>5508</v>
      </c>
      <c r="E3981" t="s">
        <v>11</v>
      </c>
      <c r="G3981" t="s">
        <v>9</v>
      </c>
      <c r="H3981" t="s">
        <v>14</v>
      </c>
    </row>
    <row r="3982" spans="1:10" x14ac:dyDescent="0.25">
      <c r="A3982" t="s">
        <v>5509</v>
      </c>
      <c r="B3982" s="1" t="str">
        <f>HYPERLINK("https://asmlis.vasa.lt/Dashboard/Served?ServiceDateFrom=2025-11-24&amp;ServiceDateTo=2025-11-24&amp;DumpsterInvNr=13-P-401759", "13-P-401759")</f>
        <v>13-P-401759</v>
      </c>
      <c r="C3982">
        <v>0.24</v>
      </c>
      <c r="D3982" t="s">
        <v>5510</v>
      </c>
      <c r="E3982" t="s">
        <v>11</v>
      </c>
      <c r="F3982" t="s">
        <v>1215</v>
      </c>
      <c r="G3982" t="s">
        <v>264</v>
      </c>
      <c r="H3982" t="s">
        <v>14</v>
      </c>
      <c r="J3982" t="s">
        <v>17511</v>
      </c>
    </row>
    <row r="3983" spans="1:10" hidden="1" x14ac:dyDescent="0.25">
      <c r="A3983" t="s">
        <v>5511</v>
      </c>
      <c r="B3983" s="1" t="str">
        <f>HYPERLINK("https://asmlis.vasa.lt/Dashboard/Served?ServiceDateFrom=2025-11-24&amp;ServiceDateTo=2025-11-24&amp;DumpsterInvNr=13-L-135863", "13-L-135863")</f>
        <v>13-L-135863</v>
      </c>
      <c r="C3983">
        <v>0.24</v>
      </c>
      <c r="D3983" t="s">
        <v>5499</v>
      </c>
      <c r="E3983" t="s">
        <v>11</v>
      </c>
      <c r="G3983" t="s">
        <v>430</v>
      </c>
      <c r="H3983" t="s">
        <v>432</v>
      </c>
    </row>
    <row r="3984" spans="1:10" hidden="1" x14ac:dyDescent="0.25">
      <c r="A3984" t="s">
        <v>5511</v>
      </c>
      <c r="B3984" s="1" t="str">
        <f>HYPERLINK("https://asmlis.vasa.lt/Dashboard/Served?ServiceDateFrom=2025-11-24&amp;ServiceDateTo=2025-11-24&amp;DumpsterInvNr=13-P-506857", "13-P-506857")</f>
        <v>13-P-506857</v>
      </c>
      <c r="C3984">
        <v>0.24</v>
      </c>
      <c r="D3984" t="s">
        <v>5489</v>
      </c>
      <c r="E3984" t="s">
        <v>11</v>
      </c>
      <c r="G3984" t="s">
        <v>2178</v>
      </c>
      <c r="H3984" t="s">
        <v>432</v>
      </c>
    </row>
    <row r="3985" spans="1:8" hidden="1" x14ac:dyDescent="0.25">
      <c r="A3985" t="s">
        <v>5513</v>
      </c>
      <c r="B3985" s="1" t="str">
        <f>HYPERLINK("https://asmlis.vasa.lt/Dashboard/Served?ServiceDateFrom=2025-11-24&amp;ServiceDateTo=2025-11-24&amp;DumpsterInvNr=13-L-317854", "13-L-317854")</f>
        <v>13-L-317854</v>
      </c>
      <c r="C3985">
        <v>0.24</v>
      </c>
      <c r="D3985" t="s">
        <v>5498</v>
      </c>
      <c r="E3985" t="s">
        <v>11</v>
      </c>
      <c r="F3985" t="s">
        <v>13</v>
      </c>
      <c r="G3985" t="s">
        <v>9</v>
      </c>
      <c r="H3985" t="s">
        <v>14</v>
      </c>
    </row>
    <row r="3986" spans="1:8" hidden="1" x14ac:dyDescent="0.25">
      <c r="A3986" t="s">
        <v>5515</v>
      </c>
      <c r="B3986" s="1" t="str">
        <f>HYPERLINK("https://asmlis.vasa.lt/Dashboard/Served?ServiceDateFrom=2025-11-24&amp;ServiceDateTo=2025-11-24&amp;DumpsterInvNr=13-P-412113", "13-P-412113")</f>
        <v>13-P-412113</v>
      </c>
      <c r="C3986">
        <v>0.24</v>
      </c>
      <c r="D3986" t="s">
        <v>5516</v>
      </c>
      <c r="E3986" t="s">
        <v>11</v>
      </c>
      <c r="G3986" t="s">
        <v>264</v>
      </c>
      <c r="H3986" t="s">
        <v>14</v>
      </c>
    </row>
    <row r="3987" spans="1:8" hidden="1" x14ac:dyDescent="0.25">
      <c r="A3987" t="s">
        <v>5515</v>
      </c>
      <c r="B3987" s="1" t="str">
        <f>HYPERLINK("https://asmlis.vasa.lt/Dashboard/Served?ServiceDateFrom=2025-11-24&amp;ServiceDateTo=2025-11-24&amp;DumpsterInvNr=13-P-402438", "13-P-402438")</f>
        <v>13-P-402438</v>
      </c>
      <c r="C3987">
        <v>0.12</v>
      </c>
      <c r="D3987" t="s">
        <v>5517</v>
      </c>
      <c r="E3987" t="s">
        <v>11</v>
      </c>
      <c r="G3987" t="s">
        <v>264</v>
      </c>
      <c r="H3987" t="s">
        <v>14</v>
      </c>
    </row>
    <row r="3988" spans="1:8" hidden="1" x14ac:dyDescent="0.25">
      <c r="A3988" t="s">
        <v>5518</v>
      </c>
      <c r="B3988" s="1" t="str">
        <f>HYPERLINK("https://asmlis.vasa.lt/Dashboard/Served?ServiceDateFrom=2025-11-24&amp;ServiceDateTo=2025-11-24&amp;DumpsterInvNr=13-L-210856", "13-L-210856")</f>
        <v>13-L-210856</v>
      </c>
      <c r="C3988">
        <v>0.24</v>
      </c>
      <c r="D3988" t="s">
        <v>5519</v>
      </c>
      <c r="E3988" t="s">
        <v>11</v>
      </c>
      <c r="G3988" t="s">
        <v>936</v>
      </c>
      <c r="H3988" t="s">
        <v>938</v>
      </c>
    </row>
    <row r="3989" spans="1:8" hidden="1" x14ac:dyDescent="0.25">
      <c r="A3989" t="s">
        <v>5520</v>
      </c>
      <c r="B3989" s="1" t="str">
        <f>HYPERLINK("https://asmlis.vasa.lt/Dashboard/Served?ServiceDateFrom=2025-11-24&amp;ServiceDateTo=2025-11-24&amp;DumpsterInvNr=13-S-401323", "13-S-401323")</f>
        <v>13-S-401323</v>
      </c>
      <c r="C3989">
        <v>0.12</v>
      </c>
      <c r="D3989" t="s">
        <v>5517</v>
      </c>
      <c r="E3989" t="s">
        <v>11</v>
      </c>
      <c r="F3989" t="s">
        <v>1209</v>
      </c>
      <c r="G3989" t="s">
        <v>264</v>
      </c>
      <c r="H3989" t="s">
        <v>14</v>
      </c>
    </row>
    <row r="3990" spans="1:8" hidden="1" x14ac:dyDescent="0.25">
      <c r="A3990" t="s">
        <v>5521</v>
      </c>
      <c r="B3990" s="1" t="str">
        <f>HYPERLINK("https://asmlis.vasa.lt/Dashboard/Served?ServiceDateFrom=2025-11-24&amp;ServiceDateTo=2025-11-24&amp;DumpsterInvNr=13-L-314835", "13-L-314835")</f>
        <v>13-L-314835</v>
      </c>
      <c r="C3990">
        <v>5</v>
      </c>
      <c r="D3990" t="s">
        <v>5522</v>
      </c>
      <c r="E3990" t="s">
        <v>11</v>
      </c>
      <c r="F3990" t="s">
        <v>13</v>
      </c>
      <c r="G3990" t="s">
        <v>9</v>
      </c>
      <c r="H3990" t="s">
        <v>14</v>
      </c>
    </row>
    <row r="3991" spans="1:8" hidden="1" x14ac:dyDescent="0.25">
      <c r="A3991" t="s">
        <v>5523</v>
      </c>
      <c r="B3991" s="1" t="str">
        <f>HYPERLINK("https://asmlis.vasa.lt/Dashboard/Served?ServiceDateFrom=2025-11-24&amp;ServiceDateTo=2025-11-24&amp;DumpsterInvNr=13-P-306858", "13-P-306858")</f>
        <v>13-P-306858</v>
      </c>
      <c r="C3991">
        <v>1.1000000000000001</v>
      </c>
      <c r="D3991" t="s">
        <v>5524</v>
      </c>
      <c r="E3991" t="s">
        <v>11</v>
      </c>
      <c r="F3991" t="s">
        <v>13</v>
      </c>
      <c r="G3991" t="s">
        <v>412</v>
      </c>
      <c r="H3991" t="s">
        <v>14</v>
      </c>
    </row>
    <row r="3992" spans="1:8" hidden="1" x14ac:dyDescent="0.25">
      <c r="A3992" t="s">
        <v>5525</v>
      </c>
      <c r="B3992" s="1" t="str">
        <f>HYPERLINK("https://asmlis.vasa.lt/Dashboard/Served?ServiceDateFrom=2025-11-24&amp;ServiceDateTo=2025-11-24&amp;DumpsterInvNr=13-L-136854", "13-L-136854")</f>
        <v>13-L-136854</v>
      </c>
      <c r="C3992">
        <v>1.1000000000000001</v>
      </c>
      <c r="D3992" t="s">
        <v>5526</v>
      </c>
      <c r="E3992" t="s">
        <v>11</v>
      </c>
      <c r="G3992" t="s">
        <v>430</v>
      </c>
      <c r="H3992" t="s">
        <v>432</v>
      </c>
    </row>
    <row r="3993" spans="1:8" hidden="1" x14ac:dyDescent="0.25">
      <c r="A3993" t="s">
        <v>5527</v>
      </c>
      <c r="B3993" s="1" t="str">
        <f>HYPERLINK("https://asmlis.vasa.lt/Dashboard/Served?ServiceDateFrom=2025-11-24&amp;ServiceDateTo=2025-11-24&amp;DumpsterInvNr=13-L-141140", "13-L-141140")</f>
        <v>13-L-141140</v>
      </c>
      <c r="C3993">
        <v>5</v>
      </c>
      <c r="D3993" t="s">
        <v>5528</v>
      </c>
      <c r="E3993" t="s">
        <v>11</v>
      </c>
      <c r="F3993" t="s">
        <v>13</v>
      </c>
      <c r="G3993" t="s">
        <v>430</v>
      </c>
      <c r="H3993" t="s">
        <v>432</v>
      </c>
    </row>
    <row r="3994" spans="1:8" hidden="1" x14ac:dyDescent="0.25">
      <c r="A3994" t="s">
        <v>5529</v>
      </c>
      <c r="B3994" s="1" t="str">
        <f>HYPERLINK("https://asmlis.vasa.lt/Dashboard/Served?ServiceDateFrom=2025-11-24&amp;ServiceDateTo=2025-11-24&amp;DumpsterInvNr=13-P-205133", "13-P-205133")</f>
        <v>13-P-205133</v>
      </c>
      <c r="C3994">
        <v>0.24</v>
      </c>
      <c r="D3994" t="s">
        <v>5530</v>
      </c>
      <c r="E3994" t="s">
        <v>11</v>
      </c>
      <c r="G3994" t="s">
        <v>234</v>
      </c>
      <c r="H3994" t="s">
        <v>14</v>
      </c>
    </row>
    <row r="3995" spans="1:8" hidden="1" x14ac:dyDescent="0.25">
      <c r="A3995" t="s">
        <v>5529</v>
      </c>
      <c r="B3995" s="1" t="str">
        <f>HYPERLINK("https://asmlis.vasa.lt/Dashboard/Served?ServiceDateFrom=2025-11-24&amp;ServiceDateTo=2025-11-24&amp;DumpsterInvNr=13-S-206746", "13-S-206746")</f>
        <v>13-S-206746</v>
      </c>
      <c r="C3995">
        <v>0.12</v>
      </c>
      <c r="D3995" t="s">
        <v>5530</v>
      </c>
      <c r="E3995" t="s">
        <v>11</v>
      </c>
      <c r="G3995" t="s">
        <v>234</v>
      </c>
      <c r="H3995" t="s">
        <v>14</v>
      </c>
    </row>
    <row r="3996" spans="1:8" hidden="1" x14ac:dyDescent="0.25">
      <c r="A3996" t="s">
        <v>5531</v>
      </c>
      <c r="B3996" s="1" t="str">
        <f>HYPERLINK("https://asmlis.vasa.lt/Dashboard/Served?ServiceDateFrom=2025-11-24&amp;ServiceDateTo=2025-11-24&amp;DumpsterInvNr=13-L-220328", "13-L-220328")</f>
        <v>13-L-220328</v>
      </c>
      <c r="C3996">
        <v>0.12</v>
      </c>
      <c r="D3996" t="s">
        <v>5532</v>
      </c>
      <c r="E3996" t="s">
        <v>11</v>
      </c>
      <c r="F3996" t="s">
        <v>1209</v>
      </c>
      <c r="G3996" t="s">
        <v>936</v>
      </c>
      <c r="H3996" t="s">
        <v>938</v>
      </c>
    </row>
    <row r="3997" spans="1:8" hidden="1" x14ac:dyDescent="0.25">
      <c r="A3997" t="s">
        <v>5533</v>
      </c>
      <c r="B3997" s="1" t="str">
        <f>HYPERLINK("https://asmlis.vasa.lt/Dashboard/Served?ServiceDateFrom=2025-11-24&amp;ServiceDateTo=2025-11-24&amp;DumpsterInvNr=13-L-139497", "13-L-139497")</f>
        <v>13-L-139497</v>
      </c>
      <c r="C3997">
        <v>5</v>
      </c>
      <c r="D3997" t="s">
        <v>5534</v>
      </c>
      <c r="E3997" t="s">
        <v>11</v>
      </c>
      <c r="F3997" t="s">
        <v>13</v>
      </c>
      <c r="G3997" t="s">
        <v>430</v>
      </c>
      <c r="H3997" t="s">
        <v>432</v>
      </c>
    </row>
    <row r="3998" spans="1:8" hidden="1" x14ac:dyDescent="0.25">
      <c r="A3998" t="s">
        <v>5535</v>
      </c>
      <c r="B3998" s="1" t="str">
        <f>HYPERLINK("https://asmlis.vasa.lt/Dashboard/Served?ServiceDateFrom=2025-11-24&amp;ServiceDateTo=2025-11-24&amp;DumpsterInvNr=13-L-111197", "13-L-111197")</f>
        <v>13-L-111197</v>
      </c>
      <c r="C3998">
        <v>1.1000000000000001</v>
      </c>
      <c r="D3998" t="s">
        <v>5526</v>
      </c>
      <c r="E3998" t="s">
        <v>11</v>
      </c>
      <c r="G3998" t="s">
        <v>430</v>
      </c>
      <c r="H3998" t="s">
        <v>432</v>
      </c>
    </row>
    <row r="3999" spans="1:8" hidden="1" x14ac:dyDescent="0.25">
      <c r="A3999" t="s">
        <v>5536</v>
      </c>
      <c r="B3999" s="1" t="str">
        <f>HYPERLINK("https://asmlis.vasa.lt/Dashboard/Served?ServiceDateFrom=2025-11-24&amp;ServiceDateTo=2025-11-24&amp;DumpsterInvNr=13-L-318496", "13-L-318496")</f>
        <v>13-L-318496</v>
      </c>
      <c r="C3999">
        <v>1.1000000000000001</v>
      </c>
      <c r="D3999" t="s">
        <v>5537</v>
      </c>
      <c r="E3999" t="s">
        <v>11</v>
      </c>
      <c r="G3999" t="s">
        <v>9</v>
      </c>
      <c r="H3999" t="s">
        <v>14</v>
      </c>
    </row>
    <row r="4000" spans="1:8" hidden="1" x14ac:dyDescent="0.25">
      <c r="A4000" t="s">
        <v>5536</v>
      </c>
      <c r="B4000" s="1" t="str">
        <f>HYPERLINK("https://asmlis.vasa.lt/Dashboard/Served?ServiceDateFrom=2025-11-24&amp;ServiceDateTo=2025-11-24&amp;DumpsterInvNr=13-L-313944", "13-L-313944")</f>
        <v>13-L-313944</v>
      </c>
      <c r="C4000">
        <v>1.1000000000000001</v>
      </c>
      <c r="D4000" t="s">
        <v>5537</v>
      </c>
      <c r="E4000" t="s">
        <v>11</v>
      </c>
      <c r="G4000" t="s">
        <v>9</v>
      </c>
      <c r="H4000" t="s">
        <v>14</v>
      </c>
    </row>
    <row r="4001" spans="1:8" hidden="1" x14ac:dyDescent="0.25">
      <c r="A4001" t="s">
        <v>5538</v>
      </c>
      <c r="B4001" s="1" t="str">
        <f>HYPERLINK("https://asmlis.vasa.lt/Dashboard/Served?ServiceDateFrom=2025-11-24&amp;ServiceDateTo=2025-11-24&amp;DumpsterInvNr=13-L-139488", "13-L-139488")</f>
        <v>13-L-139488</v>
      </c>
      <c r="C4001">
        <v>0.24</v>
      </c>
      <c r="D4001" t="s">
        <v>5539</v>
      </c>
      <c r="E4001" t="s">
        <v>11</v>
      </c>
      <c r="G4001" t="s">
        <v>430</v>
      </c>
      <c r="H4001" t="s">
        <v>432</v>
      </c>
    </row>
    <row r="4002" spans="1:8" hidden="1" x14ac:dyDescent="0.25">
      <c r="A4002" t="s">
        <v>5538</v>
      </c>
      <c r="B4002" s="1" t="str">
        <f>HYPERLINK("https://asmlis.vasa.lt/Dashboard/Served?ServiceDateFrom=2025-11-24&amp;ServiceDateTo=2025-11-24&amp;DumpsterInvNr=13-P-501862", "13-P-501862")</f>
        <v>13-P-501862</v>
      </c>
      <c r="C4002">
        <v>0.24</v>
      </c>
      <c r="D4002" t="s">
        <v>5539</v>
      </c>
      <c r="E4002" t="s">
        <v>11</v>
      </c>
      <c r="G4002" t="s">
        <v>2178</v>
      </c>
      <c r="H4002" t="s">
        <v>432</v>
      </c>
    </row>
    <row r="4003" spans="1:8" hidden="1" x14ac:dyDescent="0.25">
      <c r="A4003" t="s">
        <v>5541</v>
      </c>
      <c r="B4003" s="1" t="str">
        <f>HYPERLINK("https://asmlis.vasa.lt/Dashboard/Served?ServiceDateFrom=2025-11-24&amp;ServiceDateTo=2025-11-24&amp;DumpsterInvNr=13-P-416636", "13-P-416636")</f>
        <v>13-P-416636</v>
      </c>
      <c r="C4003">
        <v>0.24</v>
      </c>
      <c r="D4003" t="s">
        <v>5542</v>
      </c>
      <c r="E4003" t="s">
        <v>11</v>
      </c>
      <c r="G4003" t="s">
        <v>264</v>
      </c>
      <c r="H4003" t="s">
        <v>14</v>
      </c>
    </row>
    <row r="4004" spans="1:8" hidden="1" x14ac:dyDescent="0.25">
      <c r="A4004" t="s">
        <v>5541</v>
      </c>
      <c r="B4004" s="1" t="str">
        <f>HYPERLINK("https://asmlis.vasa.lt/Dashboard/Served?ServiceDateFrom=2025-11-24&amp;ServiceDateTo=2025-11-24&amp;DumpsterInvNr=13-P-401156", "13-P-401156")</f>
        <v>13-P-401156</v>
      </c>
      <c r="C4004">
        <v>1.1000000000000001</v>
      </c>
      <c r="D4004" t="s">
        <v>940</v>
      </c>
      <c r="E4004" t="s">
        <v>11</v>
      </c>
      <c r="G4004" t="s">
        <v>264</v>
      </c>
      <c r="H4004" t="s">
        <v>14</v>
      </c>
    </row>
    <row r="4005" spans="1:8" hidden="1" x14ac:dyDescent="0.25">
      <c r="A4005" t="s">
        <v>5543</v>
      </c>
      <c r="B4005" s="1" t="str">
        <f>HYPERLINK("https://asmlis.vasa.lt/Dashboard/Served?ServiceDateFrom=2025-11-24&amp;ServiceDateTo=2025-11-24&amp;DumpsterInvNr=13-L-208209", "13-L-208209")</f>
        <v>13-L-208209</v>
      </c>
      <c r="C4005">
        <v>1.1000000000000001</v>
      </c>
      <c r="D4005" t="s">
        <v>5544</v>
      </c>
      <c r="E4005" t="s">
        <v>11</v>
      </c>
      <c r="G4005" t="s">
        <v>936</v>
      </c>
      <c r="H4005" t="s">
        <v>938</v>
      </c>
    </row>
    <row r="4006" spans="1:8" hidden="1" x14ac:dyDescent="0.25">
      <c r="A4006" t="s">
        <v>5545</v>
      </c>
      <c r="B4006" s="1" t="str">
        <f>HYPERLINK("https://asmlis.vasa.lt/Dashboard/Served?ServiceDateFrom=2025-11-24&amp;ServiceDateTo=2025-11-24&amp;DumpsterInvNr=13-L-217848", "13-L-217848")</f>
        <v>13-L-217848</v>
      </c>
      <c r="C4006">
        <v>1.1000000000000001</v>
      </c>
      <c r="D4006" t="s">
        <v>5546</v>
      </c>
      <c r="E4006" t="s">
        <v>11</v>
      </c>
      <c r="F4006" t="s">
        <v>13</v>
      </c>
      <c r="G4006" t="s">
        <v>936</v>
      </c>
      <c r="H4006" t="s">
        <v>938</v>
      </c>
    </row>
    <row r="4007" spans="1:8" hidden="1" x14ac:dyDescent="0.25">
      <c r="A4007" t="s">
        <v>5547</v>
      </c>
      <c r="B4007" s="1" t="str">
        <f>HYPERLINK("https://asmlis.vasa.lt/Dashboard/Served?ServiceDateFrom=2025-11-24&amp;ServiceDateTo=2025-11-24&amp;DumpsterInvNr=13-L-410585", "13-L-410585")</f>
        <v>13-L-410585</v>
      </c>
      <c r="C4007">
        <v>0.24</v>
      </c>
      <c r="D4007" t="s">
        <v>2524</v>
      </c>
      <c r="E4007" t="s">
        <v>11</v>
      </c>
      <c r="G4007" t="s">
        <v>74</v>
      </c>
      <c r="H4007" t="s">
        <v>14</v>
      </c>
    </row>
    <row r="4008" spans="1:8" hidden="1" x14ac:dyDescent="0.25">
      <c r="A4008" t="s">
        <v>5547</v>
      </c>
      <c r="B4008" s="1" t="str">
        <f>HYPERLINK("https://asmlis.vasa.lt/Dashboard/Served?ServiceDateFrom=2025-11-24&amp;ServiceDateTo=2025-11-24&amp;DumpsterInvNr=13-L-408852", "13-L-408852")</f>
        <v>13-L-408852</v>
      </c>
      <c r="C4008">
        <v>0.12</v>
      </c>
      <c r="D4008" t="s">
        <v>5548</v>
      </c>
      <c r="E4008" t="s">
        <v>11</v>
      </c>
      <c r="G4008" t="s">
        <v>74</v>
      </c>
      <c r="H4008" t="s">
        <v>14</v>
      </c>
    </row>
    <row r="4009" spans="1:8" hidden="1" x14ac:dyDescent="0.25">
      <c r="A4009" t="s">
        <v>5547</v>
      </c>
      <c r="B4009" s="1" t="str">
        <f>HYPERLINK("https://asmlis.vasa.lt/Dashboard/Served?ServiceDateFrom=2025-11-24&amp;ServiceDateTo=2025-11-24&amp;DumpsterInvNr=13-T-000269", "13-T-000269")</f>
        <v>13-T-000269</v>
      </c>
      <c r="C4009">
        <v>2.5</v>
      </c>
      <c r="D4009" t="s">
        <v>5549</v>
      </c>
      <c r="E4009" t="s">
        <v>11</v>
      </c>
      <c r="F4009" t="s">
        <v>13</v>
      </c>
      <c r="G4009" t="s">
        <v>1899</v>
      </c>
      <c r="H4009" t="s">
        <v>432</v>
      </c>
    </row>
    <row r="4010" spans="1:8" hidden="1" x14ac:dyDescent="0.25">
      <c r="A4010" t="s">
        <v>5547</v>
      </c>
      <c r="B4010" s="1" t="str">
        <f>HYPERLINK("https://asmlis.vasa.lt/Dashboard/Served?ServiceDateFrom=2025-11-24&amp;ServiceDateTo=2025-11-24&amp;DumpsterInvNr=13-P-204847", "13-P-204847")</f>
        <v>13-P-204847</v>
      </c>
      <c r="C4010">
        <v>5</v>
      </c>
      <c r="D4010" t="s">
        <v>5550</v>
      </c>
      <c r="E4010" t="s">
        <v>11</v>
      </c>
      <c r="G4010" t="s">
        <v>234</v>
      </c>
      <c r="H4010" t="s">
        <v>14</v>
      </c>
    </row>
    <row r="4011" spans="1:8" hidden="1" x14ac:dyDescent="0.25">
      <c r="A4011" t="s">
        <v>5551</v>
      </c>
      <c r="B4011" s="1" t="str">
        <f>HYPERLINK("https://asmlis.vasa.lt/Dashboard/Served?ServiceDateFrom=2025-11-24&amp;ServiceDateTo=2025-11-24&amp;DumpsterInvNr=13-P-401311", "13-P-401311")</f>
        <v>13-P-401311</v>
      </c>
      <c r="C4011">
        <v>1.1000000000000001</v>
      </c>
      <c r="D4011" t="s">
        <v>940</v>
      </c>
      <c r="E4011" t="s">
        <v>11</v>
      </c>
      <c r="G4011" t="s">
        <v>264</v>
      </c>
      <c r="H4011" t="s">
        <v>14</v>
      </c>
    </row>
    <row r="4012" spans="1:8" hidden="1" x14ac:dyDescent="0.25">
      <c r="A4012" t="s">
        <v>5552</v>
      </c>
      <c r="B4012" s="1" t="str">
        <f>HYPERLINK("https://asmlis.vasa.lt/Dashboard/Served?ServiceDateFrom=2025-11-24&amp;ServiceDateTo=2025-11-24&amp;DumpsterInvNr=13-L-210287", "13-L-210287")</f>
        <v>13-L-210287</v>
      </c>
      <c r="C4012">
        <v>0.24</v>
      </c>
      <c r="D4012" t="s">
        <v>5553</v>
      </c>
      <c r="E4012" t="s">
        <v>11</v>
      </c>
      <c r="F4012" t="s">
        <v>13</v>
      </c>
      <c r="G4012" t="s">
        <v>936</v>
      </c>
      <c r="H4012" t="s">
        <v>938</v>
      </c>
    </row>
    <row r="4013" spans="1:8" hidden="1" x14ac:dyDescent="0.25">
      <c r="A4013" t="s">
        <v>5554</v>
      </c>
      <c r="B4013" s="1" t="str">
        <f>HYPERLINK("https://asmlis.vasa.lt/Dashboard/Served?ServiceDateFrom=2025-11-24&amp;ServiceDateTo=2025-11-24&amp;DumpsterInvNr=13-P-413994", "13-P-413994")</f>
        <v>13-P-413994</v>
      </c>
      <c r="C4013">
        <v>5</v>
      </c>
      <c r="D4013" t="s">
        <v>5555</v>
      </c>
      <c r="E4013" t="s">
        <v>11</v>
      </c>
      <c r="F4013" t="s">
        <v>13</v>
      </c>
      <c r="G4013" t="s">
        <v>264</v>
      </c>
      <c r="H4013" t="s">
        <v>14</v>
      </c>
    </row>
    <row r="4014" spans="1:8" hidden="1" x14ac:dyDescent="0.25">
      <c r="A4014" t="s">
        <v>5556</v>
      </c>
      <c r="B4014" s="1" t="str">
        <f>HYPERLINK("https://asmlis.vasa.lt/Dashboard/Served?ServiceDateFrom=2025-11-24&amp;ServiceDateTo=2025-11-24&amp;DumpsterInvNr=13-L-138560", "13-L-138560")</f>
        <v>13-L-138560</v>
      </c>
      <c r="C4014">
        <v>0.24</v>
      </c>
      <c r="D4014" t="s">
        <v>5557</v>
      </c>
      <c r="E4014" t="s">
        <v>11</v>
      </c>
      <c r="G4014" t="s">
        <v>430</v>
      </c>
      <c r="H4014" t="s">
        <v>432</v>
      </c>
    </row>
    <row r="4015" spans="1:8" hidden="1" x14ac:dyDescent="0.25">
      <c r="A4015" t="s">
        <v>5556</v>
      </c>
      <c r="B4015" s="1" t="str">
        <f>HYPERLINK("https://asmlis.vasa.lt/Dashboard/Served?ServiceDateFrom=2025-11-24&amp;ServiceDateTo=2025-11-24&amp;DumpsterInvNr=13-P-508418", "13-P-508418")</f>
        <v>13-P-508418</v>
      </c>
      <c r="C4015">
        <v>0.24</v>
      </c>
      <c r="D4015" t="s">
        <v>5557</v>
      </c>
      <c r="E4015" t="s">
        <v>11</v>
      </c>
      <c r="G4015" t="s">
        <v>2178</v>
      </c>
      <c r="H4015" t="s">
        <v>432</v>
      </c>
    </row>
    <row r="4016" spans="1:8" hidden="1" x14ac:dyDescent="0.25">
      <c r="A4016" t="s">
        <v>5556</v>
      </c>
      <c r="B4016" s="1" t="str">
        <f>HYPERLINK("https://asmlis.vasa.lt/Dashboard/Served?ServiceDateFrom=2025-11-24&amp;ServiceDateTo=2025-11-24&amp;DumpsterInvNr=13-P-212249", "13-P-212249")</f>
        <v>13-P-212249</v>
      </c>
      <c r="C4016">
        <v>0.24</v>
      </c>
      <c r="D4016" t="s">
        <v>5559</v>
      </c>
      <c r="E4016" t="s">
        <v>11</v>
      </c>
      <c r="G4016" t="s">
        <v>234</v>
      </c>
      <c r="H4016" t="s">
        <v>14</v>
      </c>
    </row>
    <row r="4017" spans="1:8" hidden="1" x14ac:dyDescent="0.25">
      <c r="A4017" t="s">
        <v>5560</v>
      </c>
      <c r="B4017" s="1" t="str">
        <f>HYPERLINK("https://asmlis.vasa.lt/Dashboard/Served?ServiceDateFrom=2025-11-24&amp;ServiceDateTo=2025-11-24&amp;DumpsterInvNr=13-L-222306", "13-L-222306")</f>
        <v>13-L-222306</v>
      </c>
      <c r="C4017">
        <v>1.1000000000000001</v>
      </c>
      <c r="D4017" t="s">
        <v>5562</v>
      </c>
      <c r="E4017" t="s">
        <v>11</v>
      </c>
      <c r="G4017" t="s">
        <v>936</v>
      </c>
      <c r="H4017" t="s">
        <v>938</v>
      </c>
    </row>
    <row r="4018" spans="1:8" hidden="1" x14ac:dyDescent="0.25">
      <c r="A4018" t="s">
        <v>5560</v>
      </c>
      <c r="B4018" s="1" t="str">
        <f>HYPERLINK("https://asmlis.vasa.lt/Dashboard/Served?ServiceDateFrom=2025-11-24&amp;ServiceDateTo=2025-11-24&amp;DumpsterInvNr=13-L-424686", "13-L-424686")</f>
        <v>13-L-424686</v>
      </c>
      <c r="C4018">
        <v>1.1000000000000001</v>
      </c>
      <c r="D4018" t="s">
        <v>3101</v>
      </c>
      <c r="E4018" t="s">
        <v>11</v>
      </c>
      <c r="F4018" t="s">
        <v>13</v>
      </c>
      <c r="G4018" t="s">
        <v>74</v>
      </c>
      <c r="H4018" t="s">
        <v>14</v>
      </c>
    </row>
    <row r="4019" spans="1:8" hidden="1" x14ac:dyDescent="0.25">
      <c r="A4019" t="s">
        <v>5563</v>
      </c>
      <c r="B4019" s="1" t="str">
        <f>HYPERLINK("https://asmlis.vasa.lt/Dashboard/Served?ServiceDateFrom=2025-11-24&amp;ServiceDateTo=2025-11-24&amp;DumpsterInvNr=13-L-421336", "13-L-421336")</f>
        <v>13-L-421336</v>
      </c>
      <c r="C4019">
        <v>1.1000000000000001</v>
      </c>
      <c r="D4019" t="s">
        <v>3101</v>
      </c>
      <c r="E4019" t="s">
        <v>11</v>
      </c>
      <c r="F4019" t="s">
        <v>13</v>
      </c>
      <c r="G4019" t="s">
        <v>74</v>
      </c>
      <c r="H4019" t="s">
        <v>14</v>
      </c>
    </row>
    <row r="4020" spans="1:8" hidden="1" x14ac:dyDescent="0.25">
      <c r="A4020" t="s">
        <v>5563</v>
      </c>
      <c r="B4020" s="1" t="str">
        <f>HYPERLINK("https://asmlis.vasa.lt/Dashboard/Served?ServiceDateFrom=2025-11-24&amp;ServiceDateTo=2025-11-24&amp;DumpsterInvNr=13-L-410872", "13-L-410872")</f>
        <v>13-L-410872</v>
      </c>
      <c r="C4020">
        <v>0.12</v>
      </c>
      <c r="D4020" t="s">
        <v>5564</v>
      </c>
      <c r="E4020" t="s">
        <v>11</v>
      </c>
      <c r="G4020" t="s">
        <v>74</v>
      </c>
      <c r="H4020" t="s">
        <v>14</v>
      </c>
    </row>
    <row r="4021" spans="1:8" hidden="1" x14ac:dyDescent="0.25">
      <c r="A4021" t="s">
        <v>5565</v>
      </c>
      <c r="B4021" s="1" t="str">
        <f>HYPERLINK("https://asmlis.vasa.lt/Dashboard/Served?ServiceDateFrom=2025-11-24&amp;ServiceDateTo=2025-11-24&amp;DumpsterInvNr=13-L-142746", "13-L-142746")</f>
        <v>13-L-142746</v>
      </c>
      <c r="C4021">
        <v>1.1000000000000001</v>
      </c>
      <c r="D4021" t="s">
        <v>5107</v>
      </c>
      <c r="E4021" t="s">
        <v>11</v>
      </c>
      <c r="G4021" t="s">
        <v>430</v>
      </c>
      <c r="H4021" t="s">
        <v>432</v>
      </c>
    </row>
    <row r="4022" spans="1:8" hidden="1" x14ac:dyDescent="0.25">
      <c r="A4022" t="s">
        <v>5567</v>
      </c>
      <c r="B4022" s="1" t="str">
        <f>HYPERLINK("https://asmlis.vasa.lt/Dashboard/Served?ServiceDateFrom=2025-11-24&amp;ServiceDateTo=2025-11-24&amp;DumpsterInvNr=13-L-414755", "13-L-414755")</f>
        <v>13-L-414755</v>
      </c>
      <c r="C4022">
        <v>1.1000000000000001</v>
      </c>
      <c r="D4022" t="s">
        <v>5568</v>
      </c>
      <c r="E4022" t="s">
        <v>11</v>
      </c>
      <c r="G4022" t="s">
        <v>74</v>
      </c>
      <c r="H4022" t="s">
        <v>14</v>
      </c>
    </row>
    <row r="4023" spans="1:8" hidden="1" x14ac:dyDescent="0.25">
      <c r="A4023" t="s">
        <v>5569</v>
      </c>
      <c r="B4023" s="1" t="str">
        <f>HYPERLINK("https://asmlis.vasa.lt/Dashboard/Served?ServiceDateFrom=2025-11-24&amp;ServiceDateTo=2025-11-24&amp;DumpsterInvNr=13-P-415477", "13-P-415477")</f>
        <v>13-P-415477</v>
      </c>
      <c r="C4023">
        <v>0.24</v>
      </c>
      <c r="D4023" t="s">
        <v>5570</v>
      </c>
      <c r="E4023" t="s">
        <v>11</v>
      </c>
      <c r="G4023" t="s">
        <v>264</v>
      </c>
      <c r="H4023" t="s">
        <v>14</v>
      </c>
    </row>
    <row r="4024" spans="1:8" hidden="1" x14ac:dyDescent="0.25">
      <c r="A4024" t="s">
        <v>5571</v>
      </c>
      <c r="B4024" s="1" t="str">
        <f>HYPERLINK("https://asmlis.vasa.lt/Dashboard/Served?ServiceDateFrom=2025-11-24&amp;ServiceDateTo=2025-11-24&amp;DumpsterInvNr=13-L-123379", "13-L-123379")</f>
        <v>13-L-123379</v>
      </c>
      <c r="C4024">
        <v>0.24</v>
      </c>
      <c r="D4024" t="s">
        <v>5572</v>
      </c>
      <c r="E4024" t="s">
        <v>11</v>
      </c>
      <c r="G4024" t="s">
        <v>430</v>
      </c>
      <c r="H4024" t="s">
        <v>432</v>
      </c>
    </row>
    <row r="4025" spans="1:8" hidden="1" x14ac:dyDescent="0.25">
      <c r="A4025" t="s">
        <v>5571</v>
      </c>
      <c r="B4025" s="1" t="str">
        <f>HYPERLINK("https://asmlis.vasa.lt/Dashboard/Served?ServiceDateFrom=2025-11-24&amp;ServiceDateTo=2025-11-24&amp;DumpsterInvNr=13-P-508417", "13-P-508417")</f>
        <v>13-P-508417</v>
      </c>
      <c r="C4025">
        <v>0.24</v>
      </c>
      <c r="D4025" t="s">
        <v>5572</v>
      </c>
      <c r="E4025" t="s">
        <v>11</v>
      </c>
      <c r="G4025" t="s">
        <v>2178</v>
      </c>
      <c r="H4025" t="s">
        <v>432</v>
      </c>
    </row>
    <row r="4026" spans="1:8" hidden="1" x14ac:dyDescent="0.25">
      <c r="A4026" t="s">
        <v>5573</v>
      </c>
      <c r="B4026" s="1" t="str">
        <f>HYPERLINK("https://asmlis.vasa.lt/Dashboard/Served?ServiceDateFrom=2025-11-24&amp;ServiceDateTo=2025-11-24&amp;DumpsterInvNr=13-L-205488", "13-L-205488")</f>
        <v>13-L-205488</v>
      </c>
      <c r="C4026">
        <v>0.12</v>
      </c>
      <c r="D4026" t="s">
        <v>5574</v>
      </c>
      <c r="E4026" t="s">
        <v>11</v>
      </c>
      <c r="F4026" t="s">
        <v>1209</v>
      </c>
      <c r="G4026" t="s">
        <v>936</v>
      </c>
      <c r="H4026" t="s">
        <v>938</v>
      </c>
    </row>
    <row r="4027" spans="1:8" hidden="1" x14ac:dyDescent="0.25">
      <c r="A4027" t="s">
        <v>5575</v>
      </c>
      <c r="B4027" s="1" t="str">
        <f>HYPERLINK("https://asmlis.vasa.lt/Dashboard/Served?ServiceDateFrom=2025-11-24&amp;ServiceDateTo=2025-11-24&amp;DumpsterInvNr=13-P-412044", "13-P-412044")</f>
        <v>13-P-412044</v>
      </c>
      <c r="C4027">
        <v>0.24</v>
      </c>
      <c r="D4027" t="s">
        <v>5576</v>
      </c>
      <c r="E4027" t="s">
        <v>11</v>
      </c>
      <c r="G4027" t="s">
        <v>264</v>
      </c>
      <c r="H4027" t="s">
        <v>14</v>
      </c>
    </row>
    <row r="4028" spans="1:8" hidden="1" x14ac:dyDescent="0.25">
      <c r="A4028" t="s">
        <v>5577</v>
      </c>
      <c r="B4028" s="1" t="str">
        <f>HYPERLINK("https://asmlis.vasa.lt/Dashboard/Served?ServiceDateFrom=2025-11-24&amp;ServiceDateTo=2025-11-24&amp;DumpsterInvNr=13-L-142748", "13-L-142748")</f>
        <v>13-L-142748</v>
      </c>
      <c r="C4028">
        <v>1.1000000000000001</v>
      </c>
      <c r="D4028" t="s">
        <v>5107</v>
      </c>
      <c r="E4028" t="s">
        <v>11</v>
      </c>
      <c r="G4028" t="s">
        <v>430</v>
      </c>
      <c r="H4028" t="s">
        <v>432</v>
      </c>
    </row>
    <row r="4029" spans="1:8" hidden="1" x14ac:dyDescent="0.25">
      <c r="A4029" t="s">
        <v>5578</v>
      </c>
      <c r="B4029" s="1" t="str">
        <f>HYPERLINK("https://asmlis.vasa.lt/Dashboard/Served?ServiceDateFrom=2025-11-24&amp;ServiceDateTo=2025-11-24&amp;DumpsterInvNr=13-L-148689", "13-L-148689")</f>
        <v>13-L-148689</v>
      </c>
      <c r="C4029">
        <v>0.24</v>
      </c>
      <c r="D4029" t="s">
        <v>5579</v>
      </c>
      <c r="E4029" t="s">
        <v>11</v>
      </c>
      <c r="G4029" t="s">
        <v>1912</v>
      </c>
      <c r="H4029" t="s">
        <v>432</v>
      </c>
    </row>
    <row r="4030" spans="1:8" hidden="1" x14ac:dyDescent="0.25">
      <c r="A4030" t="s">
        <v>5578</v>
      </c>
      <c r="B4030" s="1" t="str">
        <f>HYPERLINK("https://asmlis.vasa.lt/Dashboard/Served?ServiceDateFrom=2025-11-24&amp;ServiceDateTo=2025-11-24&amp;DumpsterInvNr=13-P-115987", "13-P-115987")</f>
        <v>13-P-115987</v>
      </c>
      <c r="C4030">
        <v>0.24</v>
      </c>
      <c r="D4030" t="s">
        <v>5579</v>
      </c>
      <c r="E4030" t="s">
        <v>11</v>
      </c>
      <c r="G4030" t="s">
        <v>1917</v>
      </c>
      <c r="H4030" t="s">
        <v>432</v>
      </c>
    </row>
    <row r="4031" spans="1:8" hidden="1" x14ac:dyDescent="0.25">
      <c r="A4031" t="s">
        <v>5581</v>
      </c>
      <c r="B4031" s="1" t="str">
        <f>HYPERLINK("https://asmlis.vasa.lt/Dashboard/Served?ServiceDateFrom=2025-11-24&amp;ServiceDateTo=2025-11-24&amp;DumpsterInvNr=13-P-416457", "13-P-416457")</f>
        <v>13-P-416457</v>
      </c>
      <c r="C4031">
        <v>0.24</v>
      </c>
      <c r="D4031" t="s">
        <v>5582</v>
      </c>
      <c r="E4031" t="s">
        <v>11</v>
      </c>
      <c r="G4031" t="s">
        <v>264</v>
      </c>
      <c r="H4031" t="s">
        <v>14</v>
      </c>
    </row>
    <row r="4032" spans="1:8" hidden="1" x14ac:dyDescent="0.25">
      <c r="A4032" t="s">
        <v>5583</v>
      </c>
      <c r="B4032" s="1" t="str">
        <f>HYPERLINK("https://asmlis.vasa.lt/Dashboard/Served?ServiceDateFrom=2025-11-24&amp;ServiceDateTo=2025-11-24&amp;DumpsterInvNr=13-L-142747", "13-L-142747")</f>
        <v>13-L-142747</v>
      </c>
      <c r="C4032">
        <v>1.1000000000000001</v>
      </c>
      <c r="D4032" t="s">
        <v>5107</v>
      </c>
      <c r="E4032" t="s">
        <v>11</v>
      </c>
      <c r="G4032" t="s">
        <v>430</v>
      </c>
      <c r="H4032" t="s">
        <v>432</v>
      </c>
    </row>
    <row r="4033" spans="1:8" hidden="1" x14ac:dyDescent="0.25">
      <c r="A4033" t="s">
        <v>5584</v>
      </c>
      <c r="B4033" s="1" t="str">
        <f>HYPERLINK("https://asmlis.vasa.lt/Dashboard/Served?ServiceDateFrom=2025-11-24&amp;ServiceDateTo=2025-11-24&amp;DumpsterInvNr=13-L-414206", "13-L-414206")</f>
        <v>13-L-414206</v>
      </c>
      <c r="C4033">
        <v>1.1000000000000001</v>
      </c>
      <c r="D4033" t="s">
        <v>2055</v>
      </c>
      <c r="E4033" t="s">
        <v>11</v>
      </c>
      <c r="F4033" t="s">
        <v>13</v>
      </c>
      <c r="G4033" t="s">
        <v>74</v>
      </c>
      <c r="H4033" t="s">
        <v>14</v>
      </c>
    </row>
    <row r="4034" spans="1:8" hidden="1" x14ac:dyDescent="0.25">
      <c r="A4034" t="s">
        <v>5585</v>
      </c>
      <c r="B4034" s="1" t="str">
        <f>HYPERLINK("https://asmlis.vasa.lt/Dashboard/Served?ServiceDateFrom=2025-11-24&amp;ServiceDateTo=2025-11-24&amp;DumpsterInvNr=13-P-508416", "13-P-508416")</f>
        <v>13-P-508416</v>
      </c>
      <c r="C4034">
        <v>0.12</v>
      </c>
      <c r="D4034" t="s">
        <v>5586</v>
      </c>
      <c r="E4034" t="s">
        <v>11</v>
      </c>
      <c r="G4034" t="s">
        <v>2178</v>
      </c>
      <c r="H4034" t="s">
        <v>432</v>
      </c>
    </row>
    <row r="4035" spans="1:8" hidden="1" x14ac:dyDescent="0.25">
      <c r="A4035" t="s">
        <v>5587</v>
      </c>
      <c r="B4035" s="1" t="str">
        <f>HYPERLINK("https://asmlis.vasa.lt/Dashboard/Served?ServiceDateFrom=2025-11-24&amp;ServiceDateTo=2025-11-24&amp;DumpsterInvNr=13-L-427019", "13-L-427019")</f>
        <v>13-L-427019</v>
      </c>
      <c r="C4035">
        <v>1.1000000000000001</v>
      </c>
      <c r="D4035" t="s">
        <v>2055</v>
      </c>
      <c r="E4035" t="s">
        <v>11</v>
      </c>
      <c r="F4035" t="s">
        <v>13</v>
      </c>
      <c r="G4035" t="s">
        <v>74</v>
      </c>
      <c r="H4035" t="s">
        <v>14</v>
      </c>
    </row>
    <row r="4036" spans="1:8" hidden="1" x14ac:dyDescent="0.25">
      <c r="A4036" t="s">
        <v>5587</v>
      </c>
      <c r="B4036" s="1" t="str">
        <f>HYPERLINK("https://asmlis.vasa.lt/Dashboard/Served?ServiceDateFrom=2025-11-24&amp;ServiceDateTo=2025-11-24&amp;DumpsterInvNr=13-M-200946", "13-M-200946")</f>
        <v>13-M-200946</v>
      </c>
      <c r="C4036">
        <v>0.12</v>
      </c>
      <c r="D4036" t="s">
        <v>5589</v>
      </c>
      <c r="E4036" t="s">
        <v>11</v>
      </c>
      <c r="G4036" t="s">
        <v>4876</v>
      </c>
      <c r="H4036" t="s">
        <v>938</v>
      </c>
    </row>
    <row r="4037" spans="1:8" hidden="1" x14ac:dyDescent="0.25">
      <c r="A4037" t="s">
        <v>5590</v>
      </c>
      <c r="B4037" s="1" t="str">
        <f>HYPERLINK("https://asmlis.vasa.lt/Dashboard/Served?ServiceDateFrom=2025-11-24&amp;ServiceDateTo=2025-11-24&amp;DumpsterInvNr=13-L-146880", "13-L-146880")</f>
        <v>13-L-146880</v>
      </c>
      <c r="C4037">
        <v>5</v>
      </c>
      <c r="D4037" t="s">
        <v>5591</v>
      </c>
      <c r="E4037" t="s">
        <v>11</v>
      </c>
      <c r="F4037" t="s">
        <v>13</v>
      </c>
      <c r="G4037" t="s">
        <v>430</v>
      </c>
      <c r="H4037" t="s">
        <v>432</v>
      </c>
    </row>
    <row r="4038" spans="1:8" hidden="1" x14ac:dyDescent="0.25">
      <c r="A4038" t="s">
        <v>5592</v>
      </c>
      <c r="B4038" s="1" t="str">
        <f>HYPERLINK("https://asmlis.vasa.lt/Dashboard/Served?ServiceDateFrom=2025-11-24&amp;ServiceDateTo=2025-11-24&amp;DumpsterInvNr=13-L-420196", "13-L-420196")</f>
        <v>13-L-420196</v>
      </c>
      <c r="C4038">
        <v>5</v>
      </c>
      <c r="D4038" t="s">
        <v>5593</v>
      </c>
      <c r="E4038" t="s">
        <v>11</v>
      </c>
      <c r="G4038" t="s">
        <v>74</v>
      </c>
      <c r="H4038" t="s">
        <v>14</v>
      </c>
    </row>
    <row r="4039" spans="1:8" hidden="1" x14ac:dyDescent="0.25">
      <c r="A4039" t="s">
        <v>5594</v>
      </c>
      <c r="B4039" s="1" t="str">
        <f>HYPERLINK("https://asmlis.vasa.lt/Dashboard/Served?ServiceDateFrom=2025-11-24&amp;ServiceDateTo=2025-11-24&amp;DumpsterInvNr=13-L-123380", "13-L-123380")</f>
        <v>13-L-123380</v>
      </c>
      <c r="C4039">
        <v>0.24</v>
      </c>
      <c r="D4039" t="s">
        <v>5586</v>
      </c>
      <c r="E4039" t="s">
        <v>11</v>
      </c>
      <c r="G4039" t="s">
        <v>430</v>
      </c>
      <c r="H4039" t="s">
        <v>432</v>
      </c>
    </row>
    <row r="4040" spans="1:8" hidden="1" x14ac:dyDescent="0.25">
      <c r="A4040" t="s">
        <v>5594</v>
      </c>
      <c r="B4040" s="1" t="str">
        <f>HYPERLINK("https://asmlis.vasa.lt/Dashboard/Served?ServiceDateFrom=2025-11-24&amp;ServiceDateTo=2025-11-24&amp;DumpsterInvNr=13-L-219574", "13-L-219574")</f>
        <v>13-L-219574</v>
      </c>
      <c r="C4040">
        <v>0.24</v>
      </c>
      <c r="D4040" t="s">
        <v>5596</v>
      </c>
      <c r="E4040" t="s">
        <v>11</v>
      </c>
      <c r="G4040" t="s">
        <v>936</v>
      </c>
      <c r="H4040" t="s">
        <v>938</v>
      </c>
    </row>
    <row r="4041" spans="1:8" hidden="1" x14ac:dyDescent="0.25">
      <c r="A4041" t="s">
        <v>5597</v>
      </c>
      <c r="B4041" s="1" t="str">
        <f>HYPERLINK("https://asmlis.vasa.lt/Dashboard/Served?ServiceDateFrom=2025-11-24&amp;ServiceDateTo=2025-11-24&amp;DumpsterInvNr=13-L-314836", "13-L-314836")</f>
        <v>13-L-314836</v>
      </c>
      <c r="C4041">
        <v>5</v>
      </c>
      <c r="D4041" t="s">
        <v>5598</v>
      </c>
      <c r="E4041" t="s">
        <v>11</v>
      </c>
      <c r="F4041" t="s">
        <v>13</v>
      </c>
      <c r="G4041" t="s">
        <v>9</v>
      </c>
      <c r="H4041" t="s">
        <v>14</v>
      </c>
    </row>
    <row r="4042" spans="1:8" hidden="1" x14ac:dyDescent="0.25">
      <c r="A4042" t="s">
        <v>5599</v>
      </c>
      <c r="B4042" s="1" t="str">
        <f>HYPERLINK("https://asmlis.vasa.lt/Dashboard/Served?ServiceDateFrom=2025-11-24&amp;ServiceDateTo=2025-11-24&amp;DumpsterInvNr=13-L-203575", "13-L-203575")</f>
        <v>13-L-203575</v>
      </c>
      <c r="C4042">
        <v>0.12</v>
      </c>
      <c r="D4042" t="s">
        <v>5600</v>
      </c>
      <c r="E4042" t="s">
        <v>11</v>
      </c>
      <c r="G4042" t="s">
        <v>936</v>
      </c>
      <c r="H4042" t="s">
        <v>938</v>
      </c>
    </row>
    <row r="4043" spans="1:8" hidden="1" x14ac:dyDescent="0.25">
      <c r="A4043" t="s">
        <v>5601</v>
      </c>
      <c r="B4043" s="1" t="str">
        <f>HYPERLINK("https://asmlis.vasa.lt/Dashboard/Served?ServiceDateFrom=2025-11-24&amp;ServiceDateTo=2025-11-24&amp;DumpsterInvNr=13-P-210714", "13-P-210714")</f>
        <v>13-P-210714</v>
      </c>
      <c r="C4043">
        <v>0.24</v>
      </c>
      <c r="D4043" t="s">
        <v>5421</v>
      </c>
      <c r="E4043" t="s">
        <v>11</v>
      </c>
      <c r="G4043" t="s">
        <v>234</v>
      </c>
      <c r="H4043" t="s">
        <v>14</v>
      </c>
    </row>
    <row r="4044" spans="1:8" hidden="1" x14ac:dyDescent="0.25">
      <c r="A4044" t="s">
        <v>5602</v>
      </c>
      <c r="B4044" s="1" t="str">
        <f>HYPERLINK("https://asmlis.vasa.lt/Dashboard/Served?ServiceDateFrom=2025-11-24&amp;ServiceDateTo=2025-11-24&amp;DumpsterInvNr=13-M-206967", "13-M-206967")</f>
        <v>13-M-206967</v>
      </c>
      <c r="C4044">
        <v>0.12</v>
      </c>
      <c r="D4044" t="s">
        <v>5604</v>
      </c>
      <c r="E4044" t="s">
        <v>11</v>
      </c>
      <c r="F4044" t="s">
        <v>1209</v>
      </c>
      <c r="G4044" t="s">
        <v>4876</v>
      </c>
      <c r="H4044" t="s">
        <v>938</v>
      </c>
    </row>
    <row r="4045" spans="1:8" hidden="1" x14ac:dyDescent="0.25">
      <c r="A4045" t="s">
        <v>5605</v>
      </c>
      <c r="B4045" s="1" t="str">
        <f>HYPERLINK("https://asmlis.vasa.lt/Dashboard/Served?ServiceDateFrom=2025-11-24&amp;ServiceDateTo=2025-11-24&amp;DumpsterInvNr=13-L-206749", "13-L-206749")</f>
        <v>13-L-206749</v>
      </c>
      <c r="C4045">
        <v>1.1000000000000001</v>
      </c>
      <c r="D4045" t="s">
        <v>5546</v>
      </c>
      <c r="E4045" t="s">
        <v>11</v>
      </c>
      <c r="G4045" t="s">
        <v>936</v>
      </c>
      <c r="H4045" t="s">
        <v>938</v>
      </c>
    </row>
    <row r="4046" spans="1:8" hidden="1" x14ac:dyDescent="0.25">
      <c r="A4046" t="s">
        <v>5606</v>
      </c>
      <c r="B4046" s="1" t="str">
        <f>HYPERLINK("https://asmlis.vasa.lt/Dashboard/Served?ServiceDateFrom=2025-11-24&amp;ServiceDateTo=2025-11-24&amp;DumpsterInvNr=13-P-415506", "13-P-415506")</f>
        <v>13-P-415506</v>
      </c>
      <c r="C4046">
        <v>1.1000000000000001</v>
      </c>
      <c r="D4046" t="s">
        <v>940</v>
      </c>
      <c r="E4046" t="s">
        <v>11</v>
      </c>
      <c r="G4046" t="s">
        <v>264</v>
      </c>
      <c r="H4046" t="s">
        <v>14</v>
      </c>
    </row>
    <row r="4047" spans="1:8" hidden="1" x14ac:dyDescent="0.25">
      <c r="A4047" t="s">
        <v>5606</v>
      </c>
      <c r="B4047" s="1" t="str">
        <f>HYPERLINK("https://asmlis.vasa.lt/Dashboard/Served?ServiceDateFrom=2025-11-24&amp;ServiceDateTo=2025-11-24&amp;DumpsterInvNr=13-M-200949", "13-M-200949")</f>
        <v>13-M-200949</v>
      </c>
      <c r="C4047">
        <v>0.12</v>
      </c>
      <c r="D4047" t="s">
        <v>5589</v>
      </c>
      <c r="E4047" t="s">
        <v>11</v>
      </c>
      <c r="F4047" t="s">
        <v>1209</v>
      </c>
      <c r="G4047" t="s">
        <v>4876</v>
      </c>
      <c r="H4047" t="s">
        <v>938</v>
      </c>
    </row>
    <row r="4048" spans="1:8" hidden="1" x14ac:dyDescent="0.25">
      <c r="A4048" t="s">
        <v>5607</v>
      </c>
      <c r="B4048" s="1" t="str">
        <f>HYPERLINK("https://asmlis.vasa.lt/Dashboard/Served?ServiceDateFrom=2025-11-24&amp;ServiceDateTo=2025-11-24&amp;DumpsterInvNr=13-L-203576", "13-L-203576")</f>
        <v>13-L-203576</v>
      </c>
      <c r="C4048">
        <v>0.12</v>
      </c>
      <c r="D4048" t="s">
        <v>5609</v>
      </c>
      <c r="E4048" t="s">
        <v>11</v>
      </c>
      <c r="G4048" t="s">
        <v>936</v>
      </c>
      <c r="H4048" t="s">
        <v>938</v>
      </c>
    </row>
    <row r="4049" spans="1:8" hidden="1" x14ac:dyDescent="0.25">
      <c r="A4049" t="s">
        <v>5610</v>
      </c>
      <c r="B4049" s="1" t="str">
        <f>HYPERLINK("https://asmlis.vasa.lt/Dashboard/Served?ServiceDateFrom=2025-11-24&amp;ServiceDateTo=2025-11-24&amp;DumpsterInvNr=13-M-203911", "13-M-203911")</f>
        <v>13-M-203911</v>
      </c>
      <c r="C4049">
        <v>0.12</v>
      </c>
      <c r="D4049" t="s">
        <v>5611</v>
      </c>
      <c r="E4049" t="s">
        <v>11</v>
      </c>
      <c r="F4049" t="s">
        <v>1209</v>
      </c>
      <c r="G4049" t="s">
        <v>4876</v>
      </c>
      <c r="H4049" t="s">
        <v>938</v>
      </c>
    </row>
    <row r="4050" spans="1:8" hidden="1" x14ac:dyDescent="0.25">
      <c r="A4050" t="s">
        <v>5613</v>
      </c>
      <c r="B4050" s="1" t="str">
        <f>HYPERLINK("https://asmlis.vasa.lt/Dashboard/Served?ServiceDateFrom=2025-11-24&amp;ServiceDateTo=2025-11-24&amp;DumpsterInvNr=13-P-413997", "13-P-413997")</f>
        <v>13-P-413997</v>
      </c>
      <c r="C4050">
        <v>0.24</v>
      </c>
      <c r="D4050" t="s">
        <v>5614</v>
      </c>
      <c r="E4050" t="s">
        <v>11</v>
      </c>
      <c r="F4050" t="s">
        <v>1209</v>
      </c>
      <c r="G4050" t="s">
        <v>264</v>
      </c>
      <c r="H4050" t="s">
        <v>14</v>
      </c>
    </row>
    <row r="4051" spans="1:8" hidden="1" x14ac:dyDescent="0.25">
      <c r="A4051" t="s">
        <v>5615</v>
      </c>
      <c r="B4051" s="1" t="str">
        <f>HYPERLINK("https://asmlis.vasa.lt/Dashboard/Served?ServiceDateFrom=2025-11-24&amp;ServiceDateTo=2025-11-24&amp;DumpsterInvNr=13-P-416738", "13-P-416738")</f>
        <v>13-P-416738</v>
      </c>
      <c r="C4051">
        <v>0.24</v>
      </c>
      <c r="D4051" t="s">
        <v>5616</v>
      </c>
      <c r="E4051" t="s">
        <v>11</v>
      </c>
      <c r="G4051" t="s">
        <v>264</v>
      </c>
      <c r="H4051" t="s">
        <v>14</v>
      </c>
    </row>
    <row r="4052" spans="1:8" hidden="1" x14ac:dyDescent="0.25">
      <c r="A4052" t="s">
        <v>5615</v>
      </c>
      <c r="B4052" s="1" t="str">
        <f>HYPERLINK("https://asmlis.vasa.lt/Dashboard/Served?ServiceDateFrom=2025-11-24&amp;ServiceDateTo=2025-11-24&amp;DumpsterInvNr=13-P-101162", "13-P-101162")</f>
        <v>13-P-101162</v>
      </c>
      <c r="C4052">
        <v>0.24</v>
      </c>
      <c r="D4052" t="s">
        <v>5617</v>
      </c>
      <c r="E4052" t="s">
        <v>11</v>
      </c>
      <c r="G4052" t="s">
        <v>1917</v>
      </c>
      <c r="H4052" t="s">
        <v>432</v>
      </c>
    </row>
    <row r="4053" spans="1:8" hidden="1" x14ac:dyDescent="0.25">
      <c r="A4053" t="s">
        <v>5618</v>
      </c>
      <c r="B4053" s="1" t="str">
        <f>HYPERLINK("https://asmlis.vasa.lt/Dashboard/Served?ServiceDateFrom=2025-11-24&amp;ServiceDateTo=2025-11-24&amp;DumpsterInvNr=13-L-134928", "13-L-134928")</f>
        <v>13-L-134928</v>
      </c>
      <c r="C4053">
        <v>0.12</v>
      </c>
      <c r="D4053" t="s">
        <v>5619</v>
      </c>
      <c r="E4053" t="s">
        <v>11</v>
      </c>
      <c r="G4053" t="s">
        <v>430</v>
      </c>
      <c r="H4053" t="s">
        <v>432</v>
      </c>
    </row>
    <row r="4054" spans="1:8" hidden="1" x14ac:dyDescent="0.25">
      <c r="A4054" t="s">
        <v>5618</v>
      </c>
      <c r="B4054" s="1" t="str">
        <f>HYPERLINK("https://asmlis.vasa.lt/Dashboard/Served?ServiceDateFrom=2025-11-24&amp;ServiceDateTo=2025-11-24&amp;DumpsterInvNr=13-P-509196", "13-P-509196")</f>
        <v>13-P-509196</v>
      </c>
      <c r="C4054">
        <v>0.24</v>
      </c>
      <c r="D4054" t="s">
        <v>5619</v>
      </c>
      <c r="E4054" t="s">
        <v>11</v>
      </c>
      <c r="G4054" t="s">
        <v>2178</v>
      </c>
      <c r="H4054" t="s">
        <v>432</v>
      </c>
    </row>
    <row r="4055" spans="1:8" hidden="1" x14ac:dyDescent="0.25">
      <c r="A4055" t="s">
        <v>5621</v>
      </c>
      <c r="B4055" s="1" t="str">
        <f>HYPERLINK("https://asmlis.vasa.lt/Dashboard/Served?ServiceDateFrom=2025-11-24&amp;ServiceDateTo=2025-11-24&amp;DumpsterInvNr=13-P-301739", "13-P-301739")</f>
        <v>13-P-301739</v>
      </c>
      <c r="C4055">
        <v>1.1000000000000001</v>
      </c>
      <c r="D4055" t="s">
        <v>3995</v>
      </c>
      <c r="E4055" t="s">
        <v>11</v>
      </c>
      <c r="G4055" t="s">
        <v>412</v>
      </c>
      <c r="H4055" t="s">
        <v>14</v>
      </c>
    </row>
    <row r="4056" spans="1:8" hidden="1" x14ac:dyDescent="0.25">
      <c r="A4056" t="s">
        <v>5622</v>
      </c>
      <c r="B4056" s="1" t="str">
        <f>HYPERLINK("https://asmlis.vasa.lt/Dashboard/Served?ServiceDateFrom=2025-11-24&amp;ServiceDateTo=2025-11-24&amp;DumpsterInvNr=13-M-203917", "13-M-203917")</f>
        <v>13-M-203917</v>
      </c>
      <c r="C4056">
        <v>0.12</v>
      </c>
      <c r="D4056" t="s">
        <v>5623</v>
      </c>
      <c r="E4056" t="s">
        <v>11</v>
      </c>
      <c r="G4056" t="s">
        <v>4876</v>
      </c>
      <c r="H4056" t="s">
        <v>938</v>
      </c>
    </row>
    <row r="4057" spans="1:8" hidden="1" x14ac:dyDescent="0.25">
      <c r="A4057" t="s">
        <v>5603</v>
      </c>
      <c r="B4057" s="1" t="str">
        <f>HYPERLINK("https://asmlis.vasa.lt/Dashboard/Served?ServiceDateFrom=2025-11-24&amp;ServiceDateTo=2025-11-24&amp;DumpsterInvNr=13-P-213144", "13-P-213144")</f>
        <v>13-P-213144</v>
      </c>
      <c r="C4057">
        <v>0.24</v>
      </c>
      <c r="D4057" t="s">
        <v>5624</v>
      </c>
      <c r="E4057" t="s">
        <v>11</v>
      </c>
      <c r="G4057" t="s">
        <v>234</v>
      </c>
      <c r="H4057" t="s">
        <v>14</v>
      </c>
    </row>
    <row r="4058" spans="1:8" hidden="1" x14ac:dyDescent="0.25">
      <c r="A4058" t="s">
        <v>5603</v>
      </c>
      <c r="B4058" s="1" t="str">
        <f>HYPERLINK("https://asmlis.vasa.lt/Dashboard/Served?ServiceDateFrom=2025-11-24&amp;ServiceDateTo=2025-11-24&amp;DumpsterInvNr=13-L-421998", "13-L-421998")</f>
        <v>13-L-421998</v>
      </c>
      <c r="C4058">
        <v>5</v>
      </c>
      <c r="D4058" t="s">
        <v>4112</v>
      </c>
      <c r="E4058" t="s">
        <v>11</v>
      </c>
      <c r="F4058" t="s">
        <v>13</v>
      </c>
      <c r="G4058" t="s">
        <v>74</v>
      </c>
      <c r="H4058" t="s">
        <v>14</v>
      </c>
    </row>
    <row r="4059" spans="1:8" hidden="1" x14ac:dyDescent="0.25">
      <c r="A4059" t="s">
        <v>5625</v>
      </c>
      <c r="B4059" s="1" t="str">
        <f>HYPERLINK("https://asmlis.vasa.lt/Dashboard/Served?ServiceDateFrom=2025-11-24&amp;ServiceDateTo=2025-11-24&amp;DumpsterInvNr=13-P-404944", "13-P-404944")</f>
        <v>13-P-404944</v>
      </c>
      <c r="C4059">
        <v>5</v>
      </c>
      <c r="D4059" t="s">
        <v>5626</v>
      </c>
      <c r="E4059" t="s">
        <v>11</v>
      </c>
      <c r="F4059" t="s">
        <v>13</v>
      </c>
      <c r="G4059" t="s">
        <v>264</v>
      </c>
      <c r="H4059" t="s">
        <v>14</v>
      </c>
    </row>
    <row r="4060" spans="1:8" hidden="1" x14ac:dyDescent="0.25">
      <c r="A4060" t="s">
        <v>5625</v>
      </c>
      <c r="B4060" s="1" t="str">
        <f>HYPERLINK("https://asmlis.vasa.lt/Dashboard/Served?ServiceDateFrom=2025-11-24&amp;ServiceDateTo=2025-11-24&amp;DumpsterInvNr=13-P-401753", "13-P-401753")</f>
        <v>13-P-401753</v>
      </c>
      <c r="C4060">
        <v>1.1000000000000001</v>
      </c>
      <c r="D4060" t="s">
        <v>940</v>
      </c>
      <c r="E4060" t="s">
        <v>11</v>
      </c>
      <c r="F4060" t="s">
        <v>13</v>
      </c>
      <c r="G4060" t="s">
        <v>264</v>
      </c>
      <c r="H4060" t="s">
        <v>14</v>
      </c>
    </row>
    <row r="4061" spans="1:8" hidden="1" x14ac:dyDescent="0.25">
      <c r="A4061" t="s">
        <v>5627</v>
      </c>
      <c r="B4061" s="1" t="str">
        <f>HYPERLINK("https://asmlis.vasa.lt/Dashboard/Served?ServiceDateFrom=2025-11-24&amp;ServiceDateTo=2025-11-24&amp;DumpsterInvNr=13-L-203577", "13-L-203577")</f>
        <v>13-L-203577</v>
      </c>
      <c r="C4061">
        <v>0.12</v>
      </c>
      <c r="D4061" t="s">
        <v>5628</v>
      </c>
      <c r="E4061" t="s">
        <v>11</v>
      </c>
      <c r="F4061" t="s">
        <v>1209</v>
      </c>
      <c r="G4061" t="s">
        <v>936</v>
      </c>
      <c r="H4061" t="s">
        <v>938</v>
      </c>
    </row>
    <row r="4062" spans="1:8" hidden="1" x14ac:dyDescent="0.25">
      <c r="A4062" t="s">
        <v>5629</v>
      </c>
      <c r="B4062" s="1" t="str">
        <f>HYPERLINK("https://asmlis.vasa.lt/Dashboard/Served?ServiceDateFrom=2025-11-24&amp;ServiceDateTo=2025-11-24&amp;DumpsterInvNr=13-L-421997", "13-L-421997")</f>
        <v>13-L-421997</v>
      </c>
      <c r="C4062">
        <v>5</v>
      </c>
      <c r="D4062" t="s">
        <v>4112</v>
      </c>
      <c r="E4062" t="s">
        <v>11</v>
      </c>
      <c r="F4062" t="s">
        <v>13</v>
      </c>
      <c r="G4062" t="s">
        <v>74</v>
      </c>
      <c r="H4062" t="s">
        <v>14</v>
      </c>
    </row>
    <row r="4063" spans="1:8" hidden="1" x14ac:dyDescent="0.25">
      <c r="A4063" t="s">
        <v>5630</v>
      </c>
      <c r="B4063" s="1" t="str">
        <f>HYPERLINK("https://asmlis.vasa.lt/Dashboard/Served?ServiceDateFrom=2025-11-24&amp;ServiceDateTo=2025-11-24&amp;DumpsterInvNr=13-P-412389", "13-P-412389")</f>
        <v>13-P-412389</v>
      </c>
      <c r="C4063">
        <v>1.1000000000000001</v>
      </c>
      <c r="D4063" t="s">
        <v>940</v>
      </c>
      <c r="E4063" t="s">
        <v>11</v>
      </c>
      <c r="F4063" t="s">
        <v>13</v>
      </c>
      <c r="G4063" t="s">
        <v>264</v>
      </c>
      <c r="H4063" t="s">
        <v>14</v>
      </c>
    </row>
    <row r="4064" spans="1:8" hidden="1" x14ac:dyDescent="0.25">
      <c r="A4064" t="s">
        <v>5631</v>
      </c>
      <c r="B4064" s="1" t="str">
        <f>HYPERLINK("https://asmlis.vasa.lt/Dashboard/Served?ServiceDateFrom=2025-11-24&amp;ServiceDateTo=2025-11-24&amp;DumpsterInvNr=13-L-214990", "13-L-214990")</f>
        <v>13-L-214990</v>
      </c>
      <c r="C4064">
        <v>0.12</v>
      </c>
      <c r="D4064" t="s">
        <v>5632</v>
      </c>
      <c r="E4064" t="s">
        <v>11</v>
      </c>
      <c r="F4064" t="s">
        <v>1209</v>
      </c>
      <c r="G4064" t="s">
        <v>936</v>
      </c>
      <c r="H4064" t="s">
        <v>938</v>
      </c>
    </row>
    <row r="4065" spans="1:8" hidden="1" x14ac:dyDescent="0.25">
      <c r="A4065" t="s">
        <v>5633</v>
      </c>
      <c r="B4065" s="1" t="str">
        <f>HYPERLINK("https://asmlis.vasa.lt/Dashboard/Served?ServiceDateFrom=2025-11-24&amp;ServiceDateTo=2025-11-24&amp;DumpsterInvNr=13-L-310589", "13-L-310589")</f>
        <v>13-L-310589</v>
      </c>
      <c r="C4065">
        <v>0.77</v>
      </c>
      <c r="D4065" t="s">
        <v>4928</v>
      </c>
      <c r="E4065" t="s">
        <v>11</v>
      </c>
      <c r="F4065" t="s">
        <v>13</v>
      </c>
      <c r="G4065" t="s">
        <v>9</v>
      </c>
      <c r="H4065" t="s">
        <v>14</v>
      </c>
    </row>
    <row r="4066" spans="1:8" hidden="1" x14ac:dyDescent="0.25">
      <c r="A4066" t="s">
        <v>5634</v>
      </c>
      <c r="B4066" s="1" t="str">
        <f>HYPERLINK("https://asmlis.vasa.lt/Dashboard/Served?ServiceDateFrom=2025-11-24&amp;ServiceDateTo=2025-11-24&amp;DumpsterInvNr=13-L-108276", "13-L-108276")</f>
        <v>13-L-108276</v>
      </c>
      <c r="C4066">
        <v>0.12</v>
      </c>
      <c r="D4066" t="s">
        <v>5635</v>
      </c>
      <c r="E4066" t="s">
        <v>11</v>
      </c>
      <c r="G4066" t="s">
        <v>430</v>
      </c>
      <c r="H4066" t="s">
        <v>432</v>
      </c>
    </row>
    <row r="4067" spans="1:8" hidden="1" x14ac:dyDescent="0.25">
      <c r="A4067" t="s">
        <v>5634</v>
      </c>
      <c r="B4067" s="1" t="str">
        <f>HYPERLINK("https://asmlis.vasa.lt/Dashboard/Served?ServiceDateFrom=2025-11-24&amp;ServiceDateTo=2025-11-24&amp;DumpsterInvNr=13-L-313583", "13-L-313583")</f>
        <v>13-L-313583</v>
      </c>
      <c r="C4067">
        <v>0.77</v>
      </c>
      <c r="D4067" t="s">
        <v>4928</v>
      </c>
      <c r="E4067" t="s">
        <v>11</v>
      </c>
      <c r="F4067" t="s">
        <v>13</v>
      </c>
      <c r="G4067" t="s">
        <v>9</v>
      </c>
      <c r="H4067" t="s">
        <v>14</v>
      </c>
    </row>
    <row r="4068" spans="1:8" hidden="1" x14ac:dyDescent="0.25">
      <c r="A4068" t="s">
        <v>5634</v>
      </c>
      <c r="B4068" s="1" t="str">
        <f>HYPERLINK("https://asmlis.vasa.lt/Dashboard/Served?ServiceDateFrom=2025-11-24&amp;ServiceDateTo=2025-11-24&amp;DumpsterInvNr=13-P-508414", "13-P-508414")</f>
        <v>13-P-508414</v>
      </c>
      <c r="C4068">
        <v>0.24</v>
      </c>
      <c r="D4068" t="s">
        <v>5635</v>
      </c>
      <c r="E4068" t="s">
        <v>11</v>
      </c>
      <c r="G4068" t="s">
        <v>2178</v>
      </c>
      <c r="H4068" t="s">
        <v>432</v>
      </c>
    </row>
    <row r="4069" spans="1:8" hidden="1" x14ac:dyDescent="0.25">
      <c r="A4069" t="s">
        <v>5638</v>
      </c>
      <c r="B4069" s="1" t="str">
        <f>HYPERLINK("https://asmlis.vasa.lt/Dashboard/Served?ServiceDateFrom=2025-11-24&amp;ServiceDateTo=2025-11-24&amp;DumpsterInvNr=13-L-318435", "13-L-318435")</f>
        <v>13-L-318435</v>
      </c>
      <c r="C4069">
        <v>0.77</v>
      </c>
      <c r="D4069" t="s">
        <v>4928</v>
      </c>
      <c r="E4069" t="s">
        <v>11</v>
      </c>
      <c r="F4069" t="s">
        <v>13</v>
      </c>
      <c r="G4069" t="s">
        <v>9</v>
      </c>
      <c r="H4069" t="s">
        <v>14</v>
      </c>
    </row>
    <row r="4070" spans="1:8" hidden="1" x14ac:dyDescent="0.25">
      <c r="A4070" t="s">
        <v>5639</v>
      </c>
      <c r="B4070" s="1" t="str">
        <f>HYPERLINK("https://asmlis.vasa.lt/Dashboard/Served?ServiceDateFrom=2025-11-24&amp;ServiceDateTo=2025-11-24&amp;DumpsterInvNr=13-P-101163", "13-P-101163")</f>
        <v>13-P-101163</v>
      </c>
      <c r="C4070">
        <v>0.24</v>
      </c>
      <c r="D4070" t="s">
        <v>5640</v>
      </c>
      <c r="E4070" t="s">
        <v>11</v>
      </c>
      <c r="G4070" t="s">
        <v>1917</v>
      </c>
      <c r="H4070" t="s">
        <v>432</v>
      </c>
    </row>
    <row r="4071" spans="1:8" hidden="1" x14ac:dyDescent="0.25">
      <c r="A4071" t="s">
        <v>5642</v>
      </c>
      <c r="B4071" s="1" t="str">
        <f>HYPERLINK("https://asmlis.vasa.lt/Dashboard/Served?ServiceDateFrom=2025-11-24&amp;ServiceDateTo=2025-11-24&amp;DumpsterInvNr=13-P-302171", "13-P-302171")</f>
        <v>13-P-302171</v>
      </c>
      <c r="C4071">
        <v>1.1000000000000001</v>
      </c>
      <c r="D4071" t="s">
        <v>3995</v>
      </c>
      <c r="E4071" t="s">
        <v>11</v>
      </c>
      <c r="F4071" t="s">
        <v>13</v>
      </c>
      <c r="G4071" t="s">
        <v>412</v>
      </c>
      <c r="H4071" t="s">
        <v>14</v>
      </c>
    </row>
    <row r="4072" spans="1:8" hidden="1" x14ac:dyDescent="0.25">
      <c r="A4072" t="s">
        <v>5643</v>
      </c>
      <c r="B4072" s="1" t="str">
        <f>HYPERLINK("https://asmlis.vasa.lt/Dashboard/Served?ServiceDateFrom=2025-11-24&amp;ServiceDateTo=2025-11-24&amp;DumpsterInvNr=13-L-225811", "13-L-225811")</f>
        <v>13-L-225811</v>
      </c>
      <c r="C4072">
        <v>0.24</v>
      </c>
      <c r="D4072" t="s">
        <v>5644</v>
      </c>
      <c r="E4072" t="s">
        <v>11</v>
      </c>
      <c r="F4072" t="s">
        <v>1209</v>
      </c>
      <c r="G4072" t="s">
        <v>936</v>
      </c>
      <c r="H4072" t="s">
        <v>938</v>
      </c>
    </row>
    <row r="4073" spans="1:8" hidden="1" x14ac:dyDescent="0.25">
      <c r="A4073" t="s">
        <v>5643</v>
      </c>
      <c r="B4073" s="1" t="str">
        <f>HYPERLINK("https://asmlis.vasa.lt/Dashboard/Served?ServiceDateFrom=2025-11-24&amp;ServiceDateTo=2025-11-24&amp;DumpsterInvNr=13-M-201000", "13-M-201000")</f>
        <v>13-M-201000</v>
      </c>
      <c r="C4073">
        <v>0.12</v>
      </c>
      <c r="D4073" t="s">
        <v>5647</v>
      </c>
      <c r="E4073" t="s">
        <v>11</v>
      </c>
      <c r="G4073" t="s">
        <v>4876</v>
      </c>
      <c r="H4073" t="s">
        <v>938</v>
      </c>
    </row>
    <row r="4074" spans="1:8" hidden="1" x14ac:dyDescent="0.25">
      <c r="A4074" t="s">
        <v>5648</v>
      </c>
      <c r="B4074" s="1" t="str">
        <f>HYPERLINK("https://asmlis.vasa.lt/Dashboard/Served?ServiceDateFrom=2025-11-24&amp;ServiceDateTo=2025-11-24&amp;DumpsterInvNr=13-L-102697", "13-L-102697")</f>
        <v>13-L-102697</v>
      </c>
      <c r="C4074">
        <v>0.24</v>
      </c>
      <c r="D4074" t="s">
        <v>5640</v>
      </c>
      <c r="E4074" t="s">
        <v>11</v>
      </c>
      <c r="G4074" t="s">
        <v>1912</v>
      </c>
      <c r="H4074" t="s">
        <v>432</v>
      </c>
    </row>
    <row r="4075" spans="1:8" hidden="1" x14ac:dyDescent="0.25">
      <c r="A4075" t="s">
        <v>5649</v>
      </c>
      <c r="B4075" s="1" t="str">
        <f>HYPERLINK("https://asmlis.vasa.lt/Dashboard/Served?ServiceDateFrom=2025-11-24&amp;ServiceDateTo=2025-11-24&amp;DumpsterInvNr=13-P-300797", "13-P-300797")</f>
        <v>13-P-300797</v>
      </c>
      <c r="C4075">
        <v>1.1000000000000001</v>
      </c>
      <c r="D4075" t="s">
        <v>3995</v>
      </c>
      <c r="E4075" t="s">
        <v>11</v>
      </c>
      <c r="F4075" t="s">
        <v>13</v>
      </c>
      <c r="G4075" t="s">
        <v>412</v>
      </c>
      <c r="H4075" t="s">
        <v>14</v>
      </c>
    </row>
    <row r="4076" spans="1:8" hidden="1" x14ac:dyDescent="0.25">
      <c r="A4076" t="s">
        <v>5650</v>
      </c>
      <c r="B4076" s="1" t="str">
        <f>HYPERLINK("https://asmlis.vasa.lt/Dashboard/Served?ServiceDateFrom=2025-11-24&amp;ServiceDateTo=2025-11-24&amp;DumpsterInvNr=13-L-223868", "13-L-223868")</f>
        <v>13-L-223868</v>
      </c>
      <c r="C4076">
        <v>1.1000000000000001</v>
      </c>
      <c r="D4076" t="s">
        <v>5651</v>
      </c>
      <c r="E4076" t="s">
        <v>11</v>
      </c>
      <c r="G4076" t="s">
        <v>936</v>
      </c>
      <c r="H4076" t="s">
        <v>938</v>
      </c>
    </row>
    <row r="4077" spans="1:8" hidden="1" x14ac:dyDescent="0.25">
      <c r="A4077" t="s">
        <v>5650</v>
      </c>
      <c r="B4077" s="1" t="str">
        <f>HYPERLINK("https://asmlis.vasa.lt/Dashboard/Served?ServiceDateFrom=2025-11-24&amp;ServiceDateTo=2025-11-24&amp;DumpsterInvNr=13-L-424122", "13-L-424122")</f>
        <v>13-L-424122</v>
      </c>
      <c r="C4077">
        <v>1.1000000000000001</v>
      </c>
      <c r="D4077" t="s">
        <v>3101</v>
      </c>
      <c r="E4077" t="s">
        <v>11</v>
      </c>
      <c r="G4077" t="s">
        <v>74</v>
      </c>
      <c r="H4077" t="s">
        <v>14</v>
      </c>
    </row>
    <row r="4078" spans="1:8" hidden="1" x14ac:dyDescent="0.25">
      <c r="A4078" t="s">
        <v>5650</v>
      </c>
      <c r="B4078" s="1" t="str">
        <f>HYPERLINK("https://asmlis.vasa.lt/Dashboard/Served?ServiceDateFrom=2025-11-24&amp;ServiceDateTo=2025-11-24&amp;DumpsterInvNr=13-L-410871", "13-L-410871")</f>
        <v>13-L-410871</v>
      </c>
      <c r="C4078">
        <v>0.12</v>
      </c>
      <c r="D4078" t="s">
        <v>5652</v>
      </c>
      <c r="E4078" t="s">
        <v>11</v>
      </c>
      <c r="G4078" t="s">
        <v>74</v>
      </c>
      <c r="H4078" t="s">
        <v>14</v>
      </c>
    </row>
    <row r="4079" spans="1:8" hidden="1" x14ac:dyDescent="0.25">
      <c r="A4079" t="s">
        <v>5653</v>
      </c>
      <c r="B4079" s="1" t="str">
        <f>HYPERLINK("https://asmlis.vasa.lt/Dashboard/Served?ServiceDateFrom=2025-11-24&amp;ServiceDateTo=2025-11-24&amp;DumpsterInvNr=13-L-421931", "13-L-421931")</f>
        <v>13-L-421931</v>
      </c>
      <c r="C4079">
        <v>1.1000000000000001</v>
      </c>
      <c r="D4079" t="s">
        <v>3101</v>
      </c>
      <c r="E4079" t="s">
        <v>11</v>
      </c>
      <c r="F4079" t="s">
        <v>13</v>
      </c>
      <c r="G4079" t="s">
        <v>74</v>
      </c>
      <c r="H4079" t="s">
        <v>14</v>
      </c>
    </row>
    <row r="4080" spans="1:8" hidden="1" x14ac:dyDescent="0.25">
      <c r="A4080" t="s">
        <v>5653</v>
      </c>
      <c r="B4080" s="1" t="str">
        <f>HYPERLINK("https://asmlis.vasa.lt/Dashboard/Served?ServiceDateFrom=2025-11-24&amp;ServiceDateTo=2025-11-24&amp;DumpsterInvNr=13-P-115904", "13-P-115904")</f>
        <v>13-P-115904</v>
      </c>
      <c r="C4080">
        <v>0.24</v>
      </c>
      <c r="D4080" t="s">
        <v>5654</v>
      </c>
      <c r="E4080" t="s">
        <v>11</v>
      </c>
      <c r="F4080" t="s">
        <v>1209</v>
      </c>
      <c r="G4080" t="s">
        <v>1917</v>
      </c>
      <c r="H4080" t="s">
        <v>432</v>
      </c>
    </row>
    <row r="4081" spans="1:8" hidden="1" x14ac:dyDescent="0.25">
      <c r="A4081" t="s">
        <v>5655</v>
      </c>
      <c r="B4081" s="1" t="str">
        <f>HYPERLINK("https://asmlis.vasa.lt/Dashboard/Served?ServiceDateFrom=2025-11-24&amp;ServiceDateTo=2025-11-24&amp;DumpsterInvNr=13-L-421928", "13-L-421928")</f>
        <v>13-L-421928</v>
      </c>
      <c r="C4081">
        <v>1.1000000000000001</v>
      </c>
      <c r="D4081" t="s">
        <v>3101</v>
      </c>
      <c r="E4081" t="s">
        <v>11</v>
      </c>
      <c r="F4081" t="s">
        <v>13</v>
      </c>
      <c r="G4081" t="s">
        <v>74</v>
      </c>
      <c r="H4081" t="s">
        <v>14</v>
      </c>
    </row>
    <row r="4082" spans="1:8" hidden="1" x14ac:dyDescent="0.25">
      <c r="A4082" t="s">
        <v>5655</v>
      </c>
      <c r="B4082" s="1" t="str">
        <f>HYPERLINK("https://asmlis.vasa.lt/Dashboard/Served?ServiceDateFrom=2025-11-24&amp;ServiceDateTo=2025-11-24&amp;DumpsterInvNr=13-L-207272", "13-L-207272")</f>
        <v>13-L-207272</v>
      </c>
      <c r="C4082">
        <v>1.1000000000000001</v>
      </c>
      <c r="D4082" t="s">
        <v>5286</v>
      </c>
      <c r="E4082" t="s">
        <v>11</v>
      </c>
      <c r="G4082" t="s">
        <v>936</v>
      </c>
      <c r="H4082" t="s">
        <v>938</v>
      </c>
    </row>
    <row r="4083" spans="1:8" hidden="1" x14ac:dyDescent="0.25">
      <c r="A4083" t="s">
        <v>5467</v>
      </c>
      <c r="B4083" s="1" t="str">
        <f>HYPERLINK("https://asmlis.vasa.lt/Dashboard/Served?ServiceDateFrom=2025-11-24&amp;ServiceDateTo=2025-11-24&amp;DumpsterInvNr=13-L-148495", "13-L-148495")</f>
        <v>13-L-148495</v>
      </c>
      <c r="C4083">
        <v>0.24</v>
      </c>
      <c r="D4083" t="s">
        <v>5654</v>
      </c>
      <c r="E4083" t="s">
        <v>11</v>
      </c>
      <c r="F4083" t="s">
        <v>1209</v>
      </c>
      <c r="G4083" t="s">
        <v>1912</v>
      </c>
      <c r="H4083" t="s">
        <v>432</v>
      </c>
    </row>
    <row r="4084" spans="1:8" hidden="1" x14ac:dyDescent="0.25">
      <c r="A4084" t="s">
        <v>5657</v>
      </c>
      <c r="B4084" s="1" t="str">
        <f>HYPERLINK("https://asmlis.vasa.lt/Dashboard/Served?ServiceDateFrom=2025-11-24&amp;ServiceDateTo=2025-11-24&amp;DumpsterInvNr=13-L-148331", "13-L-148331")</f>
        <v>13-L-148331</v>
      </c>
      <c r="C4084">
        <v>0.24</v>
      </c>
      <c r="D4084" t="s">
        <v>5658</v>
      </c>
      <c r="E4084" t="s">
        <v>11</v>
      </c>
      <c r="G4084" t="s">
        <v>430</v>
      </c>
      <c r="H4084" t="s">
        <v>432</v>
      </c>
    </row>
    <row r="4085" spans="1:8" hidden="1" x14ac:dyDescent="0.25">
      <c r="A4085" t="s">
        <v>5659</v>
      </c>
      <c r="B4085" s="1" t="str">
        <f>HYPERLINK("https://asmlis.vasa.lt/Dashboard/Served?ServiceDateFrom=2025-11-24&amp;ServiceDateTo=2025-11-24&amp;DumpsterInvNr=13-L-421930", "13-L-421930")</f>
        <v>13-L-421930</v>
      </c>
      <c r="C4085">
        <v>1.1000000000000001</v>
      </c>
      <c r="D4085" t="s">
        <v>3101</v>
      </c>
      <c r="E4085" t="s">
        <v>11</v>
      </c>
      <c r="F4085" t="s">
        <v>13</v>
      </c>
      <c r="G4085" t="s">
        <v>74</v>
      </c>
      <c r="H4085" t="s">
        <v>14</v>
      </c>
    </row>
    <row r="4086" spans="1:8" hidden="1" x14ac:dyDescent="0.25">
      <c r="A4086" t="s">
        <v>5660</v>
      </c>
      <c r="B4086" s="1" t="str">
        <f>HYPERLINK("https://asmlis.vasa.lt/Dashboard/Served?ServiceDateFrom=2025-11-24&amp;ServiceDateTo=2025-11-24&amp;DumpsterInvNr=13-P-500521", "13-P-500521")</f>
        <v>13-P-500521</v>
      </c>
      <c r="C4086">
        <v>5</v>
      </c>
      <c r="D4086" t="s">
        <v>5661</v>
      </c>
      <c r="E4086" t="s">
        <v>11</v>
      </c>
      <c r="F4086" t="s">
        <v>13</v>
      </c>
      <c r="G4086" t="s">
        <v>2178</v>
      </c>
      <c r="H4086" t="s">
        <v>432</v>
      </c>
    </row>
    <row r="4087" spans="1:8" hidden="1" x14ac:dyDescent="0.25">
      <c r="A4087" t="s">
        <v>5662</v>
      </c>
      <c r="B4087" s="1" t="str">
        <f>HYPERLINK("https://asmlis.vasa.lt/Dashboard/Served?ServiceDateFrom=2025-11-24&amp;ServiceDateTo=2025-11-24&amp;DumpsterInvNr=13-P-416410", "13-P-416410")</f>
        <v>13-P-416410</v>
      </c>
      <c r="C4087">
        <v>0.24</v>
      </c>
      <c r="D4087" t="s">
        <v>5663</v>
      </c>
      <c r="E4087" t="s">
        <v>11</v>
      </c>
      <c r="G4087" t="s">
        <v>264</v>
      </c>
      <c r="H4087" t="s">
        <v>14</v>
      </c>
    </row>
    <row r="4088" spans="1:8" hidden="1" x14ac:dyDescent="0.25">
      <c r="A4088" t="s">
        <v>5664</v>
      </c>
      <c r="B4088" s="1" t="str">
        <f>HYPERLINK("https://asmlis.vasa.lt/Dashboard/Served?ServiceDateFrom=2025-11-24&amp;ServiceDateTo=2025-11-24&amp;DumpsterInvNr=13-P-506867", "13-P-506867")</f>
        <v>13-P-506867</v>
      </c>
      <c r="C4088">
        <v>0.24</v>
      </c>
      <c r="D4088" t="s">
        <v>5665</v>
      </c>
      <c r="E4088" t="s">
        <v>11</v>
      </c>
      <c r="G4088" t="s">
        <v>2178</v>
      </c>
      <c r="H4088" t="s">
        <v>432</v>
      </c>
    </row>
    <row r="4089" spans="1:8" hidden="1" x14ac:dyDescent="0.25">
      <c r="A4089" t="s">
        <v>5666</v>
      </c>
      <c r="B4089" s="1" t="str">
        <f>HYPERLINK("https://asmlis.vasa.lt/Dashboard/Served?ServiceDateFrom=2025-11-24&amp;ServiceDateTo=2025-11-24&amp;DumpsterInvNr=13-L-421929", "13-L-421929")</f>
        <v>13-L-421929</v>
      </c>
      <c r="C4089">
        <v>1.1000000000000001</v>
      </c>
      <c r="D4089" t="s">
        <v>3101</v>
      </c>
      <c r="E4089" t="s">
        <v>11</v>
      </c>
      <c r="F4089" t="s">
        <v>13</v>
      </c>
      <c r="G4089" t="s">
        <v>74</v>
      </c>
      <c r="H4089" t="s">
        <v>14</v>
      </c>
    </row>
    <row r="4090" spans="1:8" hidden="1" x14ac:dyDescent="0.25">
      <c r="A4090" t="s">
        <v>5667</v>
      </c>
      <c r="B4090" s="1" t="str">
        <f>HYPERLINK("https://asmlis.vasa.lt/Dashboard/Served?ServiceDateFrom=2025-11-24&amp;ServiceDateTo=2025-11-24&amp;DumpsterInvNr=13-P-302455", "13-P-302455")</f>
        <v>13-P-302455</v>
      </c>
      <c r="C4090">
        <v>5</v>
      </c>
      <c r="D4090" t="s">
        <v>5668</v>
      </c>
      <c r="E4090" t="s">
        <v>11</v>
      </c>
      <c r="F4090" t="s">
        <v>13</v>
      </c>
      <c r="G4090" t="s">
        <v>412</v>
      </c>
      <c r="H4090" t="s">
        <v>14</v>
      </c>
    </row>
    <row r="4091" spans="1:8" hidden="1" x14ac:dyDescent="0.25">
      <c r="A4091" t="s">
        <v>5669</v>
      </c>
      <c r="B4091" s="1" t="str">
        <f>HYPERLINK("https://asmlis.vasa.lt/Dashboard/Served?ServiceDateFrom=2025-11-24&amp;ServiceDateTo=2025-11-24&amp;DumpsterInvNr=13-L-143413", "13-L-143413")</f>
        <v>13-L-143413</v>
      </c>
      <c r="C4091">
        <v>0.24</v>
      </c>
      <c r="D4091" t="s">
        <v>5665</v>
      </c>
      <c r="E4091" t="s">
        <v>11</v>
      </c>
      <c r="G4091" t="s">
        <v>430</v>
      </c>
      <c r="H4091" t="s">
        <v>432</v>
      </c>
    </row>
    <row r="4092" spans="1:8" hidden="1" x14ac:dyDescent="0.25">
      <c r="A4092" t="s">
        <v>5670</v>
      </c>
      <c r="B4092" s="1" t="str">
        <f>HYPERLINK("https://asmlis.vasa.lt/Dashboard/Served?ServiceDateFrom=2025-11-24&amp;ServiceDateTo=2025-11-24&amp;DumpsterInvNr=13-P-306797", "13-P-306797")</f>
        <v>13-P-306797</v>
      </c>
      <c r="C4092">
        <v>1.1000000000000001</v>
      </c>
      <c r="D4092" t="s">
        <v>3995</v>
      </c>
      <c r="E4092" t="s">
        <v>11</v>
      </c>
      <c r="F4092" t="s">
        <v>13</v>
      </c>
      <c r="G4092" t="s">
        <v>412</v>
      </c>
      <c r="H4092" t="s">
        <v>14</v>
      </c>
    </row>
    <row r="4093" spans="1:8" hidden="1" x14ac:dyDescent="0.25">
      <c r="A4093" t="s">
        <v>5671</v>
      </c>
      <c r="B4093" s="1" t="str">
        <f>HYPERLINK("https://asmlis.vasa.lt/Dashboard/Served?ServiceDateFrom=2025-11-24&amp;ServiceDateTo=2025-11-24&amp;DumpsterInvNr=13-P-302425", "13-P-302425")</f>
        <v>13-P-302425</v>
      </c>
      <c r="C4093">
        <v>5</v>
      </c>
      <c r="D4093" t="s">
        <v>5668</v>
      </c>
      <c r="E4093" t="s">
        <v>11</v>
      </c>
      <c r="F4093" t="s">
        <v>13</v>
      </c>
      <c r="G4093" t="s">
        <v>412</v>
      </c>
      <c r="H4093" t="s">
        <v>14</v>
      </c>
    </row>
    <row r="4094" spans="1:8" hidden="1" x14ac:dyDescent="0.25">
      <c r="A4094" t="s">
        <v>5671</v>
      </c>
      <c r="B4094" s="1" t="str">
        <f>HYPERLINK("https://asmlis.vasa.lt/Dashboard/Served?ServiceDateFrom=2025-11-24&amp;ServiceDateTo=2025-11-24&amp;DumpsterInvNr=13-P-416301", "13-P-416301")</f>
        <v>13-P-416301</v>
      </c>
      <c r="C4094">
        <v>0.24</v>
      </c>
      <c r="D4094" t="s">
        <v>5673</v>
      </c>
      <c r="E4094" t="s">
        <v>11</v>
      </c>
      <c r="G4094" t="s">
        <v>264</v>
      </c>
      <c r="H4094" t="s">
        <v>14</v>
      </c>
    </row>
    <row r="4095" spans="1:8" hidden="1" x14ac:dyDescent="0.25">
      <c r="A4095" t="s">
        <v>5674</v>
      </c>
      <c r="B4095" s="1" t="str">
        <f>HYPERLINK("https://asmlis.vasa.lt/Dashboard/Served?ServiceDateFrom=2025-11-24&amp;ServiceDateTo=2025-11-24&amp;DumpsterInvNr=13-L-206290", "13-L-206290")</f>
        <v>13-L-206290</v>
      </c>
      <c r="C4095">
        <v>0.12</v>
      </c>
      <c r="D4095" t="s">
        <v>5675</v>
      </c>
      <c r="E4095" t="s">
        <v>11</v>
      </c>
      <c r="G4095" t="s">
        <v>936</v>
      </c>
      <c r="H4095" t="s">
        <v>938</v>
      </c>
    </row>
    <row r="4096" spans="1:8" hidden="1" x14ac:dyDescent="0.25">
      <c r="A4096" t="s">
        <v>5674</v>
      </c>
      <c r="B4096" s="1" t="str">
        <f>HYPERLINK("https://asmlis.vasa.lt/Dashboard/Served?ServiceDateFrom=2025-11-24&amp;ServiceDateTo=2025-11-24&amp;DumpsterInvNr=13-P-306932", "13-P-306932")</f>
        <v>13-P-306932</v>
      </c>
      <c r="C4096">
        <v>1.1000000000000001</v>
      </c>
      <c r="D4096" t="s">
        <v>5676</v>
      </c>
      <c r="E4096" t="s">
        <v>11</v>
      </c>
      <c r="F4096" t="s">
        <v>13</v>
      </c>
      <c r="G4096" t="s">
        <v>412</v>
      </c>
      <c r="H4096" t="s">
        <v>14</v>
      </c>
    </row>
    <row r="4097" spans="1:8" hidden="1" x14ac:dyDescent="0.25">
      <c r="A4097" t="s">
        <v>5677</v>
      </c>
      <c r="B4097" s="1" t="str">
        <f>HYPERLINK("https://asmlis.vasa.lt/Dashboard/Served?ServiceDateFrom=2025-11-24&amp;ServiceDateTo=2025-11-24&amp;DumpsterInvNr=13-P-210681", "13-P-210681")</f>
        <v>13-P-210681</v>
      </c>
      <c r="C4097">
        <v>0.24</v>
      </c>
      <c r="D4097" t="s">
        <v>5678</v>
      </c>
      <c r="E4097" t="s">
        <v>11</v>
      </c>
      <c r="G4097" t="s">
        <v>234</v>
      </c>
      <c r="H4097" t="s">
        <v>14</v>
      </c>
    </row>
    <row r="4098" spans="1:8" hidden="1" x14ac:dyDescent="0.25">
      <c r="A4098" t="s">
        <v>5679</v>
      </c>
      <c r="B4098" s="1" t="str">
        <f>HYPERLINK("https://asmlis.vasa.lt/Dashboard/Served?ServiceDateFrom=2025-11-24&amp;ServiceDateTo=2025-11-24&amp;DumpsterInvNr=13-L-209061", "13-L-209061")</f>
        <v>13-L-209061</v>
      </c>
      <c r="C4098">
        <v>0.12</v>
      </c>
      <c r="D4098" t="s">
        <v>5680</v>
      </c>
      <c r="E4098" t="s">
        <v>11</v>
      </c>
      <c r="F4098" t="s">
        <v>13</v>
      </c>
      <c r="G4098" t="s">
        <v>936</v>
      </c>
      <c r="H4098" t="s">
        <v>938</v>
      </c>
    </row>
    <row r="4099" spans="1:8" hidden="1" x14ac:dyDescent="0.25">
      <c r="A4099" t="s">
        <v>5681</v>
      </c>
      <c r="B4099" s="1" t="str">
        <f>HYPERLINK("https://asmlis.vasa.lt/Dashboard/Served?ServiceDateFrom=2025-11-24&amp;ServiceDateTo=2025-11-24&amp;DumpsterInvNr=13-L-106342", "13-L-106342")</f>
        <v>13-L-106342</v>
      </c>
      <c r="C4099">
        <v>0.24</v>
      </c>
      <c r="D4099" t="s">
        <v>5682</v>
      </c>
      <c r="E4099" t="s">
        <v>11</v>
      </c>
      <c r="G4099" t="s">
        <v>1912</v>
      </c>
      <c r="H4099" t="s">
        <v>432</v>
      </c>
    </row>
    <row r="4100" spans="1:8" hidden="1" x14ac:dyDescent="0.25">
      <c r="A4100" t="s">
        <v>5681</v>
      </c>
      <c r="B4100" s="1" t="str">
        <f>HYPERLINK("https://asmlis.vasa.lt/Dashboard/Served?ServiceDateFrom=2025-11-24&amp;ServiceDateTo=2025-11-24&amp;DumpsterInvNr=13-L-143809", "13-L-143809")</f>
        <v>13-L-143809</v>
      </c>
      <c r="C4100">
        <v>1.1000000000000001</v>
      </c>
      <c r="D4100" t="s">
        <v>5683</v>
      </c>
      <c r="E4100" t="s">
        <v>11</v>
      </c>
      <c r="G4100" t="s">
        <v>430</v>
      </c>
      <c r="H4100" t="s">
        <v>432</v>
      </c>
    </row>
    <row r="4101" spans="1:8" hidden="1" x14ac:dyDescent="0.25">
      <c r="A4101" t="s">
        <v>5681</v>
      </c>
      <c r="B4101" s="1" t="str">
        <f>HYPERLINK("https://asmlis.vasa.lt/Dashboard/Served?ServiceDateFrom=2025-11-24&amp;ServiceDateTo=2025-11-24&amp;DumpsterInvNr=13-P-401467", "13-P-401467")</f>
        <v>13-P-401467</v>
      </c>
      <c r="C4101">
        <v>0.24</v>
      </c>
      <c r="D4101" t="s">
        <v>5685</v>
      </c>
      <c r="E4101" t="s">
        <v>11</v>
      </c>
      <c r="G4101" t="s">
        <v>264</v>
      </c>
      <c r="H4101" t="s">
        <v>14</v>
      </c>
    </row>
    <row r="4102" spans="1:8" hidden="1" x14ac:dyDescent="0.25">
      <c r="A4102" t="s">
        <v>5686</v>
      </c>
      <c r="B4102" s="1" t="str">
        <f>HYPERLINK("https://asmlis.vasa.lt/Dashboard/Served?ServiceDateFrom=2025-11-24&amp;ServiceDateTo=2025-11-24&amp;DumpsterInvNr=13-P-506858", "13-P-506858")</f>
        <v>13-P-506858</v>
      </c>
      <c r="C4102">
        <v>0.24</v>
      </c>
      <c r="D4102" t="s">
        <v>5687</v>
      </c>
      <c r="E4102" t="s">
        <v>11</v>
      </c>
      <c r="G4102" t="s">
        <v>2178</v>
      </c>
      <c r="H4102" t="s">
        <v>432</v>
      </c>
    </row>
    <row r="4103" spans="1:8" hidden="1" x14ac:dyDescent="0.25">
      <c r="A4103" t="s">
        <v>5689</v>
      </c>
      <c r="B4103" s="1" t="str">
        <f>HYPERLINK("https://asmlis.vasa.lt/Dashboard/Served?ServiceDateFrom=2025-11-24&amp;ServiceDateTo=2025-11-24&amp;DumpsterInvNr=13-L-137412", "13-L-137412")</f>
        <v>13-L-137412</v>
      </c>
      <c r="C4103">
        <v>5</v>
      </c>
      <c r="D4103" t="s">
        <v>5690</v>
      </c>
      <c r="E4103" t="s">
        <v>11</v>
      </c>
      <c r="F4103" t="s">
        <v>13</v>
      </c>
      <c r="G4103" t="s">
        <v>430</v>
      </c>
      <c r="H4103" t="s">
        <v>432</v>
      </c>
    </row>
    <row r="4104" spans="1:8" hidden="1" x14ac:dyDescent="0.25">
      <c r="A4104" t="s">
        <v>5689</v>
      </c>
      <c r="B4104" s="1" t="str">
        <f>HYPERLINK("https://asmlis.vasa.lt/Dashboard/Served?ServiceDateFrom=2025-11-24&amp;ServiceDateTo=2025-11-24&amp;DumpsterInvNr=13-P-103556", "13-P-103556")</f>
        <v>13-P-103556</v>
      </c>
      <c r="C4104">
        <v>0.24</v>
      </c>
      <c r="D4104" t="s">
        <v>5682</v>
      </c>
      <c r="E4104" t="s">
        <v>11</v>
      </c>
      <c r="G4104" t="s">
        <v>1917</v>
      </c>
      <c r="H4104" t="s">
        <v>432</v>
      </c>
    </row>
    <row r="4105" spans="1:8" hidden="1" x14ac:dyDescent="0.25">
      <c r="A4105" t="s">
        <v>5691</v>
      </c>
      <c r="B4105" s="1" t="str">
        <f>HYPERLINK("https://asmlis.vasa.lt/Dashboard/Served?ServiceDateFrom=2025-11-24&amp;ServiceDateTo=2025-11-24&amp;DumpsterInvNr=13-L-142402", "13-L-142402")</f>
        <v>13-L-142402</v>
      </c>
      <c r="C4105">
        <v>0.24</v>
      </c>
      <c r="D4105" t="s">
        <v>5692</v>
      </c>
      <c r="E4105" t="s">
        <v>11</v>
      </c>
      <c r="G4105" t="s">
        <v>430</v>
      </c>
      <c r="H4105" t="s">
        <v>432</v>
      </c>
    </row>
    <row r="4106" spans="1:8" hidden="1" x14ac:dyDescent="0.25">
      <c r="A4106" t="s">
        <v>5691</v>
      </c>
      <c r="B4106" s="1" t="str">
        <f>HYPERLINK("https://asmlis.vasa.lt/Dashboard/Served?ServiceDateFrom=2025-11-24&amp;ServiceDateTo=2025-11-24&amp;DumpsterInvNr=13-P-509090", "13-P-509090")</f>
        <v>13-P-509090</v>
      </c>
      <c r="C4106">
        <v>0.24</v>
      </c>
      <c r="D4106" t="s">
        <v>5658</v>
      </c>
      <c r="E4106" t="s">
        <v>11</v>
      </c>
      <c r="G4106" t="s">
        <v>2178</v>
      </c>
      <c r="H4106" t="s">
        <v>432</v>
      </c>
    </row>
    <row r="4107" spans="1:8" hidden="1" x14ac:dyDescent="0.25">
      <c r="A4107" t="s">
        <v>5693</v>
      </c>
      <c r="B4107" s="1" t="str">
        <f>HYPERLINK("https://asmlis.vasa.lt/Dashboard/Served?ServiceDateFrom=2025-11-24&amp;ServiceDateTo=2025-11-24&amp;DumpsterInvNr=13-L-314837", "13-L-314837")</f>
        <v>13-L-314837</v>
      </c>
      <c r="C4107">
        <v>5</v>
      </c>
      <c r="D4107" t="s">
        <v>5694</v>
      </c>
      <c r="E4107" t="s">
        <v>11</v>
      </c>
      <c r="F4107" t="s">
        <v>13</v>
      </c>
      <c r="G4107" t="s">
        <v>9</v>
      </c>
      <c r="H4107" t="s">
        <v>14</v>
      </c>
    </row>
    <row r="4108" spans="1:8" hidden="1" x14ac:dyDescent="0.25">
      <c r="A4108" t="s">
        <v>5695</v>
      </c>
      <c r="B4108" s="1" t="str">
        <f>HYPERLINK("https://asmlis.vasa.lt/Dashboard/Served?ServiceDateFrom=2025-11-24&amp;ServiceDateTo=2025-11-24&amp;DumpsterInvNr=13-L-421537", "13-L-421537")</f>
        <v>13-L-421537</v>
      </c>
      <c r="C4108">
        <v>1.1000000000000001</v>
      </c>
      <c r="D4108" t="s">
        <v>5696</v>
      </c>
      <c r="E4108" t="s">
        <v>11</v>
      </c>
      <c r="G4108" t="s">
        <v>74</v>
      </c>
      <c r="H4108" t="s">
        <v>14</v>
      </c>
    </row>
    <row r="4109" spans="1:8" hidden="1" x14ac:dyDescent="0.25">
      <c r="A4109" t="s">
        <v>5697</v>
      </c>
      <c r="B4109" s="1" t="str">
        <f>HYPERLINK("https://asmlis.vasa.lt/Dashboard/Served?ServiceDateFrom=2025-11-24&amp;ServiceDateTo=2025-11-24&amp;DumpsterInvNr=13-L-206287", "13-L-206287")</f>
        <v>13-L-206287</v>
      </c>
      <c r="C4109">
        <v>0.12</v>
      </c>
      <c r="D4109" t="s">
        <v>5698</v>
      </c>
      <c r="E4109" t="s">
        <v>11</v>
      </c>
      <c r="F4109" t="s">
        <v>1209</v>
      </c>
      <c r="G4109" t="s">
        <v>936</v>
      </c>
      <c r="H4109" t="s">
        <v>938</v>
      </c>
    </row>
    <row r="4110" spans="1:8" hidden="1" x14ac:dyDescent="0.25">
      <c r="A4110" t="s">
        <v>5699</v>
      </c>
      <c r="B4110" s="1" t="str">
        <f>HYPERLINK("https://asmlis.vasa.lt/Dashboard/Served?ServiceDateFrom=2025-11-24&amp;ServiceDateTo=2025-11-24&amp;DumpsterInvNr=13-P-416438", "13-P-416438")</f>
        <v>13-P-416438</v>
      </c>
      <c r="C4110">
        <v>0.24</v>
      </c>
      <c r="D4110" t="s">
        <v>5700</v>
      </c>
      <c r="E4110" t="s">
        <v>11</v>
      </c>
      <c r="G4110" t="s">
        <v>264</v>
      </c>
      <c r="H4110" t="s">
        <v>14</v>
      </c>
    </row>
    <row r="4111" spans="1:8" hidden="1" x14ac:dyDescent="0.25">
      <c r="A4111" t="s">
        <v>5701</v>
      </c>
      <c r="B4111" s="1" t="str">
        <f>HYPERLINK("https://asmlis.vasa.lt/Dashboard/Served?ServiceDateFrom=2025-11-24&amp;ServiceDateTo=2025-11-24&amp;DumpsterInvNr=13-L-303227", "13-L-303227")</f>
        <v>13-L-303227</v>
      </c>
      <c r="C4111">
        <v>1.1000000000000001</v>
      </c>
      <c r="D4111" t="s">
        <v>5702</v>
      </c>
      <c r="E4111" t="s">
        <v>11</v>
      </c>
      <c r="G4111" t="s">
        <v>9</v>
      </c>
      <c r="H4111" t="s">
        <v>14</v>
      </c>
    </row>
    <row r="4112" spans="1:8" hidden="1" x14ac:dyDescent="0.25">
      <c r="A4112" t="s">
        <v>5703</v>
      </c>
      <c r="B4112" s="1" t="str">
        <f>HYPERLINK("https://asmlis.vasa.lt/Dashboard/Served?ServiceDateFrom=2025-11-24&amp;ServiceDateTo=2025-11-24&amp;DumpsterInvNr=13-L-125375", "13-L-125375")</f>
        <v>13-L-125375</v>
      </c>
      <c r="C4112">
        <v>0.24</v>
      </c>
      <c r="D4112" t="s">
        <v>5704</v>
      </c>
      <c r="E4112" t="s">
        <v>11</v>
      </c>
      <c r="F4112" t="s">
        <v>1209</v>
      </c>
      <c r="G4112" t="s">
        <v>1912</v>
      </c>
      <c r="H4112" t="s">
        <v>432</v>
      </c>
    </row>
    <row r="4113" spans="1:8" hidden="1" x14ac:dyDescent="0.25">
      <c r="A4113" t="s">
        <v>5705</v>
      </c>
      <c r="B4113" s="1" t="str">
        <f>HYPERLINK("https://asmlis.vasa.lt/Dashboard/Served?ServiceDateFrom=2025-11-24&amp;ServiceDateTo=2025-11-24&amp;DumpsterInvNr=13-P-105534", "13-P-105534")</f>
        <v>13-P-105534</v>
      </c>
      <c r="C4113">
        <v>4</v>
      </c>
      <c r="D4113" t="s">
        <v>5706</v>
      </c>
      <c r="E4113" t="s">
        <v>11</v>
      </c>
      <c r="F4113" t="s">
        <v>13</v>
      </c>
      <c r="G4113" t="s">
        <v>1917</v>
      </c>
      <c r="H4113" t="s">
        <v>432</v>
      </c>
    </row>
    <row r="4114" spans="1:8" hidden="1" x14ac:dyDescent="0.25">
      <c r="A4114" t="s">
        <v>5707</v>
      </c>
      <c r="B4114" s="1" t="str">
        <f>HYPERLINK("https://asmlis.vasa.lt/Dashboard/Served?ServiceDateFrom=2025-11-24&amp;ServiceDateTo=2025-11-24&amp;DumpsterInvNr=13-P-103538", "13-P-103538")</f>
        <v>13-P-103538</v>
      </c>
      <c r="C4114">
        <v>0.24</v>
      </c>
      <c r="D4114" t="s">
        <v>5704</v>
      </c>
      <c r="E4114" t="s">
        <v>11</v>
      </c>
      <c r="F4114" t="s">
        <v>1209</v>
      </c>
      <c r="G4114" t="s">
        <v>1917</v>
      </c>
      <c r="H4114" t="s">
        <v>432</v>
      </c>
    </row>
    <row r="4115" spans="1:8" hidden="1" x14ac:dyDescent="0.25">
      <c r="A4115" t="s">
        <v>5708</v>
      </c>
      <c r="B4115" s="1" t="str">
        <f>HYPERLINK("https://asmlis.vasa.lt/Dashboard/Served?ServiceDateFrom=2025-11-24&amp;ServiceDateTo=2025-11-24&amp;DumpsterInvNr=13-L-220126", "13-L-220126")</f>
        <v>13-L-220126</v>
      </c>
      <c r="C4115">
        <v>5</v>
      </c>
      <c r="D4115" t="s">
        <v>4228</v>
      </c>
      <c r="E4115" t="s">
        <v>11</v>
      </c>
      <c r="F4115" t="s">
        <v>13</v>
      </c>
      <c r="G4115" t="s">
        <v>936</v>
      </c>
      <c r="H4115" t="s">
        <v>938</v>
      </c>
    </row>
    <row r="4116" spans="1:8" hidden="1" x14ac:dyDescent="0.25">
      <c r="A4116" t="s">
        <v>5709</v>
      </c>
      <c r="B4116" s="1" t="str">
        <f>HYPERLINK("https://asmlis.vasa.lt/Dashboard/Served?ServiceDateFrom=2025-11-24&amp;ServiceDateTo=2025-11-24&amp;DumpsterInvNr=13-L-303226", "13-L-303226")</f>
        <v>13-L-303226</v>
      </c>
      <c r="C4116">
        <v>1.1000000000000001</v>
      </c>
      <c r="D4116" t="s">
        <v>5702</v>
      </c>
      <c r="E4116" t="s">
        <v>11</v>
      </c>
      <c r="G4116" t="s">
        <v>9</v>
      </c>
      <c r="H4116" t="s">
        <v>14</v>
      </c>
    </row>
    <row r="4117" spans="1:8" hidden="1" x14ac:dyDescent="0.25">
      <c r="A4117" t="s">
        <v>5711</v>
      </c>
      <c r="B4117" s="1" t="str">
        <f>HYPERLINK("https://asmlis.vasa.lt/Dashboard/Served?ServiceDateFrom=2025-11-24&amp;ServiceDateTo=2025-11-24&amp;DumpsterInvNr=13-P-108898", "13-P-108898")</f>
        <v>13-P-108898</v>
      </c>
      <c r="C4117">
        <v>4</v>
      </c>
      <c r="D4117" t="s">
        <v>5706</v>
      </c>
      <c r="E4117" t="s">
        <v>11</v>
      </c>
      <c r="F4117" t="s">
        <v>13</v>
      </c>
      <c r="G4117" t="s">
        <v>1917</v>
      </c>
      <c r="H4117" t="s">
        <v>432</v>
      </c>
    </row>
    <row r="4118" spans="1:8" hidden="1" x14ac:dyDescent="0.25">
      <c r="A4118" t="s">
        <v>5712</v>
      </c>
      <c r="B4118" s="1" t="str">
        <f>HYPERLINK("https://asmlis.vasa.lt/Dashboard/Served?ServiceDateFrom=2025-11-24&amp;ServiceDateTo=2025-11-24&amp;DumpsterInvNr=13-L-118309", "13-L-118309")</f>
        <v>13-L-118309</v>
      </c>
      <c r="C4118">
        <v>0.24</v>
      </c>
      <c r="D4118" t="s">
        <v>5682</v>
      </c>
      <c r="E4118" t="s">
        <v>11</v>
      </c>
      <c r="G4118" t="s">
        <v>1912</v>
      </c>
      <c r="H4118" t="s">
        <v>432</v>
      </c>
    </row>
    <row r="4119" spans="1:8" hidden="1" x14ac:dyDescent="0.25">
      <c r="A4119" t="s">
        <v>5714</v>
      </c>
      <c r="B4119" s="1" t="str">
        <f>HYPERLINK("https://asmlis.vasa.lt/Dashboard/Served?ServiceDateFrom=2025-11-24&amp;ServiceDateTo=2025-11-24&amp;DumpsterInvNr=13-P-210854", "13-P-210854")</f>
        <v>13-P-210854</v>
      </c>
      <c r="C4119">
        <v>0.24</v>
      </c>
      <c r="D4119" t="s">
        <v>5715</v>
      </c>
      <c r="E4119" t="s">
        <v>11</v>
      </c>
      <c r="F4119" t="s">
        <v>1209</v>
      </c>
      <c r="G4119" t="s">
        <v>234</v>
      </c>
      <c r="H4119" t="s">
        <v>14</v>
      </c>
    </row>
    <row r="4120" spans="1:8" hidden="1" x14ac:dyDescent="0.25">
      <c r="A4120" t="s">
        <v>5716</v>
      </c>
      <c r="B4120" s="1" t="str">
        <f>HYPERLINK("https://asmlis.vasa.lt/Dashboard/Served?ServiceDateFrom=2025-11-24&amp;ServiceDateTo=2025-11-24&amp;DumpsterInvNr=13-L-137757", "13-L-137757")</f>
        <v>13-L-137757</v>
      </c>
      <c r="C4120">
        <v>5</v>
      </c>
      <c r="D4120" t="s">
        <v>2628</v>
      </c>
      <c r="E4120" t="s">
        <v>11</v>
      </c>
      <c r="F4120" t="s">
        <v>13</v>
      </c>
      <c r="G4120" t="s">
        <v>430</v>
      </c>
      <c r="H4120" t="s">
        <v>432</v>
      </c>
    </row>
    <row r="4121" spans="1:8" hidden="1" x14ac:dyDescent="0.25">
      <c r="A4121" t="s">
        <v>5718</v>
      </c>
      <c r="B4121" s="1" t="str">
        <f>HYPERLINK("https://asmlis.vasa.lt/Dashboard/Served?ServiceDateFrom=2025-11-24&amp;ServiceDateTo=2025-11-24&amp;DumpsterInvNr=13-P-103554", "13-P-103554")</f>
        <v>13-P-103554</v>
      </c>
      <c r="C4121">
        <v>0.24</v>
      </c>
      <c r="D4121" t="s">
        <v>5682</v>
      </c>
      <c r="E4121" t="s">
        <v>11</v>
      </c>
      <c r="G4121" t="s">
        <v>1917</v>
      </c>
      <c r="H4121" t="s">
        <v>432</v>
      </c>
    </row>
    <row r="4122" spans="1:8" hidden="1" x14ac:dyDescent="0.25">
      <c r="A4122" t="s">
        <v>5719</v>
      </c>
      <c r="B4122" s="1" t="str">
        <f>HYPERLINK("https://asmlis.vasa.lt/Dashboard/Served?ServiceDateFrom=2025-11-24&amp;ServiceDateTo=2025-11-24&amp;DumpsterInvNr=13-L-220515", "13-L-220515")</f>
        <v>13-L-220515</v>
      </c>
      <c r="C4122">
        <v>0.12</v>
      </c>
      <c r="D4122" t="s">
        <v>5720</v>
      </c>
      <c r="E4122" t="s">
        <v>11</v>
      </c>
      <c r="G4122" t="s">
        <v>936</v>
      </c>
      <c r="H4122" t="s">
        <v>938</v>
      </c>
    </row>
    <row r="4123" spans="1:8" hidden="1" x14ac:dyDescent="0.25">
      <c r="A4123" t="s">
        <v>5721</v>
      </c>
      <c r="B4123" s="1" t="str">
        <f>HYPERLINK("https://asmlis.vasa.lt/Dashboard/Served?ServiceDateFrom=2025-11-24&amp;ServiceDateTo=2025-11-24&amp;DumpsterInvNr=13-P-506863", "13-P-506863")</f>
        <v>13-P-506863</v>
      </c>
      <c r="C4123">
        <v>0.24</v>
      </c>
      <c r="D4123" t="s">
        <v>5722</v>
      </c>
      <c r="E4123" t="s">
        <v>11</v>
      </c>
      <c r="G4123" t="s">
        <v>2178</v>
      </c>
      <c r="H4123" t="s">
        <v>432</v>
      </c>
    </row>
    <row r="4124" spans="1:8" hidden="1" x14ac:dyDescent="0.25">
      <c r="A4124" t="s">
        <v>5724</v>
      </c>
      <c r="B4124" s="1" t="str">
        <f>HYPERLINK("https://asmlis.vasa.lt/Dashboard/Served?ServiceDateFrom=2025-11-24&amp;ServiceDateTo=2025-11-24&amp;DumpsterInvNr=13-L-208991", "13-L-208991")</f>
        <v>13-L-208991</v>
      </c>
      <c r="C4124">
        <v>0.66</v>
      </c>
      <c r="D4124" t="s">
        <v>5286</v>
      </c>
      <c r="E4124" t="s">
        <v>11</v>
      </c>
      <c r="G4124" t="s">
        <v>936</v>
      </c>
      <c r="H4124" t="s">
        <v>938</v>
      </c>
    </row>
    <row r="4125" spans="1:8" hidden="1" x14ac:dyDescent="0.25">
      <c r="A4125" t="s">
        <v>5725</v>
      </c>
      <c r="B4125" s="1" t="str">
        <f>HYPERLINK("https://asmlis.vasa.lt/Dashboard/Served?ServiceDateFrom=2025-11-24&amp;ServiceDateTo=2025-11-24&amp;DumpsterInvNr=13-P-306958", "13-P-306958")</f>
        <v>13-P-306958</v>
      </c>
      <c r="C4125">
        <v>0.66</v>
      </c>
      <c r="D4125" t="s">
        <v>5726</v>
      </c>
      <c r="E4125" t="s">
        <v>11</v>
      </c>
      <c r="G4125" t="s">
        <v>412</v>
      </c>
      <c r="H4125" t="s">
        <v>14</v>
      </c>
    </row>
    <row r="4126" spans="1:8" hidden="1" x14ac:dyDescent="0.25">
      <c r="A4126" t="s">
        <v>5727</v>
      </c>
      <c r="B4126" s="1" t="str">
        <f>HYPERLINK("https://asmlis.vasa.lt/Dashboard/Served?ServiceDateFrom=2025-11-24&amp;ServiceDateTo=2025-11-24&amp;DumpsterInvNr=13-L-143560", "13-L-143560")</f>
        <v>13-L-143560</v>
      </c>
      <c r="C4126">
        <v>0.24</v>
      </c>
      <c r="D4126" t="s">
        <v>5728</v>
      </c>
      <c r="E4126" t="s">
        <v>11</v>
      </c>
      <c r="G4126" t="s">
        <v>430</v>
      </c>
      <c r="H4126" t="s">
        <v>432</v>
      </c>
    </row>
    <row r="4127" spans="1:8" hidden="1" x14ac:dyDescent="0.25">
      <c r="A4127" t="s">
        <v>5730</v>
      </c>
      <c r="B4127" s="1" t="str">
        <f>HYPERLINK("https://asmlis.vasa.lt/Dashboard/Served?ServiceDateFrom=2025-11-24&amp;ServiceDateTo=2025-11-24&amp;DumpsterInvNr=13-L-142788", "13-L-142788")</f>
        <v>13-L-142788</v>
      </c>
      <c r="C4127">
        <v>0.24</v>
      </c>
      <c r="D4127" t="s">
        <v>5722</v>
      </c>
      <c r="E4127" t="s">
        <v>11</v>
      </c>
      <c r="G4127" t="s">
        <v>430</v>
      </c>
      <c r="H4127" t="s">
        <v>432</v>
      </c>
    </row>
    <row r="4128" spans="1:8" hidden="1" x14ac:dyDescent="0.25">
      <c r="A4128" t="s">
        <v>5645</v>
      </c>
      <c r="B4128" s="1" t="str">
        <f>HYPERLINK("https://asmlis.vasa.lt/Dashboard/Served?ServiceDateFrom=2025-11-24&amp;ServiceDateTo=2025-11-24&amp;DumpsterInvNr=13-L-420873", "13-L-420873")</f>
        <v>13-L-420873</v>
      </c>
      <c r="C4128">
        <v>1.1000000000000001</v>
      </c>
      <c r="D4128" t="s">
        <v>3101</v>
      </c>
      <c r="E4128" t="s">
        <v>11</v>
      </c>
      <c r="G4128" t="s">
        <v>74</v>
      </c>
      <c r="H4128" t="s">
        <v>14</v>
      </c>
    </row>
    <row r="4129" spans="1:8" hidden="1" x14ac:dyDescent="0.25">
      <c r="A4129" t="s">
        <v>5645</v>
      </c>
      <c r="B4129" s="1" t="str">
        <f>HYPERLINK("https://asmlis.vasa.lt/Dashboard/Served?ServiceDateFrom=2025-11-24&amp;ServiceDateTo=2025-11-24&amp;DumpsterInvNr=13-L-223841", "13-L-223841")</f>
        <v>13-L-223841</v>
      </c>
      <c r="C4129">
        <v>1.1000000000000001</v>
      </c>
      <c r="D4129" t="s">
        <v>5731</v>
      </c>
      <c r="E4129" t="s">
        <v>11</v>
      </c>
      <c r="G4129" t="s">
        <v>936</v>
      </c>
      <c r="H4129" t="s">
        <v>938</v>
      </c>
    </row>
    <row r="4130" spans="1:8" hidden="1" x14ac:dyDescent="0.25">
      <c r="A4130" t="s">
        <v>5732</v>
      </c>
      <c r="B4130" s="1" t="str">
        <f>HYPERLINK("https://asmlis.vasa.lt/Dashboard/Served?ServiceDateFrom=2025-11-24&amp;ServiceDateTo=2025-11-24&amp;DumpsterInvNr=13-P-413719", "13-P-413719")</f>
        <v>13-P-413719</v>
      </c>
      <c r="C4130">
        <v>0.24</v>
      </c>
      <c r="D4130" t="s">
        <v>5733</v>
      </c>
      <c r="E4130" t="s">
        <v>11</v>
      </c>
      <c r="G4130" t="s">
        <v>264</v>
      </c>
      <c r="H4130" t="s">
        <v>14</v>
      </c>
    </row>
    <row r="4131" spans="1:8" hidden="1" x14ac:dyDescent="0.25">
      <c r="A4131" t="s">
        <v>5734</v>
      </c>
      <c r="B4131" s="1" t="str">
        <f>HYPERLINK("https://asmlis.vasa.lt/Dashboard/Served?ServiceDateFrom=2025-11-24&amp;ServiceDateTo=2025-11-24&amp;DumpsterInvNr=13-P-413926", "13-P-413926")</f>
        <v>13-P-413926</v>
      </c>
      <c r="C4131">
        <v>5</v>
      </c>
      <c r="D4131" t="s">
        <v>5736</v>
      </c>
      <c r="E4131" t="s">
        <v>11</v>
      </c>
      <c r="F4131" t="s">
        <v>13</v>
      </c>
      <c r="G4131" t="s">
        <v>264</v>
      </c>
      <c r="H4131" t="s">
        <v>14</v>
      </c>
    </row>
    <row r="4132" spans="1:8" hidden="1" x14ac:dyDescent="0.25">
      <c r="A4132" t="s">
        <v>5737</v>
      </c>
      <c r="B4132" s="1" t="str">
        <f>HYPERLINK("https://asmlis.vasa.lt/Dashboard/Served?ServiceDateFrom=2025-11-24&amp;ServiceDateTo=2025-11-24&amp;DumpsterInvNr=13-P-210796", "13-P-210796")</f>
        <v>13-P-210796</v>
      </c>
      <c r="C4132">
        <v>0.24</v>
      </c>
      <c r="D4132" t="s">
        <v>5738</v>
      </c>
      <c r="E4132" t="s">
        <v>11</v>
      </c>
      <c r="G4132" t="s">
        <v>234</v>
      </c>
      <c r="H4132" t="s">
        <v>14</v>
      </c>
    </row>
    <row r="4133" spans="1:8" hidden="1" x14ac:dyDescent="0.25">
      <c r="A4133" t="s">
        <v>5739</v>
      </c>
      <c r="B4133" s="1" t="str">
        <f>HYPERLINK("https://asmlis.vasa.lt/Dashboard/Served?ServiceDateFrom=2025-11-24&amp;ServiceDateTo=2025-11-24&amp;DumpsterInvNr=13-P-500639", "13-P-500639")</f>
        <v>13-P-500639</v>
      </c>
      <c r="C4133">
        <v>5</v>
      </c>
      <c r="D4133" t="s">
        <v>5740</v>
      </c>
      <c r="E4133" t="s">
        <v>11</v>
      </c>
      <c r="F4133" t="s">
        <v>13</v>
      </c>
      <c r="G4133" t="s">
        <v>2178</v>
      </c>
      <c r="H4133" t="s">
        <v>432</v>
      </c>
    </row>
    <row r="4134" spans="1:8" hidden="1" x14ac:dyDescent="0.25">
      <c r="A4134" t="s">
        <v>5741</v>
      </c>
      <c r="B4134" s="1" t="str">
        <f>HYPERLINK("https://asmlis.vasa.lt/Dashboard/Served?ServiceDateFrom=2025-11-24&amp;ServiceDateTo=2025-11-24&amp;DumpsterInvNr=13-L-424625", "13-L-424625")</f>
        <v>13-L-424625</v>
      </c>
      <c r="C4134">
        <v>1.1000000000000001</v>
      </c>
      <c r="D4134" t="s">
        <v>3101</v>
      </c>
      <c r="E4134" t="s">
        <v>11</v>
      </c>
      <c r="G4134" t="s">
        <v>74</v>
      </c>
      <c r="H4134" t="s">
        <v>14</v>
      </c>
    </row>
    <row r="4135" spans="1:8" hidden="1" x14ac:dyDescent="0.25">
      <c r="A4135" t="s">
        <v>5741</v>
      </c>
      <c r="B4135" s="1" t="str">
        <f>HYPERLINK("https://asmlis.vasa.lt/Dashboard/Served?ServiceDateFrom=2025-11-24&amp;ServiceDateTo=2025-11-24&amp;DumpsterInvNr=13-P-416592", "13-P-416592")</f>
        <v>13-P-416592</v>
      </c>
      <c r="C4135">
        <v>0.24</v>
      </c>
      <c r="D4135" t="s">
        <v>5742</v>
      </c>
      <c r="E4135" t="s">
        <v>11</v>
      </c>
      <c r="G4135" t="s">
        <v>264</v>
      </c>
      <c r="H4135" t="s">
        <v>14</v>
      </c>
    </row>
    <row r="4136" spans="1:8" hidden="1" x14ac:dyDescent="0.25">
      <c r="A4136" t="s">
        <v>5743</v>
      </c>
      <c r="B4136" s="1" t="str">
        <f>HYPERLINK("https://asmlis.vasa.lt/Dashboard/Served?ServiceDateFrom=2025-11-24&amp;ServiceDateTo=2025-11-24&amp;DumpsterInvNr=13-L-123905", "13-L-123905")</f>
        <v>13-L-123905</v>
      </c>
      <c r="C4136">
        <v>0.12</v>
      </c>
      <c r="D4136" t="s">
        <v>5744</v>
      </c>
      <c r="E4136" t="s">
        <v>11</v>
      </c>
      <c r="G4136" t="s">
        <v>1912</v>
      </c>
      <c r="H4136" t="s">
        <v>432</v>
      </c>
    </row>
    <row r="4137" spans="1:8" hidden="1" x14ac:dyDescent="0.25">
      <c r="A4137" t="s">
        <v>5746</v>
      </c>
      <c r="B4137" s="1" t="str">
        <f>HYPERLINK("https://asmlis.vasa.lt/Dashboard/Served?ServiceDateFrom=2025-11-24&amp;ServiceDateTo=2025-11-24&amp;DumpsterInvNr=13-P-506860", "13-P-506860")</f>
        <v>13-P-506860</v>
      </c>
      <c r="C4137">
        <v>0.24</v>
      </c>
      <c r="D4137" t="s">
        <v>5692</v>
      </c>
      <c r="E4137" t="s">
        <v>11</v>
      </c>
      <c r="G4137" t="s">
        <v>2178</v>
      </c>
      <c r="H4137" t="s">
        <v>432</v>
      </c>
    </row>
    <row r="4138" spans="1:8" hidden="1" x14ac:dyDescent="0.25">
      <c r="A4138" t="s">
        <v>5746</v>
      </c>
      <c r="B4138" s="1" t="str">
        <f>HYPERLINK("https://asmlis.vasa.lt/Dashboard/Served?ServiceDateFrom=2025-11-24&amp;ServiceDateTo=2025-11-24&amp;DumpsterInvNr=13-P-501863", "13-P-501863")</f>
        <v>13-P-501863</v>
      </c>
      <c r="C4138">
        <v>0.12</v>
      </c>
      <c r="D4138" t="s">
        <v>5728</v>
      </c>
      <c r="E4138" t="s">
        <v>11</v>
      </c>
      <c r="G4138" t="s">
        <v>2178</v>
      </c>
      <c r="H4138" t="s">
        <v>432</v>
      </c>
    </row>
    <row r="4139" spans="1:8" hidden="1" x14ac:dyDescent="0.25">
      <c r="A4139" t="s">
        <v>5749</v>
      </c>
      <c r="B4139" s="1" t="str">
        <f>HYPERLINK("https://asmlis.vasa.lt/Dashboard/Served?ServiceDateFrom=2025-11-24&amp;ServiceDateTo=2025-11-24&amp;DumpsterInvNr=13-P-101164", "13-P-101164")</f>
        <v>13-P-101164</v>
      </c>
      <c r="C4139">
        <v>0.12</v>
      </c>
      <c r="D4139" t="s">
        <v>5744</v>
      </c>
      <c r="E4139" t="s">
        <v>11</v>
      </c>
      <c r="G4139" t="s">
        <v>1917</v>
      </c>
      <c r="H4139" t="s">
        <v>432</v>
      </c>
    </row>
    <row r="4140" spans="1:8" hidden="1" x14ac:dyDescent="0.25">
      <c r="A4140" t="s">
        <v>5751</v>
      </c>
      <c r="B4140" s="1" t="str">
        <f>HYPERLINK("https://asmlis.vasa.lt/Dashboard/Served?ServiceDateFrom=2025-11-24&amp;ServiceDateTo=2025-11-24&amp;DumpsterInvNr=13-L-142956", "13-L-142956")</f>
        <v>13-L-142956</v>
      </c>
      <c r="C4140">
        <v>0.24</v>
      </c>
      <c r="D4140" t="s">
        <v>5687</v>
      </c>
      <c r="E4140" t="s">
        <v>11</v>
      </c>
      <c r="G4140" t="s">
        <v>430</v>
      </c>
      <c r="H4140" t="s">
        <v>432</v>
      </c>
    </row>
    <row r="4141" spans="1:8" hidden="1" x14ac:dyDescent="0.25">
      <c r="A4141" t="s">
        <v>5752</v>
      </c>
      <c r="B4141" s="1" t="str">
        <f>HYPERLINK("https://asmlis.vasa.lt/Dashboard/Served?ServiceDateFrom=2025-11-24&amp;ServiceDateTo=2025-11-24&amp;DumpsterInvNr=13-P-290016", "13-P-290016")</f>
        <v>13-P-290016</v>
      </c>
      <c r="C4141">
        <v>0.24</v>
      </c>
      <c r="D4141" t="s">
        <v>5753</v>
      </c>
      <c r="E4141" t="s">
        <v>11</v>
      </c>
      <c r="F4141" t="s">
        <v>1209</v>
      </c>
      <c r="G4141" t="s">
        <v>234</v>
      </c>
      <c r="H4141" t="s">
        <v>14</v>
      </c>
    </row>
    <row r="4142" spans="1:8" hidden="1" x14ac:dyDescent="0.25">
      <c r="A4142" t="s">
        <v>5755</v>
      </c>
      <c r="B4142" s="1" t="str">
        <f>HYPERLINK("https://asmlis.vasa.lt/Dashboard/Served?ServiceDateFrom=2025-11-24&amp;ServiceDateTo=2025-11-24&amp;DumpsterInvNr=13-P-416448", "13-P-416448")</f>
        <v>13-P-416448</v>
      </c>
      <c r="C4142">
        <v>1.1000000000000001</v>
      </c>
      <c r="D4142" t="s">
        <v>940</v>
      </c>
      <c r="E4142" t="s">
        <v>11</v>
      </c>
      <c r="F4142" t="s">
        <v>13</v>
      </c>
      <c r="G4142" t="s">
        <v>264</v>
      </c>
      <c r="H4142" t="s">
        <v>14</v>
      </c>
    </row>
    <row r="4143" spans="1:8" hidden="1" x14ac:dyDescent="0.25">
      <c r="A4143" t="s">
        <v>5756</v>
      </c>
      <c r="B4143" s="1" t="str">
        <f>HYPERLINK("https://asmlis.vasa.lt/Dashboard/Served?ServiceDateFrom=2025-11-24&amp;ServiceDateTo=2025-11-24&amp;DumpsterInvNr=13-P-413313", "13-P-413313")</f>
        <v>13-P-413313</v>
      </c>
      <c r="C4143">
        <v>1.1000000000000001</v>
      </c>
      <c r="D4143" t="s">
        <v>940</v>
      </c>
      <c r="E4143" t="s">
        <v>11</v>
      </c>
      <c r="F4143" t="s">
        <v>13</v>
      </c>
      <c r="G4143" t="s">
        <v>264</v>
      </c>
      <c r="H4143" t="s">
        <v>14</v>
      </c>
    </row>
    <row r="4144" spans="1:8" hidden="1" x14ac:dyDescent="0.25">
      <c r="A4144" t="s">
        <v>5757</v>
      </c>
      <c r="B4144" s="1" t="str">
        <f>HYPERLINK("https://asmlis.vasa.lt/Dashboard/Served?ServiceDateFrom=2025-11-24&amp;ServiceDateTo=2025-11-24&amp;DumpsterInvNr=13-L-225980", "13-L-225980")</f>
        <v>13-L-225980</v>
      </c>
      <c r="C4144">
        <v>1.1000000000000001</v>
      </c>
      <c r="D4144" t="s">
        <v>5731</v>
      </c>
      <c r="E4144" t="s">
        <v>11</v>
      </c>
      <c r="G4144" t="s">
        <v>936</v>
      </c>
      <c r="H4144" t="s">
        <v>938</v>
      </c>
    </row>
    <row r="4145" spans="1:8" hidden="1" x14ac:dyDescent="0.25">
      <c r="A4145" t="s">
        <v>5758</v>
      </c>
      <c r="B4145" s="1" t="str">
        <f>HYPERLINK("https://asmlis.vasa.lt/Dashboard/Served?ServiceDateFrom=2025-11-24&amp;ServiceDateTo=2025-11-24&amp;DumpsterInvNr=13-L-422666", "13-L-422666")</f>
        <v>13-L-422666</v>
      </c>
      <c r="C4145">
        <v>0.12</v>
      </c>
      <c r="D4145" t="s">
        <v>5759</v>
      </c>
      <c r="E4145" t="s">
        <v>11</v>
      </c>
      <c r="G4145" t="s">
        <v>74</v>
      </c>
      <c r="H4145" t="s">
        <v>14</v>
      </c>
    </row>
    <row r="4146" spans="1:8" hidden="1" x14ac:dyDescent="0.25">
      <c r="A4146" t="s">
        <v>5758</v>
      </c>
      <c r="B4146" s="1" t="str">
        <f>HYPERLINK("https://asmlis.vasa.lt/Dashboard/Served?ServiceDateFrom=2025-11-24&amp;ServiceDateTo=2025-11-24&amp;DumpsterInvNr=13-L-408850", "13-L-408850")</f>
        <v>13-L-408850</v>
      </c>
      <c r="C4146">
        <v>0.12</v>
      </c>
      <c r="D4146" t="s">
        <v>5760</v>
      </c>
      <c r="E4146" t="s">
        <v>11</v>
      </c>
      <c r="G4146" t="s">
        <v>74</v>
      </c>
      <c r="H4146" t="s">
        <v>14</v>
      </c>
    </row>
    <row r="4147" spans="1:8" hidden="1" x14ac:dyDescent="0.25">
      <c r="A4147" t="s">
        <v>5761</v>
      </c>
      <c r="B4147" s="1" t="str">
        <f>HYPERLINK("https://asmlis.vasa.lt/Dashboard/Served?ServiceDateFrom=2025-11-24&amp;ServiceDateTo=2025-11-24&amp;DumpsterInvNr=13-L-319632", "13-L-319632")</f>
        <v>13-L-319632</v>
      </c>
      <c r="C4147">
        <v>1.1000000000000001</v>
      </c>
      <c r="D4147" t="s">
        <v>5702</v>
      </c>
      <c r="E4147" t="s">
        <v>11</v>
      </c>
      <c r="F4147" t="s">
        <v>13</v>
      </c>
      <c r="G4147" t="s">
        <v>9</v>
      </c>
      <c r="H4147" t="s">
        <v>14</v>
      </c>
    </row>
    <row r="4148" spans="1:8" hidden="1" x14ac:dyDescent="0.25">
      <c r="A4148" t="s">
        <v>5762</v>
      </c>
      <c r="B4148" s="1" t="str">
        <f>HYPERLINK("https://asmlis.vasa.lt/Dashboard/Served?ServiceDateFrom=2025-11-24&amp;ServiceDateTo=2025-11-24&amp;DumpsterInvNr=13-L-227441", "13-L-227441")</f>
        <v>13-L-227441</v>
      </c>
      <c r="C4148">
        <v>1.1000000000000001</v>
      </c>
      <c r="D4148" t="s">
        <v>5763</v>
      </c>
      <c r="E4148" t="s">
        <v>11</v>
      </c>
      <c r="G4148" t="s">
        <v>936</v>
      </c>
      <c r="H4148" t="s">
        <v>938</v>
      </c>
    </row>
    <row r="4149" spans="1:8" hidden="1" x14ac:dyDescent="0.25">
      <c r="A4149" t="s">
        <v>5764</v>
      </c>
      <c r="B4149" s="1" t="str">
        <f>HYPERLINK("https://asmlis.vasa.lt/Dashboard/Served?ServiceDateFrom=2025-11-24&amp;ServiceDateTo=2025-11-24&amp;DumpsterInvNr=13-P-213167", "13-P-213167")</f>
        <v>13-P-213167</v>
      </c>
      <c r="C4149">
        <v>0.24</v>
      </c>
      <c r="D4149" t="s">
        <v>5765</v>
      </c>
      <c r="E4149" t="s">
        <v>11</v>
      </c>
      <c r="G4149" t="s">
        <v>234</v>
      </c>
      <c r="H4149" t="s">
        <v>14</v>
      </c>
    </row>
    <row r="4150" spans="1:8" hidden="1" x14ac:dyDescent="0.25">
      <c r="A4150" t="s">
        <v>5766</v>
      </c>
      <c r="B4150" s="1" t="str">
        <f>HYPERLINK("https://asmlis.vasa.lt/Dashboard/Served?ServiceDateFrom=2025-11-24&amp;ServiceDateTo=2025-11-24&amp;DumpsterInvNr=13-L-116992", "13-L-116992")</f>
        <v>13-L-116992</v>
      </c>
      <c r="C4150">
        <v>1.1000000000000001</v>
      </c>
      <c r="D4150" t="s">
        <v>5767</v>
      </c>
      <c r="E4150" t="s">
        <v>11</v>
      </c>
      <c r="G4150" t="s">
        <v>430</v>
      </c>
      <c r="H4150" t="s">
        <v>432</v>
      </c>
    </row>
    <row r="4151" spans="1:8" hidden="1" x14ac:dyDescent="0.25">
      <c r="A4151" t="s">
        <v>5766</v>
      </c>
      <c r="B4151" s="1" t="str">
        <f>HYPERLINK("https://asmlis.vasa.lt/Dashboard/Served?ServiceDateFrom=2025-11-24&amp;ServiceDateTo=2025-11-24&amp;DumpsterInvNr=13-L-424624", "13-L-424624")</f>
        <v>13-L-424624</v>
      </c>
      <c r="C4151">
        <v>1.1000000000000001</v>
      </c>
      <c r="D4151" t="s">
        <v>3101</v>
      </c>
      <c r="E4151" t="s">
        <v>11</v>
      </c>
      <c r="G4151" t="s">
        <v>74</v>
      </c>
      <c r="H4151" t="s">
        <v>14</v>
      </c>
    </row>
    <row r="4152" spans="1:8" hidden="1" x14ac:dyDescent="0.25">
      <c r="A4152" t="s">
        <v>5768</v>
      </c>
      <c r="B4152" s="1" t="str">
        <f>HYPERLINK("https://asmlis.vasa.lt/Dashboard/Served?ServiceDateFrom=2025-11-24&amp;ServiceDateTo=2025-11-24&amp;DumpsterInvNr=13-L-227234", "13-L-227234")</f>
        <v>13-L-227234</v>
      </c>
      <c r="C4152">
        <v>1.1000000000000001</v>
      </c>
      <c r="D4152" t="s">
        <v>5731</v>
      </c>
      <c r="E4152" t="s">
        <v>11</v>
      </c>
      <c r="F4152" t="s">
        <v>13</v>
      </c>
      <c r="G4152" t="s">
        <v>936</v>
      </c>
      <c r="H4152" t="s">
        <v>938</v>
      </c>
    </row>
    <row r="4153" spans="1:8" hidden="1" x14ac:dyDescent="0.25">
      <c r="A4153" t="s">
        <v>5769</v>
      </c>
      <c r="B4153" s="1" t="str">
        <f>HYPERLINK("https://asmlis.vasa.lt/Dashboard/Served?ServiceDateFrom=2025-11-24&amp;ServiceDateTo=2025-11-24&amp;DumpsterInvNr=13-P-415649", "13-P-415649")</f>
        <v>13-P-415649</v>
      </c>
      <c r="C4153">
        <v>0.24</v>
      </c>
      <c r="D4153" t="s">
        <v>5770</v>
      </c>
      <c r="E4153" t="s">
        <v>11</v>
      </c>
      <c r="G4153" t="s">
        <v>264</v>
      </c>
      <c r="H4153" t="s">
        <v>14</v>
      </c>
    </row>
    <row r="4154" spans="1:8" hidden="1" x14ac:dyDescent="0.25">
      <c r="A4154" t="s">
        <v>5771</v>
      </c>
      <c r="B4154" s="1" t="str">
        <f>HYPERLINK("https://asmlis.vasa.lt/Dashboard/Served?ServiceDateFrom=2025-11-24&amp;ServiceDateTo=2025-11-24&amp;DumpsterInvNr=13-P-115630", "13-P-115630")</f>
        <v>13-P-115630</v>
      </c>
      <c r="C4154">
        <v>1.1000000000000001</v>
      </c>
      <c r="D4154" t="s">
        <v>5772</v>
      </c>
      <c r="E4154" t="s">
        <v>11</v>
      </c>
      <c r="G4154" t="s">
        <v>1917</v>
      </c>
      <c r="H4154" t="s">
        <v>432</v>
      </c>
    </row>
    <row r="4155" spans="1:8" hidden="1" x14ac:dyDescent="0.25">
      <c r="A4155" t="s">
        <v>5771</v>
      </c>
      <c r="B4155" s="1" t="str">
        <f>HYPERLINK("https://asmlis.vasa.lt/Dashboard/Served?ServiceDateFrom=2025-11-24&amp;ServiceDateTo=2025-11-24&amp;DumpsterInvNr=13-S-212363", "13-S-212363")</f>
        <v>13-S-212363</v>
      </c>
      <c r="C4155">
        <v>0.12</v>
      </c>
      <c r="D4155" t="s">
        <v>5765</v>
      </c>
      <c r="E4155" t="s">
        <v>11</v>
      </c>
      <c r="F4155" t="s">
        <v>1209</v>
      </c>
      <c r="G4155" t="s">
        <v>234</v>
      </c>
      <c r="H4155" t="s">
        <v>14</v>
      </c>
    </row>
    <row r="4156" spans="1:8" hidden="1" x14ac:dyDescent="0.25">
      <c r="A4156" t="s">
        <v>5773</v>
      </c>
      <c r="B4156" s="1" t="str">
        <f>HYPERLINK("https://asmlis.vasa.lt/Dashboard/Served?ServiceDateFrom=2025-11-24&amp;ServiceDateTo=2025-11-24&amp;DumpsterInvNr=13-L-102625", "13-L-102625")</f>
        <v>13-L-102625</v>
      </c>
      <c r="C4156">
        <v>0.12</v>
      </c>
      <c r="D4156" t="s">
        <v>5774</v>
      </c>
      <c r="E4156" t="s">
        <v>11</v>
      </c>
      <c r="G4156" t="s">
        <v>1912</v>
      </c>
      <c r="H4156" t="s">
        <v>432</v>
      </c>
    </row>
    <row r="4157" spans="1:8" hidden="1" x14ac:dyDescent="0.25">
      <c r="A4157" t="s">
        <v>5773</v>
      </c>
      <c r="B4157" s="1" t="str">
        <f>HYPERLINK("https://asmlis.vasa.lt/Dashboard/Served?ServiceDateFrom=2025-11-24&amp;ServiceDateTo=2025-11-24&amp;DumpsterInvNr=13-P-101165", "13-P-101165")</f>
        <v>13-P-101165</v>
      </c>
      <c r="C4157">
        <v>0.12</v>
      </c>
      <c r="D4157" t="s">
        <v>5774</v>
      </c>
      <c r="E4157" t="s">
        <v>11</v>
      </c>
      <c r="G4157" t="s">
        <v>1917</v>
      </c>
      <c r="H4157" t="s">
        <v>432</v>
      </c>
    </row>
    <row r="4158" spans="1:8" hidden="1" x14ac:dyDescent="0.25">
      <c r="A4158" t="s">
        <v>5775</v>
      </c>
      <c r="B4158" s="1" t="str">
        <f>HYPERLINK("https://asmlis.vasa.lt/Dashboard/Served?ServiceDateFrom=2025-11-24&amp;ServiceDateTo=2025-11-24&amp;DumpsterInvNr=13-L-220791", "13-L-220791")</f>
        <v>13-L-220791</v>
      </c>
      <c r="C4158">
        <v>0.24</v>
      </c>
      <c r="D4158" t="s">
        <v>5776</v>
      </c>
      <c r="E4158" t="s">
        <v>11</v>
      </c>
      <c r="G4158" t="s">
        <v>936</v>
      </c>
      <c r="H4158" t="s">
        <v>938</v>
      </c>
    </row>
    <row r="4159" spans="1:8" hidden="1" x14ac:dyDescent="0.25">
      <c r="A4159" t="s">
        <v>5777</v>
      </c>
      <c r="B4159" s="1" t="str">
        <f>HYPERLINK("https://asmlis.vasa.lt/Dashboard/Served?ServiceDateFrom=2025-11-24&amp;ServiceDateTo=2025-11-24&amp;DumpsterInvNr=13-P-210105", "13-P-210105")</f>
        <v>13-P-210105</v>
      </c>
      <c r="C4159">
        <v>2.5</v>
      </c>
      <c r="D4159" t="s">
        <v>5778</v>
      </c>
      <c r="E4159" t="s">
        <v>11</v>
      </c>
      <c r="G4159" t="s">
        <v>234</v>
      </c>
      <c r="H4159" t="s">
        <v>14</v>
      </c>
    </row>
    <row r="4160" spans="1:8" hidden="1" x14ac:dyDescent="0.25">
      <c r="A4160" t="s">
        <v>5779</v>
      </c>
      <c r="B4160" s="1" t="str">
        <f>HYPERLINK("https://asmlis.vasa.lt/Dashboard/Served?ServiceDateFrom=2025-11-24&amp;ServiceDateTo=2025-11-24&amp;DumpsterInvNr=13-L-139823", "13-L-139823")</f>
        <v>13-L-139823</v>
      </c>
      <c r="C4160">
        <v>1.1000000000000001</v>
      </c>
      <c r="D4160" t="s">
        <v>5780</v>
      </c>
      <c r="E4160" t="s">
        <v>11</v>
      </c>
      <c r="G4160" t="s">
        <v>1912</v>
      </c>
      <c r="H4160" t="s">
        <v>432</v>
      </c>
    </row>
    <row r="4161" spans="1:8" hidden="1" x14ac:dyDescent="0.25">
      <c r="A4161" t="s">
        <v>5781</v>
      </c>
      <c r="B4161" s="1" t="str">
        <f>HYPERLINK("https://asmlis.vasa.lt/Dashboard/Served?ServiceDateFrom=2025-11-24&amp;ServiceDateTo=2025-11-24&amp;DumpsterInvNr=13-L-212383", "13-L-212383")</f>
        <v>13-L-212383</v>
      </c>
      <c r="C4161">
        <v>1.1000000000000001</v>
      </c>
      <c r="D4161" t="s">
        <v>5763</v>
      </c>
      <c r="E4161" t="s">
        <v>11</v>
      </c>
      <c r="G4161" t="s">
        <v>936</v>
      </c>
      <c r="H4161" t="s">
        <v>938</v>
      </c>
    </row>
    <row r="4162" spans="1:8" hidden="1" x14ac:dyDescent="0.25">
      <c r="A4162" t="s">
        <v>5782</v>
      </c>
      <c r="B4162" s="1" t="str">
        <f>HYPERLINK("https://asmlis.vasa.lt/Dashboard/Served?ServiceDateFrom=2025-11-24&amp;ServiceDateTo=2025-11-24&amp;DumpsterInvNr=13-L-108271", "13-L-108271")</f>
        <v>13-L-108271</v>
      </c>
      <c r="C4162">
        <v>0.24</v>
      </c>
      <c r="D4162" t="s">
        <v>5783</v>
      </c>
      <c r="E4162" t="s">
        <v>11</v>
      </c>
      <c r="G4162" t="s">
        <v>430</v>
      </c>
      <c r="H4162" t="s">
        <v>432</v>
      </c>
    </row>
    <row r="4163" spans="1:8" hidden="1" x14ac:dyDescent="0.25">
      <c r="A4163" t="s">
        <v>5782</v>
      </c>
      <c r="B4163" s="1" t="str">
        <f>HYPERLINK("https://asmlis.vasa.lt/Dashboard/Served?ServiceDateFrom=2025-11-24&amp;ServiceDateTo=2025-11-24&amp;DumpsterInvNr=13-P-508410", "13-P-508410")</f>
        <v>13-P-508410</v>
      </c>
      <c r="C4163">
        <v>0.12</v>
      </c>
      <c r="D4163" t="s">
        <v>5783</v>
      </c>
      <c r="E4163" t="s">
        <v>11</v>
      </c>
      <c r="G4163" t="s">
        <v>2178</v>
      </c>
      <c r="H4163" t="s">
        <v>432</v>
      </c>
    </row>
    <row r="4164" spans="1:8" hidden="1" x14ac:dyDescent="0.25">
      <c r="A4164" t="s">
        <v>5782</v>
      </c>
      <c r="B4164" s="1" t="str">
        <f>HYPERLINK("https://asmlis.vasa.lt/Dashboard/Served?ServiceDateFrom=2025-11-24&amp;ServiceDateTo=2025-11-24&amp;DumpsterInvNr=13-P-301445", "13-P-301445")</f>
        <v>13-P-301445</v>
      </c>
      <c r="C4164">
        <v>0.24</v>
      </c>
      <c r="D4164" t="s">
        <v>5784</v>
      </c>
      <c r="E4164" t="s">
        <v>11</v>
      </c>
      <c r="F4164" t="s">
        <v>13</v>
      </c>
      <c r="G4164" t="s">
        <v>412</v>
      </c>
      <c r="H4164" t="s">
        <v>14</v>
      </c>
    </row>
    <row r="4165" spans="1:8" hidden="1" x14ac:dyDescent="0.25">
      <c r="A4165" t="s">
        <v>5785</v>
      </c>
      <c r="B4165" s="1" t="str">
        <f>HYPERLINK("https://asmlis.vasa.lt/Dashboard/Served?ServiceDateFrom=2025-11-24&amp;ServiceDateTo=2025-11-24&amp;DumpsterInvNr=13-P-415601", "13-P-415601")</f>
        <v>13-P-415601</v>
      </c>
      <c r="C4165">
        <v>1.1000000000000001</v>
      </c>
      <c r="D4165" t="s">
        <v>940</v>
      </c>
      <c r="E4165" t="s">
        <v>11</v>
      </c>
      <c r="F4165" t="s">
        <v>13</v>
      </c>
      <c r="G4165" t="s">
        <v>264</v>
      </c>
      <c r="H4165" t="s">
        <v>14</v>
      </c>
    </row>
    <row r="4166" spans="1:8" hidden="1" x14ac:dyDescent="0.25">
      <c r="A4166" t="s">
        <v>5437</v>
      </c>
      <c r="B4166" s="1" t="str">
        <f>HYPERLINK("https://asmlis.vasa.lt/Dashboard/Served?ServiceDateFrom=2025-11-24&amp;ServiceDateTo=2025-11-24&amp;DumpsterInvNr=13-L-140125", "13-L-140125")</f>
        <v>13-L-140125</v>
      </c>
      <c r="C4166">
        <v>0.77</v>
      </c>
      <c r="D4166" t="s">
        <v>5780</v>
      </c>
      <c r="E4166" t="s">
        <v>11</v>
      </c>
      <c r="F4166" t="s">
        <v>13</v>
      </c>
      <c r="G4166" t="s">
        <v>1912</v>
      </c>
      <c r="H4166" t="s">
        <v>432</v>
      </c>
    </row>
    <row r="4167" spans="1:8" hidden="1" x14ac:dyDescent="0.25">
      <c r="A4167" t="s">
        <v>5437</v>
      </c>
      <c r="B4167" s="1" t="str">
        <f>HYPERLINK("https://asmlis.vasa.lt/Dashboard/Served?ServiceDateFrom=2025-11-24&amp;ServiceDateTo=2025-11-24&amp;DumpsterInvNr=13-L-116991", "13-L-116991")</f>
        <v>13-L-116991</v>
      </c>
      <c r="C4167">
        <v>1.1000000000000001</v>
      </c>
      <c r="D4167" t="s">
        <v>5767</v>
      </c>
      <c r="E4167" t="s">
        <v>11</v>
      </c>
      <c r="G4167" t="s">
        <v>430</v>
      </c>
      <c r="H4167" t="s">
        <v>432</v>
      </c>
    </row>
    <row r="4168" spans="1:8" hidden="1" x14ac:dyDescent="0.25">
      <c r="A4168" t="s">
        <v>5437</v>
      </c>
      <c r="B4168" s="1" t="str">
        <f>HYPERLINK("https://asmlis.vasa.lt/Dashboard/Served?ServiceDateFrom=2025-11-24&amp;ServiceDateTo=2025-11-24&amp;DumpsterInvNr=13-P-415479", "13-P-415479")</f>
        <v>13-P-415479</v>
      </c>
      <c r="C4168">
        <v>1.1000000000000001</v>
      </c>
      <c r="D4168" t="s">
        <v>940</v>
      </c>
      <c r="E4168" t="s">
        <v>11</v>
      </c>
      <c r="F4168" t="s">
        <v>13</v>
      </c>
      <c r="G4168" t="s">
        <v>264</v>
      </c>
      <c r="H4168" t="s">
        <v>14</v>
      </c>
    </row>
    <row r="4169" spans="1:8" hidden="1" x14ac:dyDescent="0.25">
      <c r="A4169" t="s">
        <v>5441</v>
      </c>
      <c r="B4169" s="1" t="str">
        <f>HYPERLINK("https://asmlis.vasa.lt/Dashboard/Served?ServiceDateFrom=2025-11-24&amp;ServiceDateTo=2025-11-24&amp;DumpsterInvNr=13-L-223770", "13-L-223770")</f>
        <v>13-L-223770</v>
      </c>
      <c r="C4169">
        <v>0.24</v>
      </c>
      <c r="D4169" t="s">
        <v>5786</v>
      </c>
      <c r="E4169" t="s">
        <v>11</v>
      </c>
      <c r="F4169" t="s">
        <v>1209</v>
      </c>
      <c r="G4169" t="s">
        <v>936</v>
      </c>
      <c r="H4169" t="s">
        <v>938</v>
      </c>
    </row>
    <row r="4170" spans="1:8" hidden="1" x14ac:dyDescent="0.25">
      <c r="A4170" t="s">
        <v>5612</v>
      </c>
      <c r="B4170" s="1" t="str">
        <f>HYPERLINK("https://asmlis.vasa.lt/Dashboard/Served?ServiceDateFrom=2025-11-24&amp;ServiceDateTo=2025-11-24&amp;DumpsterInvNr=13-L-145527", "13-L-145527")</f>
        <v>13-L-145527</v>
      </c>
      <c r="C4170">
        <v>2.5</v>
      </c>
      <c r="D4170" t="s">
        <v>5787</v>
      </c>
      <c r="E4170" t="s">
        <v>11</v>
      </c>
      <c r="F4170" t="s">
        <v>13</v>
      </c>
      <c r="G4170" t="s">
        <v>430</v>
      </c>
      <c r="H4170" t="s">
        <v>432</v>
      </c>
    </row>
    <row r="4171" spans="1:8" hidden="1" x14ac:dyDescent="0.25">
      <c r="A4171" t="s">
        <v>5788</v>
      </c>
      <c r="B4171" s="1" t="str">
        <f>HYPERLINK("https://asmlis.vasa.lt/Dashboard/Served?ServiceDateFrom=2025-11-24&amp;ServiceDateTo=2025-11-24&amp;DumpsterInvNr=13-L-113096", "13-L-113096")</f>
        <v>13-L-113096</v>
      </c>
      <c r="C4171">
        <v>5</v>
      </c>
      <c r="D4171" t="s">
        <v>5787</v>
      </c>
      <c r="E4171" t="s">
        <v>11</v>
      </c>
      <c r="F4171" t="s">
        <v>13</v>
      </c>
      <c r="G4171" t="s">
        <v>430</v>
      </c>
      <c r="H4171" t="s">
        <v>432</v>
      </c>
    </row>
    <row r="4172" spans="1:8" hidden="1" x14ac:dyDescent="0.25">
      <c r="A4172" t="s">
        <v>5791</v>
      </c>
      <c r="B4172" s="1" t="str">
        <f>HYPERLINK("https://asmlis.vasa.lt/Dashboard/Served?ServiceDateFrom=2025-11-24&amp;ServiceDateTo=2025-11-24&amp;DumpsterInvNr=13-P-306971", "13-P-306971")</f>
        <v>13-P-306971</v>
      </c>
      <c r="C4172">
        <v>1.1000000000000001</v>
      </c>
      <c r="D4172" t="s">
        <v>5792</v>
      </c>
      <c r="E4172" t="s">
        <v>11</v>
      </c>
      <c r="F4172" t="s">
        <v>13</v>
      </c>
      <c r="G4172" t="s">
        <v>412</v>
      </c>
      <c r="H4172" t="s">
        <v>14</v>
      </c>
    </row>
    <row r="4173" spans="1:8" hidden="1" x14ac:dyDescent="0.25">
      <c r="A4173" t="s">
        <v>5793</v>
      </c>
      <c r="B4173" s="1" t="str">
        <f>HYPERLINK("https://asmlis.vasa.lt/Dashboard/Served?ServiceDateFrom=2025-11-24&amp;ServiceDateTo=2025-11-24&amp;DumpsterInvNr=13-L-408849", "13-L-408849")</f>
        <v>13-L-408849</v>
      </c>
      <c r="C4173">
        <v>0.12</v>
      </c>
      <c r="D4173" t="s">
        <v>5794</v>
      </c>
      <c r="E4173" t="s">
        <v>11</v>
      </c>
      <c r="G4173" t="s">
        <v>74</v>
      </c>
      <c r="H4173" t="s">
        <v>14</v>
      </c>
    </row>
    <row r="4174" spans="1:8" hidden="1" x14ac:dyDescent="0.25">
      <c r="A4174" t="s">
        <v>5793</v>
      </c>
      <c r="B4174" s="1" t="str">
        <f>HYPERLINK("https://asmlis.vasa.lt/Dashboard/Served?ServiceDateFrom=2025-11-24&amp;ServiceDateTo=2025-11-24&amp;DumpsterInvNr=13-P-401741", "13-P-401741")</f>
        <v>13-P-401741</v>
      </c>
      <c r="C4174">
        <v>0.24</v>
      </c>
      <c r="D4174" t="s">
        <v>5795</v>
      </c>
      <c r="E4174" t="s">
        <v>11</v>
      </c>
      <c r="G4174" t="s">
        <v>264</v>
      </c>
      <c r="H4174" t="s">
        <v>14</v>
      </c>
    </row>
    <row r="4175" spans="1:8" hidden="1" x14ac:dyDescent="0.25">
      <c r="A4175" t="s">
        <v>5796</v>
      </c>
      <c r="B4175" s="1" t="str">
        <f>HYPERLINK("https://asmlis.vasa.lt/Dashboard/Served?ServiceDateFrom=2025-11-24&amp;ServiceDateTo=2025-11-24&amp;DumpsterInvNr=13-P-205319", "13-P-205319")</f>
        <v>13-P-205319</v>
      </c>
      <c r="C4175">
        <v>0.24</v>
      </c>
      <c r="D4175" t="s">
        <v>5797</v>
      </c>
      <c r="E4175" t="s">
        <v>11</v>
      </c>
      <c r="G4175" t="s">
        <v>234</v>
      </c>
      <c r="H4175" t="s">
        <v>14</v>
      </c>
    </row>
    <row r="4176" spans="1:8" hidden="1" x14ac:dyDescent="0.25">
      <c r="A4176" t="s">
        <v>5798</v>
      </c>
      <c r="B4176" s="1" t="str">
        <f>HYPERLINK("https://asmlis.vasa.lt/Dashboard/Served?ServiceDateFrom=2025-11-24&amp;ServiceDateTo=2025-11-24&amp;DumpsterInvNr=13-L-123381", "13-L-123381")</f>
        <v>13-L-123381</v>
      </c>
      <c r="C4176">
        <v>0.12</v>
      </c>
      <c r="D4176" t="s">
        <v>5799</v>
      </c>
      <c r="E4176" t="s">
        <v>11</v>
      </c>
      <c r="G4176" t="s">
        <v>430</v>
      </c>
      <c r="H4176" t="s">
        <v>432</v>
      </c>
    </row>
    <row r="4177" spans="1:8" hidden="1" x14ac:dyDescent="0.25">
      <c r="A4177" t="s">
        <v>5798</v>
      </c>
      <c r="B4177" s="1" t="str">
        <f>HYPERLINK("https://asmlis.vasa.lt/Dashboard/Served?ServiceDateFrom=2025-11-24&amp;ServiceDateTo=2025-11-24&amp;DumpsterInvNr=13-L-227440", "13-L-227440")</f>
        <v>13-L-227440</v>
      </c>
      <c r="C4177">
        <v>1.1000000000000001</v>
      </c>
      <c r="D4177" t="s">
        <v>5763</v>
      </c>
      <c r="E4177" t="s">
        <v>11</v>
      </c>
      <c r="G4177" t="s">
        <v>936</v>
      </c>
      <c r="H4177" t="s">
        <v>938</v>
      </c>
    </row>
    <row r="4178" spans="1:8" hidden="1" x14ac:dyDescent="0.25">
      <c r="A4178" t="s">
        <v>5800</v>
      </c>
      <c r="B4178" s="1" t="str">
        <f>HYPERLINK("https://asmlis.vasa.lt/Dashboard/Served?ServiceDateFrom=2025-11-24&amp;ServiceDateTo=2025-11-24&amp;DumpsterInvNr=13-P-501787", "13-P-501787")</f>
        <v>13-P-501787</v>
      </c>
      <c r="C4178">
        <v>5</v>
      </c>
      <c r="D4178" t="s">
        <v>5801</v>
      </c>
      <c r="E4178" t="s">
        <v>11</v>
      </c>
      <c r="F4178" t="s">
        <v>13</v>
      </c>
      <c r="G4178" t="s">
        <v>2178</v>
      </c>
      <c r="H4178" t="s">
        <v>432</v>
      </c>
    </row>
    <row r="4179" spans="1:8" hidden="1" x14ac:dyDescent="0.25">
      <c r="A4179" t="s">
        <v>5800</v>
      </c>
      <c r="B4179" s="1" t="str">
        <f>HYPERLINK("https://asmlis.vasa.lt/Dashboard/Served?ServiceDateFrom=2025-11-24&amp;ServiceDateTo=2025-11-24&amp;DumpsterInvNr=13-P-508413", "13-P-508413")</f>
        <v>13-P-508413</v>
      </c>
      <c r="C4179">
        <v>0.12</v>
      </c>
      <c r="D4179" t="s">
        <v>5799</v>
      </c>
      <c r="E4179" t="s">
        <v>11</v>
      </c>
      <c r="G4179" t="s">
        <v>2178</v>
      </c>
      <c r="H4179" t="s">
        <v>432</v>
      </c>
    </row>
    <row r="4180" spans="1:8" hidden="1" x14ac:dyDescent="0.25">
      <c r="A4180" t="s">
        <v>5802</v>
      </c>
      <c r="B4180" s="1" t="str">
        <f>HYPERLINK("https://asmlis.vasa.lt/Dashboard/Served?ServiceDateFrom=2025-11-24&amp;ServiceDateTo=2025-11-24&amp;DumpsterInvNr=13-L-135232", "13-L-135232")</f>
        <v>13-L-135232</v>
      </c>
      <c r="C4180">
        <v>0.12</v>
      </c>
      <c r="D4180" t="s">
        <v>5803</v>
      </c>
      <c r="E4180" t="s">
        <v>11</v>
      </c>
      <c r="G4180" t="s">
        <v>1912</v>
      </c>
      <c r="H4180" t="s">
        <v>432</v>
      </c>
    </row>
    <row r="4181" spans="1:8" hidden="1" x14ac:dyDescent="0.25">
      <c r="A4181" t="s">
        <v>5802</v>
      </c>
      <c r="B4181" s="1" t="str">
        <f>HYPERLINK("https://asmlis.vasa.lt/Dashboard/Served?ServiceDateFrom=2025-11-24&amp;ServiceDateTo=2025-11-24&amp;DumpsterInvNr=13-L-136068", "13-L-136068")</f>
        <v>13-L-136068</v>
      </c>
      <c r="C4181">
        <v>1.1000000000000001</v>
      </c>
      <c r="D4181" t="s">
        <v>5767</v>
      </c>
      <c r="E4181" t="s">
        <v>11</v>
      </c>
      <c r="G4181" t="s">
        <v>430</v>
      </c>
      <c r="H4181" t="s">
        <v>432</v>
      </c>
    </row>
    <row r="4182" spans="1:8" hidden="1" x14ac:dyDescent="0.25">
      <c r="A4182" t="s">
        <v>5802</v>
      </c>
      <c r="B4182" s="1" t="str">
        <f>HYPERLINK("https://asmlis.vasa.lt/Dashboard/Served?ServiceDateFrom=2025-11-24&amp;ServiceDateTo=2025-11-24&amp;DumpsterInvNr=13-P-101168", "13-P-101168")</f>
        <v>13-P-101168</v>
      </c>
      <c r="C4182">
        <v>0.12</v>
      </c>
      <c r="D4182" t="s">
        <v>5803</v>
      </c>
      <c r="E4182" t="s">
        <v>11</v>
      </c>
      <c r="G4182" t="s">
        <v>1917</v>
      </c>
      <c r="H4182" t="s">
        <v>432</v>
      </c>
    </row>
    <row r="4183" spans="1:8" hidden="1" x14ac:dyDescent="0.25">
      <c r="A4183" t="s">
        <v>5805</v>
      </c>
      <c r="B4183" s="1" t="str">
        <f>HYPERLINK("https://asmlis.vasa.lt/Dashboard/Served?ServiceDateFrom=2025-11-24&amp;ServiceDateTo=2025-11-24&amp;DumpsterInvNr=13-P-212452", "13-P-212452")</f>
        <v>13-P-212452</v>
      </c>
      <c r="C4183">
        <v>1.1000000000000001</v>
      </c>
      <c r="D4183" t="s">
        <v>5806</v>
      </c>
      <c r="E4183" t="s">
        <v>11</v>
      </c>
      <c r="F4183" t="s">
        <v>13</v>
      </c>
      <c r="G4183" t="s">
        <v>234</v>
      </c>
      <c r="H4183" t="s">
        <v>14</v>
      </c>
    </row>
    <row r="4184" spans="1:8" hidden="1" x14ac:dyDescent="0.25">
      <c r="A4184" t="s">
        <v>5807</v>
      </c>
      <c r="B4184" s="1" t="str">
        <f>HYPERLINK("https://asmlis.vasa.lt/Dashboard/Served?ServiceDateFrom=2025-11-24&amp;ServiceDateTo=2025-11-24&amp;DumpsterInvNr=13-P-101167", "13-P-101167")</f>
        <v>13-P-101167</v>
      </c>
      <c r="C4184">
        <v>0.24</v>
      </c>
      <c r="D4184" t="s">
        <v>5808</v>
      </c>
      <c r="E4184" t="s">
        <v>11</v>
      </c>
      <c r="F4184" t="s">
        <v>1209</v>
      </c>
      <c r="G4184" t="s">
        <v>1917</v>
      </c>
      <c r="H4184" t="s">
        <v>432</v>
      </c>
    </row>
    <row r="4185" spans="1:8" hidden="1" x14ac:dyDescent="0.25">
      <c r="A4185" t="s">
        <v>5809</v>
      </c>
      <c r="B4185" s="1" t="str">
        <f>HYPERLINK("https://asmlis.vasa.lt/Dashboard/Served?ServiceDateFrom=2025-11-24&amp;ServiceDateTo=2025-11-24&amp;DumpsterInvNr=13-P-413284", "13-P-413284")</f>
        <v>13-P-413284</v>
      </c>
      <c r="C4185">
        <v>0.24</v>
      </c>
      <c r="D4185" t="s">
        <v>5810</v>
      </c>
      <c r="E4185" t="s">
        <v>11</v>
      </c>
      <c r="G4185" t="s">
        <v>264</v>
      </c>
      <c r="H4185" t="s">
        <v>14</v>
      </c>
    </row>
    <row r="4186" spans="1:8" hidden="1" x14ac:dyDescent="0.25">
      <c r="A4186" t="s">
        <v>4721</v>
      </c>
      <c r="B4186" s="1" t="str">
        <f>HYPERLINK("https://asmlis.vasa.lt/Dashboard/Served?ServiceDateFrom=2025-11-24&amp;ServiceDateTo=2025-11-24&amp;DumpsterInvNr=13-L-121243", "13-L-121243")</f>
        <v>13-L-121243</v>
      </c>
      <c r="C4186">
        <v>0.24</v>
      </c>
      <c r="D4186" t="s">
        <v>5808</v>
      </c>
      <c r="E4186" t="s">
        <v>11</v>
      </c>
      <c r="F4186" t="s">
        <v>1209</v>
      </c>
      <c r="G4186" t="s">
        <v>1912</v>
      </c>
      <c r="H4186" t="s">
        <v>432</v>
      </c>
    </row>
    <row r="4187" spans="1:8" hidden="1" x14ac:dyDescent="0.25">
      <c r="A4187" t="s">
        <v>5811</v>
      </c>
      <c r="B4187" s="1" t="str">
        <f>HYPERLINK("https://asmlis.vasa.lt/Dashboard/Served?ServiceDateFrom=2025-11-24&amp;ServiceDateTo=2025-11-24&amp;DumpsterInvNr=13-L-416684", "13-L-416684")</f>
        <v>13-L-416684</v>
      </c>
      <c r="C4187">
        <v>0.24</v>
      </c>
      <c r="D4187" t="s">
        <v>5812</v>
      </c>
      <c r="E4187" t="s">
        <v>11</v>
      </c>
      <c r="G4187" t="s">
        <v>74</v>
      </c>
      <c r="H4187" t="s">
        <v>14</v>
      </c>
    </row>
    <row r="4188" spans="1:8" hidden="1" x14ac:dyDescent="0.25">
      <c r="A4188" t="s">
        <v>5813</v>
      </c>
      <c r="B4188" s="1" t="str">
        <f>HYPERLINK("https://asmlis.vasa.lt/Dashboard/Served?ServiceDateFrom=2025-11-24&amp;ServiceDateTo=2025-11-24&amp;DumpsterInvNr=13-L-149009", "13-L-149009")</f>
        <v>13-L-149009</v>
      </c>
      <c r="C4188">
        <v>1.1000000000000001</v>
      </c>
      <c r="D4188" t="s">
        <v>5767</v>
      </c>
      <c r="E4188" t="s">
        <v>11</v>
      </c>
      <c r="G4188" t="s">
        <v>430</v>
      </c>
      <c r="H4188" t="s">
        <v>432</v>
      </c>
    </row>
    <row r="4189" spans="1:8" hidden="1" x14ac:dyDescent="0.25">
      <c r="A4189" t="s">
        <v>5814</v>
      </c>
      <c r="B4189" s="1" t="str">
        <f>HYPERLINK("https://asmlis.vasa.lt/Dashboard/Served?ServiceDateFrom=2025-11-24&amp;ServiceDateTo=2025-11-24&amp;DumpsterInvNr=13-P-210104", "13-P-210104")</f>
        <v>13-P-210104</v>
      </c>
      <c r="C4189">
        <v>2.5</v>
      </c>
      <c r="D4189" t="s">
        <v>5778</v>
      </c>
      <c r="E4189" t="s">
        <v>11</v>
      </c>
      <c r="G4189" t="s">
        <v>234</v>
      </c>
      <c r="H4189" t="s">
        <v>14</v>
      </c>
    </row>
    <row r="4190" spans="1:8" hidden="1" x14ac:dyDescent="0.25">
      <c r="A4190" t="s">
        <v>5815</v>
      </c>
      <c r="B4190" s="1" t="str">
        <f>HYPERLINK("https://asmlis.vasa.lt/Dashboard/Served?ServiceDateFrom=2025-11-24&amp;ServiceDateTo=2025-11-24&amp;DumpsterInvNr=13-P-415714", "13-P-415714")</f>
        <v>13-P-415714</v>
      </c>
      <c r="C4190">
        <v>0.24</v>
      </c>
      <c r="D4190" t="s">
        <v>5816</v>
      </c>
      <c r="E4190" t="s">
        <v>11</v>
      </c>
      <c r="F4190" t="s">
        <v>1209</v>
      </c>
      <c r="G4190" t="s">
        <v>264</v>
      </c>
      <c r="H4190" t="s">
        <v>14</v>
      </c>
    </row>
    <row r="4191" spans="1:8" hidden="1" x14ac:dyDescent="0.25">
      <c r="A4191" t="s">
        <v>5817</v>
      </c>
      <c r="B4191" s="1" t="str">
        <f>HYPERLINK("https://asmlis.vasa.lt/Dashboard/Served?ServiceDateFrom=2025-11-24&amp;ServiceDateTo=2025-11-24&amp;DumpsterInvNr=13-L-134147", "13-L-134147")</f>
        <v>13-L-134147</v>
      </c>
      <c r="C4191">
        <v>0.24</v>
      </c>
      <c r="D4191" t="s">
        <v>5818</v>
      </c>
      <c r="E4191" t="s">
        <v>11</v>
      </c>
      <c r="G4191" t="s">
        <v>430</v>
      </c>
      <c r="H4191" t="s">
        <v>432</v>
      </c>
    </row>
    <row r="4192" spans="1:8" hidden="1" x14ac:dyDescent="0.25">
      <c r="A4192" t="s">
        <v>5819</v>
      </c>
      <c r="B4192" s="1" t="str">
        <f>HYPERLINK("https://asmlis.vasa.lt/Dashboard/Served?ServiceDateFrom=2025-11-24&amp;ServiceDateTo=2025-11-24&amp;DumpsterInvNr=13-L-220518", "13-L-220518")</f>
        <v>13-L-220518</v>
      </c>
      <c r="C4192">
        <v>0.12</v>
      </c>
      <c r="D4192" t="s">
        <v>5821</v>
      </c>
      <c r="E4192" t="s">
        <v>11</v>
      </c>
      <c r="G4192" t="s">
        <v>936</v>
      </c>
      <c r="H4192" t="s">
        <v>938</v>
      </c>
    </row>
    <row r="4193" spans="1:8" hidden="1" x14ac:dyDescent="0.25">
      <c r="A4193" t="s">
        <v>5819</v>
      </c>
      <c r="B4193" s="1" t="str">
        <f>HYPERLINK("https://asmlis.vasa.lt/Dashboard/Served?ServiceDateFrom=2025-11-24&amp;ServiceDateTo=2025-11-24&amp;DumpsterInvNr=13-L-314834", "13-L-314834")</f>
        <v>13-L-314834</v>
      </c>
      <c r="C4193">
        <v>5</v>
      </c>
      <c r="D4193" t="s">
        <v>5822</v>
      </c>
      <c r="E4193" t="s">
        <v>11</v>
      </c>
      <c r="G4193" t="s">
        <v>9</v>
      </c>
      <c r="H4193" t="s">
        <v>14</v>
      </c>
    </row>
    <row r="4194" spans="1:8" hidden="1" x14ac:dyDescent="0.25">
      <c r="A4194" t="s">
        <v>5823</v>
      </c>
      <c r="B4194" s="1" t="str">
        <f>HYPERLINK("https://asmlis.vasa.lt/Dashboard/Served?ServiceDateFrom=2025-11-24&amp;ServiceDateTo=2025-11-24&amp;DumpsterInvNr=13-P-416622", "13-P-416622")</f>
        <v>13-P-416622</v>
      </c>
      <c r="C4194">
        <v>0.24</v>
      </c>
      <c r="D4194" t="s">
        <v>5824</v>
      </c>
      <c r="E4194" t="s">
        <v>11</v>
      </c>
      <c r="G4194" t="s">
        <v>264</v>
      </c>
      <c r="H4194" t="s">
        <v>14</v>
      </c>
    </row>
    <row r="4195" spans="1:8" hidden="1" x14ac:dyDescent="0.25">
      <c r="A4195" t="s">
        <v>5825</v>
      </c>
      <c r="B4195" s="1" t="str">
        <f>HYPERLINK("https://asmlis.vasa.lt/Dashboard/Served?ServiceDateFrom=2025-11-24&amp;ServiceDateTo=2025-11-24&amp;DumpsterInvNr=13-M-203935", "13-M-203935")</f>
        <v>13-M-203935</v>
      </c>
      <c r="C4195">
        <v>0.12</v>
      </c>
      <c r="D4195" t="s">
        <v>5826</v>
      </c>
      <c r="E4195" t="s">
        <v>11</v>
      </c>
      <c r="F4195" t="s">
        <v>1209</v>
      </c>
      <c r="G4195" t="s">
        <v>4876</v>
      </c>
      <c r="H4195" t="s">
        <v>938</v>
      </c>
    </row>
    <row r="4196" spans="1:8" hidden="1" x14ac:dyDescent="0.25">
      <c r="A4196" t="s">
        <v>5828</v>
      </c>
      <c r="B4196" s="1" t="str">
        <f>HYPERLINK("https://asmlis.vasa.lt/Dashboard/Served?ServiceDateFrom=2025-11-24&amp;ServiceDateTo=2025-11-24&amp;DumpsterInvNr=13-P-210545", "13-P-210545")</f>
        <v>13-P-210545</v>
      </c>
      <c r="C4196">
        <v>0.24</v>
      </c>
      <c r="D4196" t="s">
        <v>5829</v>
      </c>
      <c r="E4196" t="s">
        <v>11</v>
      </c>
      <c r="G4196" t="s">
        <v>234</v>
      </c>
      <c r="H4196" t="s">
        <v>14</v>
      </c>
    </row>
    <row r="4197" spans="1:8" hidden="1" x14ac:dyDescent="0.25">
      <c r="A4197" t="s">
        <v>5830</v>
      </c>
      <c r="B4197" s="1" t="str">
        <f>HYPERLINK("https://asmlis.vasa.lt/Dashboard/Served?ServiceDateFrom=2025-11-24&amp;ServiceDateTo=2025-11-24&amp;DumpsterInvNr=13-L-221666", "13-L-221666")</f>
        <v>13-L-221666</v>
      </c>
      <c r="C4197">
        <v>1.1000000000000001</v>
      </c>
      <c r="D4197" t="s">
        <v>5831</v>
      </c>
      <c r="E4197" t="s">
        <v>11</v>
      </c>
      <c r="G4197" t="s">
        <v>936</v>
      </c>
      <c r="H4197" t="s">
        <v>938</v>
      </c>
    </row>
    <row r="4198" spans="1:8" hidden="1" x14ac:dyDescent="0.25">
      <c r="A4198" t="s">
        <v>5830</v>
      </c>
      <c r="B4198" s="1" t="str">
        <f>HYPERLINK("https://asmlis.vasa.lt/Dashboard/Served?ServiceDateFrom=2025-11-24&amp;ServiceDateTo=2025-11-24&amp;DumpsterInvNr=13-P-416377", "13-P-416377")</f>
        <v>13-P-416377</v>
      </c>
      <c r="C4198">
        <v>0.24</v>
      </c>
      <c r="D4198" t="s">
        <v>5832</v>
      </c>
      <c r="E4198" t="s">
        <v>11</v>
      </c>
      <c r="F4198" t="s">
        <v>1209</v>
      </c>
      <c r="G4198" t="s">
        <v>264</v>
      </c>
      <c r="H4198" t="s">
        <v>14</v>
      </c>
    </row>
    <row r="4199" spans="1:8" hidden="1" x14ac:dyDescent="0.25">
      <c r="A4199" t="s">
        <v>5834</v>
      </c>
      <c r="B4199" s="1" t="str">
        <f>HYPERLINK("https://asmlis.vasa.lt/Dashboard/Served?ServiceDateFrom=2025-11-24&amp;ServiceDateTo=2025-11-24&amp;DumpsterInvNr=13-P-500638", "13-P-500638")</f>
        <v>13-P-500638</v>
      </c>
      <c r="C4199">
        <v>5</v>
      </c>
      <c r="D4199" t="s">
        <v>5835</v>
      </c>
      <c r="E4199" t="s">
        <v>11</v>
      </c>
      <c r="F4199" t="s">
        <v>13</v>
      </c>
      <c r="G4199" t="s">
        <v>2178</v>
      </c>
      <c r="H4199" t="s">
        <v>432</v>
      </c>
    </row>
    <row r="4200" spans="1:8" hidden="1" x14ac:dyDescent="0.25">
      <c r="A4200" t="s">
        <v>5836</v>
      </c>
      <c r="B4200" s="1" t="str">
        <f>HYPERLINK("https://asmlis.vasa.lt/Dashboard/Served?ServiceDateFrom=2025-11-24&amp;ServiceDateTo=2025-11-24&amp;DumpsterInvNr=13-P-401775", "13-P-401775")</f>
        <v>13-P-401775</v>
      </c>
      <c r="C4200">
        <v>0.24</v>
      </c>
      <c r="D4200" t="s">
        <v>5837</v>
      </c>
      <c r="E4200" t="s">
        <v>11</v>
      </c>
      <c r="F4200" t="s">
        <v>1209</v>
      </c>
      <c r="G4200" t="s">
        <v>264</v>
      </c>
      <c r="H4200" t="s">
        <v>14</v>
      </c>
    </row>
    <row r="4201" spans="1:8" hidden="1" x14ac:dyDescent="0.25">
      <c r="A4201" t="s">
        <v>5838</v>
      </c>
      <c r="B4201" s="1" t="str">
        <f>HYPERLINK("https://asmlis.vasa.lt/Dashboard/Served?ServiceDateFrom=2025-11-24&amp;ServiceDateTo=2025-11-24&amp;DumpsterInvNr=13-L-408847", "13-L-408847")</f>
        <v>13-L-408847</v>
      </c>
      <c r="C4201">
        <v>0.12</v>
      </c>
      <c r="D4201" t="s">
        <v>5839</v>
      </c>
      <c r="E4201" t="s">
        <v>11</v>
      </c>
      <c r="G4201" t="s">
        <v>74</v>
      </c>
      <c r="H4201" t="s">
        <v>14</v>
      </c>
    </row>
    <row r="4202" spans="1:8" hidden="1" x14ac:dyDescent="0.25">
      <c r="A4202" t="s">
        <v>5840</v>
      </c>
      <c r="B4202" s="1" t="str">
        <f>HYPERLINK("https://asmlis.vasa.lt/Dashboard/Served?ServiceDateFrom=2025-11-24&amp;ServiceDateTo=2025-11-24&amp;DumpsterInvNr=13-P-413922", "13-P-413922")</f>
        <v>13-P-413922</v>
      </c>
      <c r="C4202">
        <v>5</v>
      </c>
      <c r="D4202" t="s">
        <v>5841</v>
      </c>
      <c r="E4202" t="s">
        <v>11</v>
      </c>
      <c r="G4202" t="s">
        <v>264</v>
      </c>
      <c r="H4202" t="s">
        <v>14</v>
      </c>
    </row>
    <row r="4203" spans="1:8" hidden="1" x14ac:dyDescent="0.25">
      <c r="A4203" t="s">
        <v>5842</v>
      </c>
      <c r="B4203" s="1" t="str">
        <f>HYPERLINK("https://asmlis.vasa.lt/Dashboard/Served?ServiceDateFrom=2025-11-24&amp;ServiceDateTo=2025-11-24&amp;DumpsterInvNr=13-P-401639", "13-P-401639")</f>
        <v>13-P-401639</v>
      </c>
      <c r="C4203">
        <v>1.1000000000000001</v>
      </c>
      <c r="D4203" t="s">
        <v>940</v>
      </c>
      <c r="E4203" t="s">
        <v>11</v>
      </c>
      <c r="F4203" t="s">
        <v>13</v>
      </c>
      <c r="G4203" t="s">
        <v>264</v>
      </c>
      <c r="H4203" t="s">
        <v>14</v>
      </c>
    </row>
    <row r="4204" spans="1:8" hidden="1" x14ac:dyDescent="0.25">
      <c r="A4204" t="s">
        <v>5843</v>
      </c>
      <c r="B4204" s="1" t="str">
        <f>HYPERLINK("https://asmlis.vasa.lt/Dashboard/Served?ServiceDateFrom=2025-11-24&amp;ServiceDateTo=2025-11-24&amp;DumpsterInvNr=13-L-420483", "13-L-420483")</f>
        <v>13-L-420483</v>
      </c>
      <c r="C4204">
        <v>1.1000000000000001</v>
      </c>
      <c r="D4204" t="s">
        <v>5844</v>
      </c>
      <c r="E4204" t="s">
        <v>11</v>
      </c>
      <c r="G4204" t="s">
        <v>74</v>
      </c>
      <c r="H4204" t="s">
        <v>14</v>
      </c>
    </row>
    <row r="4205" spans="1:8" hidden="1" x14ac:dyDescent="0.25">
      <c r="A4205" t="s">
        <v>5845</v>
      </c>
      <c r="B4205" s="1" t="str">
        <f>HYPERLINK("https://asmlis.vasa.lt/Dashboard/Served?ServiceDateFrom=2025-11-24&amp;ServiceDateTo=2025-11-24&amp;DumpsterInvNr=13-P-401459", "13-P-401459")</f>
        <v>13-P-401459</v>
      </c>
      <c r="C4205">
        <v>1.1000000000000001</v>
      </c>
      <c r="D4205" t="s">
        <v>940</v>
      </c>
      <c r="E4205" t="s">
        <v>11</v>
      </c>
      <c r="F4205" t="s">
        <v>13</v>
      </c>
      <c r="G4205" t="s">
        <v>264</v>
      </c>
      <c r="H4205" t="s">
        <v>14</v>
      </c>
    </row>
    <row r="4206" spans="1:8" hidden="1" x14ac:dyDescent="0.25">
      <c r="A4206" t="s">
        <v>5846</v>
      </c>
      <c r="B4206" s="1" t="str">
        <f>HYPERLINK("https://asmlis.vasa.lt/Dashboard/Served?ServiceDateFrom=2025-11-24&amp;ServiceDateTo=2025-11-24&amp;DumpsterInvNr=13-P-415689", "13-P-415689")</f>
        <v>13-P-415689</v>
      </c>
      <c r="C4206">
        <v>1.1000000000000001</v>
      </c>
      <c r="D4206" t="s">
        <v>940</v>
      </c>
      <c r="E4206" t="s">
        <v>11</v>
      </c>
      <c r="F4206" t="s">
        <v>13</v>
      </c>
      <c r="G4206" t="s">
        <v>264</v>
      </c>
      <c r="H4206" t="s">
        <v>14</v>
      </c>
    </row>
    <row r="4207" spans="1:8" hidden="1" x14ac:dyDescent="0.25">
      <c r="A4207" t="s">
        <v>5847</v>
      </c>
      <c r="B4207" s="1" t="str">
        <f>HYPERLINK("https://asmlis.vasa.lt/Dashboard/Served?ServiceDateFrom=2025-11-24&amp;ServiceDateTo=2025-11-24&amp;DumpsterInvNr=13-P-205226", "13-P-205226")</f>
        <v>13-P-205226</v>
      </c>
      <c r="C4207">
        <v>0.24</v>
      </c>
      <c r="D4207" t="s">
        <v>5848</v>
      </c>
      <c r="E4207" t="s">
        <v>11</v>
      </c>
      <c r="F4207" t="s">
        <v>1209</v>
      </c>
      <c r="G4207" t="s">
        <v>234</v>
      </c>
      <c r="H4207" t="s">
        <v>14</v>
      </c>
    </row>
    <row r="4208" spans="1:8" hidden="1" x14ac:dyDescent="0.25">
      <c r="A4208" t="s">
        <v>5850</v>
      </c>
      <c r="B4208" s="1" t="str">
        <f>HYPERLINK("https://asmlis.vasa.lt/Dashboard/Served?ServiceDateFrom=2025-11-24&amp;ServiceDateTo=2025-11-24&amp;DumpsterInvNr=13-M-206304", "13-M-206304")</f>
        <v>13-M-206304</v>
      </c>
      <c r="C4208">
        <v>0.12</v>
      </c>
      <c r="D4208" t="s">
        <v>5851</v>
      </c>
      <c r="E4208" t="s">
        <v>11</v>
      </c>
      <c r="F4208" t="s">
        <v>1209</v>
      </c>
      <c r="G4208" t="s">
        <v>4876</v>
      </c>
      <c r="H4208" t="s">
        <v>938</v>
      </c>
    </row>
    <row r="4209" spans="1:8" hidden="1" x14ac:dyDescent="0.25">
      <c r="A4209" t="s">
        <v>4464</v>
      </c>
      <c r="B4209" s="1" t="str">
        <f>HYPERLINK("https://asmlis.vasa.lt/Dashboard/Served?ServiceDateFrom=2025-11-24&amp;ServiceDateTo=2025-11-24&amp;DumpsterInvNr=13-L-116994", "13-L-116994")</f>
        <v>13-L-116994</v>
      </c>
      <c r="C4209">
        <v>1.1000000000000001</v>
      </c>
      <c r="D4209" t="s">
        <v>5853</v>
      </c>
      <c r="E4209" t="s">
        <v>11</v>
      </c>
      <c r="G4209" t="s">
        <v>430</v>
      </c>
      <c r="H4209" t="s">
        <v>432</v>
      </c>
    </row>
    <row r="4210" spans="1:8" hidden="1" x14ac:dyDescent="0.25">
      <c r="A4210" t="s">
        <v>5854</v>
      </c>
      <c r="B4210" s="1" t="str">
        <f>HYPERLINK("https://asmlis.vasa.lt/Dashboard/Served?ServiceDateFrom=2025-11-24&amp;ServiceDateTo=2025-11-24&amp;DumpsterInvNr=13-L-202039", "13-L-202039")</f>
        <v>13-L-202039</v>
      </c>
      <c r="C4210">
        <v>1.1000000000000001</v>
      </c>
      <c r="D4210" t="s">
        <v>5855</v>
      </c>
      <c r="E4210" t="s">
        <v>11</v>
      </c>
      <c r="G4210" t="s">
        <v>936</v>
      </c>
      <c r="H4210" t="s">
        <v>938</v>
      </c>
    </row>
    <row r="4211" spans="1:8" hidden="1" x14ac:dyDescent="0.25">
      <c r="A4211" t="s">
        <v>5856</v>
      </c>
      <c r="B4211" s="1" t="str">
        <f>HYPERLINK("https://asmlis.vasa.lt/Dashboard/Served?ServiceDateFrom=2025-11-24&amp;ServiceDateTo=2025-11-24&amp;DumpsterInvNr=13-L-204232", "13-L-204232")</f>
        <v>13-L-204232</v>
      </c>
      <c r="C4211">
        <v>1.1000000000000001</v>
      </c>
      <c r="D4211" t="s">
        <v>5831</v>
      </c>
      <c r="E4211" t="s">
        <v>11</v>
      </c>
      <c r="F4211" t="s">
        <v>13</v>
      </c>
      <c r="G4211" t="s">
        <v>936</v>
      </c>
      <c r="H4211" t="s">
        <v>938</v>
      </c>
    </row>
    <row r="4212" spans="1:8" hidden="1" x14ac:dyDescent="0.25">
      <c r="A4212" t="s">
        <v>4472</v>
      </c>
      <c r="B4212" s="1" t="str">
        <f>HYPERLINK("https://asmlis.vasa.lt/Dashboard/Served?ServiceDateFrom=2025-11-24&amp;ServiceDateTo=2025-11-24&amp;DumpsterInvNr=13-M-200942", "13-M-200942")</f>
        <v>13-M-200942</v>
      </c>
      <c r="C4212">
        <v>0.12</v>
      </c>
      <c r="D4212" t="s">
        <v>5857</v>
      </c>
      <c r="E4212" t="s">
        <v>11</v>
      </c>
      <c r="F4212" t="s">
        <v>1209</v>
      </c>
      <c r="G4212" t="s">
        <v>4876</v>
      </c>
      <c r="H4212" t="s">
        <v>938</v>
      </c>
    </row>
    <row r="4213" spans="1:8" hidden="1" x14ac:dyDescent="0.25">
      <c r="A4213" t="s">
        <v>5859</v>
      </c>
      <c r="B4213" s="1" t="str">
        <f>HYPERLINK("https://asmlis.vasa.lt/Dashboard/Served?ServiceDateFrom=2025-11-24&amp;ServiceDateTo=2025-11-24&amp;DumpsterInvNr=13-L-221885", "13-L-221885")</f>
        <v>13-L-221885</v>
      </c>
      <c r="C4213">
        <v>0.24</v>
      </c>
      <c r="D4213" t="s">
        <v>5860</v>
      </c>
      <c r="E4213" t="s">
        <v>11</v>
      </c>
      <c r="G4213" t="s">
        <v>936</v>
      </c>
      <c r="H4213" t="s">
        <v>938</v>
      </c>
    </row>
    <row r="4214" spans="1:8" hidden="1" x14ac:dyDescent="0.25">
      <c r="A4214" t="s">
        <v>5861</v>
      </c>
      <c r="B4214" s="1" t="str">
        <f>HYPERLINK("https://asmlis.vasa.lt/Dashboard/Served?ServiceDateFrom=2025-11-24&amp;ServiceDateTo=2025-11-24&amp;DumpsterInvNr=13-M-206968", "13-M-206968")</f>
        <v>13-M-206968</v>
      </c>
      <c r="C4214">
        <v>0.12</v>
      </c>
      <c r="D4214" t="s">
        <v>5862</v>
      </c>
      <c r="E4214" t="s">
        <v>11</v>
      </c>
      <c r="F4214" t="s">
        <v>1209</v>
      </c>
      <c r="G4214" t="s">
        <v>4876</v>
      </c>
      <c r="H4214" t="s">
        <v>938</v>
      </c>
    </row>
    <row r="4215" spans="1:8" hidden="1" x14ac:dyDescent="0.25">
      <c r="A4215" t="s">
        <v>5863</v>
      </c>
      <c r="B4215" s="1" t="str">
        <f>HYPERLINK("https://asmlis.vasa.lt/Dashboard/Served?ServiceDateFrom=2025-11-24&amp;ServiceDateTo=2025-11-24&amp;DumpsterInvNr=13-P-205269", "13-P-205269")</f>
        <v>13-P-205269</v>
      </c>
      <c r="C4215">
        <v>0.24</v>
      </c>
      <c r="D4215" t="s">
        <v>5864</v>
      </c>
      <c r="E4215" t="s">
        <v>11</v>
      </c>
      <c r="F4215" t="s">
        <v>1209</v>
      </c>
      <c r="G4215" t="s">
        <v>234</v>
      </c>
      <c r="H4215" t="s">
        <v>14</v>
      </c>
    </row>
    <row r="4216" spans="1:8" hidden="1" x14ac:dyDescent="0.25">
      <c r="A4216" t="s">
        <v>5865</v>
      </c>
      <c r="B4216" s="1" t="str">
        <f>HYPERLINK("https://asmlis.vasa.lt/Dashboard/Served?ServiceDateFrom=2025-11-24&amp;ServiceDateTo=2025-11-24&amp;DumpsterInvNr=13-P-415483", "13-P-415483")</f>
        <v>13-P-415483</v>
      </c>
      <c r="C4216">
        <v>1.1000000000000001</v>
      </c>
      <c r="D4216" t="s">
        <v>940</v>
      </c>
      <c r="E4216" t="s">
        <v>11</v>
      </c>
      <c r="F4216" t="s">
        <v>13</v>
      </c>
      <c r="G4216" t="s">
        <v>264</v>
      </c>
      <c r="H4216" t="s">
        <v>14</v>
      </c>
    </row>
    <row r="4217" spans="1:8" hidden="1" x14ac:dyDescent="0.25">
      <c r="A4217" t="s">
        <v>5866</v>
      </c>
      <c r="B4217" s="1" t="str">
        <f>HYPERLINK("https://asmlis.vasa.lt/Dashboard/Served?ServiceDateFrom=2025-11-24&amp;ServiceDateTo=2025-11-24&amp;DumpsterInvNr=13-M-200962", "13-M-200962")</f>
        <v>13-M-200962</v>
      </c>
      <c r="C4217">
        <v>0.12</v>
      </c>
      <c r="D4217" t="s">
        <v>5867</v>
      </c>
      <c r="E4217" t="s">
        <v>11</v>
      </c>
      <c r="F4217" t="s">
        <v>1209</v>
      </c>
      <c r="G4217" t="s">
        <v>4876</v>
      </c>
      <c r="H4217" t="s">
        <v>938</v>
      </c>
    </row>
    <row r="4218" spans="1:8" hidden="1" x14ac:dyDescent="0.25">
      <c r="A4218" t="s">
        <v>5868</v>
      </c>
      <c r="B4218" s="1" t="str">
        <f>HYPERLINK("https://asmlis.vasa.lt/Dashboard/Served?ServiceDateFrom=2025-11-24&amp;ServiceDateTo=2025-11-24&amp;DumpsterInvNr=13-L-139708", "13-L-139708")</f>
        <v>13-L-139708</v>
      </c>
      <c r="C4218">
        <v>0.24</v>
      </c>
      <c r="D4218" t="s">
        <v>5869</v>
      </c>
      <c r="E4218" t="s">
        <v>11</v>
      </c>
      <c r="G4218" t="s">
        <v>430</v>
      </c>
      <c r="H4218" t="s">
        <v>432</v>
      </c>
    </row>
    <row r="4219" spans="1:8" hidden="1" x14ac:dyDescent="0.25">
      <c r="A4219" t="s">
        <v>5870</v>
      </c>
      <c r="B4219" s="1" t="str">
        <f>HYPERLINK("https://asmlis.vasa.lt/Dashboard/Served?ServiceDateFrom=2025-11-24&amp;ServiceDateTo=2025-11-24&amp;DumpsterInvNr=13-P-508412", "13-P-508412")</f>
        <v>13-P-508412</v>
      </c>
      <c r="C4219">
        <v>0.24</v>
      </c>
      <c r="D4219" t="s">
        <v>5869</v>
      </c>
      <c r="E4219" t="s">
        <v>11</v>
      </c>
      <c r="G4219" t="s">
        <v>2178</v>
      </c>
      <c r="H4219" t="s">
        <v>432</v>
      </c>
    </row>
    <row r="4220" spans="1:8" hidden="1" x14ac:dyDescent="0.25">
      <c r="A4220" t="s">
        <v>5871</v>
      </c>
      <c r="B4220" s="1" t="str">
        <f>HYPERLINK("https://asmlis.vasa.lt/Dashboard/Served?ServiceDateFrom=2025-11-24&amp;ServiceDateTo=2025-11-24&amp;DumpsterInvNr=13-P-210732", "13-P-210732")</f>
        <v>13-P-210732</v>
      </c>
      <c r="C4220">
        <v>0.24</v>
      </c>
      <c r="D4220" t="s">
        <v>5872</v>
      </c>
      <c r="E4220" t="s">
        <v>11</v>
      </c>
      <c r="F4220" t="s">
        <v>1209</v>
      </c>
      <c r="G4220" t="s">
        <v>234</v>
      </c>
      <c r="H4220" t="s">
        <v>14</v>
      </c>
    </row>
    <row r="4221" spans="1:8" hidden="1" x14ac:dyDescent="0.25">
      <c r="A4221" t="s">
        <v>5873</v>
      </c>
      <c r="B4221" s="1" t="str">
        <f>HYPERLINK("https://asmlis.vasa.lt/Dashboard/Served?ServiceDateFrom=2025-11-24&amp;ServiceDateTo=2025-11-24&amp;DumpsterInvNr=13-L-145470", "13-L-145470")</f>
        <v>13-L-145470</v>
      </c>
      <c r="C4221">
        <v>1.1000000000000001</v>
      </c>
      <c r="D4221" t="s">
        <v>5853</v>
      </c>
      <c r="E4221" t="s">
        <v>11</v>
      </c>
      <c r="G4221" t="s">
        <v>430</v>
      </c>
      <c r="H4221" t="s">
        <v>432</v>
      </c>
    </row>
    <row r="4222" spans="1:8" hidden="1" x14ac:dyDescent="0.25">
      <c r="A4222" t="s">
        <v>5874</v>
      </c>
      <c r="B4222" s="1" t="str">
        <f>HYPERLINK("https://asmlis.vasa.lt/Dashboard/Served?ServiceDateFrom=2025-11-24&amp;ServiceDateTo=2025-11-24&amp;DumpsterInvNr=13-P-416508", "13-P-416508")</f>
        <v>13-P-416508</v>
      </c>
      <c r="C4222">
        <v>0.24</v>
      </c>
      <c r="D4222" t="s">
        <v>5875</v>
      </c>
      <c r="E4222" t="s">
        <v>11</v>
      </c>
      <c r="G4222" t="s">
        <v>264</v>
      </c>
      <c r="H4222" t="s">
        <v>14</v>
      </c>
    </row>
    <row r="4223" spans="1:8" hidden="1" x14ac:dyDescent="0.25">
      <c r="A4223" t="s">
        <v>5876</v>
      </c>
      <c r="B4223" s="1" t="str">
        <f>HYPERLINK("https://asmlis.vasa.lt/Dashboard/Served?ServiceDateFrom=2025-11-24&amp;ServiceDateTo=2025-11-24&amp;DumpsterInvNr=13-L-221238", "13-L-221238")</f>
        <v>13-L-221238</v>
      </c>
      <c r="C4223">
        <v>1.1000000000000001</v>
      </c>
      <c r="D4223" t="s">
        <v>5855</v>
      </c>
      <c r="E4223" t="s">
        <v>11</v>
      </c>
      <c r="G4223" t="s">
        <v>936</v>
      </c>
      <c r="H4223" t="s">
        <v>938</v>
      </c>
    </row>
    <row r="4224" spans="1:8" hidden="1" x14ac:dyDescent="0.25">
      <c r="A4224" t="s">
        <v>5876</v>
      </c>
      <c r="B4224" s="1" t="str">
        <f>HYPERLINK("https://asmlis.vasa.lt/Dashboard/Served?ServiceDateFrom=2025-11-24&amp;ServiceDateTo=2025-11-24&amp;DumpsterInvNr=13-L-415623", "13-L-415623")</f>
        <v>13-L-415623</v>
      </c>
      <c r="C4224">
        <v>0.12</v>
      </c>
      <c r="D4224" t="s">
        <v>5877</v>
      </c>
      <c r="E4224" t="s">
        <v>11</v>
      </c>
      <c r="G4224" t="s">
        <v>74</v>
      </c>
      <c r="H4224" t="s">
        <v>14</v>
      </c>
    </row>
    <row r="4225" spans="1:8" hidden="1" x14ac:dyDescent="0.25">
      <c r="A4225" t="s">
        <v>5876</v>
      </c>
      <c r="B4225" s="1" t="str">
        <f>HYPERLINK("https://asmlis.vasa.lt/Dashboard/Served?ServiceDateFrom=2025-11-24&amp;ServiceDateTo=2025-11-24&amp;DumpsterInvNr=13-M-207873", "13-M-207873")</f>
        <v>13-M-207873</v>
      </c>
      <c r="C4225">
        <v>0.12</v>
      </c>
      <c r="D4225" t="s">
        <v>5878</v>
      </c>
      <c r="E4225" t="s">
        <v>11</v>
      </c>
      <c r="F4225" t="s">
        <v>1209</v>
      </c>
      <c r="G4225" t="s">
        <v>4876</v>
      </c>
      <c r="H4225" t="s">
        <v>938</v>
      </c>
    </row>
    <row r="4226" spans="1:8" hidden="1" x14ac:dyDescent="0.25">
      <c r="A4226" t="s">
        <v>5879</v>
      </c>
      <c r="B4226" s="1" t="str">
        <f>HYPERLINK("https://asmlis.vasa.lt/Dashboard/Served?ServiceDateFrom=2025-11-24&amp;ServiceDateTo=2025-11-24&amp;DumpsterInvNr=13-P-212657", "13-P-212657")</f>
        <v>13-P-212657</v>
      </c>
      <c r="C4226">
        <v>1.1000000000000001</v>
      </c>
      <c r="D4226" t="s">
        <v>5806</v>
      </c>
      <c r="E4226" t="s">
        <v>11</v>
      </c>
      <c r="F4226" t="s">
        <v>13</v>
      </c>
      <c r="G4226" t="s">
        <v>234</v>
      </c>
      <c r="H4226" t="s">
        <v>14</v>
      </c>
    </row>
    <row r="4227" spans="1:8" hidden="1" x14ac:dyDescent="0.25">
      <c r="A4227" t="s">
        <v>5880</v>
      </c>
      <c r="B4227" s="1" t="str">
        <f>HYPERLINK("https://asmlis.vasa.lt/Dashboard/Served?ServiceDateFrom=2025-11-24&amp;ServiceDateTo=2025-11-24&amp;DumpsterInvNr=13-P-401573", "13-P-401573")</f>
        <v>13-P-401573</v>
      </c>
      <c r="C4227">
        <v>0.24</v>
      </c>
      <c r="D4227" t="s">
        <v>5881</v>
      </c>
      <c r="E4227" t="s">
        <v>11</v>
      </c>
      <c r="G4227" t="s">
        <v>264</v>
      </c>
      <c r="H4227" t="s">
        <v>14</v>
      </c>
    </row>
    <row r="4228" spans="1:8" hidden="1" x14ac:dyDescent="0.25">
      <c r="A4228" t="s">
        <v>5882</v>
      </c>
      <c r="B4228" s="1" t="str">
        <f>HYPERLINK("https://asmlis.vasa.lt/Dashboard/Served?ServiceDateFrom=2025-11-24&amp;ServiceDateTo=2025-11-24&amp;DumpsterInvNr=13-L-141974", "13-L-141974")</f>
        <v>13-L-141974</v>
      </c>
      <c r="C4228">
        <v>0.24</v>
      </c>
      <c r="D4228" t="s">
        <v>5884</v>
      </c>
      <c r="E4228" t="s">
        <v>11</v>
      </c>
      <c r="G4228" t="s">
        <v>1912</v>
      </c>
      <c r="H4228" t="s">
        <v>432</v>
      </c>
    </row>
    <row r="4229" spans="1:8" hidden="1" x14ac:dyDescent="0.25">
      <c r="A4229" t="s">
        <v>5885</v>
      </c>
      <c r="B4229" s="1" t="str">
        <f>HYPERLINK("https://asmlis.vasa.lt/Dashboard/Served?ServiceDateFrom=2025-11-24&amp;ServiceDateTo=2025-11-24&amp;DumpsterInvNr=13-L-140401", "13-L-140401")</f>
        <v>13-L-140401</v>
      </c>
      <c r="C4229">
        <v>1.1000000000000001</v>
      </c>
      <c r="D4229" t="s">
        <v>5886</v>
      </c>
      <c r="E4229" t="s">
        <v>11</v>
      </c>
      <c r="G4229" t="s">
        <v>1912</v>
      </c>
      <c r="H4229" t="s">
        <v>432</v>
      </c>
    </row>
    <row r="4230" spans="1:8" hidden="1" x14ac:dyDescent="0.25">
      <c r="A4230" t="s">
        <v>5888</v>
      </c>
      <c r="B4230" s="1" t="str">
        <f>HYPERLINK("https://asmlis.vasa.lt/Dashboard/Served?ServiceDateFrom=2025-11-24&amp;ServiceDateTo=2025-11-24&amp;DumpsterInvNr=13-L-116995", "13-L-116995")</f>
        <v>13-L-116995</v>
      </c>
      <c r="C4230">
        <v>1.1000000000000001</v>
      </c>
      <c r="D4230" t="s">
        <v>5853</v>
      </c>
      <c r="E4230" t="s">
        <v>11</v>
      </c>
      <c r="G4230" t="s">
        <v>430</v>
      </c>
      <c r="H4230" t="s">
        <v>432</v>
      </c>
    </row>
    <row r="4231" spans="1:8" hidden="1" x14ac:dyDescent="0.25">
      <c r="A4231" t="s">
        <v>5889</v>
      </c>
      <c r="B4231" s="1" t="str">
        <f>HYPERLINK("https://asmlis.vasa.lt/Dashboard/Served?ServiceDateFrom=2025-11-24&amp;ServiceDateTo=2025-11-24&amp;DumpsterInvNr=13-P-103553", "13-P-103553")</f>
        <v>13-P-103553</v>
      </c>
      <c r="C4231">
        <v>0.24</v>
      </c>
      <c r="D4231" t="s">
        <v>5884</v>
      </c>
      <c r="E4231" t="s">
        <v>11</v>
      </c>
      <c r="G4231" t="s">
        <v>1917</v>
      </c>
      <c r="H4231" t="s">
        <v>432</v>
      </c>
    </row>
    <row r="4232" spans="1:8" hidden="1" x14ac:dyDescent="0.25">
      <c r="A4232" t="s">
        <v>5377</v>
      </c>
      <c r="B4232" s="1" t="str">
        <f>HYPERLINK("https://asmlis.vasa.lt/Dashboard/Served?ServiceDateFrom=2025-11-24&amp;ServiceDateTo=2025-11-24&amp;DumpsterInvNr=13-L-136117", "13-L-136117")</f>
        <v>13-L-136117</v>
      </c>
      <c r="C4232">
        <v>5</v>
      </c>
      <c r="D4232" t="s">
        <v>5890</v>
      </c>
      <c r="E4232" t="s">
        <v>11</v>
      </c>
      <c r="F4232" t="s">
        <v>13</v>
      </c>
      <c r="G4232" t="s">
        <v>430</v>
      </c>
      <c r="H4232" t="s">
        <v>432</v>
      </c>
    </row>
    <row r="4233" spans="1:8" hidden="1" x14ac:dyDescent="0.25">
      <c r="A4233" t="s">
        <v>5891</v>
      </c>
      <c r="B4233" s="1" t="str">
        <f>HYPERLINK("https://asmlis.vasa.lt/Dashboard/Served?ServiceDateFrom=2025-11-24&amp;ServiceDateTo=2025-11-24&amp;DumpsterInvNr=13-L-202033", "13-L-202033")</f>
        <v>13-L-202033</v>
      </c>
      <c r="C4233">
        <v>1.1000000000000001</v>
      </c>
      <c r="D4233" t="s">
        <v>5855</v>
      </c>
      <c r="E4233" t="s">
        <v>11</v>
      </c>
      <c r="F4233" t="s">
        <v>13</v>
      </c>
      <c r="G4233" t="s">
        <v>936</v>
      </c>
      <c r="H4233" t="s">
        <v>938</v>
      </c>
    </row>
    <row r="4234" spans="1:8" hidden="1" x14ac:dyDescent="0.25">
      <c r="A4234" t="s">
        <v>5892</v>
      </c>
      <c r="B4234" s="1" t="str">
        <f>HYPERLINK("https://asmlis.vasa.lt/Dashboard/Served?ServiceDateFrom=2025-11-24&amp;ServiceDateTo=2025-11-24&amp;DumpsterInvNr=13-L-140917", "13-L-140917")</f>
        <v>13-L-140917</v>
      </c>
      <c r="C4234">
        <v>5</v>
      </c>
      <c r="D4234" t="s">
        <v>5893</v>
      </c>
      <c r="E4234" t="s">
        <v>11</v>
      </c>
      <c r="F4234" t="s">
        <v>13</v>
      </c>
      <c r="G4234" t="s">
        <v>430</v>
      </c>
      <c r="H4234" t="s">
        <v>432</v>
      </c>
    </row>
    <row r="4235" spans="1:8" hidden="1" x14ac:dyDescent="0.25">
      <c r="A4235" t="s">
        <v>5894</v>
      </c>
      <c r="B4235" s="1" t="str">
        <f>HYPERLINK("https://asmlis.vasa.lt/Dashboard/Served?ServiceDateFrom=2025-11-24&amp;ServiceDateTo=2025-11-24&amp;DumpsterInvNr=13-L-423260", "13-L-423260")</f>
        <v>13-L-423260</v>
      </c>
      <c r="C4235">
        <v>1.1000000000000001</v>
      </c>
      <c r="D4235" t="s">
        <v>3101</v>
      </c>
      <c r="E4235" t="s">
        <v>11</v>
      </c>
      <c r="G4235" t="s">
        <v>74</v>
      </c>
      <c r="H4235" t="s">
        <v>14</v>
      </c>
    </row>
    <row r="4236" spans="1:8" hidden="1" x14ac:dyDescent="0.25">
      <c r="A4236" t="s">
        <v>5895</v>
      </c>
      <c r="B4236" s="1" t="str">
        <f>HYPERLINK("https://asmlis.vasa.lt/Dashboard/Served?ServiceDateFrom=2025-11-24&amp;ServiceDateTo=2025-11-24&amp;DumpsterInvNr=13-L-316411", "13-L-316411")</f>
        <v>13-L-316411</v>
      </c>
      <c r="C4236">
        <v>1.1000000000000001</v>
      </c>
      <c r="D4236" t="s">
        <v>5897</v>
      </c>
      <c r="E4236" t="s">
        <v>11</v>
      </c>
      <c r="G4236" t="s">
        <v>9</v>
      </c>
      <c r="H4236" t="s">
        <v>14</v>
      </c>
    </row>
    <row r="4237" spans="1:8" hidden="1" x14ac:dyDescent="0.25">
      <c r="A4237" t="s">
        <v>5898</v>
      </c>
      <c r="B4237" s="1" t="str">
        <f>HYPERLINK("https://asmlis.vasa.lt/Dashboard/Served?ServiceDateFrom=2025-11-24&amp;ServiceDateTo=2025-11-24&amp;DumpsterInvNr=13-M-205573", "13-M-205573")</f>
        <v>13-M-205573</v>
      </c>
      <c r="C4237">
        <v>0.12</v>
      </c>
      <c r="D4237" t="s">
        <v>5899</v>
      </c>
      <c r="E4237" t="s">
        <v>11</v>
      </c>
      <c r="F4237" t="s">
        <v>1209</v>
      </c>
      <c r="G4237" t="s">
        <v>4876</v>
      </c>
      <c r="H4237" t="s">
        <v>938</v>
      </c>
    </row>
    <row r="4238" spans="1:8" hidden="1" x14ac:dyDescent="0.25">
      <c r="A4238" t="s">
        <v>5898</v>
      </c>
      <c r="B4238" s="1" t="str">
        <f>HYPERLINK("https://asmlis.vasa.lt/Dashboard/Served?ServiceDateFrom=2025-11-24&amp;ServiceDateTo=2025-11-24&amp;DumpsterInvNr=13-L-104166", "13-L-104166")</f>
        <v>13-L-104166</v>
      </c>
      <c r="C4238">
        <v>1.1000000000000001</v>
      </c>
      <c r="D4238" t="s">
        <v>5900</v>
      </c>
      <c r="E4238" t="s">
        <v>11</v>
      </c>
      <c r="G4238" t="s">
        <v>430</v>
      </c>
      <c r="H4238" t="s">
        <v>432</v>
      </c>
    </row>
    <row r="4239" spans="1:8" hidden="1" x14ac:dyDescent="0.25">
      <c r="A4239" t="s">
        <v>5901</v>
      </c>
      <c r="B4239" s="1" t="str">
        <f>HYPERLINK("https://asmlis.vasa.lt/Dashboard/Served?ServiceDateFrom=2025-11-24&amp;ServiceDateTo=2025-11-24&amp;DumpsterInvNr=13-L-116997", "13-L-116997")</f>
        <v>13-L-116997</v>
      </c>
      <c r="C4239">
        <v>1.1000000000000001</v>
      </c>
      <c r="D4239" t="s">
        <v>5853</v>
      </c>
      <c r="E4239" t="s">
        <v>11</v>
      </c>
      <c r="G4239" t="s">
        <v>430</v>
      </c>
      <c r="H4239" t="s">
        <v>432</v>
      </c>
    </row>
    <row r="4240" spans="1:8" hidden="1" x14ac:dyDescent="0.25">
      <c r="A4240" t="s">
        <v>5901</v>
      </c>
      <c r="B4240" s="1" t="str">
        <f>HYPERLINK("https://asmlis.vasa.lt/Dashboard/Served?ServiceDateFrom=2025-11-24&amp;ServiceDateTo=2025-11-24&amp;DumpsterInvNr=13-L-204219", "13-L-204219")</f>
        <v>13-L-204219</v>
      </c>
      <c r="C4240">
        <v>1.1000000000000001</v>
      </c>
      <c r="D4240" t="s">
        <v>5831</v>
      </c>
      <c r="E4240" t="s">
        <v>11</v>
      </c>
      <c r="G4240" t="s">
        <v>936</v>
      </c>
      <c r="H4240" t="s">
        <v>938</v>
      </c>
    </row>
    <row r="4241" spans="1:8" hidden="1" x14ac:dyDescent="0.25">
      <c r="A4241" t="s">
        <v>5902</v>
      </c>
      <c r="B4241" s="1" t="str">
        <f>HYPERLINK("https://asmlis.vasa.lt/Dashboard/Served?ServiceDateFrom=2025-11-24&amp;ServiceDateTo=2025-11-24&amp;DumpsterInvNr=13-L-215581", "13-L-215581")</f>
        <v>13-L-215581</v>
      </c>
      <c r="C4241">
        <v>0.24</v>
      </c>
      <c r="D4241" t="s">
        <v>5903</v>
      </c>
      <c r="E4241" t="s">
        <v>11</v>
      </c>
      <c r="F4241" t="s">
        <v>1209</v>
      </c>
      <c r="G4241" t="s">
        <v>936</v>
      </c>
      <c r="H4241" t="s">
        <v>938</v>
      </c>
    </row>
    <row r="4242" spans="1:8" hidden="1" x14ac:dyDescent="0.25">
      <c r="A4242" t="s">
        <v>5904</v>
      </c>
      <c r="B4242" s="1" t="str">
        <f>HYPERLINK("https://asmlis.vasa.lt/Dashboard/Served?ServiceDateFrom=2025-11-24&amp;ServiceDateTo=2025-11-24&amp;DumpsterInvNr=13-L-123382", "13-L-123382")</f>
        <v>13-L-123382</v>
      </c>
      <c r="C4242">
        <v>0.12</v>
      </c>
      <c r="D4242" t="s">
        <v>5905</v>
      </c>
      <c r="E4242" t="s">
        <v>11</v>
      </c>
      <c r="G4242" t="s">
        <v>430</v>
      </c>
      <c r="H4242" t="s">
        <v>432</v>
      </c>
    </row>
    <row r="4243" spans="1:8" hidden="1" x14ac:dyDescent="0.25">
      <c r="A4243" t="s">
        <v>5904</v>
      </c>
      <c r="B4243" s="1" t="str">
        <f>HYPERLINK("https://asmlis.vasa.lt/Dashboard/Served?ServiceDateFrom=2025-11-24&amp;ServiceDateTo=2025-11-24&amp;DumpsterInvNr=13-P-508411", "13-P-508411")</f>
        <v>13-P-508411</v>
      </c>
      <c r="C4243">
        <v>0.24</v>
      </c>
      <c r="D4243" t="s">
        <v>5905</v>
      </c>
      <c r="E4243" t="s">
        <v>11</v>
      </c>
      <c r="G4243" t="s">
        <v>2178</v>
      </c>
      <c r="H4243" t="s">
        <v>432</v>
      </c>
    </row>
    <row r="4244" spans="1:8" hidden="1" x14ac:dyDescent="0.25">
      <c r="A4244" t="s">
        <v>5906</v>
      </c>
      <c r="B4244" s="1" t="str">
        <f>HYPERLINK("https://asmlis.vasa.lt/Dashboard/Served?ServiceDateFrom=2025-11-24&amp;ServiceDateTo=2025-11-24&amp;DumpsterInvNr=13-L-209247", "13-L-209247")</f>
        <v>13-L-209247</v>
      </c>
      <c r="C4244">
        <v>0.24</v>
      </c>
      <c r="D4244" t="s">
        <v>5907</v>
      </c>
      <c r="E4244" t="s">
        <v>11</v>
      </c>
      <c r="F4244" t="s">
        <v>1209</v>
      </c>
      <c r="G4244" t="s">
        <v>936</v>
      </c>
      <c r="H4244" t="s">
        <v>938</v>
      </c>
    </row>
    <row r="4245" spans="1:8" hidden="1" x14ac:dyDescent="0.25">
      <c r="A4245" t="s">
        <v>5908</v>
      </c>
      <c r="B4245" s="1" t="str">
        <f>HYPERLINK("https://asmlis.vasa.lt/Dashboard/Served?ServiceDateFrom=2025-11-24&amp;ServiceDateTo=2025-11-24&amp;DumpsterInvNr=13-P-500522", "13-P-500522")</f>
        <v>13-P-500522</v>
      </c>
      <c r="C4245">
        <v>5</v>
      </c>
      <c r="D4245" t="s">
        <v>5909</v>
      </c>
      <c r="E4245" t="s">
        <v>11</v>
      </c>
      <c r="F4245" t="s">
        <v>13</v>
      </c>
      <c r="G4245" t="s">
        <v>2178</v>
      </c>
      <c r="H4245" t="s">
        <v>432</v>
      </c>
    </row>
    <row r="4246" spans="1:8" hidden="1" x14ac:dyDescent="0.25">
      <c r="A4246" t="s">
        <v>5910</v>
      </c>
      <c r="B4246" s="1" t="str">
        <f>HYPERLINK("https://asmlis.vasa.lt/Dashboard/Served?ServiceDateFrom=2025-11-24&amp;ServiceDateTo=2025-11-24&amp;DumpsterInvNr=13-L-219645", "13-L-219645")</f>
        <v>13-L-219645</v>
      </c>
      <c r="C4246">
        <v>0.24</v>
      </c>
      <c r="D4246" t="s">
        <v>5911</v>
      </c>
      <c r="E4246" t="s">
        <v>11</v>
      </c>
      <c r="F4246" t="s">
        <v>1209</v>
      </c>
      <c r="G4246" t="s">
        <v>936</v>
      </c>
      <c r="H4246" t="s">
        <v>938</v>
      </c>
    </row>
    <row r="4247" spans="1:8" hidden="1" x14ac:dyDescent="0.25">
      <c r="A4247" t="s">
        <v>5912</v>
      </c>
      <c r="B4247" s="1" t="str">
        <f>HYPERLINK("https://asmlis.vasa.lt/Dashboard/Served?ServiceDateFrom=2025-11-24&amp;ServiceDateTo=2025-11-24&amp;DumpsterInvNr=13-P-212375", "13-P-212375")</f>
        <v>13-P-212375</v>
      </c>
      <c r="C4247">
        <v>0.24</v>
      </c>
      <c r="D4247" t="s">
        <v>5913</v>
      </c>
      <c r="E4247" t="s">
        <v>11</v>
      </c>
      <c r="G4247" t="s">
        <v>234</v>
      </c>
      <c r="H4247" t="s">
        <v>14</v>
      </c>
    </row>
    <row r="4248" spans="1:8" hidden="1" x14ac:dyDescent="0.25">
      <c r="A4248" t="s">
        <v>5914</v>
      </c>
      <c r="B4248" s="1" t="str">
        <f>HYPERLINK("https://asmlis.vasa.lt/Dashboard/Served?ServiceDateFrom=2025-11-24&amp;ServiceDateTo=2025-11-24&amp;DumpsterInvNr=13-L-424886", "13-L-424886")</f>
        <v>13-L-424886</v>
      </c>
      <c r="C4248">
        <v>1.1000000000000001</v>
      </c>
      <c r="D4248" t="s">
        <v>3101</v>
      </c>
      <c r="E4248" t="s">
        <v>11</v>
      </c>
      <c r="G4248" t="s">
        <v>74</v>
      </c>
      <c r="H4248" t="s">
        <v>14</v>
      </c>
    </row>
    <row r="4249" spans="1:8" hidden="1" x14ac:dyDescent="0.25">
      <c r="A4249" t="s">
        <v>5915</v>
      </c>
      <c r="B4249" s="1" t="str">
        <f>HYPERLINK("https://asmlis.vasa.lt/Dashboard/Served?ServiceDateFrom=2025-11-24&amp;ServiceDateTo=2025-11-24&amp;DumpsterInvNr=13-P-506865", "13-P-506865")</f>
        <v>13-P-506865</v>
      </c>
      <c r="C4249">
        <v>0.24</v>
      </c>
      <c r="D4249" t="s">
        <v>5818</v>
      </c>
      <c r="E4249" t="s">
        <v>11</v>
      </c>
      <c r="F4249" t="s">
        <v>1209</v>
      </c>
      <c r="G4249" t="s">
        <v>2178</v>
      </c>
      <c r="H4249" t="s">
        <v>432</v>
      </c>
    </row>
    <row r="4250" spans="1:8" hidden="1" x14ac:dyDescent="0.25">
      <c r="A4250" t="s">
        <v>5917</v>
      </c>
      <c r="B4250" s="1" t="str">
        <f>HYPERLINK("https://asmlis.vasa.lt/Dashboard/Served?ServiceDateFrom=2025-11-24&amp;ServiceDateTo=2025-11-24&amp;DumpsterInvNr=13-L-116993", "13-L-116993")</f>
        <v>13-L-116993</v>
      </c>
      <c r="C4250">
        <v>1.1000000000000001</v>
      </c>
      <c r="D4250" t="s">
        <v>5853</v>
      </c>
      <c r="E4250" t="s">
        <v>11</v>
      </c>
      <c r="G4250" t="s">
        <v>430</v>
      </c>
      <c r="H4250" t="s">
        <v>432</v>
      </c>
    </row>
    <row r="4251" spans="1:8" hidden="1" x14ac:dyDescent="0.25">
      <c r="A4251" t="s">
        <v>5917</v>
      </c>
      <c r="B4251" s="1" t="str">
        <f>HYPERLINK("https://asmlis.vasa.lt/Dashboard/Served?ServiceDateFrom=2025-11-24&amp;ServiceDateTo=2025-11-24&amp;DumpsterInvNr=13-L-317521", "13-L-317521")</f>
        <v>13-L-317521</v>
      </c>
      <c r="C4251">
        <v>1.1000000000000001</v>
      </c>
      <c r="D4251" t="s">
        <v>5919</v>
      </c>
      <c r="E4251" t="s">
        <v>11</v>
      </c>
      <c r="G4251" t="s">
        <v>9</v>
      </c>
      <c r="H4251" t="s">
        <v>14</v>
      </c>
    </row>
    <row r="4252" spans="1:8" hidden="1" x14ac:dyDescent="0.25">
      <c r="A4252" t="s">
        <v>5920</v>
      </c>
      <c r="B4252" s="1" t="str">
        <f>HYPERLINK("https://asmlis.vasa.lt/Dashboard/Served?ServiceDateFrom=2025-11-24&amp;ServiceDateTo=2025-11-24&amp;DumpsterInvNr=13-M-200226", "13-M-200226")</f>
        <v>13-M-200226</v>
      </c>
      <c r="C4252">
        <v>0.12</v>
      </c>
      <c r="D4252" t="s">
        <v>5921</v>
      </c>
      <c r="E4252" t="s">
        <v>11</v>
      </c>
      <c r="F4252" t="s">
        <v>1209</v>
      </c>
      <c r="G4252" t="s">
        <v>4876</v>
      </c>
      <c r="H4252" t="s">
        <v>938</v>
      </c>
    </row>
    <row r="4253" spans="1:8" hidden="1" x14ac:dyDescent="0.25">
      <c r="A4253" t="s">
        <v>5922</v>
      </c>
      <c r="B4253" s="1" t="str">
        <f>HYPERLINK("https://asmlis.vasa.lt/Dashboard/Served?ServiceDateFrom=2025-11-24&amp;ServiceDateTo=2025-11-24&amp;DumpsterInvNr=13-P-204848", "13-P-204848")</f>
        <v>13-P-204848</v>
      </c>
      <c r="C4253">
        <v>5</v>
      </c>
      <c r="D4253" t="s">
        <v>5923</v>
      </c>
      <c r="E4253" t="s">
        <v>11</v>
      </c>
      <c r="G4253" t="s">
        <v>234</v>
      </c>
      <c r="H4253" t="s">
        <v>14</v>
      </c>
    </row>
    <row r="4254" spans="1:8" hidden="1" x14ac:dyDescent="0.25">
      <c r="A4254" t="s">
        <v>5924</v>
      </c>
      <c r="B4254" s="1" t="str">
        <f>HYPERLINK("https://asmlis.vasa.lt/Dashboard/Served?ServiceDateFrom=2025-11-24&amp;ServiceDateTo=2025-11-24&amp;DumpsterInvNr=13-L-104168", "13-L-104168")</f>
        <v>13-L-104168</v>
      </c>
      <c r="C4254">
        <v>1.1000000000000001</v>
      </c>
      <c r="D4254" t="s">
        <v>5900</v>
      </c>
      <c r="E4254" t="s">
        <v>11</v>
      </c>
      <c r="G4254" t="s">
        <v>430</v>
      </c>
      <c r="H4254" t="s">
        <v>432</v>
      </c>
    </row>
    <row r="4255" spans="1:8" hidden="1" x14ac:dyDescent="0.25">
      <c r="A4255" t="s">
        <v>5926</v>
      </c>
      <c r="B4255" s="1" t="str">
        <f>HYPERLINK("https://asmlis.vasa.lt/Dashboard/Served?ServiceDateFrom=2025-11-24&amp;ServiceDateTo=2025-11-24&amp;DumpsterInvNr=13-M-200256", "13-M-200256")</f>
        <v>13-M-200256</v>
      </c>
      <c r="C4255">
        <v>0.12</v>
      </c>
      <c r="D4255" t="s">
        <v>5927</v>
      </c>
      <c r="E4255" t="s">
        <v>11</v>
      </c>
      <c r="F4255" t="s">
        <v>1209</v>
      </c>
      <c r="G4255" t="s">
        <v>4876</v>
      </c>
      <c r="H4255" t="s">
        <v>938</v>
      </c>
    </row>
    <row r="4256" spans="1:8" hidden="1" x14ac:dyDescent="0.25">
      <c r="A4256" t="s">
        <v>5928</v>
      </c>
      <c r="B4256" s="1" t="str">
        <f>HYPERLINK("https://asmlis.vasa.lt/Dashboard/Served?ServiceDateFrom=2025-11-24&amp;ServiceDateTo=2025-11-24&amp;DumpsterInvNr=13-P-416552", "13-P-416552")</f>
        <v>13-P-416552</v>
      </c>
      <c r="C4256">
        <v>0.24</v>
      </c>
      <c r="D4256" t="s">
        <v>5929</v>
      </c>
      <c r="E4256" t="s">
        <v>11</v>
      </c>
      <c r="G4256" t="s">
        <v>264</v>
      </c>
      <c r="H4256" t="s">
        <v>14</v>
      </c>
    </row>
    <row r="4257" spans="1:8" hidden="1" x14ac:dyDescent="0.25">
      <c r="A4257" t="s">
        <v>5930</v>
      </c>
      <c r="B4257" s="1" t="str">
        <f>HYPERLINK("https://asmlis.vasa.lt/Dashboard/Served?ServiceDateFrom=2025-11-24&amp;ServiceDateTo=2025-11-24&amp;DumpsterInvNr=13-M-205551", "13-M-205551")</f>
        <v>13-M-205551</v>
      </c>
      <c r="C4257">
        <v>0.12</v>
      </c>
      <c r="D4257" t="s">
        <v>5931</v>
      </c>
      <c r="E4257" t="s">
        <v>11</v>
      </c>
      <c r="F4257" t="s">
        <v>1209</v>
      </c>
      <c r="G4257" t="s">
        <v>4876</v>
      </c>
      <c r="H4257" t="s">
        <v>938</v>
      </c>
    </row>
    <row r="4258" spans="1:8" hidden="1" x14ac:dyDescent="0.25">
      <c r="A4258" t="s">
        <v>5932</v>
      </c>
      <c r="B4258" s="1" t="str">
        <f>HYPERLINK("https://asmlis.vasa.lt/Dashboard/Served?ServiceDateFrom=2025-11-24&amp;ServiceDateTo=2025-11-24&amp;DumpsterInvNr=13-L-116996", "13-L-116996")</f>
        <v>13-L-116996</v>
      </c>
      <c r="C4258">
        <v>1.1000000000000001</v>
      </c>
      <c r="D4258" t="s">
        <v>5853</v>
      </c>
      <c r="E4258" t="s">
        <v>11</v>
      </c>
      <c r="G4258" t="s">
        <v>430</v>
      </c>
      <c r="H4258" t="s">
        <v>432</v>
      </c>
    </row>
    <row r="4259" spans="1:8" hidden="1" x14ac:dyDescent="0.25">
      <c r="A4259" t="s">
        <v>5932</v>
      </c>
      <c r="B4259" s="1" t="str">
        <f>HYPERLINK("https://asmlis.vasa.lt/Dashboard/Served?ServiceDateFrom=2025-11-24&amp;ServiceDateTo=2025-11-24&amp;DumpsterInvNr=13-P-415752", "13-P-415752")</f>
        <v>13-P-415752</v>
      </c>
      <c r="C4259">
        <v>1.1000000000000001</v>
      </c>
      <c r="D4259" t="s">
        <v>940</v>
      </c>
      <c r="E4259" t="s">
        <v>11</v>
      </c>
      <c r="F4259" t="s">
        <v>13</v>
      </c>
      <c r="G4259" t="s">
        <v>264</v>
      </c>
      <c r="H4259" t="s">
        <v>14</v>
      </c>
    </row>
    <row r="4260" spans="1:8" hidden="1" x14ac:dyDescent="0.25">
      <c r="A4260" t="s">
        <v>5934</v>
      </c>
      <c r="B4260" s="1" t="str">
        <f>HYPERLINK("https://asmlis.vasa.lt/Dashboard/Served?ServiceDateFrom=2025-11-24&amp;ServiceDateTo=2025-11-24&amp;DumpsterInvNr=13-P-412092", "13-P-412092")</f>
        <v>13-P-412092</v>
      </c>
      <c r="C4260">
        <v>0.24</v>
      </c>
      <c r="D4260" t="s">
        <v>5935</v>
      </c>
      <c r="E4260" t="s">
        <v>11</v>
      </c>
      <c r="F4260" t="s">
        <v>1209</v>
      </c>
      <c r="G4260" t="s">
        <v>264</v>
      </c>
      <c r="H4260" t="s">
        <v>14</v>
      </c>
    </row>
    <row r="4261" spans="1:8" hidden="1" x14ac:dyDescent="0.25">
      <c r="A4261" t="s">
        <v>5934</v>
      </c>
      <c r="B4261" s="1" t="str">
        <f>HYPERLINK("https://asmlis.vasa.lt/Dashboard/Served?ServiceDateFrom=2025-11-24&amp;ServiceDateTo=2025-11-24&amp;DumpsterInvNr=13-M-200283", "13-M-200283")</f>
        <v>13-M-200283</v>
      </c>
      <c r="C4261">
        <v>0.12</v>
      </c>
      <c r="D4261" t="s">
        <v>5936</v>
      </c>
      <c r="E4261" t="s">
        <v>11</v>
      </c>
      <c r="F4261" t="s">
        <v>1209</v>
      </c>
      <c r="G4261" t="s">
        <v>4876</v>
      </c>
      <c r="H4261" t="s">
        <v>938</v>
      </c>
    </row>
    <row r="4262" spans="1:8" hidden="1" x14ac:dyDescent="0.25">
      <c r="A4262" t="s">
        <v>5937</v>
      </c>
      <c r="B4262" s="1" t="str">
        <f>HYPERLINK("https://asmlis.vasa.lt/Dashboard/Served?ServiceDateFrom=2025-11-24&amp;ServiceDateTo=2025-11-24&amp;DumpsterInvNr=13-T-000069", "13-T-000069")</f>
        <v>13-T-000069</v>
      </c>
      <c r="C4262">
        <v>2.5</v>
      </c>
      <c r="D4262" t="s">
        <v>1346</v>
      </c>
      <c r="E4262" t="s">
        <v>11</v>
      </c>
      <c r="F4262" t="s">
        <v>13</v>
      </c>
      <c r="G4262" t="s">
        <v>1899</v>
      </c>
      <c r="H4262" t="s">
        <v>432</v>
      </c>
    </row>
    <row r="4263" spans="1:8" hidden="1" x14ac:dyDescent="0.25">
      <c r="A4263" t="s">
        <v>5938</v>
      </c>
      <c r="B4263" s="1" t="str">
        <f>HYPERLINK("https://asmlis.vasa.lt/Dashboard/Served?ServiceDateFrom=2025-11-24&amp;ServiceDateTo=2025-11-24&amp;DumpsterInvNr=13-L-126238", "13-L-126238")</f>
        <v>13-L-126238</v>
      </c>
      <c r="C4263">
        <v>0.24</v>
      </c>
      <c r="D4263" t="s">
        <v>5939</v>
      </c>
      <c r="E4263" t="s">
        <v>11</v>
      </c>
      <c r="G4263" t="s">
        <v>1912</v>
      </c>
      <c r="H4263" t="s">
        <v>432</v>
      </c>
    </row>
    <row r="4264" spans="1:8" hidden="1" x14ac:dyDescent="0.25">
      <c r="A4264" t="s">
        <v>5938</v>
      </c>
      <c r="B4264" s="1" t="str">
        <f>HYPERLINK("https://asmlis.vasa.lt/Dashboard/Served?ServiceDateFrom=2025-11-24&amp;ServiceDateTo=2025-11-24&amp;DumpsterInvNr=13-L-426880", "13-L-426880")</f>
        <v>13-L-426880</v>
      </c>
      <c r="C4264">
        <v>1.1000000000000001</v>
      </c>
      <c r="D4264" t="s">
        <v>3101</v>
      </c>
      <c r="E4264" t="s">
        <v>11</v>
      </c>
      <c r="G4264" t="s">
        <v>74</v>
      </c>
      <c r="H4264" t="s">
        <v>14</v>
      </c>
    </row>
    <row r="4265" spans="1:8" hidden="1" x14ac:dyDescent="0.25">
      <c r="A4265" t="s">
        <v>5941</v>
      </c>
      <c r="B4265" s="1" t="str">
        <f>HYPERLINK("https://asmlis.vasa.lt/Dashboard/Served?ServiceDateFrom=2025-11-24&amp;ServiceDateTo=2025-11-24&amp;DumpsterInvNr=13-L-104167", "13-L-104167")</f>
        <v>13-L-104167</v>
      </c>
      <c r="C4265">
        <v>1.1000000000000001</v>
      </c>
      <c r="D4265" t="s">
        <v>5900</v>
      </c>
      <c r="E4265" t="s">
        <v>11</v>
      </c>
      <c r="G4265" t="s">
        <v>430</v>
      </c>
      <c r="H4265" t="s">
        <v>432</v>
      </c>
    </row>
    <row r="4266" spans="1:8" hidden="1" x14ac:dyDescent="0.25">
      <c r="A4266" t="s">
        <v>5942</v>
      </c>
      <c r="B4266" s="1" t="str">
        <f>HYPERLINK("https://asmlis.vasa.lt/Dashboard/Served?ServiceDateFrom=2025-11-24&amp;ServiceDateTo=2025-11-24&amp;DumpsterInvNr=13-L-317926", "13-L-317926")</f>
        <v>13-L-317926</v>
      </c>
      <c r="C4266">
        <v>1.1000000000000001</v>
      </c>
      <c r="D4266" t="s">
        <v>5943</v>
      </c>
      <c r="E4266" t="s">
        <v>11</v>
      </c>
      <c r="G4266" t="s">
        <v>9</v>
      </c>
      <c r="H4266" t="s">
        <v>14</v>
      </c>
    </row>
    <row r="4267" spans="1:8" hidden="1" x14ac:dyDescent="0.25">
      <c r="A4267" t="s">
        <v>5944</v>
      </c>
      <c r="B4267" s="1" t="str">
        <f>HYPERLINK("https://asmlis.vasa.lt/Dashboard/Served?ServiceDateFrom=2025-11-24&amp;ServiceDateTo=2025-11-24&amp;DumpsterInvNr=13-P-101166", "13-P-101166")</f>
        <v>13-P-101166</v>
      </c>
      <c r="C4267">
        <v>0.24</v>
      </c>
      <c r="D4267" t="s">
        <v>5945</v>
      </c>
      <c r="E4267" t="s">
        <v>11</v>
      </c>
      <c r="F4267" t="s">
        <v>1209</v>
      </c>
      <c r="G4267" t="s">
        <v>1917</v>
      </c>
      <c r="H4267" t="s">
        <v>432</v>
      </c>
    </row>
    <row r="4268" spans="1:8" hidden="1" x14ac:dyDescent="0.25">
      <c r="A4268" t="s">
        <v>5944</v>
      </c>
      <c r="B4268" s="1" t="str">
        <f>HYPERLINK("https://asmlis.vasa.lt/Dashboard/Served?ServiceDateFrom=2025-11-24&amp;ServiceDateTo=2025-11-24&amp;DumpsterInvNr=13-P-103565", "13-P-103565")</f>
        <v>13-P-103565</v>
      </c>
      <c r="C4268">
        <v>0.24</v>
      </c>
      <c r="D4268" t="s">
        <v>5947</v>
      </c>
      <c r="E4268" t="s">
        <v>11</v>
      </c>
      <c r="F4268" t="s">
        <v>1209</v>
      </c>
      <c r="G4268" t="s">
        <v>1917</v>
      </c>
      <c r="H4268" t="s">
        <v>432</v>
      </c>
    </row>
    <row r="4269" spans="1:8" hidden="1" x14ac:dyDescent="0.25">
      <c r="A4269" t="s">
        <v>5948</v>
      </c>
      <c r="B4269" s="1" t="str">
        <f>HYPERLINK("https://asmlis.vasa.lt/Dashboard/Served?ServiceDateFrom=2025-11-24&amp;ServiceDateTo=2025-11-24&amp;DumpsterInvNr=13-L-106339", "13-L-106339")</f>
        <v>13-L-106339</v>
      </c>
      <c r="C4269">
        <v>0.12</v>
      </c>
      <c r="D4269" t="s">
        <v>5947</v>
      </c>
      <c r="E4269" t="s">
        <v>11</v>
      </c>
      <c r="F4269" t="s">
        <v>1209</v>
      </c>
      <c r="G4269" t="s">
        <v>1912</v>
      </c>
      <c r="H4269" t="s">
        <v>432</v>
      </c>
    </row>
    <row r="4270" spans="1:8" hidden="1" x14ac:dyDescent="0.25">
      <c r="A4270" t="s">
        <v>5949</v>
      </c>
      <c r="B4270" s="1" t="str">
        <f>HYPERLINK("https://asmlis.vasa.lt/Dashboard/Served?ServiceDateFrom=2025-11-24&amp;ServiceDateTo=2025-11-24&amp;DumpsterInvNr=13-L-106340", "13-L-106340")</f>
        <v>13-L-106340</v>
      </c>
      <c r="C4270">
        <v>0.24</v>
      </c>
      <c r="D4270" t="s">
        <v>5945</v>
      </c>
      <c r="E4270" t="s">
        <v>11</v>
      </c>
      <c r="F4270" t="s">
        <v>1209</v>
      </c>
      <c r="G4270" t="s">
        <v>1912</v>
      </c>
      <c r="H4270" t="s">
        <v>432</v>
      </c>
    </row>
    <row r="4271" spans="1:8" hidden="1" x14ac:dyDescent="0.25">
      <c r="A4271" t="s">
        <v>5951</v>
      </c>
      <c r="B4271" s="1" t="str">
        <f>HYPERLINK("https://asmlis.vasa.lt/Dashboard/Served?ServiceDateFrom=2025-11-24&amp;ServiceDateTo=2025-11-24&amp;DumpsterInvNr=13-L-422084", "13-L-422084")</f>
        <v>13-L-422084</v>
      </c>
      <c r="C4271">
        <v>5</v>
      </c>
      <c r="D4271" t="s">
        <v>5952</v>
      </c>
      <c r="E4271" t="s">
        <v>11</v>
      </c>
      <c r="G4271" t="s">
        <v>74</v>
      </c>
      <c r="H4271" t="s">
        <v>14</v>
      </c>
    </row>
    <row r="4272" spans="1:8" hidden="1" x14ac:dyDescent="0.25">
      <c r="A4272" t="s">
        <v>5951</v>
      </c>
      <c r="B4272" s="1" t="str">
        <f>HYPERLINK("https://asmlis.vasa.lt/Dashboard/Served?ServiceDateFrom=2025-11-24&amp;ServiceDateTo=2025-11-24&amp;DumpsterInvNr=13-P-302459", "13-P-302459")</f>
        <v>13-P-302459</v>
      </c>
      <c r="C4272">
        <v>2.5</v>
      </c>
      <c r="D4272" t="s">
        <v>5953</v>
      </c>
      <c r="E4272" t="s">
        <v>11</v>
      </c>
      <c r="F4272" t="s">
        <v>13</v>
      </c>
      <c r="G4272" t="s">
        <v>412</v>
      </c>
      <c r="H4272" t="s">
        <v>14</v>
      </c>
    </row>
    <row r="4273" spans="1:8" hidden="1" x14ac:dyDescent="0.25">
      <c r="A4273" t="s">
        <v>5954</v>
      </c>
      <c r="B4273" s="1" t="str">
        <f>HYPERLINK("https://asmlis.vasa.lt/Dashboard/Served?ServiceDateFrom=2025-11-24&amp;ServiceDateTo=2025-11-24&amp;DumpsterInvNr=13-L-104075", "13-L-104075")</f>
        <v>13-L-104075</v>
      </c>
      <c r="C4273">
        <v>5</v>
      </c>
      <c r="D4273" t="s">
        <v>5955</v>
      </c>
      <c r="E4273" t="s">
        <v>11</v>
      </c>
      <c r="F4273" t="s">
        <v>13</v>
      </c>
      <c r="G4273" t="s">
        <v>430</v>
      </c>
      <c r="H4273" t="s">
        <v>432</v>
      </c>
    </row>
    <row r="4274" spans="1:8" hidden="1" x14ac:dyDescent="0.25">
      <c r="A4274" t="s">
        <v>5956</v>
      </c>
      <c r="B4274" s="1" t="str">
        <f>HYPERLINK("https://asmlis.vasa.lt/Dashboard/Served?ServiceDateFrom=2025-11-24&amp;ServiceDateTo=2025-11-24&amp;DumpsterInvNr=13-L-410873", "13-L-410873")</f>
        <v>13-L-410873</v>
      </c>
      <c r="C4274">
        <v>0.24</v>
      </c>
      <c r="D4274" t="s">
        <v>5957</v>
      </c>
      <c r="E4274" t="s">
        <v>11</v>
      </c>
      <c r="G4274" t="s">
        <v>74</v>
      </c>
      <c r="H4274" t="s">
        <v>14</v>
      </c>
    </row>
    <row r="4275" spans="1:8" hidden="1" x14ac:dyDescent="0.25">
      <c r="A4275" t="s">
        <v>5956</v>
      </c>
      <c r="B4275" s="1" t="str">
        <f>HYPERLINK("https://asmlis.vasa.lt/Dashboard/Served?ServiceDateFrom=2025-11-24&amp;ServiceDateTo=2025-11-24&amp;DumpsterInvNr=13-L-408830", "13-L-408830")</f>
        <v>13-L-408830</v>
      </c>
      <c r="C4275">
        <v>0.24</v>
      </c>
      <c r="D4275" t="s">
        <v>5958</v>
      </c>
      <c r="E4275" t="s">
        <v>11</v>
      </c>
      <c r="G4275" t="s">
        <v>74</v>
      </c>
      <c r="H4275" t="s">
        <v>14</v>
      </c>
    </row>
    <row r="4276" spans="1:8" hidden="1" x14ac:dyDescent="0.25">
      <c r="A4276" t="s">
        <v>5959</v>
      </c>
      <c r="B4276" s="1" t="str">
        <f>HYPERLINK("https://asmlis.vasa.lt/Dashboard/Served?ServiceDateFrom=2025-11-24&amp;ServiceDateTo=2025-11-24&amp;DumpsterInvNr=13-P-401052", "13-P-401052")</f>
        <v>13-P-401052</v>
      </c>
      <c r="C4276">
        <v>0.66</v>
      </c>
      <c r="D4276" t="s">
        <v>5961</v>
      </c>
      <c r="E4276" t="s">
        <v>11</v>
      </c>
      <c r="G4276" t="s">
        <v>264</v>
      </c>
      <c r="H4276" t="s">
        <v>14</v>
      </c>
    </row>
    <row r="4277" spans="1:8" hidden="1" x14ac:dyDescent="0.25">
      <c r="A4277" t="s">
        <v>5962</v>
      </c>
      <c r="B4277" s="1" t="str">
        <f>HYPERLINK("https://asmlis.vasa.lt/Dashboard/Served?ServiceDateFrom=2025-11-24&amp;ServiceDateTo=2025-11-24&amp;DumpsterInvNr=13-L-216030", "13-L-216030")</f>
        <v>13-L-216030</v>
      </c>
      <c r="C4277">
        <v>3</v>
      </c>
      <c r="D4277" t="s">
        <v>951</v>
      </c>
      <c r="E4277" t="s">
        <v>11</v>
      </c>
      <c r="F4277" t="s">
        <v>13</v>
      </c>
      <c r="G4277" t="s">
        <v>936</v>
      </c>
      <c r="H4277" t="s">
        <v>938</v>
      </c>
    </row>
    <row r="4278" spans="1:8" hidden="1" x14ac:dyDescent="0.25">
      <c r="A4278" t="s">
        <v>4581</v>
      </c>
      <c r="B4278" s="1" t="str">
        <f>HYPERLINK("https://asmlis.vasa.lt/Dashboard/Served?ServiceDateFrom=2025-11-24&amp;ServiceDateTo=2025-11-24&amp;DumpsterInvNr=13-P-413271", "13-P-413271")</f>
        <v>13-P-413271</v>
      </c>
      <c r="C4278">
        <v>1.1000000000000001</v>
      </c>
      <c r="D4278" t="s">
        <v>940</v>
      </c>
      <c r="E4278" t="s">
        <v>11</v>
      </c>
      <c r="F4278" t="s">
        <v>13</v>
      </c>
      <c r="G4278" t="s">
        <v>264</v>
      </c>
      <c r="H4278" t="s">
        <v>14</v>
      </c>
    </row>
    <row r="4279" spans="1:8" hidden="1" x14ac:dyDescent="0.25">
      <c r="A4279" t="s">
        <v>5963</v>
      </c>
      <c r="B4279" s="1" t="str">
        <f>HYPERLINK("https://asmlis.vasa.lt/Dashboard/Served?ServiceDateFrom=2025-11-24&amp;ServiceDateTo=2025-11-24&amp;DumpsterInvNr=13-P-414682", "13-P-414682")</f>
        <v>13-P-414682</v>
      </c>
      <c r="C4279">
        <v>0.24</v>
      </c>
      <c r="D4279" t="s">
        <v>5964</v>
      </c>
      <c r="E4279" t="s">
        <v>11</v>
      </c>
      <c r="F4279" t="s">
        <v>1209</v>
      </c>
      <c r="G4279" t="s">
        <v>264</v>
      </c>
      <c r="H4279" t="s">
        <v>14</v>
      </c>
    </row>
    <row r="4280" spans="1:8" hidden="1" x14ac:dyDescent="0.25">
      <c r="A4280" t="s">
        <v>5452</v>
      </c>
      <c r="B4280" s="1" t="str">
        <f>HYPERLINK("https://asmlis.vasa.lt/Dashboard/Served?ServiceDateFrom=2025-11-24&amp;ServiceDateTo=2025-11-24&amp;DumpsterInvNr=13-L-218333", "13-L-218333")</f>
        <v>13-L-218333</v>
      </c>
      <c r="C4280">
        <v>0.12</v>
      </c>
      <c r="D4280" t="s">
        <v>5965</v>
      </c>
      <c r="E4280" t="s">
        <v>11</v>
      </c>
      <c r="F4280" t="s">
        <v>13</v>
      </c>
      <c r="G4280" t="s">
        <v>936</v>
      </c>
      <c r="H4280" t="s">
        <v>938</v>
      </c>
    </row>
    <row r="4281" spans="1:8" hidden="1" x14ac:dyDescent="0.25">
      <c r="A4281" t="s">
        <v>5452</v>
      </c>
      <c r="B4281" s="1" t="str">
        <f>HYPERLINK("https://asmlis.vasa.lt/Dashboard/Served?ServiceDateFrom=2025-11-24&amp;ServiceDateTo=2025-11-24&amp;DumpsterInvNr=13-P-301741", "13-P-301741")</f>
        <v>13-P-301741</v>
      </c>
      <c r="C4281">
        <v>1.1000000000000001</v>
      </c>
      <c r="D4281" t="s">
        <v>5966</v>
      </c>
      <c r="E4281" t="s">
        <v>11</v>
      </c>
      <c r="G4281" t="s">
        <v>412</v>
      </c>
      <c r="H4281" t="s">
        <v>14</v>
      </c>
    </row>
    <row r="4282" spans="1:8" hidden="1" x14ac:dyDescent="0.25">
      <c r="A4282" t="s">
        <v>5608</v>
      </c>
      <c r="B4282" s="1" t="str">
        <f>HYPERLINK("https://asmlis.vasa.lt/Dashboard/Served?ServiceDateFrom=2025-11-24&amp;ServiceDateTo=2025-11-24&amp;DumpsterInvNr=13-P-401699", "13-P-401699")</f>
        <v>13-P-401699</v>
      </c>
      <c r="C4282">
        <v>1.1000000000000001</v>
      </c>
      <c r="D4282" t="s">
        <v>940</v>
      </c>
      <c r="E4282" t="s">
        <v>11</v>
      </c>
      <c r="F4282" t="s">
        <v>13</v>
      </c>
      <c r="G4282" t="s">
        <v>264</v>
      </c>
      <c r="H4282" t="s">
        <v>14</v>
      </c>
    </row>
    <row r="4283" spans="1:8" hidden="1" x14ac:dyDescent="0.25">
      <c r="A4283" t="s">
        <v>5608</v>
      </c>
      <c r="B4283" s="1" t="str">
        <f>HYPERLINK("https://asmlis.vasa.lt/Dashboard/Served?ServiceDateFrom=2025-11-24&amp;ServiceDateTo=2025-11-24&amp;DumpsterInvNr=13-M-205521", "13-M-205521")</f>
        <v>13-M-205521</v>
      </c>
      <c r="C4283">
        <v>0.12</v>
      </c>
      <c r="D4283" t="s">
        <v>5968</v>
      </c>
      <c r="E4283" t="s">
        <v>11</v>
      </c>
      <c r="G4283" t="s">
        <v>4876</v>
      </c>
      <c r="H4283" t="s">
        <v>938</v>
      </c>
    </row>
    <row r="4284" spans="1:8" hidden="1" x14ac:dyDescent="0.25">
      <c r="A4284" t="s">
        <v>5969</v>
      </c>
      <c r="B4284" s="1" t="str">
        <f>HYPERLINK("https://asmlis.vasa.lt/Dashboard/Served?ServiceDateFrom=2025-11-24&amp;ServiceDateTo=2025-11-24&amp;DumpsterInvNr=13-P-413995", "13-P-413995")</f>
        <v>13-P-413995</v>
      </c>
      <c r="C4284">
        <v>5</v>
      </c>
      <c r="D4284" t="s">
        <v>5970</v>
      </c>
      <c r="E4284" t="s">
        <v>11</v>
      </c>
      <c r="G4284" t="s">
        <v>264</v>
      </c>
      <c r="H4284" t="s">
        <v>14</v>
      </c>
    </row>
    <row r="4285" spans="1:8" hidden="1" x14ac:dyDescent="0.25">
      <c r="A4285" t="s">
        <v>5971</v>
      </c>
      <c r="B4285" s="1" t="str">
        <f>HYPERLINK("https://asmlis.vasa.lt/Dashboard/Served?ServiceDateFrom=2025-11-24&amp;ServiceDateTo=2025-11-24&amp;DumpsterInvNr=13-L-316410", "13-L-316410")</f>
        <v>13-L-316410</v>
      </c>
      <c r="C4285">
        <v>1.1000000000000001</v>
      </c>
      <c r="D4285" t="s">
        <v>5972</v>
      </c>
      <c r="E4285" t="s">
        <v>11</v>
      </c>
      <c r="G4285" t="s">
        <v>9</v>
      </c>
      <c r="H4285" t="s">
        <v>14</v>
      </c>
    </row>
    <row r="4286" spans="1:8" hidden="1" x14ac:dyDescent="0.25">
      <c r="A4286" t="s">
        <v>5973</v>
      </c>
      <c r="B4286" s="1" t="str">
        <f>HYPERLINK("https://asmlis.vasa.lt/Dashboard/Served?ServiceDateFrom=2025-11-24&amp;ServiceDateTo=2025-11-24&amp;DumpsterInvNr=13-P-412120", "13-P-412120")</f>
        <v>13-P-412120</v>
      </c>
      <c r="C4286">
        <v>0.24</v>
      </c>
      <c r="D4286" t="s">
        <v>5974</v>
      </c>
      <c r="E4286" t="s">
        <v>11</v>
      </c>
      <c r="F4286" t="s">
        <v>1209</v>
      </c>
      <c r="G4286" t="s">
        <v>264</v>
      </c>
      <c r="H4286" t="s">
        <v>14</v>
      </c>
    </row>
    <row r="4287" spans="1:8" hidden="1" x14ac:dyDescent="0.25">
      <c r="A4287" t="s">
        <v>5975</v>
      </c>
      <c r="B4287" s="1" t="str">
        <f>HYPERLINK("https://asmlis.vasa.lt/Dashboard/Served?ServiceDateFrom=2025-11-24&amp;ServiceDateTo=2025-11-24&amp;DumpsterInvNr=13-L-408481", "13-L-408481")</f>
        <v>13-L-408481</v>
      </c>
      <c r="C4287">
        <v>1.1000000000000001</v>
      </c>
      <c r="D4287" t="s">
        <v>5976</v>
      </c>
      <c r="E4287" t="s">
        <v>11</v>
      </c>
      <c r="G4287" t="s">
        <v>74</v>
      </c>
      <c r="H4287" t="s">
        <v>14</v>
      </c>
    </row>
    <row r="4288" spans="1:8" hidden="1" x14ac:dyDescent="0.25">
      <c r="A4288" t="s">
        <v>5977</v>
      </c>
      <c r="B4288" s="1" t="str">
        <f>HYPERLINK("https://asmlis.vasa.lt/Dashboard/Served?ServiceDateFrom=2025-11-24&amp;ServiceDateTo=2025-11-24&amp;DumpsterInvNr=13-L-137413", "13-L-137413")</f>
        <v>13-L-137413</v>
      </c>
      <c r="C4288">
        <v>5</v>
      </c>
      <c r="D4288" t="s">
        <v>5978</v>
      </c>
      <c r="E4288" t="s">
        <v>11</v>
      </c>
      <c r="F4288" t="s">
        <v>13</v>
      </c>
      <c r="G4288" t="s">
        <v>430</v>
      </c>
      <c r="H4288" t="s">
        <v>432</v>
      </c>
    </row>
    <row r="4289" spans="1:8" hidden="1" x14ac:dyDescent="0.25">
      <c r="A4289" t="s">
        <v>5979</v>
      </c>
      <c r="B4289" s="1" t="str">
        <f>HYPERLINK("https://asmlis.vasa.lt/Dashboard/Served?ServiceDateFrom=2025-11-24&amp;ServiceDateTo=2025-11-24&amp;DumpsterInvNr=13-P-210588", "13-P-210588")</f>
        <v>13-P-210588</v>
      </c>
      <c r="C4289">
        <v>0.24</v>
      </c>
      <c r="D4289" t="s">
        <v>5980</v>
      </c>
      <c r="E4289" t="s">
        <v>11</v>
      </c>
      <c r="G4289" t="s">
        <v>234</v>
      </c>
      <c r="H4289" t="s">
        <v>14</v>
      </c>
    </row>
    <row r="4290" spans="1:8" hidden="1" x14ac:dyDescent="0.25">
      <c r="A4290" t="s">
        <v>5981</v>
      </c>
      <c r="B4290" s="1" t="str">
        <f>HYPERLINK("https://asmlis.vasa.lt/Dashboard/Served?ServiceDateFrom=2025-11-24&amp;ServiceDateTo=2025-11-24&amp;DumpsterInvNr=13-P-502505", "13-P-502505")</f>
        <v>13-P-502505</v>
      </c>
      <c r="C4290">
        <v>1.1000000000000001</v>
      </c>
      <c r="D4290" t="s">
        <v>4846</v>
      </c>
      <c r="E4290" t="s">
        <v>11</v>
      </c>
      <c r="G4290" t="s">
        <v>2178</v>
      </c>
      <c r="H4290" t="s">
        <v>432</v>
      </c>
    </row>
    <row r="4291" spans="1:8" hidden="1" x14ac:dyDescent="0.25">
      <c r="A4291" t="s">
        <v>5982</v>
      </c>
      <c r="B4291" s="1" t="str">
        <f>HYPERLINK("https://asmlis.vasa.lt/Dashboard/Served?ServiceDateFrom=2025-11-24&amp;ServiceDateTo=2025-11-24&amp;DumpsterInvNr=13-L-116792", "13-L-116792")</f>
        <v>13-L-116792</v>
      </c>
      <c r="C4291">
        <v>1.1000000000000001</v>
      </c>
      <c r="D4291" t="s">
        <v>5983</v>
      </c>
      <c r="E4291" t="s">
        <v>11</v>
      </c>
      <c r="G4291" t="s">
        <v>430</v>
      </c>
      <c r="H4291" t="s">
        <v>432</v>
      </c>
    </row>
    <row r="4292" spans="1:8" hidden="1" x14ac:dyDescent="0.25">
      <c r="A4292" t="s">
        <v>5588</v>
      </c>
      <c r="B4292" s="1" t="str">
        <f>HYPERLINK("https://asmlis.vasa.lt/Dashboard/Served?ServiceDateFrom=2025-11-24&amp;ServiceDateTo=2025-11-24&amp;DumpsterInvNr=13-P-205453", "13-P-205453")</f>
        <v>13-P-205453</v>
      </c>
      <c r="C4292">
        <v>0.24</v>
      </c>
      <c r="D4292" t="s">
        <v>5984</v>
      </c>
      <c r="E4292" t="s">
        <v>11</v>
      </c>
      <c r="G4292" t="s">
        <v>234</v>
      </c>
      <c r="H4292" t="s">
        <v>14</v>
      </c>
    </row>
    <row r="4293" spans="1:8" hidden="1" x14ac:dyDescent="0.25">
      <c r="A4293" t="s">
        <v>5985</v>
      </c>
      <c r="B4293" s="1" t="str">
        <f>HYPERLINK("https://asmlis.vasa.lt/Dashboard/Served?ServiceDateFrom=2025-11-24&amp;ServiceDateTo=2025-11-24&amp;DumpsterInvNr=13-P-210587", "13-P-210587")</f>
        <v>13-P-210587</v>
      </c>
      <c r="C4293">
        <v>0.24</v>
      </c>
      <c r="D4293" t="s">
        <v>5986</v>
      </c>
      <c r="E4293" t="s">
        <v>11</v>
      </c>
      <c r="G4293" t="s">
        <v>234</v>
      </c>
      <c r="H4293" t="s">
        <v>14</v>
      </c>
    </row>
    <row r="4294" spans="1:8" hidden="1" x14ac:dyDescent="0.25">
      <c r="A4294" t="s">
        <v>5985</v>
      </c>
      <c r="B4294" s="1" t="str">
        <f>HYPERLINK("https://asmlis.vasa.lt/Dashboard/Served?ServiceDateFrom=2025-11-24&amp;ServiceDateTo=2025-11-24&amp;DumpsterInvNr=13-P-301932", "13-P-301932")</f>
        <v>13-P-301932</v>
      </c>
      <c r="C4294">
        <v>1.1000000000000001</v>
      </c>
      <c r="D4294" t="s">
        <v>5987</v>
      </c>
      <c r="E4294" t="s">
        <v>11</v>
      </c>
      <c r="G4294" t="s">
        <v>412</v>
      </c>
      <c r="H4294" t="s">
        <v>14</v>
      </c>
    </row>
    <row r="4295" spans="1:8" hidden="1" x14ac:dyDescent="0.25">
      <c r="A4295" t="s">
        <v>5988</v>
      </c>
      <c r="B4295" s="1" t="str">
        <f>HYPERLINK("https://asmlis.vasa.lt/Dashboard/Served?ServiceDateFrom=2025-11-24&amp;ServiceDateTo=2025-11-24&amp;DumpsterInvNr=13-L-418695", "13-L-418695")</f>
        <v>13-L-418695</v>
      </c>
      <c r="C4295">
        <v>0.24</v>
      </c>
      <c r="D4295" t="s">
        <v>5989</v>
      </c>
      <c r="E4295" t="s">
        <v>11</v>
      </c>
      <c r="G4295" t="s">
        <v>74</v>
      </c>
      <c r="H4295" t="s">
        <v>14</v>
      </c>
    </row>
    <row r="4296" spans="1:8" hidden="1" x14ac:dyDescent="0.25">
      <c r="A4296" t="s">
        <v>5990</v>
      </c>
      <c r="B4296" s="1" t="str">
        <f>HYPERLINK("https://asmlis.vasa.lt/Dashboard/Served?ServiceDateFrom=2025-11-24&amp;ServiceDateTo=2025-11-24&amp;DumpsterInvNr=13-L-221281", "13-L-221281")</f>
        <v>13-L-221281</v>
      </c>
      <c r="C4296">
        <v>1.1000000000000001</v>
      </c>
      <c r="D4296" t="s">
        <v>5855</v>
      </c>
      <c r="E4296" t="s">
        <v>11</v>
      </c>
      <c r="G4296" t="s">
        <v>936</v>
      </c>
      <c r="H4296" t="s">
        <v>938</v>
      </c>
    </row>
    <row r="4297" spans="1:8" hidden="1" x14ac:dyDescent="0.25">
      <c r="A4297" t="s">
        <v>5991</v>
      </c>
      <c r="B4297" s="1" t="str">
        <f>HYPERLINK("https://asmlis.vasa.lt/Dashboard/Served?ServiceDateFrom=2025-11-24&amp;ServiceDateTo=2025-11-24&amp;DumpsterInvNr=13-L-116793", "13-L-116793")</f>
        <v>13-L-116793</v>
      </c>
      <c r="C4297">
        <v>1.1000000000000001</v>
      </c>
      <c r="D4297" t="s">
        <v>5983</v>
      </c>
      <c r="E4297" t="s">
        <v>11</v>
      </c>
      <c r="G4297" t="s">
        <v>430</v>
      </c>
      <c r="H4297" t="s">
        <v>432</v>
      </c>
    </row>
    <row r="4298" spans="1:8" hidden="1" x14ac:dyDescent="0.25">
      <c r="A4298" t="s">
        <v>5993</v>
      </c>
      <c r="B4298" s="1" t="str">
        <f>HYPERLINK("https://asmlis.vasa.lt/Dashboard/Served?ServiceDateFrom=2025-11-24&amp;ServiceDateTo=2025-11-24&amp;DumpsterInvNr=13-M-200278", "13-M-200278")</f>
        <v>13-M-200278</v>
      </c>
      <c r="C4298">
        <v>0.12</v>
      </c>
      <c r="D4298" t="s">
        <v>5995</v>
      </c>
      <c r="E4298" t="s">
        <v>11</v>
      </c>
      <c r="G4298" t="s">
        <v>4876</v>
      </c>
      <c r="H4298" t="s">
        <v>938</v>
      </c>
    </row>
    <row r="4299" spans="1:8" hidden="1" x14ac:dyDescent="0.25">
      <c r="A4299" t="s">
        <v>5996</v>
      </c>
      <c r="B4299" s="1" t="str">
        <f>HYPERLINK("https://asmlis.vasa.lt/Dashboard/Served?ServiceDateFrom=2025-11-24&amp;ServiceDateTo=2025-11-24&amp;DumpsterInvNr=13-S-206615", "13-S-206615")</f>
        <v>13-S-206615</v>
      </c>
      <c r="C4299">
        <v>0.12</v>
      </c>
      <c r="D4299" t="s">
        <v>5984</v>
      </c>
      <c r="E4299" t="s">
        <v>11</v>
      </c>
      <c r="F4299" t="s">
        <v>1209</v>
      </c>
      <c r="G4299" t="s">
        <v>234</v>
      </c>
      <c r="H4299" t="s">
        <v>14</v>
      </c>
    </row>
    <row r="4300" spans="1:8" hidden="1" x14ac:dyDescent="0.25">
      <c r="A4300" t="s">
        <v>5998</v>
      </c>
      <c r="B4300" s="1" t="str">
        <f>HYPERLINK("https://asmlis.vasa.lt/Dashboard/Served?ServiceDateFrom=2025-11-24&amp;ServiceDateTo=2025-11-24&amp;DumpsterInvNr=13-L-116794", "13-L-116794")</f>
        <v>13-L-116794</v>
      </c>
      <c r="C4300">
        <v>1.1000000000000001</v>
      </c>
      <c r="D4300" t="s">
        <v>5983</v>
      </c>
      <c r="E4300" t="s">
        <v>11</v>
      </c>
      <c r="G4300" t="s">
        <v>430</v>
      </c>
      <c r="H4300" t="s">
        <v>432</v>
      </c>
    </row>
    <row r="4301" spans="1:8" hidden="1" x14ac:dyDescent="0.25">
      <c r="A4301" t="s">
        <v>5999</v>
      </c>
      <c r="B4301" s="1" t="str">
        <f>HYPERLINK("https://asmlis.vasa.lt/Dashboard/Served?ServiceDateFrom=2025-11-24&amp;ServiceDateTo=2025-11-24&amp;DumpsterInvNr=13-L-424190", "13-L-424190")</f>
        <v>13-L-424190</v>
      </c>
      <c r="C4301">
        <v>1.1000000000000001</v>
      </c>
      <c r="D4301" t="s">
        <v>3101</v>
      </c>
      <c r="E4301" t="s">
        <v>11</v>
      </c>
      <c r="G4301" t="s">
        <v>74</v>
      </c>
      <c r="H4301" t="s">
        <v>14</v>
      </c>
    </row>
    <row r="4302" spans="1:8" hidden="1" x14ac:dyDescent="0.25">
      <c r="A4302" t="s">
        <v>5999</v>
      </c>
      <c r="B4302" s="1" t="str">
        <f>HYPERLINK("https://asmlis.vasa.lt/Dashboard/Served?ServiceDateFrom=2025-11-24&amp;ServiceDateTo=2025-11-24&amp;DumpsterInvNr=13-P-500523", "13-P-500523")</f>
        <v>13-P-500523</v>
      </c>
      <c r="C4302">
        <v>5</v>
      </c>
      <c r="D4302" t="s">
        <v>6000</v>
      </c>
      <c r="E4302" t="s">
        <v>11</v>
      </c>
      <c r="F4302" t="s">
        <v>13</v>
      </c>
      <c r="G4302" t="s">
        <v>2178</v>
      </c>
      <c r="H4302" t="s">
        <v>432</v>
      </c>
    </row>
    <row r="4303" spans="1:8" hidden="1" x14ac:dyDescent="0.25">
      <c r="A4303" t="s">
        <v>6001</v>
      </c>
      <c r="B4303" s="1" t="str">
        <f>HYPERLINK("https://asmlis.vasa.lt/Dashboard/Served?ServiceDateFrom=2025-11-24&amp;ServiceDateTo=2025-11-24&amp;DumpsterInvNr=13-L-215238", "13-L-215238")</f>
        <v>13-L-215238</v>
      </c>
      <c r="C4303">
        <v>1.1000000000000001</v>
      </c>
      <c r="D4303" t="s">
        <v>5831</v>
      </c>
      <c r="E4303" t="s">
        <v>11</v>
      </c>
      <c r="F4303" t="s">
        <v>1209</v>
      </c>
      <c r="G4303" t="s">
        <v>936</v>
      </c>
      <c r="H4303" t="s">
        <v>938</v>
      </c>
    </row>
    <row r="4304" spans="1:8" hidden="1" x14ac:dyDescent="0.25">
      <c r="A4304" t="s">
        <v>6002</v>
      </c>
      <c r="B4304" s="1" t="str">
        <f>HYPERLINK("https://asmlis.vasa.lt/Dashboard/Served?ServiceDateFrom=2025-11-24&amp;ServiceDateTo=2025-11-24&amp;DumpsterInvNr=13-P-103555", "13-P-103555")</f>
        <v>13-P-103555</v>
      </c>
      <c r="C4304">
        <v>0.24</v>
      </c>
      <c r="D4304" t="s">
        <v>6003</v>
      </c>
      <c r="E4304" t="s">
        <v>11</v>
      </c>
      <c r="G4304" t="s">
        <v>1917</v>
      </c>
      <c r="H4304" t="s">
        <v>432</v>
      </c>
    </row>
    <row r="4305" spans="1:8" hidden="1" x14ac:dyDescent="0.25">
      <c r="A4305" t="s">
        <v>6005</v>
      </c>
      <c r="B4305" s="1" t="str">
        <f>HYPERLINK("https://asmlis.vasa.lt/Dashboard/Served?ServiceDateFrom=2025-11-24&amp;ServiceDateTo=2025-11-24&amp;DumpsterInvNr=13-L-124937", "13-L-124937")</f>
        <v>13-L-124937</v>
      </c>
      <c r="C4305">
        <v>0.24</v>
      </c>
      <c r="D4305" t="s">
        <v>6006</v>
      </c>
      <c r="E4305" t="s">
        <v>11</v>
      </c>
      <c r="G4305" t="s">
        <v>430</v>
      </c>
      <c r="H4305" t="s">
        <v>432</v>
      </c>
    </row>
    <row r="4306" spans="1:8" hidden="1" x14ac:dyDescent="0.25">
      <c r="A4306" t="s">
        <v>6005</v>
      </c>
      <c r="B4306" s="1" t="str">
        <f>HYPERLINK("https://asmlis.vasa.lt/Dashboard/Served?ServiceDateFrom=2025-11-24&amp;ServiceDateTo=2025-11-24&amp;DumpsterInvNr=13-P-111090", "13-P-111090")</f>
        <v>13-P-111090</v>
      </c>
      <c r="C4306">
        <v>1.1000000000000001</v>
      </c>
      <c r="D4306" t="s">
        <v>6008</v>
      </c>
      <c r="E4306" t="s">
        <v>11</v>
      </c>
      <c r="G4306" t="s">
        <v>1917</v>
      </c>
      <c r="H4306" t="s">
        <v>432</v>
      </c>
    </row>
    <row r="4307" spans="1:8" hidden="1" x14ac:dyDescent="0.25">
      <c r="A4307" t="s">
        <v>6005</v>
      </c>
      <c r="B4307" s="1" t="str">
        <f>HYPERLINK("https://asmlis.vasa.lt/Dashboard/Served?ServiceDateFrom=2025-11-24&amp;ServiceDateTo=2025-11-24&amp;DumpsterInvNr=13-P-501866", "13-P-501866")</f>
        <v>13-P-501866</v>
      </c>
      <c r="C4307">
        <v>0.24</v>
      </c>
      <c r="D4307" t="s">
        <v>6006</v>
      </c>
      <c r="E4307" t="s">
        <v>11</v>
      </c>
      <c r="G4307" t="s">
        <v>2178</v>
      </c>
      <c r="H4307" t="s">
        <v>432</v>
      </c>
    </row>
    <row r="4308" spans="1:8" hidden="1" x14ac:dyDescent="0.25">
      <c r="A4308" t="s">
        <v>6009</v>
      </c>
      <c r="B4308" s="1" t="str">
        <f>HYPERLINK("https://asmlis.vasa.lt/Dashboard/Served?ServiceDateFrom=2025-11-24&amp;ServiceDateTo=2025-11-24&amp;DumpsterInvNr=13-M-200275", "13-M-200275")</f>
        <v>13-M-200275</v>
      </c>
      <c r="C4308">
        <v>0.12</v>
      </c>
      <c r="D4308" t="s">
        <v>6010</v>
      </c>
      <c r="E4308" t="s">
        <v>11</v>
      </c>
      <c r="F4308" t="s">
        <v>1209</v>
      </c>
      <c r="G4308" t="s">
        <v>4876</v>
      </c>
      <c r="H4308" t="s">
        <v>938</v>
      </c>
    </row>
    <row r="4309" spans="1:8" hidden="1" x14ac:dyDescent="0.25">
      <c r="A4309" t="s">
        <v>6011</v>
      </c>
      <c r="B4309" s="1" t="str">
        <f>HYPERLINK("https://asmlis.vasa.lt/Dashboard/Served?ServiceDateFrom=2025-11-24&amp;ServiceDateTo=2025-11-24&amp;DumpsterInvNr=13-L-102626", "13-L-102626")</f>
        <v>13-L-102626</v>
      </c>
      <c r="C4309">
        <v>0.24</v>
      </c>
      <c r="D4309" t="s">
        <v>6012</v>
      </c>
      <c r="E4309" t="s">
        <v>11</v>
      </c>
      <c r="F4309" t="s">
        <v>1209</v>
      </c>
      <c r="G4309" t="s">
        <v>1912</v>
      </c>
      <c r="H4309" t="s">
        <v>432</v>
      </c>
    </row>
    <row r="4310" spans="1:8" hidden="1" x14ac:dyDescent="0.25">
      <c r="A4310" t="s">
        <v>6011</v>
      </c>
      <c r="B4310" s="1" t="str">
        <f>HYPERLINK("https://asmlis.vasa.lt/Dashboard/Served?ServiceDateFrom=2025-11-24&amp;ServiceDateTo=2025-11-24&amp;DumpsterInvNr=13-P-101170", "13-P-101170")</f>
        <v>13-P-101170</v>
      </c>
      <c r="C4310">
        <v>0.12</v>
      </c>
      <c r="D4310" t="s">
        <v>6012</v>
      </c>
      <c r="E4310" t="s">
        <v>11</v>
      </c>
      <c r="F4310" t="s">
        <v>1209</v>
      </c>
      <c r="G4310" t="s">
        <v>1917</v>
      </c>
      <c r="H4310" t="s">
        <v>432</v>
      </c>
    </row>
    <row r="4311" spans="1:8" hidden="1" x14ac:dyDescent="0.25">
      <c r="A4311" t="s">
        <v>5833</v>
      </c>
      <c r="B4311" s="1" t="str">
        <f>HYPERLINK("https://asmlis.vasa.lt/Dashboard/Served?ServiceDateFrom=2025-11-24&amp;ServiceDateTo=2025-11-24&amp;DumpsterInvNr=13-P-400354", "13-P-400354")</f>
        <v>13-P-400354</v>
      </c>
      <c r="C4311">
        <v>0.24</v>
      </c>
      <c r="D4311" t="s">
        <v>6013</v>
      </c>
      <c r="E4311" t="s">
        <v>11</v>
      </c>
      <c r="G4311" t="s">
        <v>264</v>
      </c>
      <c r="H4311" t="s">
        <v>14</v>
      </c>
    </row>
    <row r="4312" spans="1:8" hidden="1" x14ac:dyDescent="0.25">
      <c r="A4312" t="s">
        <v>5754</v>
      </c>
      <c r="B4312" s="1" t="str">
        <f>HYPERLINK("https://asmlis.vasa.lt/Dashboard/Served?ServiceDateFrom=2025-11-24&amp;ServiceDateTo=2025-11-24&amp;DumpsterInvNr=13-L-145087", "13-L-145087")</f>
        <v>13-L-145087</v>
      </c>
      <c r="C4312">
        <v>0.77</v>
      </c>
      <c r="D4312" t="s">
        <v>6014</v>
      </c>
      <c r="E4312" t="s">
        <v>11</v>
      </c>
      <c r="G4312" t="s">
        <v>1912</v>
      </c>
      <c r="H4312" t="s">
        <v>432</v>
      </c>
    </row>
    <row r="4313" spans="1:8" hidden="1" x14ac:dyDescent="0.25">
      <c r="A4313" t="s">
        <v>5754</v>
      </c>
      <c r="B4313" s="1" t="str">
        <f>HYPERLINK("https://asmlis.vasa.lt/Dashboard/Served?ServiceDateFrom=2025-11-24&amp;ServiceDateTo=2025-11-24&amp;DumpsterInvNr=13-P-502681", "13-P-502681")</f>
        <v>13-P-502681</v>
      </c>
      <c r="C4313">
        <v>0.24</v>
      </c>
      <c r="D4313" t="s">
        <v>6015</v>
      </c>
      <c r="E4313" t="s">
        <v>11</v>
      </c>
      <c r="G4313" t="s">
        <v>2178</v>
      </c>
      <c r="H4313" t="s">
        <v>432</v>
      </c>
    </row>
    <row r="4314" spans="1:8" hidden="1" x14ac:dyDescent="0.25">
      <c r="A4314" t="s">
        <v>5849</v>
      </c>
      <c r="B4314" s="1" t="str">
        <f>HYPERLINK("https://asmlis.vasa.lt/Dashboard/Served?ServiceDateFrom=2025-11-24&amp;ServiceDateTo=2025-11-24&amp;DumpsterInvNr=13-L-128126", "13-L-128126")</f>
        <v>13-L-128126</v>
      </c>
      <c r="C4314">
        <v>0.12</v>
      </c>
      <c r="D4314" t="s">
        <v>6003</v>
      </c>
      <c r="E4314" t="s">
        <v>11</v>
      </c>
      <c r="F4314" t="s">
        <v>1209</v>
      </c>
      <c r="G4314" t="s">
        <v>1912</v>
      </c>
      <c r="H4314" t="s">
        <v>432</v>
      </c>
    </row>
    <row r="4315" spans="1:8" hidden="1" x14ac:dyDescent="0.25">
      <c r="A4315" t="s">
        <v>5997</v>
      </c>
      <c r="B4315" s="1" t="str">
        <f>HYPERLINK("https://asmlis.vasa.lt/Dashboard/Served?ServiceDateFrom=2025-11-24&amp;ServiceDateTo=2025-11-24&amp;DumpsterInvNr=13-M-205532", "13-M-205532")</f>
        <v>13-M-205532</v>
      </c>
      <c r="C4315">
        <v>0.12</v>
      </c>
      <c r="D4315" t="s">
        <v>6018</v>
      </c>
      <c r="E4315" t="s">
        <v>11</v>
      </c>
      <c r="F4315" t="s">
        <v>1209</v>
      </c>
      <c r="G4315" t="s">
        <v>4876</v>
      </c>
      <c r="H4315" t="s">
        <v>938</v>
      </c>
    </row>
    <row r="4316" spans="1:8" hidden="1" x14ac:dyDescent="0.25">
      <c r="A4316" t="s">
        <v>6019</v>
      </c>
      <c r="B4316" s="1" t="str">
        <f>HYPERLINK("https://asmlis.vasa.lt/Dashboard/Served?ServiceDateFrom=2025-11-24&amp;ServiceDateTo=2025-11-24&amp;DumpsterInvNr=13-L-424405", "13-L-424405")</f>
        <v>13-L-424405</v>
      </c>
      <c r="C4316">
        <v>1.1000000000000001</v>
      </c>
      <c r="D4316" t="s">
        <v>3101</v>
      </c>
      <c r="E4316" t="s">
        <v>11</v>
      </c>
      <c r="G4316" t="s">
        <v>74</v>
      </c>
      <c r="H4316" t="s">
        <v>14</v>
      </c>
    </row>
    <row r="4317" spans="1:8" hidden="1" x14ac:dyDescent="0.25">
      <c r="A4317" t="s">
        <v>6020</v>
      </c>
      <c r="B4317" s="1" t="str">
        <f>HYPERLINK("https://asmlis.vasa.lt/Dashboard/Served?ServiceDateFrom=2025-11-24&amp;ServiceDateTo=2025-11-24&amp;DumpsterInvNr=13-P-209658", "13-P-209658")</f>
        <v>13-P-209658</v>
      </c>
      <c r="C4317">
        <v>0.24</v>
      </c>
      <c r="D4317" t="s">
        <v>6021</v>
      </c>
      <c r="E4317" t="s">
        <v>11</v>
      </c>
      <c r="F4317" t="s">
        <v>1209</v>
      </c>
      <c r="G4317" t="s">
        <v>234</v>
      </c>
      <c r="H4317" t="s">
        <v>14</v>
      </c>
    </row>
    <row r="4318" spans="1:8" hidden="1" x14ac:dyDescent="0.25">
      <c r="A4318" t="s">
        <v>6023</v>
      </c>
      <c r="B4318" s="1" t="str">
        <f>HYPERLINK("https://asmlis.vasa.lt/Dashboard/Served?ServiceDateFrom=2025-11-24&amp;ServiceDateTo=2025-11-24&amp;DumpsterInvNr=13-L-124935", "13-L-124935")</f>
        <v>13-L-124935</v>
      </c>
      <c r="C4318">
        <v>0.24</v>
      </c>
      <c r="D4318" t="s">
        <v>6024</v>
      </c>
      <c r="E4318" t="s">
        <v>11</v>
      </c>
      <c r="G4318" t="s">
        <v>430</v>
      </c>
      <c r="H4318" t="s">
        <v>432</v>
      </c>
    </row>
    <row r="4319" spans="1:8" hidden="1" x14ac:dyDescent="0.25">
      <c r="A4319" t="s">
        <v>6023</v>
      </c>
      <c r="B4319" s="1" t="str">
        <f>HYPERLINK("https://asmlis.vasa.lt/Dashboard/Served?ServiceDateFrom=2025-11-24&amp;ServiceDateTo=2025-11-24&amp;DumpsterInvNr=13-L-124936", "13-L-124936")</f>
        <v>13-L-124936</v>
      </c>
      <c r="C4319">
        <v>0.24</v>
      </c>
      <c r="D4319" t="s">
        <v>6015</v>
      </c>
      <c r="E4319" t="s">
        <v>11</v>
      </c>
      <c r="G4319" t="s">
        <v>430</v>
      </c>
      <c r="H4319" t="s">
        <v>432</v>
      </c>
    </row>
    <row r="4320" spans="1:8" hidden="1" x14ac:dyDescent="0.25">
      <c r="A4320" t="s">
        <v>6027</v>
      </c>
      <c r="B4320" s="1" t="str">
        <f>HYPERLINK("https://asmlis.vasa.lt/Dashboard/Served?ServiceDateFrom=2025-11-24&amp;ServiceDateTo=2025-11-24&amp;DumpsterInvNr=13-L-425369", "13-L-425369")</f>
        <v>13-L-425369</v>
      </c>
      <c r="C4320">
        <v>1.1000000000000001</v>
      </c>
      <c r="D4320" t="s">
        <v>3101</v>
      </c>
      <c r="E4320" t="s">
        <v>11</v>
      </c>
      <c r="G4320" t="s">
        <v>74</v>
      </c>
      <c r="H4320" t="s">
        <v>14</v>
      </c>
    </row>
    <row r="4321" spans="1:8" hidden="1" x14ac:dyDescent="0.25">
      <c r="A4321" t="s">
        <v>6028</v>
      </c>
      <c r="B4321" s="1" t="str">
        <f>HYPERLINK("https://asmlis.vasa.lt/Dashboard/Served?ServiceDateFrom=2025-11-24&amp;ServiceDateTo=2025-11-24&amp;DumpsterInvNr=13-P-212430", "13-P-212430")</f>
        <v>13-P-212430</v>
      </c>
      <c r="C4321">
        <v>1.1000000000000001</v>
      </c>
      <c r="D4321" t="s">
        <v>6029</v>
      </c>
      <c r="E4321" t="s">
        <v>11</v>
      </c>
      <c r="F4321" t="s">
        <v>13</v>
      </c>
      <c r="G4321" t="s">
        <v>234</v>
      </c>
      <c r="H4321" t="s">
        <v>14</v>
      </c>
    </row>
    <row r="4322" spans="1:8" hidden="1" x14ac:dyDescent="0.25">
      <c r="A4322" t="s">
        <v>6030</v>
      </c>
      <c r="B4322" s="1" t="str">
        <f>HYPERLINK("https://asmlis.vasa.lt/Dashboard/Served?ServiceDateFrom=2025-11-24&amp;ServiceDateTo=2025-11-24&amp;DumpsterInvNr=13-P-212391", "13-P-212391")</f>
        <v>13-P-212391</v>
      </c>
      <c r="C4322">
        <v>1.1000000000000001</v>
      </c>
      <c r="D4322" t="s">
        <v>6029</v>
      </c>
      <c r="E4322" t="s">
        <v>11</v>
      </c>
      <c r="F4322" t="s">
        <v>13</v>
      </c>
      <c r="G4322" t="s">
        <v>234</v>
      </c>
      <c r="H4322" t="s">
        <v>14</v>
      </c>
    </row>
    <row r="4323" spans="1:8" hidden="1" x14ac:dyDescent="0.25">
      <c r="A4323" t="s">
        <v>6031</v>
      </c>
      <c r="B4323" s="1" t="str">
        <f>HYPERLINK("https://asmlis.vasa.lt/Dashboard/Served?ServiceDateFrom=2025-11-24&amp;ServiceDateTo=2025-11-24&amp;DumpsterInvNr=13-P-212465", "13-P-212465")</f>
        <v>13-P-212465</v>
      </c>
      <c r="C4323">
        <v>1.1000000000000001</v>
      </c>
      <c r="D4323" t="s">
        <v>6029</v>
      </c>
      <c r="E4323" t="s">
        <v>11</v>
      </c>
      <c r="F4323" t="s">
        <v>13</v>
      </c>
      <c r="G4323" t="s">
        <v>234</v>
      </c>
      <c r="H4323" t="s">
        <v>14</v>
      </c>
    </row>
    <row r="4324" spans="1:8" hidden="1" x14ac:dyDescent="0.25">
      <c r="A4324" t="s">
        <v>6032</v>
      </c>
      <c r="B4324" s="1" t="str">
        <f>HYPERLINK("https://asmlis.vasa.lt/Dashboard/Served?ServiceDateFrom=2025-11-24&amp;ServiceDateTo=2025-11-24&amp;DumpsterInvNr=13-L-308104", "13-L-308104")</f>
        <v>13-L-308104</v>
      </c>
      <c r="C4324">
        <v>5</v>
      </c>
      <c r="D4324" t="s">
        <v>6033</v>
      </c>
      <c r="E4324" t="s">
        <v>11</v>
      </c>
      <c r="F4324" t="s">
        <v>13</v>
      </c>
      <c r="G4324" t="s">
        <v>9</v>
      </c>
      <c r="H4324" t="s">
        <v>14</v>
      </c>
    </row>
    <row r="4325" spans="1:8" hidden="1" x14ac:dyDescent="0.25">
      <c r="A4325" t="s">
        <v>6034</v>
      </c>
      <c r="B4325" s="1" t="str">
        <f>HYPERLINK("https://asmlis.vasa.lt/Dashboard/Served?ServiceDateFrom=2025-11-24&amp;ServiceDateTo=2025-11-24&amp;DumpsterInvNr=13-P-210731", "13-P-210731")</f>
        <v>13-P-210731</v>
      </c>
      <c r="C4325">
        <v>0.24</v>
      </c>
      <c r="D4325" t="s">
        <v>6035</v>
      </c>
      <c r="E4325" t="s">
        <v>11</v>
      </c>
      <c r="G4325" t="s">
        <v>234</v>
      </c>
      <c r="H4325" t="s">
        <v>14</v>
      </c>
    </row>
    <row r="4326" spans="1:8" hidden="1" x14ac:dyDescent="0.25">
      <c r="A4326" t="s">
        <v>6036</v>
      </c>
      <c r="B4326" s="1" t="str">
        <f>HYPERLINK("https://asmlis.vasa.lt/Dashboard/Served?ServiceDateFrom=2025-11-24&amp;ServiceDateTo=2025-11-24&amp;DumpsterInvNr=13-M-200228", "13-M-200228")</f>
        <v>13-M-200228</v>
      </c>
      <c r="C4326">
        <v>0.12</v>
      </c>
      <c r="D4326" t="s">
        <v>6037</v>
      </c>
      <c r="E4326" t="s">
        <v>11</v>
      </c>
      <c r="G4326" t="s">
        <v>4876</v>
      </c>
      <c r="H4326" t="s">
        <v>938</v>
      </c>
    </row>
    <row r="4327" spans="1:8" hidden="1" x14ac:dyDescent="0.25">
      <c r="A4327" t="s">
        <v>6038</v>
      </c>
      <c r="B4327" s="1" t="str">
        <f>HYPERLINK("https://asmlis.vasa.lt/Dashboard/Served?ServiceDateFrom=2025-11-24&amp;ServiceDateTo=2025-11-24&amp;DumpsterInvNr=13-L-423667", "13-L-423667")</f>
        <v>13-L-423667</v>
      </c>
      <c r="C4327">
        <v>1.1000000000000001</v>
      </c>
      <c r="D4327" t="s">
        <v>3101</v>
      </c>
      <c r="E4327" t="s">
        <v>11</v>
      </c>
      <c r="G4327" t="s">
        <v>74</v>
      </c>
      <c r="H4327" t="s">
        <v>14</v>
      </c>
    </row>
    <row r="4328" spans="1:8" hidden="1" x14ac:dyDescent="0.25">
      <c r="A4328" t="s">
        <v>6039</v>
      </c>
      <c r="B4328" s="1" t="str">
        <f>HYPERLINK("https://asmlis.vasa.lt/Dashboard/Served?ServiceDateFrom=2025-11-24&amp;ServiceDateTo=2025-11-24&amp;DumpsterInvNr=13-L-128127", "13-L-128127")</f>
        <v>13-L-128127</v>
      </c>
      <c r="C4328">
        <v>0.24</v>
      </c>
      <c r="D4328" t="s">
        <v>6040</v>
      </c>
      <c r="E4328" t="s">
        <v>11</v>
      </c>
      <c r="G4328" t="s">
        <v>1912</v>
      </c>
      <c r="H4328" t="s">
        <v>432</v>
      </c>
    </row>
    <row r="4329" spans="1:8" hidden="1" x14ac:dyDescent="0.25">
      <c r="A4329" t="s">
        <v>6039</v>
      </c>
      <c r="B4329" s="1" t="str">
        <f>HYPERLINK("https://asmlis.vasa.lt/Dashboard/Served?ServiceDateFrom=2025-11-24&amp;ServiceDateTo=2025-11-24&amp;DumpsterInvNr=13-L-220108", "13-L-220108")</f>
        <v>13-L-220108</v>
      </c>
      <c r="C4329">
        <v>5</v>
      </c>
      <c r="D4329" t="s">
        <v>4351</v>
      </c>
      <c r="E4329" t="s">
        <v>11</v>
      </c>
      <c r="G4329" t="s">
        <v>936</v>
      </c>
      <c r="H4329" t="s">
        <v>938</v>
      </c>
    </row>
    <row r="4330" spans="1:8" hidden="1" x14ac:dyDescent="0.25">
      <c r="A4330" t="s">
        <v>6039</v>
      </c>
      <c r="B4330" s="1" t="str">
        <f>HYPERLINK("https://asmlis.vasa.lt/Dashboard/Served?ServiceDateFrom=2025-11-24&amp;ServiceDateTo=2025-11-24&amp;DumpsterInvNr=13-P-101171", "13-P-101171")</f>
        <v>13-P-101171</v>
      </c>
      <c r="C4330">
        <v>0.12</v>
      </c>
      <c r="D4330" t="s">
        <v>6040</v>
      </c>
      <c r="E4330" t="s">
        <v>11</v>
      </c>
      <c r="G4330" t="s">
        <v>1917</v>
      </c>
      <c r="H4330" t="s">
        <v>432</v>
      </c>
    </row>
    <row r="4331" spans="1:8" hidden="1" x14ac:dyDescent="0.25">
      <c r="A4331" t="s">
        <v>6039</v>
      </c>
      <c r="B4331" s="1" t="str">
        <f>HYPERLINK("https://asmlis.vasa.lt/Dashboard/Served?ServiceDateFrom=2025-11-24&amp;ServiceDateTo=2025-11-24&amp;DumpsterInvNr=13-M-205520", "13-M-205520")</f>
        <v>13-M-205520</v>
      </c>
      <c r="C4331">
        <v>0.12</v>
      </c>
      <c r="D4331" t="s">
        <v>6042</v>
      </c>
      <c r="E4331" t="s">
        <v>11</v>
      </c>
      <c r="F4331" t="s">
        <v>1209</v>
      </c>
      <c r="G4331" t="s">
        <v>4876</v>
      </c>
      <c r="H4331" t="s">
        <v>938</v>
      </c>
    </row>
    <row r="4332" spans="1:8" hidden="1" x14ac:dyDescent="0.25">
      <c r="A4332" t="s">
        <v>6043</v>
      </c>
      <c r="B4332" s="1" t="str">
        <f>HYPERLINK("https://asmlis.vasa.lt/Dashboard/Served?ServiceDateFrom=2025-11-24&amp;ServiceDateTo=2025-11-24&amp;DumpsterInvNr=13-P-509648", "13-P-509648")</f>
        <v>13-P-509648</v>
      </c>
      <c r="C4332">
        <v>0.24</v>
      </c>
      <c r="D4332" t="s">
        <v>6044</v>
      </c>
      <c r="E4332" t="s">
        <v>11</v>
      </c>
      <c r="G4332" t="s">
        <v>2178</v>
      </c>
      <c r="H4332" t="s">
        <v>432</v>
      </c>
    </row>
    <row r="4333" spans="1:8" hidden="1" x14ac:dyDescent="0.25">
      <c r="A4333" t="s">
        <v>6046</v>
      </c>
      <c r="B4333" s="1" t="str">
        <f>HYPERLINK("https://asmlis.vasa.lt/Dashboard/Served?ServiceDateFrom=2025-11-24&amp;ServiceDateTo=2025-11-24&amp;DumpsterInvNr=13-L-225486", "13-L-225486")</f>
        <v>13-L-225486</v>
      </c>
      <c r="C4333">
        <v>1.1000000000000001</v>
      </c>
      <c r="D4333" t="s">
        <v>5831</v>
      </c>
      <c r="E4333" t="s">
        <v>11</v>
      </c>
      <c r="G4333" t="s">
        <v>936</v>
      </c>
      <c r="H4333" t="s">
        <v>938</v>
      </c>
    </row>
    <row r="4334" spans="1:8" hidden="1" x14ac:dyDescent="0.25">
      <c r="A4334" t="s">
        <v>6047</v>
      </c>
      <c r="B4334" s="1" t="str">
        <f>HYPERLINK("https://asmlis.vasa.lt/Dashboard/Served?ServiceDateFrom=2025-11-24&amp;ServiceDateTo=2025-11-24&amp;DumpsterInvNr=13-L-149086", "13-L-149086")</f>
        <v>13-L-149086</v>
      </c>
      <c r="C4334">
        <v>0.24</v>
      </c>
      <c r="D4334" t="s">
        <v>6044</v>
      </c>
      <c r="E4334" t="s">
        <v>11</v>
      </c>
      <c r="G4334" t="s">
        <v>430</v>
      </c>
      <c r="H4334" t="s">
        <v>432</v>
      </c>
    </row>
    <row r="4335" spans="1:8" hidden="1" x14ac:dyDescent="0.25">
      <c r="A4335" t="s">
        <v>6049</v>
      </c>
      <c r="B4335" s="1" t="str">
        <f>HYPERLINK("https://asmlis.vasa.lt/Dashboard/Served?ServiceDateFrom=2025-11-24&amp;ServiceDateTo=2025-11-24&amp;DumpsterInvNr=13-L-213702", "13-L-213702")</f>
        <v>13-L-213702</v>
      </c>
      <c r="C4335">
        <v>1.1000000000000001</v>
      </c>
      <c r="D4335" t="s">
        <v>5831</v>
      </c>
      <c r="E4335" t="s">
        <v>11</v>
      </c>
      <c r="F4335" t="s">
        <v>13</v>
      </c>
      <c r="G4335" t="s">
        <v>936</v>
      </c>
      <c r="H4335" t="s">
        <v>938</v>
      </c>
    </row>
    <row r="4336" spans="1:8" hidden="1" x14ac:dyDescent="0.25">
      <c r="A4336" t="s">
        <v>6049</v>
      </c>
      <c r="B4336" s="1" t="str">
        <f>HYPERLINK("https://asmlis.vasa.lt/Dashboard/Served?ServiceDateFrom=2025-11-24&amp;ServiceDateTo=2025-11-24&amp;DumpsterInvNr=13-P-205052", "13-P-205052")</f>
        <v>13-P-205052</v>
      </c>
      <c r="C4336">
        <v>5</v>
      </c>
      <c r="D4336" t="s">
        <v>6050</v>
      </c>
      <c r="E4336" t="s">
        <v>11</v>
      </c>
      <c r="G4336" t="s">
        <v>234</v>
      </c>
      <c r="H4336" t="s">
        <v>14</v>
      </c>
    </row>
    <row r="4337" spans="1:8" hidden="1" x14ac:dyDescent="0.25">
      <c r="A4337" t="s">
        <v>6051</v>
      </c>
      <c r="B4337" s="1" t="str">
        <f>HYPERLINK("https://asmlis.vasa.lt/Dashboard/Served?ServiceDateFrom=2025-11-24&amp;ServiceDateTo=2025-11-24&amp;DumpsterInvNr=13-L-421002", "13-L-421002")</f>
        <v>13-L-421002</v>
      </c>
      <c r="C4337">
        <v>1.1000000000000001</v>
      </c>
      <c r="D4337" t="s">
        <v>3101</v>
      </c>
      <c r="E4337" t="s">
        <v>11</v>
      </c>
      <c r="G4337" t="s">
        <v>74</v>
      </c>
      <c r="H4337" t="s">
        <v>14</v>
      </c>
    </row>
    <row r="4338" spans="1:8" hidden="1" x14ac:dyDescent="0.25">
      <c r="A4338" t="s">
        <v>6051</v>
      </c>
      <c r="B4338" s="1" t="str">
        <f>HYPERLINK("https://asmlis.vasa.lt/Dashboard/Served?ServiceDateFrom=2025-11-24&amp;ServiceDateTo=2025-11-24&amp;DumpsterInvNr=13-L-221241", "13-L-221241")</f>
        <v>13-L-221241</v>
      </c>
      <c r="C4338">
        <v>0.24</v>
      </c>
      <c r="D4338" t="s">
        <v>6052</v>
      </c>
      <c r="E4338" t="s">
        <v>11</v>
      </c>
      <c r="F4338" t="s">
        <v>1209</v>
      </c>
      <c r="G4338" t="s">
        <v>936</v>
      </c>
      <c r="H4338" t="s">
        <v>938</v>
      </c>
    </row>
    <row r="4339" spans="1:8" hidden="1" x14ac:dyDescent="0.25">
      <c r="A4339" t="s">
        <v>6054</v>
      </c>
      <c r="B4339" s="1" t="str">
        <f>HYPERLINK("https://asmlis.vasa.lt/Dashboard/Served?ServiceDateFrom=2025-11-24&amp;ServiceDateTo=2025-11-24&amp;DumpsterInvNr=13-L-207349", "13-L-207349")</f>
        <v>13-L-207349</v>
      </c>
      <c r="C4339">
        <v>0.24</v>
      </c>
      <c r="D4339" t="s">
        <v>6055</v>
      </c>
      <c r="E4339" t="s">
        <v>11</v>
      </c>
      <c r="F4339" t="s">
        <v>1209</v>
      </c>
      <c r="G4339" t="s">
        <v>936</v>
      </c>
      <c r="H4339" t="s">
        <v>938</v>
      </c>
    </row>
    <row r="4340" spans="1:8" hidden="1" x14ac:dyDescent="0.25">
      <c r="A4340" t="s">
        <v>6056</v>
      </c>
      <c r="B4340" s="1" t="str">
        <f>HYPERLINK("https://asmlis.vasa.lt/Dashboard/Served?ServiceDateFrom=2025-11-24&amp;ServiceDateTo=2025-11-24&amp;DumpsterInvNr=13-M-200225", "13-M-200225")</f>
        <v>13-M-200225</v>
      </c>
      <c r="C4340">
        <v>0.12</v>
      </c>
      <c r="D4340" t="s">
        <v>6057</v>
      </c>
      <c r="E4340" t="s">
        <v>11</v>
      </c>
      <c r="F4340" t="s">
        <v>1209</v>
      </c>
      <c r="G4340" t="s">
        <v>4876</v>
      </c>
      <c r="H4340" t="s">
        <v>938</v>
      </c>
    </row>
    <row r="4341" spans="1:8" hidden="1" x14ac:dyDescent="0.25">
      <c r="A4341" t="s">
        <v>6058</v>
      </c>
      <c r="B4341" s="1" t="str">
        <f>HYPERLINK("https://asmlis.vasa.lt/Dashboard/Served?ServiceDateFrom=2025-11-24&amp;ServiceDateTo=2025-11-24&amp;DumpsterInvNr=13-P-210544", "13-P-210544")</f>
        <v>13-P-210544</v>
      </c>
      <c r="C4341">
        <v>0.24</v>
      </c>
      <c r="D4341" t="s">
        <v>6059</v>
      </c>
      <c r="E4341" t="s">
        <v>11</v>
      </c>
      <c r="G4341" t="s">
        <v>234</v>
      </c>
      <c r="H4341" t="s">
        <v>14</v>
      </c>
    </row>
    <row r="4342" spans="1:8" hidden="1" x14ac:dyDescent="0.25">
      <c r="A4342" t="s">
        <v>6060</v>
      </c>
      <c r="B4342" s="1" t="str">
        <f>HYPERLINK("https://asmlis.vasa.lt/Dashboard/Served?ServiceDateFrom=2025-11-24&amp;ServiceDateTo=2025-11-24&amp;DumpsterInvNr=13-M-205575", "13-M-205575")</f>
        <v>13-M-205575</v>
      </c>
      <c r="C4342">
        <v>0.12</v>
      </c>
      <c r="D4342" t="s">
        <v>6061</v>
      </c>
      <c r="E4342" t="s">
        <v>11</v>
      </c>
      <c r="F4342" t="s">
        <v>1209</v>
      </c>
      <c r="G4342" t="s">
        <v>4876</v>
      </c>
      <c r="H4342" t="s">
        <v>938</v>
      </c>
    </row>
    <row r="4343" spans="1:8" hidden="1" x14ac:dyDescent="0.25">
      <c r="A4343" t="s">
        <v>6062</v>
      </c>
      <c r="B4343" s="1" t="str">
        <f>HYPERLINK("https://asmlis.vasa.lt/Dashboard/Served?ServiceDateFrom=2025-11-24&amp;ServiceDateTo=2025-11-24&amp;DumpsterInvNr=13-P-414834", "13-P-414834")</f>
        <v>13-P-414834</v>
      </c>
      <c r="C4343">
        <v>0.24</v>
      </c>
      <c r="D4343" t="s">
        <v>6063</v>
      </c>
      <c r="E4343" t="s">
        <v>11</v>
      </c>
      <c r="G4343" t="s">
        <v>264</v>
      </c>
      <c r="H4343" t="s">
        <v>14</v>
      </c>
    </row>
    <row r="4344" spans="1:8" hidden="1" x14ac:dyDescent="0.25">
      <c r="A4344" t="s">
        <v>6064</v>
      </c>
      <c r="B4344" s="1" t="str">
        <f>HYPERLINK("https://asmlis.vasa.lt/Dashboard/Served?ServiceDateFrom=2025-11-24&amp;ServiceDateTo=2025-11-24&amp;DumpsterInvNr=13-L-419568", "13-L-419568")</f>
        <v>13-L-419568</v>
      </c>
      <c r="C4344">
        <v>0.24</v>
      </c>
      <c r="D4344" t="s">
        <v>6065</v>
      </c>
      <c r="E4344" t="s">
        <v>11</v>
      </c>
      <c r="G4344" t="s">
        <v>74</v>
      </c>
      <c r="H4344" t="s">
        <v>14</v>
      </c>
    </row>
    <row r="4345" spans="1:8" hidden="1" x14ac:dyDescent="0.25">
      <c r="A4345" t="s">
        <v>6066</v>
      </c>
      <c r="B4345" s="1" t="str">
        <f>HYPERLINK("https://asmlis.vasa.lt/Dashboard/Served?ServiceDateFrom=2025-11-24&amp;ServiceDateTo=2025-11-24&amp;DumpsterInvNr=13-L-425639", "13-L-425639")</f>
        <v>13-L-425639</v>
      </c>
      <c r="C4345">
        <v>1.1000000000000001</v>
      </c>
      <c r="D4345" t="s">
        <v>6067</v>
      </c>
      <c r="E4345" t="s">
        <v>11</v>
      </c>
      <c r="G4345" t="s">
        <v>74</v>
      </c>
      <c r="H4345" t="s">
        <v>14</v>
      </c>
    </row>
    <row r="4346" spans="1:8" hidden="1" x14ac:dyDescent="0.25">
      <c r="A4346" t="s">
        <v>6068</v>
      </c>
      <c r="B4346" s="1" t="str">
        <f>HYPERLINK("https://asmlis.vasa.lt/Dashboard/Served?ServiceDateFrom=2025-11-24&amp;ServiceDateTo=2025-11-24&amp;DumpsterInvNr=13-T-000180", "13-T-000180")</f>
        <v>13-T-000180</v>
      </c>
      <c r="C4346">
        <v>2.5</v>
      </c>
      <c r="D4346" t="s">
        <v>4422</v>
      </c>
      <c r="E4346" t="s">
        <v>11</v>
      </c>
      <c r="F4346" t="s">
        <v>13</v>
      </c>
      <c r="G4346" t="s">
        <v>1899</v>
      </c>
      <c r="H4346" t="s">
        <v>432</v>
      </c>
    </row>
    <row r="4347" spans="1:8" hidden="1" x14ac:dyDescent="0.25">
      <c r="A4347" t="s">
        <v>6069</v>
      </c>
      <c r="B4347" s="1" t="str">
        <f>HYPERLINK("https://asmlis.vasa.lt/Dashboard/Served?ServiceDateFrom=2025-11-24&amp;ServiceDateTo=2025-11-24&amp;DumpsterInvNr=13-L-425332", "13-L-425332")</f>
        <v>13-L-425332</v>
      </c>
      <c r="C4347">
        <v>1.1000000000000001</v>
      </c>
      <c r="D4347" t="s">
        <v>6067</v>
      </c>
      <c r="E4347" t="s">
        <v>11</v>
      </c>
      <c r="G4347" t="s">
        <v>74</v>
      </c>
      <c r="H4347" t="s">
        <v>14</v>
      </c>
    </row>
    <row r="4348" spans="1:8" hidden="1" x14ac:dyDescent="0.25">
      <c r="A4348" t="s">
        <v>6070</v>
      </c>
      <c r="B4348" s="1" t="str">
        <f>HYPERLINK("https://asmlis.vasa.lt/Dashboard/Served?ServiceDateFrom=2025-11-24&amp;ServiceDateTo=2025-11-24&amp;DumpsterInvNr=13-L-420970", "13-L-420970")</f>
        <v>13-L-420970</v>
      </c>
      <c r="C4348">
        <v>1.1000000000000001</v>
      </c>
      <c r="D4348" t="s">
        <v>3101</v>
      </c>
      <c r="E4348" t="s">
        <v>11</v>
      </c>
      <c r="G4348" t="s">
        <v>74</v>
      </c>
      <c r="H4348" t="s">
        <v>14</v>
      </c>
    </row>
    <row r="4349" spans="1:8" hidden="1" x14ac:dyDescent="0.25">
      <c r="A4349" t="s">
        <v>6071</v>
      </c>
      <c r="B4349" s="1" t="str">
        <f>HYPERLINK("https://asmlis.vasa.lt/Dashboard/Served?ServiceDateFrom=2025-11-24&amp;ServiceDateTo=2025-11-24&amp;DumpsterInvNr=13-L-124899", "13-L-124899")</f>
        <v>13-L-124899</v>
      </c>
      <c r="C4349">
        <v>0.12</v>
      </c>
      <c r="D4349" t="s">
        <v>6072</v>
      </c>
      <c r="E4349" t="s">
        <v>11</v>
      </c>
      <c r="G4349" t="s">
        <v>430</v>
      </c>
      <c r="H4349" t="s">
        <v>432</v>
      </c>
    </row>
    <row r="4350" spans="1:8" hidden="1" x14ac:dyDescent="0.25">
      <c r="A4350" t="s">
        <v>6073</v>
      </c>
      <c r="B4350" s="1" t="str">
        <f>HYPERLINK("https://asmlis.vasa.lt/Dashboard/Served?ServiceDateFrom=2025-11-24&amp;ServiceDateTo=2025-11-24&amp;DumpsterInvNr=13-L-121241", "13-L-121241")</f>
        <v>13-L-121241</v>
      </c>
      <c r="C4350">
        <v>0.12</v>
      </c>
      <c r="D4350" t="s">
        <v>6074</v>
      </c>
      <c r="E4350" t="s">
        <v>11</v>
      </c>
      <c r="G4350" t="s">
        <v>1912</v>
      </c>
      <c r="H4350" t="s">
        <v>432</v>
      </c>
    </row>
    <row r="4351" spans="1:8" hidden="1" x14ac:dyDescent="0.25">
      <c r="A4351" t="s">
        <v>6076</v>
      </c>
      <c r="B4351" s="1" t="str">
        <f>HYPERLINK("https://asmlis.vasa.lt/Dashboard/Served?ServiceDateFrom=2025-11-24&amp;ServiceDateTo=2025-11-24&amp;DumpsterInvNr=13-L-114829", "13-L-114829")</f>
        <v>13-L-114829</v>
      </c>
      <c r="C4351">
        <v>0.12</v>
      </c>
      <c r="D4351" t="s">
        <v>6077</v>
      </c>
      <c r="E4351" t="s">
        <v>11</v>
      </c>
      <c r="G4351" t="s">
        <v>430</v>
      </c>
      <c r="H4351" t="s">
        <v>432</v>
      </c>
    </row>
    <row r="4352" spans="1:8" hidden="1" x14ac:dyDescent="0.25">
      <c r="A4352" t="s">
        <v>6076</v>
      </c>
      <c r="B4352" s="1" t="str">
        <f>HYPERLINK("https://asmlis.vasa.lt/Dashboard/Served?ServiceDateFrom=2025-11-24&amp;ServiceDateTo=2025-11-24&amp;DumpsterInvNr=13-P-502682", "13-P-502682")</f>
        <v>13-P-502682</v>
      </c>
      <c r="C4352">
        <v>0.12</v>
      </c>
      <c r="D4352" t="s">
        <v>6072</v>
      </c>
      <c r="E4352" t="s">
        <v>11</v>
      </c>
      <c r="G4352" t="s">
        <v>2178</v>
      </c>
      <c r="H4352" t="s">
        <v>432</v>
      </c>
    </row>
    <row r="4353" spans="1:8" hidden="1" x14ac:dyDescent="0.25">
      <c r="A4353" t="s">
        <v>6079</v>
      </c>
      <c r="B4353" s="1" t="str">
        <f>HYPERLINK("https://asmlis.vasa.lt/Dashboard/Served?ServiceDateFrom=2025-11-24&amp;ServiceDateTo=2025-11-24&amp;DumpsterInvNr=13-P-101169", "13-P-101169")</f>
        <v>13-P-101169</v>
      </c>
      <c r="C4353">
        <v>0.12</v>
      </c>
      <c r="D4353" t="s">
        <v>6074</v>
      </c>
      <c r="E4353" t="s">
        <v>11</v>
      </c>
      <c r="G4353" t="s">
        <v>1917</v>
      </c>
      <c r="H4353" t="s">
        <v>432</v>
      </c>
    </row>
    <row r="4354" spans="1:8" hidden="1" x14ac:dyDescent="0.25">
      <c r="A4354" t="s">
        <v>6081</v>
      </c>
      <c r="B4354" s="1" t="str">
        <f>HYPERLINK("https://asmlis.vasa.lt/Dashboard/Served?ServiceDateFrom=2025-11-24&amp;ServiceDateTo=2025-11-24&amp;DumpsterInvNr=13-L-420925", "13-L-420925")</f>
        <v>13-L-420925</v>
      </c>
      <c r="C4354">
        <v>5</v>
      </c>
      <c r="D4354" t="s">
        <v>4994</v>
      </c>
      <c r="E4354" t="s">
        <v>11</v>
      </c>
      <c r="G4354" t="s">
        <v>74</v>
      </c>
      <c r="H4354" t="s">
        <v>14</v>
      </c>
    </row>
    <row r="4355" spans="1:8" hidden="1" x14ac:dyDescent="0.25">
      <c r="A4355" t="s">
        <v>6082</v>
      </c>
      <c r="B4355" s="1" t="str">
        <f>HYPERLINK("https://asmlis.vasa.lt/Dashboard/Served?ServiceDateFrom=2025-11-24&amp;ServiceDateTo=2025-11-24&amp;DumpsterInvNr=13-L-422573", "13-L-422573")</f>
        <v>13-L-422573</v>
      </c>
      <c r="C4355">
        <v>1.1000000000000001</v>
      </c>
      <c r="D4355" t="s">
        <v>6067</v>
      </c>
      <c r="E4355" t="s">
        <v>11</v>
      </c>
      <c r="G4355" t="s">
        <v>74</v>
      </c>
      <c r="H4355" t="s">
        <v>14</v>
      </c>
    </row>
    <row r="4356" spans="1:8" hidden="1" x14ac:dyDescent="0.25">
      <c r="A4356" t="s">
        <v>6083</v>
      </c>
      <c r="B4356" s="1" t="str">
        <f>HYPERLINK("https://asmlis.vasa.lt/Dashboard/Served?ServiceDateFrom=2025-11-24&amp;ServiceDateTo=2025-11-24&amp;DumpsterInvNr=13-P-500637", "13-P-500637")</f>
        <v>13-P-500637</v>
      </c>
      <c r="C4356">
        <v>5</v>
      </c>
      <c r="D4356" t="s">
        <v>6084</v>
      </c>
      <c r="E4356" t="s">
        <v>11</v>
      </c>
      <c r="F4356" t="s">
        <v>13</v>
      </c>
      <c r="G4356" t="s">
        <v>2178</v>
      </c>
      <c r="H4356" t="s">
        <v>432</v>
      </c>
    </row>
    <row r="4357" spans="1:8" hidden="1" x14ac:dyDescent="0.25">
      <c r="A4357" t="s">
        <v>6085</v>
      </c>
      <c r="B4357" s="1" t="str">
        <f>HYPERLINK("https://asmlis.vasa.lt/Dashboard/Served?ServiceDateFrom=2025-11-24&amp;ServiceDateTo=2025-11-24&amp;DumpsterInvNr=13-L-121240", "13-L-121240")</f>
        <v>13-L-121240</v>
      </c>
      <c r="C4357">
        <v>0.12</v>
      </c>
      <c r="D4357" t="s">
        <v>6086</v>
      </c>
      <c r="E4357" t="s">
        <v>11</v>
      </c>
      <c r="F4357" t="s">
        <v>1209</v>
      </c>
      <c r="G4357" t="s">
        <v>1912</v>
      </c>
      <c r="H4357" t="s">
        <v>432</v>
      </c>
    </row>
    <row r="4358" spans="1:8" hidden="1" x14ac:dyDescent="0.25">
      <c r="A4358" t="s">
        <v>6085</v>
      </c>
      <c r="B4358" s="1" t="str">
        <f>HYPERLINK("https://asmlis.vasa.lt/Dashboard/Served?ServiceDateFrom=2025-11-24&amp;ServiceDateTo=2025-11-24&amp;DumpsterInvNr=13-M-206278", "13-M-206278")</f>
        <v>13-M-206278</v>
      </c>
      <c r="C4358">
        <v>0.12</v>
      </c>
      <c r="D4358" t="s">
        <v>6088</v>
      </c>
      <c r="E4358" t="s">
        <v>11</v>
      </c>
      <c r="F4358" t="s">
        <v>1209</v>
      </c>
      <c r="G4358" t="s">
        <v>4876</v>
      </c>
      <c r="H4358" t="s">
        <v>938</v>
      </c>
    </row>
    <row r="4359" spans="1:8" hidden="1" x14ac:dyDescent="0.25">
      <c r="A4359" t="s">
        <v>6089</v>
      </c>
      <c r="B4359" s="1" t="str">
        <f>HYPERLINK("https://asmlis.vasa.lt/Dashboard/Served?ServiceDateFrom=2025-11-24&amp;ServiceDateTo=2025-11-24&amp;DumpsterInvNr=13-L-316310", "13-L-316310")</f>
        <v>13-L-316310</v>
      </c>
      <c r="C4359">
        <v>1.1000000000000001</v>
      </c>
      <c r="D4359" t="s">
        <v>6090</v>
      </c>
      <c r="E4359" t="s">
        <v>11</v>
      </c>
      <c r="G4359" t="s">
        <v>9</v>
      </c>
      <c r="H4359" t="s">
        <v>14</v>
      </c>
    </row>
    <row r="4360" spans="1:8" hidden="1" x14ac:dyDescent="0.25">
      <c r="A4360" t="s">
        <v>6091</v>
      </c>
      <c r="B4360" s="1" t="str">
        <f>HYPERLINK("https://asmlis.vasa.lt/Dashboard/Served?ServiceDateFrom=2025-11-24&amp;ServiceDateTo=2025-11-24&amp;DumpsterInvNr=13-T-000293", "13-T-000293")</f>
        <v>13-T-000293</v>
      </c>
      <c r="C4360">
        <v>2.5</v>
      </c>
      <c r="D4360" t="s">
        <v>4422</v>
      </c>
      <c r="E4360" t="s">
        <v>11</v>
      </c>
      <c r="F4360" t="s">
        <v>13</v>
      </c>
      <c r="G4360" t="s">
        <v>1899</v>
      </c>
      <c r="H4360" t="s">
        <v>432</v>
      </c>
    </row>
    <row r="4361" spans="1:8" hidden="1" x14ac:dyDescent="0.25">
      <c r="A4361" t="s">
        <v>6092</v>
      </c>
      <c r="B4361" s="1" t="str">
        <f>HYPERLINK("https://asmlis.vasa.lt/Dashboard/Served?ServiceDateFrom=2025-11-24&amp;ServiceDateTo=2025-11-24&amp;DumpsterInvNr=13-L-215239", "13-L-215239")</f>
        <v>13-L-215239</v>
      </c>
      <c r="C4361">
        <v>1.1000000000000001</v>
      </c>
      <c r="D4361" t="s">
        <v>5831</v>
      </c>
      <c r="E4361" t="s">
        <v>11</v>
      </c>
      <c r="G4361" t="s">
        <v>936</v>
      </c>
      <c r="H4361" t="s">
        <v>938</v>
      </c>
    </row>
    <row r="4362" spans="1:8" hidden="1" x14ac:dyDescent="0.25">
      <c r="A4362" t="s">
        <v>6092</v>
      </c>
      <c r="B4362" s="1" t="str">
        <f>HYPERLINK("https://asmlis.vasa.lt/Dashboard/Served?ServiceDateFrom=2025-11-24&amp;ServiceDateTo=2025-11-24&amp;DumpsterInvNr=13-M-200273", "13-M-200273")</f>
        <v>13-M-200273</v>
      </c>
      <c r="C4362">
        <v>0.12</v>
      </c>
      <c r="D4362" t="s">
        <v>6093</v>
      </c>
      <c r="E4362" t="s">
        <v>11</v>
      </c>
      <c r="F4362" t="s">
        <v>1209</v>
      </c>
      <c r="G4362" t="s">
        <v>4876</v>
      </c>
      <c r="H4362" t="s">
        <v>938</v>
      </c>
    </row>
    <row r="4363" spans="1:8" hidden="1" x14ac:dyDescent="0.25">
      <c r="A4363" t="s">
        <v>6094</v>
      </c>
      <c r="B4363" s="1" t="str">
        <f>HYPERLINK("https://asmlis.vasa.lt/Dashboard/Served?ServiceDateFrom=2025-11-24&amp;ServiceDateTo=2025-11-24&amp;DumpsterInvNr=13-P-502684", "13-P-502684")</f>
        <v>13-P-502684</v>
      </c>
      <c r="C4363">
        <v>0.24</v>
      </c>
      <c r="D4363" t="s">
        <v>6077</v>
      </c>
      <c r="E4363" t="s">
        <v>11</v>
      </c>
      <c r="G4363" t="s">
        <v>2178</v>
      </c>
      <c r="H4363" t="s">
        <v>432</v>
      </c>
    </row>
    <row r="4364" spans="1:8" hidden="1" x14ac:dyDescent="0.25">
      <c r="A4364" t="s">
        <v>6095</v>
      </c>
      <c r="B4364" s="1" t="str">
        <f>HYPERLINK("https://asmlis.vasa.lt/Dashboard/Served?ServiceDateFrom=2025-11-24&amp;ServiceDateTo=2025-11-24&amp;DumpsterInvNr=13-P-502683", "13-P-502683")</f>
        <v>13-P-502683</v>
      </c>
      <c r="C4364">
        <v>0.24</v>
      </c>
      <c r="D4364" t="s">
        <v>6096</v>
      </c>
      <c r="E4364" t="s">
        <v>11</v>
      </c>
      <c r="G4364" t="s">
        <v>2178</v>
      </c>
      <c r="H4364" t="s">
        <v>432</v>
      </c>
    </row>
    <row r="4365" spans="1:8" hidden="1" x14ac:dyDescent="0.25">
      <c r="A4365" t="s">
        <v>6098</v>
      </c>
      <c r="B4365" s="1" t="str">
        <f>HYPERLINK("https://asmlis.vasa.lt/Dashboard/Served?ServiceDateFrom=2025-11-24&amp;ServiceDateTo=2025-11-24&amp;DumpsterInvNr=13-P-413859", "13-P-413859")</f>
        <v>13-P-413859</v>
      </c>
      <c r="C4365">
        <v>5</v>
      </c>
      <c r="D4365" t="s">
        <v>6099</v>
      </c>
      <c r="E4365" t="s">
        <v>11</v>
      </c>
      <c r="G4365" t="s">
        <v>264</v>
      </c>
      <c r="H4365" t="s">
        <v>14</v>
      </c>
    </row>
    <row r="4366" spans="1:8" hidden="1" x14ac:dyDescent="0.25">
      <c r="A4366" t="s">
        <v>6100</v>
      </c>
      <c r="B4366" s="1" t="str">
        <f>HYPERLINK("https://asmlis.vasa.lt/Dashboard/Served?ServiceDateFrom=2025-11-24&amp;ServiceDateTo=2025-11-24&amp;DumpsterInvNr=13-M-200254", "13-M-200254")</f>
        <v>13-M-200254</v>
      </c>
      <c r="C4366">
        <v>0.12</v>
      </c>
      <c r="D4366" t="s">
        <v>6101</v>
      </c>
      <c r="E4366" t="s">
        <v>11</v>
      </c>
      <c r="F4366" t="s">
        <v>1209</v>
      </c>
      <c r="G4366" t="s">
        <v>4876</v>
      </c>
      <c r="H4366" t="s">
        <v>938</v>
      </c>
    </row>
    <row r="4367" spans="1:8" hidden="1" x14ac:dyDescent="0.25">
      <c r="A4367" t="s">
        <v>6102</v>
      </c>
      <c r="B4367" s="1" t="str">
        <f>HYPERLINK("https://asmlis.vasa.lt/Dashboard/Served?ServiceDateFrom=2025-11-24&amp;ServiceDateTo=2025-11-24&amp;DumpsterInvNr=13-L-104074", "13-L-104074")</f>
        <v>13-L-104074</v>
      </c>
      <c r="C4367">
        <v>5</v>
      </c>
      <c r="D4367" t="s">
        <v>6103</v>
      </c>
      <c r="E4367" t="s">
        <v>11</v>
      </c>
      <c r="F4367" t="s">
        <v>13</v>
      </c>
      <c r="G4367" t="s">
        <v>430</v>
      </c>
      <c r="H4367" t="s">
        <v>432</v>
      </c>
    </row>
    <row r="4368" spans="1:8" hidden="1" x14ac:dyDescent="0.25">
      <c r="A4368" t="s">
        <v>6102</v>
      </c>
      <c r="B4368" s="1" t="str">
        <f>HYPERLINK("https://asmlis.vasa.lt/Dashboard/Served?ServiceDateFrom=2025-11-24&amp;ServiceDateTo=2025-11-24&amp;DumpsterInvNr=13-L-124900", "13-L-124900")</f>
        <v>13-L-124900</v>
      </c>
      <c r="C4368">
        <v>0.12</v>
      </c>
      <c r="D4368" t="s">
        <v>6096</v>
      </c>
      <c r="E4368" t="s">
        <v>11</v>
      </c>
      <c r="G4368" t="s">
        <v>430</v>
      </c>
      <c r="H4368" t="s">
        <v>432</v>
      </c>
    </row>
    <row r="4369" spans="1:8" hidden="1" x14ac:dyDescent="0.25">
      <c r="A4369" t="s">
        <v>4851</v>
      </c>
      <c r="B4369" s="1" t="str">
        <f>HYPERLINK("https://asmlis.vasa.lt/Dashboard/Served?ServiceDateFrom=2025-11-24&amp;ServiceDateTo=2025-11-24&amp;DumpsterInvNr=13-P-213016", "13-P-213016")</f>
        <v>13-P-213016</v>
      </c>
      <c r="C4369">
        <v>0.24</v>
      </c>
      <c r="D4369" t="s">
        <v>6104</v>
      </c>
      <c r="E4369" t="s">
        <v>11</v>
      </c>
      <c r="G4369" t="s">
        <v>234</v>
      </c>
      <c r="H4369" t="s">
        <v>14</v>
      </c>
    </row>
    <row r="4370" spans="1:8" hidden="1" x14ac:dyDescent="0.25">
      <c r="A4370" t="s">
        <v>6105</v>
      </c>
      <c r="B4370" s="1" t="str">
        <f>HYPERLINK("https://asmlis.vasa.lt/Dashboard/Served?ServiceDateFrom=2025-11-24&amp;ServiceDateTo=2025-11-24&amp;DumpsterInvNr=13-L-104693", "13-L-104693")</f>
        <v>13-L-104693</v>
      </c>
      <c r="C4370">
        <v>1.1000000000000001</v>
      </c>
      <c r="D4370" t="s">
        <v>6106</v>
      </c>
      <c r="E4370" t="s">
        <v>11</v>
      </c>
      <c r="G4370" t="s">
        <v>430</v>
      </c>
      <c r="H4370" t="s">
        <v>432</v>
      </c>
    </row>
    <row r="4371" spans="1:8" hidden="1" x14ac:dyDescent="0.25">
      <c r="A4371" t="s">
        <v>6107</v>
      </c>
      <c r="B4371" s="1" t="str">
        <f>HYPERLINK("https://asmlis.vasa.lt/Dashboard/Served?ServiceDateFrom=2025-11-24&amp;ServiceDateTo=2025-11-24&amp;DumpsterInvNr=13-L-124898", "13-L-124898")</f>
        <v>13-L-124898</v>
      </c>
      <c r="C4371">
        <v>0.24</v>
      </c>
      <c r="D4371" t="s">
        <v>6108</v>
      </c>
      <c r="E4371" t="s">
        <v>11</v>
      </c>
      <c r="G4371" t="s">
        <v>430</v>
      </c>
      <c r="H4371" t="s">
        <v>432</v>
      </c>
    </row>
    <row r="4372" spans="1:8" hidden="1" x14ac:dyDescent="0.25">
      <c r="A4372" t="s">
        <v>6107</v>
      </c>
      <c r="B4372" s="1" t="str">
        <f>HYPERLINK("https://asmlis.vasa.lt/Dashboard/Served?ServiceDateFrom=2025-11-24&amp;ServiceDateTo=2025-11-24&amp;DumpsterInvNr=13-P-502685", "13-P-502685")</f>
        <v>13-P-502685</v>
      </c>
      <c r="C4372">
        <v>0.24</v>
      </c>
      <c r="D4372" t="s">
        <v>6108</v>
      </c>
      <c r="E4372" t="s">
        <v>11</v>
      </c>
      <c r="G4372" t="s">
        <v>2178</v>
      </c>
      <c r="H4372" t="s">
        <v>432</v>
      </c>
    </row>
    <row r="4373" spans="1:8" hidden="1" x14ac:dyDescent="0.25">
      <c r="A4373" t="s">
        <v>4940</v>
      </c>
      <c r="B4373" s="1" t="str">
        <f>HYPERLINK("https://asmlis.vasa.lt/Dashboard/Served?ServiceDateFrom=2025-11-24&amp;ServiceDateTo=2025-11-24&amp;DumpsterInvNr=13-P-500524", "13-P-500524")</f>
        <v>13-P-500524</v>
      </c>
      <c r="C4373">
        <v>5</v>
      </c>
      <c r="D4373" t="s">
        <v>6109</v>
      </c>
      <c r="E4373" t="s">
        <v>11</v>
      </c>
      <c r="F4373" t="s">
        <v>13</v>
      </c>
      <c r="G4373" t="s">
        <v>2178</v>
      </c>
      <c r="H4373" t="s">
        <v>432</v>
      </c>
    </row>
    <row r="4374" spans="1:8" hidden="1" x14ac:dyDescent="0.25">
      <c r="A4374" t="s">
        <v>6110</v>
      </c>
      <c r="B4374" s="1" t="str">
        <f>HYPERLINK("https://asmlis.vasa.lt/Dashboard/Served?ServiceDateFrom=2025-11-24&amp;ServiceDateTo=2025-11-24&amp;DumpsterInvNr=13-L-305333", "13-L-305333")</f>
        <v>13-L-305333</v>
      </c>
      <c r="C4374">
        <v>1.1000000000000001</v>
      </c>
      <c r="D4374" t="s">
        <v>6111</v>
      </c>
      <c r="E4374" t="s">
        <v>11</v>
      </c>
      <c r="G4374" t="s">
        <v>9</v>
      </c>
      <c r="H4374" t="s">
        <v>14</v>
      </c>
    </row>
    <row r="4375" spans="1:8" hidden="1" x14ac:dyDescent="0.25">
      <c r="A4375" t="s">
        <v>6112</v>
      </c>
      <c r="B4375" s="1" t="str">
        <f>HYPERLINK("https://asmlis.vasa.lt/Dashboard/Served?ServiceDateFrom=2025-11-24&amp;ServiceDateTo=2025-11-24&amp;DumpsterInvNr=13-L-422667", "13-L-422667")</f>
        <v>13-L-422667</v>
      </c>
      <c r="C4375">
        <v>0.12</v>
      </c>
      <c r="D4375" t="s">
        <v>6113</v>
      </c>
      <c r="E4375" t="s">
        <v>11</v>
      </c>
      <c r="G4375" t="s">
        <v>74</v>
      </c>
      <c r="H4375" t="s">
        <v>14</v>
      </c>
    </row>
    <row r="4376" spans="1:8" hidden="1" x14ac:dyDescent="0.25">
      <c r="A4376" t="s">
        <v>6114</v>
      </c>
      <c r="B4376" s="1" t="str">
        <f>HYPERLINK("https://asmlis.vasa.lt/Dashboard/Served?ServiceDateFrom=2025-11-24&amp;ServiceDateTo=2025-11-24&amp;DumpsterInvNr=13-P-210547", "13-P-210547")</f>
        <v>13-P-210547</v>
      </c>
      <c r="C4376">
        <v>0.24</v>
      </c>
      <c r="D4376" t="s">
        <v>6115</v>
      </c>
      <c r="E4376" t="s">
        <v>11</v>
      </c>
      <c r="F4376" t="s">
        <v>1209</v>
      </c>
      <c r="G4376" t="s">
        <v>234</v>
      </c>
      <c r="H4376" t="s">
        <v>14</v>
      </c>
    </row>
    <row r="4377" spans="1:8" hidden="1" x14ac:dyDescent="0.25">
      <c r="A4377" t="s">
        <v>6116</v>
      </c>
      <c r="B4377" s="1" t="str">
        <f>HYPERLINK("https://asmlis.vasa.lt/Dashboard/Served?ServiceDateFrom=2025-11-24&amp;ServiceDateTo=2025-11-24&amp;DumpsterInvNr=13-M-200268", "13-M-200268")</f>
        <v>13-M-200268</v>
      </c>
      <c r="C4377">
        <v>0.12</v>
      </c>
      <c r="D4377" t="s">
        <v>6117</v>
      </c>
      <c r="E4377" t="s">
        <v>11</v>
      </c>
      <c r="F4377" t="s">
        <v>1209</v>
      </c>
      <c r="G4377" t="s">
        <v>4876</v>
      </c>
      <c r="H4377" t="s">
        <v>938</v>
      </c>
    </row>
    <row r="4378" spans="1:8" hidden="1" x14ac:dyDescent="0.25">
      <c r="A4378" t="s">
        <v>6118</v>
      </c>
      <c r="B4378" s="1" t="str">
        <f>HYPERLINK("https://asmlis.vasa.lt/Dashboard/Served?ServiceDateFrom=2025-11-24&amp;ServiceDateTo=2025-11-24&amp;DumpsterInvNr=13-M-205539", "13-M-205539")</f>
        <v>13-M-205539</v>
      </c>
      <c r="C4378">
        <v>0.12</v>
      </c>
      <c r="D4378" t="s">
        <v>6119</v>
      </c>
      <c r="E4378" t="s">
        <v>11</v>
      </c>
      <c r="F4378" t="s">
        <v>1209</v>
      </c>
      <c r="G4378" t="s">
        <v>4876</v>
      </c>
      <c r="H4378" t="s">
        <v>938</v>
      </c>
    </row>
    <row r="4379" spans="1:8" hidden="1" x14ac:dyDescent="0.25">
      <c r="A4379" t="s">
        <v>4841</v>
      </c>
      <c r="B4379" s="1" t="str">
        <f>HYPERLINK("https://asmlis.vasa.lt/Dashboard/Served?ServiceDateFrom=2025-11-24&amp;ServiceDateTo=2025-11-24&amp;DumpsterInvNr=13-L-134786", "13-L-134786")</f>
        <v>13-L-134786</v>
      </c>
      <c r="C4379">
        <v>5</v>
      </c>
      <c r="D4379" t="s">
        <v>6120</v>
      </c>
      <c r="E4379" t="s">
        <v>11</v>
      </c>
      <c r="F4379" t="s">
        <v>13</v>
      </c>
      <c r="G4379" t="s">
        <v>430</v>
      </c>
      <c r="H4379" t="s">
        <v>432</v>
      </c>
    </row>
    <row r="4380" spans="1:8" hidden="1" x14ac:dyDescent="0.25">
      <c r="A4380" t="s">
        <v>4841</v>
      </c>
      <c r="B4380" s="1" t="str">
        <f>HYPERLINK("https://asmlis.vasa.lt/Dashboard/Served?ServiceDateFrom=2025-11-24&amp;ServiceDateTo=2025-11-24&amp;DumpsterInvNr=13-L-202751", "13-L-202751")</f>
        <v>13-L-202751</v>
      </c>
      <c r="C4380">
        <v>1.1000000000000001</v>
      </c>
      <c r="D4380" t="s">
        <v>6121</v>
      </c>
      <c r="E4380" t="s">
        <v>11</v>
      </c>
      <c r="G4380" t="s">
        <v>936</v>
      </c>
      <c r="H4380" t="s">
        <v>938</v>
      </c>
    </row>
    <row r="4381" spans="1:8" hidden="1" x14ac:dyDescent="0.25">
      <c r="A4381" t="s">
        <v>4911</v>
      </c>
      <c r="B4381" s="1" t="str">
        <f>HYPERLINK("https://asmlis.vasa.lt/Dashboard/Served?ServiceDateFrom=2025-11-24&amp;ServiceDateTo=2025-11-24&amp;DumpsterInvNr=13-L-116806", "13-L-116806")</f>
        <v>13-L-116806</v>
      </c>
      <c r="C4381">
        <v>1.1000000000000001</v>
      </c>
      <c r="D4381" t="s">
        <v>6122</v>
      </c>
      <c r="E4381" t="s">
        <v>11</v>
      </c>
      <c r="G4381" t="s">
        <v>430</v>
      </c>
      <c r="H4381" t="s">
        <v>432</v>
      </c>
    </row>
    <row r="4382" spans="1:8" hidden="1" x14ac:dyDescent="0.25">
      <c r="A4382" t="s">
        <v>4958</v>
      </c>
      <c r="B4382" s="1" t="str">
        <f>HYPERLINK("https://asmlis.vasa.lt/Dashboard/Served?ServiceDateFrom=2025-11-24&amp;ServiceDateTo=2025-11-24&amp;DumpsterInvNr=13-L-303956", "13-L-303956")</f>
        <v>13-L-303956</v>
      </c>
      <c r="C4382">
        <v>1.1000000000000001</v>
      </c>
      <c r="D4382" t="s">
        <v>6111</v>
      </c>
      <c r="E4382" t="s">
        <v>11</v>
      </c>
      <c r="G4382" t="s">
        <v>9</v>
      </c>
      <c r="H4382" t="s">
        <v>14</v>
      </c>
    </row>
    <row r="4383" spans="1:8" hidden="1" x14ac:dyDescent="0.25">
      <c r="A4383" t="s">
        <v>4892</v>
      </c>
      <c r="B4383" s="1" t="str">
        <f>HYPERLINK("https://asmlis.vasa.lt/Dashboard/Served?ServiceDateFrom=2025-11-24&amp;ServiceDateTo=2025-11-24&amp;DumpsterInvNr=13-L-124865", "13-L-124865")</f>
        <v>13-L-124865</v>
      </c>
      <c r="C4383">
        <v>0.12</v>
      </c>
      <c r="D4383" t="s">
        <v>6123</v>
      </c>
      <c r="E4383" t="s">
        <v>11</v>
      </c>
      <c r="G4383" t="s">
        <v>430</v>
      </c>
      <c r="H4383" t="s">
        <v>432</v>
      </c>
    </row>
    <row r="4384" spans="1:8" hidden="1" x14ac:dyDescent="0.25">
      <c r="A4384" t="s">
        <v>4892</v>
      </c>
      <c r="B4384" s="1" t="str">
        <f>HYPERLINK("https://asmlis.vasa.lt/Dashboard/Served?ServiceDateFrom=2025-11-24&amp;ServiceDateTo=2025-11-24&amp;DumpsterInvNr=13-P-501864", "13-P-501864")</f>
        <v>13-P-501864</v>
      </c>
      <c r="C4384">
        <v>0.12</v>
      </c>
      <c r="D4384" t="s">
        <v>6123</v>
      </c>
      <c r="E4384" t="s">
        <v>11</v>
      </c>
      <c r="G4384" t="s">
        <v>2178</v>
      </c>
      <c r="H4384" t="s">
        <v>432</v>
      </c>
    </row>
    <row r="4385" spans="1:8" hidden="1" x14ac:dyDescent="0.25">
      <c r="A4385" t="s">
        <v>6124</v>
      </c>
      <c r="B4385" s="1" t="str">
        <f>HYPERLINK("https://asmlis.vasa.lt/Dashboard/Served?ServiceDateFrom=2025-11-24&amp;ServiceDateTo=2025-11-24&amp;DumpsterInvNr=13-M-205526", "13-M-205526")</f>
        <v>13-M-205526</v>
      </c>
      <c r="C4385">
        <v>0.12</v>
      </c>
      <c r="D4385" t="s">
        <v>6125</v>
      </c>
      <c r="E4385" t="s">
        <v>11</v>
      </c>
      <c r="F4385" t="s">
        <v>1209</v>
      </c>
      <c r="G4385" t="s">
        <v>4876</v>
      </c>
      <c r="H4385" t="s">
        <v>938</v>
      </c>
    </row>
    <row r="4386" spans="1:8" hidden="1" x14ac:dyDescent="0.25">
      <c r="A4386" t="s">
        <v>4908</v>
      </c>
      <c r="B4386" s="1" t="str">
        <f>HYPERLINK("https://asmlis.vasa.lt/Dashboard/Served?ServiceDateFrom=2025-11-24&amp;ServiceDateTo=2025-11-24&amp;DumpsterInvNr=13-P-205115", "13-P-205115")</f>
        <v>13-P-205115</v>
      </c>
      <c r="C4386">
        <v>0.24</v>
      </c>
      <c r="D4386" t="s">
        <v>6126</v>
      </c>
      <c r="E4386" t="s">
        <v>11</v>
      </c>
      <c r="G4386" t="s">
        <v>234</v>
      </c>
      <c r="H4386" t="s">
        <v>14</v>
      </c>
    </row>
    <row r="4387" spans="1:8" hidden="1" x14ac:dyDescent="0.25">
      <c r="A4387" t="s">
        <v>5146</v>
      </c>
      <c r="B4387" s="1" t="str">
        <f>HYPERLINK("https://asmlis.vasa.lt/Dashboard/Served?ServiceDateFrom=2025-11-24&amp;ServiceDateTo=2025-11-24&amp;DumpsterInvNr=13-L-105247", "13-L-105247")</f>
        <v>13-L-105247</v>
      </c>
      <c r="C4387">
        <v>1.1000000000000001</v>
      </c>
      <c r="D4387" t="s">
        <v>6106</v>
      </c>
      <c r="E4387" t="s">
        <v>11</v>
      </c>
      <c r="G4387" t="s">
        <v>430</v>
      </c>
      <c r="H4387" t="s">
        <v>432</v>
      </c>
    </row>
    <row r="4388" spans="1:8" hidden="1" x14ac:dyDescent="0.25">
      <c r="A4388" t="s">
        <v>5146</v>
      </c>
      <c r="B4388" s="1" t="str">
        <f>HYPERLINK("https://asmlis.vasa.lt/Dashboard/Served?ServiceDateFrom=2025-11-24&amp;ServiceDateTo=2025-11-24&amp;DumpsterInvNr=13-M-200291", "13-M-200291")</f>
        <v>13-M-200291</v>
      </c>
      <c r="C4388">
        <v>0.12</v>
      </c>
      <c r="D4388" t="s">
        <v>6128</v>
      </c>
      <c r="E4388" t="s">
        <v>11</v>
      </c>
      <c r="F4388" t="s">
        <v>1209</v>
      </c>
      <c r="G4388" t="s">
        <v>4876</v>
      </c>
      <c r="H4388" t="s">
        <v>938</v>
      </c>
    </row>
    <row r="4389" spans="1:8" hidden="1" x14ac:dyDescent="0.25">
      <c r="A4389" t="s">
        <v>5357</v>
      </c>
      <c r="B4389" s="1" t="str">
        <f>HYPERLINK("https://asmlis.vasa.lt/Dashboard/Served?ServiceDateFrom=2025-11-24&amp;ServiceDateTo=2025-11-24&amp;DumpsterInvNr=13-S-212388", "13-S-212388")</f>
        <v>13-S-212388</v>
      </c>
      <c r="C4389">
        <v>0.12</v>
      </c>
      <c r="D4389" t="s">
        <v>6104</v>
      </c>
      <c r="E4389" t="s">
        <v>11</v>
      </c>
      <c r="F4389" t="s">
        <v>1209</v>
      </c>
      <c r="G4389" t="s">
        <v>234</v>
      </c>
      <c r="H4389" t="s">
        <v>14</v>
      </c>
    </row>
    <row r="4390" spans="1:8" hidden="1" x14ac:dyDescent="0.25">
      <c r="A4390" t="s">
        <v>6129</v>
      </c>
      <c r="B4390" s="1" t="str">
        <f>HYPERLINK("https://asmlis.vasa.lt/Dashboard/Served?ServiceDateFrom=2025-11-24&amp;ServiceDateTo=2025-11-24&amp;DumpsterInvNr=13-L-148972", "13-L-148972")</f>
        <v>13-L-148972</v>
      </c>
      <c r="C4390">
        <v>1.1000000000000001</v>
      </c>
      <c r="D4390" t="s">
        <v>6122</v>
      </c>
      <c r="E4390" t="s">
        <v>11</v>
      </c>
      <c r="G4390" t="s">
        <v>430</v>
      </c>
      <c r="H4390" t="s">
        <v>432</v>
      </c>
    </row>
    <row r="4391" spans="1:8" hidden="1" x14ac:dyDescent="0.25">
      <c r="A4391" t="s">
        <v>5384</v>
      </c>
      <c r="B4391" s="1" t="str">
        <f>HYPERLINK("https://asmlis.vasa.lt/Dashboard/Served?ServiceDateFrom=2025-11-24&amp;ServiceDateTo=2025-11-24&amp;DumpsterInvNr=13-L-223444", "13-L-223444")</f>
        <v>13-L-223444</v>
      </c>
      <c r="C4391">
        <v>1.1000000000000001</v>
      </c>
      <c r="D4391" t="s">
        <v>5831</v>
      </c>
      <c r="E4391" t="s">
        <v>11</v>
      </c>
      <c r="G4391" t="s">
        <v>936</v>
      </c>
      <c r="H4391" t="s">
        <v>938</v>
      </c>
    </row>
    <row r="4392" spans="1:8" hidden="1" x14ac:dyDescent="0.25">
      <c r="A4392" t="s">
        <v>5384</v>
      </c>
      <c r="B4392" s="1" t="str">
        <f>HYPERLINK("https://asmlis.vasa.lt/Dashboard/Served?ServiceDateFrom=2025-11-24&amp;ServiceDateTo=2025-11-24&amp;DumpsterInvNr=13-L-124864", "13-L-124864")</f>
        <v>13-L-124864</v>
      </c>
      <c r="C4392">
        <v>0.12</v>
      </c>
      <c r="D4392" t="s">
        <v>6130</v>
      </c>
      <c r="E4392" t="s">
        <v>11</v>
      </c>
      <c r="G4392" t="s">
        <v>430</v>
      </c>
      <c r="H4392" t="s">
        <v>432</v>
      </c>
    </row>
    <row r="4393" spans="1:8" hidden="1" x14ac:dyDescent="0.25">
      <c r="A4393" t="s">
        <v>4922</v>
      </c>
      <c r="B4393" s="1" t="str">
        <f>HYPERLINK("https://asmlis.vasa.lt/Dashboard/Served?ServiceDateFrom=2025-11-24&amp;ServiceDateTo=2025-11-24&amp;DumpsterInvNr=13-P-509091", "13-P-509091")</f>
        <v>13-P-509091</v>
      </c>
      <c r="C4393">
        <v>0.24</v>
      </c>
      <c r="D4393" t="s">
        <v>6130</v>
      </c>
      <c r="E4393" t="s">
        <v>11</v>
      </c>
      <c r="G4393" t="s">
        <v>2178</v>
      </c>
      <c r="H4393" t="s">
        <v>432</v>
      </c>
    </row>
    <row r="4394" spans="1:8" hidden="1" x14ac:dyDescent="0.25">
      <c r="A4394" t="s">
        <v>5335</v>
      </c>
      <c r="B4394" s="1" t="str">
        <f>HYPERLINK("https://asmlis.vasa.lt/Dashboard/Served?ServiceDateFrom=2025-11-24&amp;ServiceDateTo=2025-11-24&amp;DumpsterInvNr=13-P-415841", "13-P-415841")</f>
        <v>13-P-415841</v>
      </c>
      <c r="C4394">
        <v>0.24</v>
      </c>
      <c r="D4394" t="s">
        <v>6132</v>
      </c>
      <c r="E4394" t="s">
        <v>11</v>
      </c>
      <c r="G4394" t="s">
        <v>264</v>
      </c>
      <c r="H4394" t="s">
        <v>14</v>
      </c>
    </row>
    <row r="4395" spans="1:8" hidden="1" x14ac:dyDescent="0.25">
      <c r="A4395" t="s">
        <v>5352</v>
      </c>
      <c r="B4395" s="1" t="str">
        <f>HYPERLINK("https://asmlis.vasa.lt/Dashboard/Served?ServiceDateFrom=2025-11-24&amp;ServiceDateTo=2025-11-24&amp;DumpsterInvNr=13-S-206423", "13-S-206423")</f>
        <v>13-S-206423</v>
      </c>
      <c r="C4395">
        <v>0.12</v>
      </c>
      <c r="D4395" t="s">
        <v>6126</v>
      </c>
      <c r="E4395" t="s">
        <v>11</v>
      </c>
      <c r="G4395" t="s">
        <v>234</v>
      </c>
      <c r="H4395" t="s">
        <v>14</v>
      </c>
    </row>
    <row r="4396" spans="1:8" hidden="1" x14ac:dyDescent="0.25">
      <c r="A4396" t="s">
        <v>4931</v>
      </c>
      <c r="B4396" s="1" t="str">
        <f>HYPERLINK("https://asmlis.vasa.lt/Dashboard/Served?ServiceDateFrom=2025-11-24&amp;ServiceDateTo=2025-11-24&amp;DumpsterInvNr=13-P-402304", "13-P-402304")</f>
        <v>13-P-402304</v>
      </c>
      <c r="C4396">
        <v>2.5</v>
      </c>
      <c r="D4396" t="s">
        <v>6134</v>
      </c>
      <c r="E4396" t="s">
        <v>11</v>
      </c>
      <c r="F4396" t="s">
        <v>13</v>
      </c>
      <c r="G4396" t="s">
        <v>264</v>
      </c>
      <c r="H4396" t="s">
        <v>14</v>
      </c>
    </row>
    <row r="4397" spans="1:8" hidden="1" x14ac:dyDescent="0.25">
      <c r="A4397" t="s">
        <v>4963</v>
      </c>
      <c r="B4397" s="1" t="str">
        <f>HYPERLINK("https://asmlis.vasa.lt/Dashboard/Served?ServiceDateFrom=2025-11-24&amp;ServiceDateTo=2025-11-24&amp;DumpsterInvNr=13-L-316312", "13-L-316312")</f>
        <v>13-L-316312</v>
      </c>
      <c r="C4397">
        <v>1.1000000000000001</v>
      </c>
      <c r="D4397" t="s">
        <v>6090</v>
      </c>
      <c r="E4397" t="s">
        <v>11</v>
      </c>
      <c r="G4397" t="s">
        <v>9</v>
      </c>
      <c r="H4397" t="s">
        <v>14</v>
      </c>
    </row>
    <row r="4398" spans="1:8" hidden="1" x14ac:dyDescent="0.25">
      <c r="A4398" t="s">
        <v>4964</v>
      </c>
      <c r="B4398" s="1" t="str">
        <f>HYPERLINK("https://asmlis.vasa.lt/Dashboard/Served?ServiceDateFrom=2025-11-24&amp;ServiceDateTo=2025-11-24&amp;DumpsterInvNr=13-M-205531", "13-M-205531")</f>
        <v>13-M-205531</v>
      </c>
      <c r="C4398">
        <v>0.12</v>
      </c>
      <c r="D4398" t="s">
        <v>6135</v>
      </c>
      <c r="E4398" t="s">
        <v>11</v>
      </c>
      <c r="G4398" t="s">
        <v>4876</v>
      </c>
      <c r="H4398" t="s">
        <v>938</v>
      </c>
    </row>
    <row r="4399" spans="1:8" hidden="1" x14ac:dyDescent="0.25">
      <c r="A4399" t="s">
        <v>5385</v>
      </c>
      <c r="B4399" s="1" t="str">
        <f>HYPERLINK("https://asmlis.vasa.lt/Dashboard/Served?ServiceDateFrom=2025-11-24&amp;ServiceDateTo=2025-11-24&amp;DumpsterInvNr=13-P-208136", "13-P-208136")</f>
        <v>13-P-208136</v>
      </c>
      <c r="C4399">
        <v>0.24</v>
      </c>
      <c r="D4399" t="s">
        <v>6136</v>
      </c>
      <c r="E4399" t="s">
        <v>11</v>
      </c>
      <c r="F4399" t="s">
        <v>1209</v>
      </c>
      <c r="G4399" t="s">
        <v>234</v>
      </c>
      <c r="H4399" t="s">
        <v>14</v>
      </c>
    </row>
    <row r="4400" spans="1:8" hidden="1" x14ac:dyDescent="0.25">
      <c r="A4400" t="s">
        <v>6138</v>
      </c>
      <c r="B4400" s="1" t="str">
        <f>HYPERLINK("https://asmlis.vasa.lt/Dashboard/Served?ServiceDateFrom=2025-11-24&amp;ServiceDateTo=2025-11-24&amp;DumpsterInvNr=13-L-219435", "13-L-219435")</f>
        <v>13-L-219435</v>
      </c>
      <c r="C4400">
        <v>0.24</v>
      </c>
      <c r="D4400" t="s">
        <v>6139</v>
      </c>
      <c r="E4400" t="s">
        <v>11</v>
      </c>
      <c r="G4400" t="s">
        <v>936</v>
      </c>
      <c r="H4400" t="s">
        <v>938</v>
      </c>
    </row>
    <row r="4401" spans="1:10" hidden="1" x14ac:dyDescent="0.25">
      <c r="A4401" t="s">
        <v>6138</v>
      </c>
      <c r="B4401" s="1" t="str">
        <f>HYPERLINK("https://asmlis.vasa.lt/Dashboard/Served?ServiceDateFrom=2025-11-24&amp;ServiceDateTo=2025-11-24&amp;DumpsterInvNr=13-L-116804", "13-L-116804")</f>
        <v>13-L-116804</v>
      </c>
      <c r="C4401">
        <v>1.1000000000000001</v>
      </c>
      <c r="D4401" t="s">
        <v>6122</v>
      </c>
      <c r="E4401" t="s">
        <v>11</v>
      </c>
      <c r="G4401" t="s">
        <v>430</v>
      </c>
      <c r="H4401" t="s">
        <v>432</v>
      </c>
    </row>
    <row r="4402" spans="1:10" hidden="1" x14ac:dyDescent="0.25">
      <c r="A4402" t="s">
        <v>6140</v>
      </c>
      <c r="B4402" s="1" t="str">
        <f>HYPERLINK("https://asmlis.vasa.lt/Dashboard/Served?ServiceDateFrom=2025-11-24&amp;ServiceDateTo=2025-11-24&amp;DumpsterInvNr=13-L-413804", "13-L-413804")</f>
        <v>13-L-413804</v>
      </c>
      <c r="C4402">
        <v>0.24</v>
      </c>
      <c r="D4402" t="s">
        <v>2883</v>
      </c>
      <c r="E4402" t="s">
        <v>11</v>
      </c>
      <c r="G4402" t="s">
        <v>74</v>
      </c>
      <c r="H4402" t="s">
        <v>14</v>
      </c>
    </row>
    <row r="4403" spans="1:10" hidden="1" x14ac:dyDescent="0.25">
      <c r="A4403" t="s">
        <v>6140</v>
      </c>
      <c r="B4403" s="1" t="str">
        <f>HYPERLINK("https://asmlis.vasa.lt/Dashboard/Served?ServiceDateFrom=2025-11-24&amp;ServiceDateTo=2025-11-24&amp;DumpsterInvNr=13-M-200259", "13-M-200259")</f>
        <v>13-M-200259</v>
      </c>
      <c r="C4403">
        <v>0.12</v>
      </c>
      <c r="D4403" t="s">
        <v>6128</v>
      </c>
      <c r="E4403" t="s">
        <v>11</v>
      </c>
      <c r="F4403" t="s">
        <v>1209</v>
      </c>
      <c r="G4403" t="s">
        <v>4876</v>
      </c>
      <c r="H4403" t="s">
        <v>938</v>
      </c>
    </row>
    <row r="4404" spans="1:10" x14ac:dyDescent="0.25">
      <c r="A4404" t="s">
        <v>5925</v>
      </c>
      <c r="B4404" s="1" t="str">
        <f>HYPERLINK("https://asmlis.vasa.lt/Dashboard/Served?ServiceDateFrom=2025-11-24&amp;ServiceDateTo=2025-11-24&amp;DumpsterInvNr=13-P-400856", "13-P-400856")</f>
        <v>13-P-400856</v>
      </c>
      <c r="C4404">
        <v>0.24</v>
      </c>
      <c r="D4404" t="s">
        <v>6141</v>
      </c>
      <c r="E4404" t="s">
        <v>11</v>
      </c>
      <c r="F4404" t="s">
        <v>1215</v>
      </c>
      <c r="G4404" t="s">
        <v>264</v>
      </c>
      <c r="H4404" t="s">
        <v>14</v>
      </c>
      <c r="J4404" t="s">
        <v>17511</v>
      </c>
    </row>
    <row r="4405" spans="1:10" hidden="1" x14ac:dyDescent="0.25">
      <c r="A4405" t="s">
        <v>5925</v>
      </c>
      <c r="B4405" s="1" t="str">
        <f>HYPERLINK("https://asmlis.vasa.lt/Dashboard/Served?ServiceDateFrom=2025-11-24&amp;ServiceDateTo=2025-11-24&amp;DumpsterInvNr=13-P-105575", "13-P-105575")</f>
        <v>13-P-105575</v>
      </c>
      <c r="C4405">
        <v>0.77</v>
      </c>
      <c r="D4405" t="s">
        <v>6142</v>
      </c>
      <c r="E4405" t="s">
        <v>11</v>
      </c>
      <c r="G4405" t="s">
        <v>1917</v>
      </c>
      <c r="H4405" t="s">
        <v>432</v>
      </c>
    </row>
    <row r="4406" spans="1:10" hidden="1" x14ac:dyDescent="0.25">
      <c r="A4406" t="s">
        <v>4854</v>
      </c>
      <c r="B4406" s="1" t="str">
        <f>HYPERLINK("https://asmlis.vasa.lt/Dashboard/Served?ServiceDateFrom=2025-11-24&amp;ServiceDateTo=2025-11-24&amp;DumpsterInvNr=13-L-424957", "13-L-424957")</f>
        <v>13-L-424957</v>
      </c>
      <c r="C4406">
        <v>1.1000000000000001</v>
      </c>
      <c r="D4406" t="s">
        <v>6067</v>
      </c>
      <c r="E4406" t="s">
        <v>11</v>
      </c>
      <c r="F4406" t="s">
        <v>13</v>
      </c>
      <c r="G4406" t="s">
        <v>74</v>
      </c>
      <c r="H4406" t="s">
        <v>14</v>
      </c>
    </row>
    <row r="4407" spans="1:10" hidden="1" x14ac:dyDescent="0.25">
      <c r="A4407" t="s">
        <v>4924</v>
      </c>
      <c r="B4407" s="1" t="str">
        <f>HYPERLINK("https://asmlis.vasa.lt/Dashboard/Served?ServiceDateFrom=2025-11-24&amp;ServiceDateTo=2025-11-24&amp;DumpsterInvNr=13-L-314318", "13-L-314318")</f>
        <v>13-L-314318</v>
      </c>
      <c r="C4407">
        <v>5</v>
      </c>
      <c r="D4407" t="s">
        <v>6143</v>
      </c>
      <c r="E4407" t="s">
        <v>11</v>
      </c>
      <c r="G4407" t="s">
        <v>9</v>
      </c>
      <c r="H4407" t="s">
        <v>14</v>
      </c>
    </row>
    <row r="4408" spans="1:10" x14ac:dyDescent="0.25">
      <c r="A4408" t="s">
        <v>6053</v>
      </c>
      <c r="B4408" s="1" t="str">
        <f>HYPERLINK("https://asmlis.vasa.lt/Dashboard/Served?ServiceDateFrom=2025-11-24&amp;ServiceDateTo=2025-11-24&amp;DumpsterInvNr=13-P-411621", "13-P-411621")</f>
        <v>13-P-411621</v>
      </c>
      <c r="C4408">
        <v>0.24</v>
      </c>
      <c r="D4408" t="s">
        <v>6145</v>
      </c>
      <c r="E4408" t="s">
        <v>11</v>
      </c>
      <c r="F4408" t="s">
        <v>1215</v>
      </c>
      <c r="G4408" t="s">
        <v>264</v>
      </c>
      <c r="H4408" t="s">
        <v>14</v>
      </c>
      <c r="J4408" t="s">
        <v>17511</v>
      </c>
    </row>
    <row r="4409" spans="1:10" hidden="1" x14ac:dyDescent="0.25">
      <c r="A4409" t="s">
        <v>5024</v>
      </c>
      <c r="B4409" s="1" t="str">
        <f>HYPERLINK("https://asmlis.vasa.lt/Dashboard/Served?ServiceDateFrom=2025-11-24&amp;ServiceDateTo=2025-11-24&amp;DumpsterInvNr=13-L-119429", "13-L-119429")</f>
        <v>13-L-119429</v>
      </c>
      <c r="C4409">
        <v>0.12</v>
      </c>
      <c r="D4409" t="s">
        <v>6146</v>
      </c>
      <c r="E4409" t="s">
        <v>11</v>
      </c>
      <c r="G4409" t="s">
        <v>1912</v>
      </c>
      <c r="H4409" t="s">
        <v>432</v>
      </c>
    </row>
    <row r="4410" spans="1:10" hidden="1" x14ac:dyDescent="0.25">
      <c r="A4410" t="s">
        <v>5252</v>
      </c>
      <c r="B4410" s="1" t="str">
        <f>HYPERLINK("https://asmlis.vasa.lt/Dashboard/Served?ServiceDateFrom=2025-11-24&amp;ServiceDateTo=2025-11-24&amp;DumpsterInvNr=13-M-207237", "13-M-207237")</f>
        <v>13-M-207237</v>
      </c>
      <c r="C4410">
        <v>0.12</v>
      </c>
      <c r="D4410" t="s">
        <v>6147</v>
      </c>
      <c r="E4410" t="s">
        <v>11</v>
      </c>
      <c r="F4410" t="s">
        <v>1209</v>
      </c>
      <c r="G4410" t="s">
        <v>4876</v>
      </c>
      <c r="H4410" t="s">
        <v>938</v>
      </c>
    </row>
    <row r="4411" spans="1:10" hidden="1" x14ac:dyDescent="0.25">
      <c r="A4411" t="s">
        <v>5345</v>
      </c>
      <c r="B4411" s="1" t="str">
        <f>HYPERLINK("https://asmlis.vasa.lt/Dashboard/Served?ServiceDateFrom=2025-11-24&amp;ServiceDateTo=2025-11-24&amp;DumpsterInvNr=13-L-124863", "13-L-124863")</f>
        <v>13-L-124863</v>
      </c>
      <c r="C4411">
        <v>0.24</v>
      </c>
      <c r="D4411" t="s">
        <v>6148</v>
      </c>
      <c r="E4411" t="s">
        <v>11</v>
      </c>
      <c r="G4411" t="s">
        <v>430</v>
      </c>
      <c r="H4411" t="s">
        <v>432</v>
      </c>
    </row>
    <row r="4412" spans="1:10" hidden="1" x14ac:dyDescent="0.25">
      <c r="A4412" t="s">
        <v>5345</v>
      </c>
      <c r="B4412" s="1" t="str">
        <f>HYPERLINK("https://asmlis.vasa.lt/Dashboard/Served?ServiceDateFrom=2025-11-24&amp;ServiceDateTo=2025-11-24&amp;DumpsterInvNr=13-P-502687", "13-P-502687")</f>
        <v>13-P-502687</v>
      </c>
      <c r="C4412">
        <v>0.24</v>
      </c>
      <c r="D4412" t="s">
        <v>6148</v>
      </c>
      <c r="E4412" t="s">
        <v>11</v>
      </c>
      <c r="G4412" t="s">
        <v>2178</v>
      </c>
      <c r="H4412" t="s">
        <v>432</v>
      </c>
    </row>
    <row r="4413" spans="1:10" hidden="1" x14ac:dyDescent="0.25">
      <c r="A4413" t="s">
        <v>5887</v>
      </c>
      <c r="B4413" s="1" t="str">
        <f>HYPERLINK("https://asmlis.vasa.lt/Dashboard/Served?ServiceDateFrom=2025-11-24&amp;ServiceDateTo=2025-11-24&amp;DumpsterInvNr=13-P-112711", "13-P-112711")</f>
        <v>13-P-112711</v>
      </c>
      <c r="C4413">
        <v>0.24</v>
      </c>
      <c r="D4413" t="s">
        <v>6146</v>
      </c>
      <c r="E4413" t="s">
        <v>11</v>
      </c>
      <c r="G4413" t="s">
        <v>1917</v>
      </c>
      <c r="H4413" t="s">
        <v>432</v>
      </c>
    </row>
    <row r="4414" spans="1:10" hidden="1" x14ac:dyDescent="0.25">
      <c r="A4414" t="s">
        <v>5580</v>
      </c>
      <c r="B4414" s="1" t="str">
        <f>HYPERLINK("https://asmlis.vasa.lt/Dashboard/Served?ServiceDateFrom=2025-11-24&amp;ServiceDateTo=2025-11-24&amp;DumpsterInvNr=13-P-204284", "13-P-204284")</f>
        <v>13-P-204284</v>
      </c>
      <c r="C4414">
        <v>5</v>
      </c>
      <c r="D4414" t="s">
        <v>6150</v>
      </c>
      <c r="E4414" t="s">
        <v>11</v>
      </c>
      <c r="G4414" t="s">
        <v>234</v>
      </c>
      <c r="H4414" t="s">
        <v>14</v>
      </c>
    </row>
    <row r="4415" spans="1:10" hidden="1" x14ac:dyDescent="0.25">
      <c r="A4415" t="s">
        <v>5641</v>
      </c>
      <c r="B4415" s="1" t="str">
        <f>HYPERLINK("https://asmlis.vasa.lt/Dashboard/Served?ServiceDateFrom=2025-11-24&amp;ServiceDateTo=2025-11-24&amp;DumpsterInvNr=13-L-226589", "13-L-226589")</f>
        <v>13-L-226589</v>
      </c>
      <c r="C4415">
        <v>0.24</v>
      </c>
      <c r="D4415" t="s">
        <v>6151</v>
      </c>
      <c r="E4415" t="s">
        <v>11</v>
      </c>
      <c r="G4415" t="s">
        <v>936</v>
      </c>
      <c r="H4415" t="s">
        <v>938</v>
      </c>
    </row>
    <row r="4416" spans="1:10" hidden="1" x14ac:dyDescent="0.25">
      <c r="A4416" t="s">
        <v>5641</v>
      </c>
      <c r="B4416" s="1" t="str">
        <f>HYPERLINK("https://asmlis.vasa.lt/Dashboard/Served?ServiceDateFrom=2025-11-24&amp;ServiceDateTo=2025-11-24&amp;DumpsterInvNr=13-L-146372", "13-L-146372")</f>
        <v>13-L-146372</v>
      </c>
      <c r="C4416">
        <v>5</v>
      </c>
      <c r="D4416" t="s">
        <v>6152</v>
      </c>
      <c r="E4416" t="s">
        <v>11</v>
      </c>
      <c r="F4416" t="s">
        <v>13</v>
      </c>
      <c r="G4416" t="s">
        <v>430</v>
      </c>
      <c r="H4416" t="s">
        <v>432</v>
      </c>
    </row>
    <row r="4417" spans="1:8" hidden="1" x14ac:dyDescent="0.25">
      <c r="A4417" t="s">
        <v>5656</v>
      </c>
      <c r="B4417" s="1" t="str">
        <f>HYPERLINK("https://asmlis.vasa.lt/Dashboard/Served?ServiceDateFrom=2025-11-24&amp;ServiceDateTo=2025-11-24&amp;DumpsterInvNr=13-L-423327", "13-L-423327")</f>
        <v>13-L-423327</v>
      </c>
      <c r="C4417">
        <v>0.24</v>
      </c>
      <c r="D4417" t="s">
        <v>2900</v>
      </c>
      <c r="E4417" t="s">
        <v>11</v>
      </c>
      <c r="G4417" t="s">
        <v>74</v>
      </c>
      <c r="H4417" t="s">
        <v>14</v>
      </c>
    </row>
    <row r="4418" spans="1:8" hidden="1" x14ac:dyDescent="0.25">
      <c r="A4418" t="s">
        <v>6153</v>
      </c>
      <c r="B4418" s="1" t="str">
        <f>HYPERLINK("https://asmlis.vasa.lt/Dashboard/Served?ServiceDateFrom=2025-11-24&amp;ServiceDateTo=2025-11-24&amp;DumpsterInvNr=13-L-420338", "13-L-420338")</f>
        <v>13-L-420338</v>
      </c>
      <c r="C4418">
        <v>0.24</v>
      </c>
      <c r="D4418" t="s">
        <v>2891</v>
      </c>
      <c r="E4418" t="s">
        <v>11</v>
      </c>
      <c r="G4418" t="s">
        <v>74</v>
      </c>
      <c r="H4418" t="s">
        <v>14</v>
      </c>
    </row>
    <row r="4419" spans="1:8" hidden="1" x14ac:dyDescent="0.25">
      <c r="A4419" t="s">
        <v>6153</v>
      </c>
      <c r="B4419" s="1" t="str">
        <f>HYPERLINK("https://asmlis.vasa.lt/Dashboard/Served?ServiceDateFrom=2025-11-24&amp;ServiceDateTo=2025-11-24&amp;DumpsterInvNr=13-P-306885", "13-P-306885")</f>
        <v>13-P-306885</v>
      </c>
      <c r="C4419">
        <v>1.1000000000000001</v>
      </c>
      <c r="D4419" t="s">
        <v>2085</v>
      </c>
      <c r="E4419" t="s">
        <v>11</v>
      </c>
      <c r="F4419" t="s">
        <v>13</v>
      </c>
      <c r="G4419" t="s">
        <v>412</v>
      </c>
      <c r="H4419" t="s">
        <v>14</v>
      </c>
    </row>
    <row r="4420" spans="1:8" hidden="1" x14ac:dyDescent="0.25">
      <c r="A4420" t="s">
        <v>6154</v>
      </c>
      <c r="B4420" s="1" t="str">
        <f>HYPERLINK("https://asmlis.vasa.lt/Dashboard/Served?ServiceDateFrom=2025-11-24&amp;ServiceDateTo=2025-11-24&amp;DumpsterInvNr=13-L-120109", "13-L-120109")</f>
        <v>13-L-120109</v>
      </c>
      <c r="C4420">
        <v>0.24</v>
      </c>
      <c r="D4420" t="s">
        <v>6155</v>
      </c>
      <c r="E4420" t="s">
        <v>11</v>
      </c>
      <c r="G4420" t="s">
        <v>1912</v>
      </c>
      <c r="H4420" t="s">
        <v>432</v>
      </c>
    </row>
    <row r="4421" spans="1:8" hidden="1" x14ac:dyDescent="0.25">
      <c r="A4421" t="s">
        <v>6154</v>
      </c>
      <c r="B4421" s="1" t="str">
        <f>HYPERLINK("https://asmlis.vasa.lt/Dashboard/Served?ServiceDateFrom=2025-11-24&amp;ServiceDateTo=2025-11-24&amp;DumpsterInvNr=13-P-306878", "13-P-306878")</f>
        <v>13-P-306878</v>
      </c>
      <c r="C4421">
        <v>1.1000000000000001</v>
      </c>
      <c r="D4421" t="s">
        <v>2085</v>
      </c>
      <c r="E4421" t="s">
        <v>11</v>
      </c>
      <c r="F4421" t="s">
        <v>13</v>
      </c>
      <c r="G4421" t="s">
        <v>412</v>
      </c>
      <c r="H4421" t="s">
        <v>14</v>
      </c>
    </row>
    <row r="4422" spans="1:8" hidden="1" x14ac:dyDescent="0.25">
      <c r="A4422" t="s">
        <v>6156</v>
      </c>
      <c r="B4422" s="1" t="str">
        <f>HYPERLINK("https://asmlis.vasa.lt/Dashboard/Served?ServiceDateFrom=2025-11-24&amp;ServiceDateTo=2025-11-24&amp;DumpsterInvNr=13-P-306825", "13-P-306825")</f>
        <v>13-P-306825</v>
      </c>
      <c r="C4422">
        <v>1.1000000000000001</v>
      </c>
      <c r="D4422" t="s">
        <v>3875</v>
      </c>
      <c r="E4422" t="s">
        <v>11</v>
      </c>
      <c r="F4422" t="s">
        <v>13</v>
      </c>
      <c r="G4422" t="s">
        <v>412</v>
      </c>
      <c r="H4422" t="s">
        <v>14</v>
      </c>
    </row>
    <row r="4423" spans="1:8" hidden="1" x14ac:dyDescent="0.25">
      <c r="A4423" t="s">
        <v>5713</v>
      </c>
      <c r="B4423" s="1" t="str">
        <f>HYPERLINK("https://asmlis.vasa.lt/Dashboard/Served?ServiceDateFrom=2025-11-24&amp;ServiceDateTo=2025-11-24&amp;DumpsterInvNr=13-L-227762", "13-L-227762")</f>
        <v>13-L-227762</v>
      </c>
      <c r="C4423">
        <v>0.24</v>
      </c>
      <c r="D4423" t="s">
        <v>6151</v>
      </c>
      <c r="E4423" t="s">
        <v>11</v>
      </c>
      <c r="F4423" t="s">
        <v>1209</v>
      </c>
      <c r="G4423" t="s">
        <v>936</v>
      </c>
      <c r="H4423" t="s">
        <v>938</v>
      </c>
    </row>
    <row r="4424" spans="1:8" hidden="1" x14ac:dyDescent="0.25">
      <c r="A4424" t="s">
        <v>5717</v>
      </c>
      <c r="B4424" s="1" t="str">
        <f>HYPERLINK("https://asmlis.vasa.lt/Dashboard/Served?ServiceDateFrom=2025-11-24&amp;ServiceDateTo=2025-11-24&amp;DumpsterInvNr=13-M-200218", "13-M-200218")</f>
        <v>13-M-200218</v>
      </c>
      <c r="C4424">
        <v>0.12</v>
      </c>
      <c r="D4424" t="s">
        <v>6157</v>
      </c>
      <c r="E4424" t="s">
        <v>11</v>
      </c>
      <c r="F4424" t="s">
        <v>1209</v>
      </c>
      <c r="G4424" t="s">
        <v>4876</v>
      </c>
      <c r="H4424" t="s">
        <v>938</v>
      </c>
    </row>
    <row r="4425" spans="1:8" hidden="1" x14ac:dyDescent="0.25">
      <c r="A4425" t="s">
        <v>6159</v>
      </c>
      <c r="B4425" s="1" t="str">
        <f>HYPERLINK("https://asmlis.vasa.lt/Dashboard/Served?ServiceDateFrom=2025-11-24&amp;ServiceDateTo=2025-11-24&amp;DumpsterInvNr=13-L-311504", "13-L-311504")</f>
        <v>13-L-311504</v>
      </c>
      <c r="C4425">
        <v>1.1000000000000001</v>
      </c>
      <c r="D4425" t="s">
        <v>6111</v>
      </c>
      <c r="E4425" t="s">
        <v>11</v>
      </c>
      <c r="F4425" t="s">
        <v>13</v>
      </c>
      <c r="G4425" t="s">
        <v>9</v>
      </c>
      <c r="H4425" t="s">
        <v>14</v>
      </c>
    </row>
    <row r="4426" spans="1:8" hidden="1" x14ac:dyDescent="0.25">
      <c r="A4426" t="s">
        <v>5745</v>
      </c>
      <c r="B4426" s="1" t="str">
        <f>HYPERLINK("https://asmlis.vasa.lt/Dashboard/Served?ServiceDateFrom=2025-11-24&amp;ServiceDateTo=2025-11-24&amp;DumpsterInvNr=13-L-316333", "13-L-316333")</f>
        <v>13-L-316333</v>
      </c>
      <c r="C4426">
        <v>1.1000000000000001</v>
      </c>
      <c r="D4426" t="s">
        <v>6090</v>
      </c>
      <c r="E4426" t="s">
        <v>11</v>
      </c>
      <c r="F4426" t="s">
        <v>13</v>
      </c>
      <c r="G4426" t="s">
        <v>9</v>
      </c>
      <c r="H4426" t="s">
        <v>14</v>
      </c>
    </row>
    <row r="4427" spans="1:8" hidden="1" x14ac:dyDescent="0.25">
      <c r="A4427" t="s">
        <v>6160</v>
      </c>
      <c r="B4427" s="1" t="str">
        <f>HYPERLINK("https://asmlis.vasa.lt/Dashboard/Served?ServiceDateFrom=2025-11-24&amp;ServiceDateTo=2025-11-24&amp;DumpsterInvNr=13-M-205554", "13-M-205554")</f>
        <v>13-M-205554</v>
      </c>
      <c r="C4427">
        <v>0.12</v>
      </c>
      <c r="D4427" t="s">
        <v>6161</v>
      </c>
      <c r="E4427" t="s">
        <v>11</v>
      </c>
      <c r="F4427" t="s">
        <v>1209</v>
      </c>
      <c r="G4427" t="s">
        <v>4876</v>
      </c>
      <c r="H4427" t="s">
        <v>938</v>
      </c>
    </row>
    <row r="4428" spans="1:8" hidden="1" x14ac:dyDescent="0.25">
      <c r="A4428" t="s">
        <v>5750</v>
      </c>
      <c r="B4428" s="1" t="str">
        <f>HYPERLINK("https://asmlis.vasa.lt/Dashboard/Served?ServiceDateFrom=2025-11-24&amp;ServiceDateTo=2025-11-24&amp;DumpsterInvNr=13-L-316311", "13-L-316311")</f>
        <v>13-L-316311</v>
      </c>
      <c r="C4428">
        <v>1.1000000000000001</v>
      </c>
      <c r="D4428" t="s">
        <v>6090</v>
      </c>
      <c r="E4428" t="s">
        <v>11</v>
      </c>
      <c r="F4428" t="s">
        <v>13</v>
      </c>
      <c r="G4428" t="s">
        <v>9</v>
      </c>
      <c r="H4428" t="s">
        <v>14</v>
      </c>
    </row>
    <row r="4429" spans="1:8" hidden="1" x14ac:dyDescent="0.25">
      <c r="A4429" t="s">
        <v>5061</v>
      </c>
      <c r="B4429" s="1" t="str">
        <f>HYPERLINK("https://asmlis.vasa.lt/Dashboard/Served?ServiceDateFrom=2025-11-24&amp;ServiceDateTo=2025-11-24&amp;DumpsterInvNr=13-L-117622", "13-L-117622")</f>
        <v>13-L-117622</v>
      </c>
      <c r="C4429">
        <v>0.12</v>
      </c>
      <c r="D4429" t="s">
        <v>6163</v>
      </c>
      <c r="E4429" t="s">
        <v>11</v>
      </c>
      <c r="G4429" t="s">
        <v>1912</v>
      </c>
      <c r="H4429" t="s">
        <v>432</v>
      </c>
    </row>
    <row r="4430" spans="1:8" hidden="1" x14ac:dyDescent="0.25">
      <c r="A4430" t="s">
        <v>6164</v>
      </c>
      <c r="B4430" s="1" t="str">
        <f>HYPERLINK("https://asmlis.vasa.lt/Dashboard/Served?ServiceDateFrom=2025-11-24&amp;ServiceDateTo=2025-11-24&amp;DumpsterInvNr=13-L-405751", "13-L-405751")</f>
        <v>13-L-405751</v>
      </c>
      <c r="C4430">
        <v>1.1000000000000001</v>
      </c>
      <c r="D4430" t="s">
        <v>6165</v>
      </c>
      <c r="E4430" t="s">
        <v>11</v>
      </c>
      <c r="G4430" t="s">
        <v>74</v>
      </c>
      <c r="H4430" t="s">
        <v>14</v>
      </c>
    </row>
    <row r="4431" spans="1:8" hidden="1" x14ac:dyDescent="0.25">
      <c r="A4431" t="s">
        <v>5076</v>
      </c>
      <c r="B4431" s="1" t="str">
        <f>HYPERLINK("https://asmlis.vasa.lt/Dashboard/Served?ServiceDateFrom=2025-11-24&amp;ServiceDateTo=2025-11-24&amp;DumpsterInvNr=13-P-101173", "13-P-101173")</f>
        <v>13-P-101173</v>
      </c>
      <c r="C4431">
        <v>0.24</v>
      </c>
      <c r="D4431" t="s">
        <v>6166</v>
      </c>
      <c r="E4431" t="s">
        <v>11</v>
      </c>
      <c r="G4431" t="s">
        <v>1917</v>
      </c>
      <c r="H4431" t="s">
        <v>432</v>
      </c>
    </row>
    <row r="4432" spans="1:8" hidden="1" x14ac:dyDescent="0.25">
      <c r="A4432" t="s">
        <v>5076</v>
      </c>
      <c r="B4432" s="1" t="str">
        <f>HYPERLINK("https://asmlis.vasa.lt/Dashboard/Served?ServiceDateFrom=2025-11-24&amp;ServiceDateTo=2025-11-24&amp;DumpsterInvNr=13-M-200269", "13-M-200269")</f>
        <v>13-M-200269</v>
      </c>
      <c r="C4432">
        <v>0.12</v>
      </c>
      <c r="D4432" t="s">
        <v>6167</v>
      </c>
      <c r="E4432" t="s">
        <v>11</v>
      </c>
      <c r="F4432" t="s">
        <v>1209</v>
      </c>
      <c r="G4432" t="s">
        <v>4876</v>
      </c>
      <c r="H4432" t="s">
        <v>938</v>
      </c>
    </row>
    <row r="4433" spans="1:8" hidden="1" x14ac:dyDescent="0.25">
      <c r="A4433" t="s">
        <v>6169</v>
      </c>
      <c r="B4433" s="1" t="str">
        <f>HYPERLINK("https://asmlis.vasa.lt/Dashboard/Served?ServiceDateFrom=2025-11-24&amp;ServiceDateTo=2025-11-24&amp;DumpsterInvNr=13-L-114259", "13-L-114259")</f>
        <v>13-L-114259</v>
      </c>
      <c r="C4433">
        <v>0.12</v>
      </c>
      <c r="D4433" t="s">
        <v>6170</v>
      </c>
      <c r="E4433" t="s">
        <v>11</v>
      </c>
      <c r="F4433" t="s">
        <v>1209</v>
      </c>
      <c r="G4433" t="s">
        <v>430</v>
      </c>
      <c r="H4433" t="s">
        <v>432</v>
      </c>
    </row>
    <row r="4434" spans="1:8" hidden="1" x14ac:dyDescent="0.25">
      <c r="A4434" t="s">
        <v>6171</v>
      </c>
      <c r="B4434" s="1" t="str">
        <f>HYPERLINK("https://asmlis.vasa.lt/Dashboard/Served?ServiceDateFrom=2025-11-24&amp;ServiceDateTo=2025-11-24&amp;DumpsterInvNr=13-L-423412", "13-L-423412")</f>
        <v>13-L-423412</v>
      </c>
      <c r="C4434">
        <v>0.24</v>
      </c>
      <c r="D4434" t="s">
        <v>6172</v>
      </c>
      <c r="E4434" t="s">
        <v>11</v>
      </c>
      <c r="G4434" t="s">
        <v>74</v>
      </c>
      <c r="H4434" t="s">
        <v>14</v>
      </c>
    </row>
    <row r="4435" spans="1:8" hidden="1" x14ac:dyDescent="0.25">
      <c r="A4435" t="s">
        <v>5804</v>
      </c>
      <c r="B4435" s="1" t="str">
        <f>HYPERLINK("https://asmlis.vasa.lt/Dashboard/Served?ServiceDateFrom=2025-11-24&amp;ServiceDateTo=2025-11-24&amp;DumpsterInvNr=13-L-215593", "13-L-215593")</f>
        <v>13-L-215593</v>
      </c>
      <c r="C4435">
        <v>0.24</v>
      </c>
      <c r="D4435" t="s">
        <v>6173</v>
      </c>
      <c r="E4435" t="s">
        <v>11</v>
      </c>
      <c r="G4435" t="s">
        <v>936</v>
      </c>
      <c r="H4435" t="s">
        <v>938</v>
      </c>
    </row>
    <row r="4436" spans="1:8" hidden="1" x14ac:dyDescent="0.25">
      <c r="A4436" t="s">
        <v>6174</v>
      </c>
      <c r="B4436" s="1" t="str">
        <f>HYPERLINK("https://asmlis.vasa.lt/Dashboard/Served?ServiceDateFrom=2025-11-24&amp;ServiceDateTo=2025-11-24&amp;DumpsterInvNr=13-P-413826", "13-P-413826")</f>
        <v>13-P-413826</v>
      </c>
      <c r="C4436">
        <v>5</v>
      </c>
      <c r="D4436" t="s">
        <v>6175</v>
      </c>
      <c r="E4436" t="s">
        <v>11</v>
      </c>
      <c r="G4436" t="s">
        <v>264</v>
      </c>
      <c r="H4436" t="s">
        <v>14</v>
      </c>
    </row>
    <row r="4437" spans="1:8" hidden="1" x14ac:dyDescent="0.25">
      <c r="A4437" t="s">
        <v>6176</v>
      </c>
      <c r="B4437" s="1" t="str">
        <f>HYPERLINK("https://asmlis.vasa.lt/Dashboard/Served?ServiceDateFrom=2025-11-24&amp;ServiceDateTo=2025-11-24&amp;DumpsterInvNr=13-L-405752", "13-L-405752")</f>
        <v>13-L-405752</v>
      </c>
      <c r="C4437">
        <v>1.1000000000000001</v>
      </c>
      <c r="D4437" t="s">
        <v>6165</v>
      </c>
      <c r="E4437" t="s">
        <v>11</v>
      </c>
      <c r="G4437" t="s">
        <v>74</v>
      </c>
      <c r="H4437" t="s">
        <v>14</v>
      </c>
    </row>
    <row r="4438" spans="1:8" hidden="1" x14ac:dyDescent="0.25">
      <c r="A4438" t="s">
        <v>4757</v>
      </c>
      <c r="B4438" s="1" t="str">
        <f>HYPERLINK("https://asmlis.vasa.lt/Dashboard/Served?ServiceDateFrom=2025-11-24&amp;ServiceDateTo=2025-11-24&amp;DumpsterInvNr=13-L-117205", "13-L-117205")</f>
        <v>13-L-117205</v>
      </c>
      <c r="C4438">
        <v>0.24</v>
      </c>
      <c r="D4438" t="s">
        <v>6166</v>
      </c>
      <c r="E4438" t="s">
        <v>11</v>
      </c>
      <c r="G4438" t="s">
        <v>1912</v>
      </c>
      <c r="H4438" t="s">
        <v>432</v>
      </c>
    </row>
    <row r="4439" spans="1:8" hidden="1" x14ac:dyDescent="0.25">
      <c r="A4439" t="s">
        <v>5896</v>
      </c>
      <c r="B4439" s="1" t="str">
        <f>HYPERLINK("https://asmlis.vasa.lt/Dashboard/Served?ServiceDateFrom=2025-11-24&amp;ServiceDateTo=2025-11-24&amp;DumpsterInvNr=13-L-424475", "13-L-424475")</f>
        <v>13-L-424475</v>
      </c>
      <c r="C4439">
        <v>5</v>
      </c>
      <c r="D4439" t="s">
        <v>6177</v>
      </c>
      <c r="E4439" t="s">
        <v>11</v>
      </c>
      <c r="F4439" t="s">
        <v>13</v>
      </c>
      <c r="G4439" t="s">
        <v>74</v>
      </c>
      <c r="H4439" t="s">
        <v>14</v>
      </c>
    </row>
    <row r="4440" spans="1:8" hidden="1" x14ac:dyDescent="0.25">
      <c r="A4440" t="s">
        <v>6178</v>
      </c>
      <c r="B4440" s="1" t="str">
        <f>HYPERLINK("https://asmlis.vasa.lt/Dashboard/Served?ServiceDateFrom=2025-11-24&amp;ServiceDateTo=2025-11-24&amp;DumpsterInvNr=13-L-145847", "13-L-145847")</f>
        <v>13-L-145847</v>
      </c>
      <c r="C4440">
        <v>0.24</v>
      </c>
      <c r="D4440" t="s">
        <v>6179</v>
      </c>
      <c r="E4440" t="s">
        <v>11</v>
      </c>
      <c r="G4440" t="s">
        <v>1912</v>
      </c>
      <c r="H4440" t="s">
        <v>432</v>
      </c>
    </row>
    <row r="4441" spans="1:8" hidden="1" x14ac:dyDescent="0.25">
      <c r="A4441" t="s">
        <v>6180</v>
      </c>
      <c r="B4441" s="1" t="str">
        <f>HYPERLINK("https://asmlis.vasa.lt/Dashboard/Served?ServiceDateFrom=2025-11-24&amp;ServiceDateTo=2025-11-24&amp;DumpsterInvNr=13-P-502689", "13-P-502689")</f>
        <v>13-P-502689</v>
      </c>
      <c r="C4441">
        <v>0.24</v>
      </c>
      <c r="D4441" t="s">
        <v>6181</v>
      </c>
      <c r="E4441" t="s">
        <v>11</v>
      </c>
      <c r="G4441" t="s">
        <v>2178</v>
      </c>
      <c r="H4441" t="s">
        <v>432</v>
      </c>
    </row>
    <row r="4442" spans="1:8" hidden="1" x14ac:dyDescent="0.25">
      <c r="A4442" t="s">
        <v>6180</v>
      </c>
      <c r="B4442" s="1" t="str">
        <f>HYPERLINK("https://asmlis.vasa.lt/Dashboard/Served?ServiceDateFrom=2025-11-24&amp;ServiceDateTo=2025-11-24&amp;DumpsterInvNr=13-L-147546", "13-L-147546")</f>
        <v>13-L-147546</v>
      </c>
      <c r="C4442">
        <v>0.24</v>
      </c>
      <c r="D4442" t="s">
        <v>6181</v>
      </c>
      <c r="E4442" t="s">
        <v>11</v>
      </c>
      <c r="G4442" t="s">
        <v>430</v>
      </c>
      <c r="H4442" t="s">
        <v>432</v>
      </c>
    </row>
    <row r="4443" spans="1:8" hidden="1" x14ac:dyDescent="0.25">
      <c r="A4443" t="s">
        <v>5940</v>
      </c>
      <c r="B4443" s="1" t="str">
        <f>HYPERLINK("https://asmlis.vasa.lt/Dashboard/Served?ServiceDateFrom=2025-11-24&amp;ServiceDateTo=2025-11-24&amp;DumpsterInvNr=13-L-209628", "13-L-209628")</f>
        <v>13-L-209628</v>
      </c>
      <c r="C4443">
        <v>0.24</v>
      </c>
      <c r="D4443" t="s">
        <v>6182</v>
      </c>
      <c r="E4443" t="s">
        <v>11</v>
      </c>
      <c r="F4443" t="s">
        <v>1209</v>
      </c>
      <c r="G4443" t="s">
        <v>936</v>
      </c>
      <c r="H4443" t="s">
        <v>938</v>
      </c>
    </row>
    <row r="4444" spans="1:8" hidden="1" x14ac:dyDescent="0.25">
      <c r="A4444" t="s">
        <v>5946</v>
      </c>
      <c r="B4444" s="1" t="str">
        <f>HYPERLINK("https://asmlis.vasa.lt/Dashboard/Served?ServiceDateFrom=2025-11-24&amp;ServiceDateTo=2025-11-24&amp;DumpsterInvNr=13-L-123953", "13-L-123953")</f>
        <v>13-L-123953</v>
      </c>
      <c r="C4444">
        <v>0.77</v>
      </c>
      <c r="D4444" t="s">
        <v>6183</v>
      </c>
      <c r="E4444" t="s">
        <v>11</v>
      </c>
      <c r="G4444" t="s">
        <v>1912</v>
      </c>
      <c r="H4444" t="s">
        <v>432</v>
      </c>
    </row>
    <row r="4445" spans="1:8" hidden="1" x14ac:dyDescent="0.25">
      <c r="A4445" t="s">
        <v>5827</v>
      </c>
      <c r="B4445" s="1" t="str">
        <f>HYPERLINK("https://asmlis.vasa.lt/Dashboard/Served?ServiceDateFrom=2025-11-24&amp;ServiceDateTo=2025-11-24&amp;DumpsterInvNr=13-L-124862", "13-L-124862")</f>
        <v>13-L-124862</v>
      </c>
      <c r="C4445">
        <v>0.24</v>
      </c>
      <c r="D4445" t="s">
        <v>6184</v>
      </c>
      <c r="E4445" t="s">
        <v>11</v>
      </c>
      <c r="F4445" t="s">
        <v>1209</v>
      </c>
      <c r="G4445" t="s">
        <v>430</v>
      </c>
      <c r="H4445" t="s">
        <v>432</v>
      </c>
    </row>
    <row r="4446" spans="1:8" hidden="1" x14ac:dyDescent="0.25">
      <c r="A4446" t="s">
        <v>5852</v>
      </c>
      <c r="B4446" s="1" t="str">
        <f>HYPERLINK("https://asmlis.vasa.lt/Dashboard/Served?ServiceDateFrom=2025-11-24&amp;ServiceDateTo=2025-11-24&amp;DumpsterInvNr=13-P-112493", "13-P-112493")</f>
        <v>13-P-112493</v>
      </c>
      <c r="C4446">
        <v>0.24</v>
      </c>
      <c r="D4446" t="s">
        <v>6185</v>
      </c>
      <c r="E4446" t="s">
        <v>11</v>
      </c>
      <c r="G4446" t="s">
        <v>1917</v>
      </c>
      <c r="H4446" t="s">
        <v>432</v>
      </c>
    </row>
    <row r="4447" spans="1:8" hidden="1" x14ac:dyDescent="0.25">
      <c r="A4447" t="s">
        <v>5858</v>
      </c>
      <c r="B4447" s="1" t="str">
        <f>HYPERLINK("https://asmlis.vasa.lt/Dashboard/Served?ServiceDateFrom=2025-11-24&amp;ServiceDateTo=2025-11-24&amp;DumpsterInvNr=13-P-502688", "13-P-502688")</f>
        <v>13-P-502688</v>
      </c>
      <c r="C4447">
        <v>0.24</v>
      </c>
      <c r="D4447" t="s">
        <v>6184</v>
      </c>
      <c r="E4447" t="s">
        <v>11</v>
      </c>
      <c r="F4447" t="s">
        <v>1209</v>
      </c>
      <c r="G4447" t="s">
        <v>2178</v>
      </c>
      <c r="H4447" t="s">
        <v>432</v>
      </c>
    </row>
    <row r="4448" spans="1:8" hidden="1" x14ac:dyDescent="0.25">
      <c r="A4448" t="s">
        <v>5950</v>
      </c>
      <c r="B4448" s="1" t="str">
        <f>HYPERLINK("https://asmlis.vasa.lt/Dashboard/Served?ServiceDateFrom=2025-11-24&amp;ServiceDateTo=2025-11-24&amp;DumpsterInvNr=13-L-211002", "13-L-211002")</f>
        <v>13-L-211002</v>
      </c>
      <c r="C4448">
        <v>5</v>
      </c>
      <c r="D4448" t="s">
        <v>856</v>
      </c>
      <c r="E4448" t="s">
        <v>11</v>
      </c>
      <c r="G4448" t="s">
        <v>936</v>
      </c>
      <c r="H4448" t="s">
        <v>938</v>
      </c>
    </row>
    <row r="4449" spans="1:8" hidden="1" x14ac:dyDescent="0.25">
      <c r="A4449" t="s">
        <v>4998</v>
      </c>
      <c r="B4449" s="1" t="str">
        <f>HYPERLINK("https://asmlis.vasa.lt/Dashboard/Served?ServiceDateFrom=2025-11-24&amp;ServiceDateTo=2025-11-24&amp;DumpsterInvNr=13-L-416126", "13-L-416126")</f>
        <v>13-L-416126</v>
      </c>
      <c r="C4449">
        <v>0.24</v>
      </c>
      <c r="D4449" t="s">
        <v>2919</v>
      </c>
      <c r="E4449" t="s">
        <v>11</v>
      </c>
      <c r="G4449" t="s">
        <v>74</v>
      </c>
      <c r="H4449" t="s">
        <v>14</v>
      </c>
    </row>
    <row r="4450" spans="1:8" hidden="1" x14ac:dyDescent="0.25">
      <c r="A4450" t="s">
        <v>6004</v>
      </c>
      <c r="B4450" s="1" t="str">
        <f>HYPERLINK("https://asmlis.vasa.lt/Dashboard/Served?ServiceDateFrom=2025-11-24&amp;ServiceDateTo=2025-11-24&amp;DumpsterInvNr=13-P-500526", "13-P-500526")</f>
        <v>13-P-500526</v>
      </c>
      <c r="C4450">
        <v>5</v>
      </c>
      <c r="D4450" t="s">
        <v>6186</v>
      </c>
      <c r="E4450" t="s">
        <v>11</v>
      </c>
      <c r="F4450" t="s">
        <v>13</v>
      </c>
      <c r="G4450" t="s">
        <v>2178</v>
      </c>
      <c r="H4450" t="s">
        <v>432</v>
      </c>
    </row>
    <row r="4451" spans="1:8" hidden="1" x14ac:dyDescent="0.25">
      <c r="A4451" t="s">
        <v>5001</v>
      </c>
      <c r="B4451" s="1" t="str">
        <f>HYPERLINK("https://asmlis.vasa.lt/Dashboard/Served?ServiceDateFrom=2025-11-24&amp;ServiceDateTo=2025-11-24&amp;DumpsterInvNr=13-M-202761", "13-M-202761")</f>
        <v>13-M-202761</v>
      </c>
      <c r="C4451">
        <v>0.12</v>
      </c>
      <c r="D4451" t="s">
        <v>6188</v>
      </c>
      <c r="E4451" t="s">
        <v>11</v>
      </c>
      <c r="F4451" t="s">
        <v>1209</v>
      </c>
      <c r="G4451" t="s">
        <v>4876</v>
      </c>
      <c r="H4451" t="s">
        <v>938</v>
      </c>
    </row>
    <row r="4452" spans="1:8" hidden="1" x14ac:dyDescent="0.25">
      <c r="A4452" t="s">
        <v>5009</v>
      </c>
      <c r="B4452" s="1" t="str">
        <f>HYPERLINK("https://asmlis.vasa.lt/Dashboard/Served?ServiceDateFrom=2025-11-24&amp;ServiceDateTo=2025-11-24&amp;DumpsterInvNr=13-P-414915", "13-P-414915")</f>
        <v>13-P-414915</v>
      </c>
      <c r="C4452">
        <v>0.24</v>
      </c>
      <c r="D4452" t="s">
        <v>6189</v>
      </c>
      <c r="E4452" t="s">
        <v>11</v>
      </c>
      <c r="F4452" t="s">
        <v>1209</v>
      </c>
      <c r="G4452" t="s">
        <v>264</v>
      </c>
      <c r="H4452" t="s">
        <v>14</v>
      </c>
    </row>
    <row r="4453" spans="1:8" hidden="1" x14ac:dyDescent="0.25">
      <c r="A4453" t="s">
        <v>6190</v>
      </c>
      <c r="B4453" s="1" t="str">
        <f>HYPERLINK("https://asmlis.vasa.lt/Dashboard/Served?ServiceDateFrom=2025-11-24&amp;ServiceDateTo=2025-11-24&amp;DumpsterInvNr=13-P-414821", "13-P-414821")</f>
        <v>13-P-414821</v>
      </c>
      <c r="C4453">
        <v>0.24</v>
      </c>
      <c r="D4453" t="s">
        <v>6191</v>
      </c>
      <c r="E4453" t="s">
        <v>11</v>
      </c>
      <c r="G4453" t="s">
        <v>264</v>
      </c>
      <c r="H4453" t="s">
        <v>14</v>
      </c>
    </row>
    <row r="4454" spans="1:8" hidden="1" x14ac:dyDescent="0.25">
      <c r="A4454" t="s">
        <v>6017</v>
      </c>
      <c r="B4454" s="1" t="str">
        <f>HYPERLINK("https://asmlis.vasa.lt/Dashboard/Served?ServiceDateFrom=2025-11-24&amp;ServiceDateTo=2025-11-24&amp;DumpsterInvNr=13-M-207399", "13-M-207399")</f>
        <v>13-M-207399</v>
      </c>
      <c r="C4454">
        <v>0.12</v>
      </c>
      <c r="D4454" t="s">
        <v>6192</v>
      </c>
      <c r="E4454" t="s">
        <v>11</v>
      </c>
      <c r="F4454" t="s">
        <v>1209</v>
      </c>
      <c r="G4454" t="s">
        <v>4876</v>
      </c>
      <c r="H4454" t="s">
        <v>938</v>
      </c>
    </row>
    <row r="4455" spans="1:8" hidden="1" x14ac:dyDescent="0.25">
      <c r="A4455" t="s">
        <v>6193</v>
      </c>
      <c r="B4455" s="1" t="str">
        <f>HYPERLINK("https://asmlis.vasa.lt/Dashboard/Served?ServiceDateFrom=2025-11-24&amp;ServiceDateTo=2025-11-24&amp;DumpsterInvNr=13-L-213538", "13-L-213538")</f>
        <v>13-L-213538</v>
      </c>
      <c r="C4455">
        <v>0.12</v>
      </c>
      <c r="D4455" t="s">
        <v>6194</v>
      </c>
      <c r="E4455" t="s">
        <v>11</v>
      </c>
      <c r="F4455" t="s">
        <v>1209</v>
      </c>
      <c r="G4455" t="s">
        <v>936</v>
      </c>
      <c r="H4455" t="s">
        <v>938</v>
      </c>
    </row>
    <row r="4456" spans="1:8" hidden="1" x14ac:dyDescent="0.25">
      <c r="A4456" t="s">
        <v>6193</v>
      </c>
      <c r="B4456" s="1" t="str">
        <f>HYPERLINK("https://asmlis.vasa.lt/Dashboard/Served?ServiceDateFrom=2025-11-24&amp;ServiceDateTo=2025-11-24&amp;DumpsterInvNr=13-S-208912", "13-S-208912")</f>
        <v>13-S-208912</v>
      </c>
      <c r="C4456">
        <v>0.12</v>
      </c>
      <c r="D4456" t="s">
        <v>6195</v>
      </c>
      <c r="E4456" t="s">
        <v>11</v>
      </c>
      <c r="F4456" t="s">
        <v>1209</v>
      </c>
      <c r="G4456" t="s">
        <v>234</v>
      </c>
      <c r="H4456" t="s">
        <v>14</v>
      </c>
    </row>
    <row r="4457" spans="1:8" hidden="1" x14ac:dyDescent="0.25">
      <c r="A4457" t="s">
        <v>5018</v>
      </c>
      <c r="B4457" s="1" t="str">
        <f>HYPERLINK("https://asmlis.vasa.lt/Dashboard/Served?ServiceDateFrom=2025-11-24&amp;ServiceDateTo=2025-11-24&amp;DumpsterInvNr=13-L-135620", "13-L-135620")</f>
        <v>13-L-135620</v>
      </c>
      <c r="C4457">
        <v>5</v>
      </c>
      <c r="D4457" t="s">
        <v>6196</v>
      </c>
      <c r="E4457" t="s">
        <v>11</v>
      </c>
      <c r="F4457" t="s">
        <v>13</v>
      </c>
      <c r="G4457" t="s">
        <v>430</v>
      </c>
      <c r="H4457" t="s">
        <v>432</v>
      </c>
    </row>
    <row r="4458" spans="1:8" hidden="1" x14ac:dyDescent="0.25">
      <c r="A4458" t="s">
        <v>6197</v>
      </c>
      <c r="B4458" s="1" t="str">
        <f>HYPERLINK("https://asmlis.vasa.lt/Dashboard/Served?ServiceDateFrom=2025-11-24&amp;ServiceDateTo=2025-11-24&amp;DumpsterInvNr=13-P-212010", "13-P-212010")</f>
        <v>13-P-212010</v>
      </c>
      <c r="C4458">
        <v>0.24</v>
      </c>
      <c r="D4458" t="s">
        <v>6195</v>
      </c>
      <c r="E4458" t="s">
        <v>11</v>
      </c>
      <c r="G4458" t="s">
        <v>234</v>
      </c>
      <c r="H4458" t="s">
        <v>14</v>
      </c>
    </row>
    <row r="4459" spans="1:8" hidden="1" x14ac:dyDescent="0.25">
      <c r="A4459" t="s">
        <v>6041</v>
      </c>
      <c r="B4459" s="1" t="str">
        <f>HYPERLINK("https://asmlis.vasa.lt/Dashboard/Served?ServiceDateFrom=2025-11-24&amp;ServiceDateTo=2025-11-24&amp;DumpsterInvNr=13-M-207998", "13-M-207998")</f>
        <v>13-M-207998</v>
      </c>
      <c r="C4459">
        <v>0.12</v>
      </c>
      <c r="D4459" t="s">
        <v>6198</v>
      </c>
      <c r="E4459" t="s">
        <v>11</v>
      </c>
      <c r="F4459" t="s">
        <v>1209</v>
      </c>
      <c r="G4459" t="s">
        <v>4876</v>
      </c>
      <c r="H4459" t="s">
        <v>938</v>
      </c>
    </row>
    <row r="4460" spans="1:8" hidden="1" x14ac:dyDescent="0.25">
      <c r="A4460" t="s">
        <v>6075</v>
      </c>
      <c r="B4460" s="1" t="str">
        <f>HYPERLINK("https://asmlis.vasa.lt/Dashboard/Served?ServiceDateFrom=2025-11-24&amp;ServiceDateTo=2025-11-24&amp;DumpsterInvNr=13-L-215238", "13-L-215238")</f>
        <v>13-L-215238</v>
      </c>
      <c r="C4460">
        <v>1.1000000000000001</v>
      </c>
      <c r="D4460" t="s">
        <v>5831</v>
      </c>
      <c r="E4460" t="s">
        <v>11</v>
      </c>
      <c r="G4460" t="s">
        <v>936</v>
      </c>
      <c r="H4460" t="s">
        <v>938</v>
      </c>
    </row>
    <row r="4461" spans="1:8" hidden="1" x14ac:dyDescent="0.25">
      <c r="A4461" t="s">
        <v>5045</v>
      </c>
      <c r="B4461" s="1" t="str">
        <f>HYPERLINK("https://asmlis.vasa.lt/Dashboard/Served?ServiceDateFrom=2025-11-24&amp;ServiceDateTo=2025-11-24&amp;DumpsterInvNr=13-L-123367", "13-L-123367")</f>
        <v>13-L-123367</v>
      </c>
      <c r="C4461">
        <v>0.24</v>
      </c>
      <c r="D4461" t="s">
        <v>6199</v>
      </c>
      <c r="E4461" t="s">
        <v>11</v>
      </c>
      <c r="G4461" t="s">
        <v>430</v>
      </c>
      <c r="H4461" t="s">
        <v>432</v>
      </c>
    </row>
    <row r="4462" spans="1:8" hidden="1" x14ac:dyDescent="0.25">
      <c r="A4462" t="s">
        <v>5045</v>
      </c>
      <c r="B4462" s="1" t="str">
        <f>HYPERLINK("https://asmlis.vasa.lt/Dashboard/Served?ServiceDateFrom=2025-11-24&amp;ServiceDateTo=2025-11-24&amp;DumpsterInvNr=13-P-505943", "13-P-505943")</f>
        <v>13-P-505943</v>
      </c>
      <c r="C4462">
        <v>0.24</v>
      </c>
      <c r="D4462" t="s">
        <v>6199</v>
      </c>
      <c r="E4462" t="s">
        <v>11</v>
      </c>
      <c r="G4462" t="s">
        <v>2178</v>
      </c>
      <c r="H4462" t="s">
        <v>432</v>
      </c>
    </row>
    <row r="4463" spans="1:8" hidden="1" x14ac:dyDescent="0.25">
      <c r="A4463" t="s">
        <v>6080</v>
      </c>
      <c r="B4463" s="1" t="str">
        <f>HYPERLINK("https://asmlis.vasa.lt/Dashboard/Served?ServiceDateFrom=2025-11-24&amp;ServiceDateTo=2025-11-24&amp;DumpsterInvNr=13-P-300299", "13-P-300299")</f>
        <v>13-P-300299</v>
      </c>
      <c r="C4463">
        <v>2.5</v>
      </c>
      <c r="D4463" t="s">
        <v>358</v>
      </c>
      <c r="E4463" t="s">
        <v>11</v>
      </c>
      <c r="F4463" t="s">
        <v>13</v>
      </c>
      <c r="G4463" t="s">
        <v>412</v>
      </c>
      <c r="H4463" t="s">
        <v>14</v>
      </c>
    </row>
    <row r="4464" spans="1:8" hidden="1" x14ac:dyDescent="0.25">
      <c r="A4464" t="s">
        <v>6200</v>
      </c>
      <c r="B4464" s="1" t="str">
        <f>HYPERLINK("https://asmlis.vasa.lt/Dashboard/Served?ServiceDateFrom=2025-11-24&amp;ServiceDateTo=2025-11-24&amp;DumpsterInvNr=13-P-300598", "13-P-300598")</f>
        <v>13-P-300598</v>
      </c>
      <c r="C4464">
        <v>1.1000000000000001</v>
      </c>
      <c r="D4464" t="s">
        <v>6201</v>
      </c>
      <c r="E4464" t="s">
        <v>11</v>
      </c>
      <c r="F4464" t="s">
        <v>13</v>
      </c>
      <c r="G4464" t="s">
        <v>412</v>
      </c>
      <c r="H4464" t="s">
        <v>14</v>
      </c>
    </row>
    <row r="4465" spans="1:8" hidden="1" x14ac:dyDescent="0.25">
      <c r="A4465" t="s">
        <v>6087</v>
      </c>
      <c r="B4465" s="1" t="str">
        <f>HYPERLINK("https://asmlis.vasa.lt/Dashboard/Served?ServiceDateFrom=2025-11-24&amp;ServiceDateTo=2025-11-24&amp;DumpsterInvNr=13-P-304048", "13-P-304048")</f>
        <v>13-P-304048</v>
      </c>
      <c r="C4465">
        <v>2.5</v>
      </c>
      <c r="D4465" t="s">
        <v>358</v>
      </c>
      <c r="E4465" t="s">
        <v>11</v>
      </c>
      <c r="F4465" t="s">
        <v>13</v>
      </c>
      <c r="G4465" t="s">
        <v>412</v>
      </c>
      <c r="H4465" t="s">
        <v>14</v>
      </c>
    </row>
    <row r="4466" spans="1:8" hidden="1" x14ac:dyDescent="0.25">
      <c r="A4466" t="s">
        <v>6202</v>
      </c>
      <c r="B4466" s="1" t="str">
        <f>HYPERLINK("https://asmlis.vasa.lt/Dashboard/Served?ServiceDateFrom=2025-11-24&amp;ServiceDateTo=2025-11-24&amp;DumpsterInvNr=13-L-215240", "13-L-215240")</f>
        <v>13-L-215240</v>
      </c>
      <c r="C4466">
        <v>1.1000000000000001</v>
      </c>
      <c r="D4466" t="s">
        <v>5831</v>
      </c>
      <c r="E4466" t="s">
        <v>11</v>
      </c>
      <c r="F4466" t="s">
        <v>13</v>
      </c>
      <c r="G4466" t="s">
        <v>936</v>
      </c>
      <c r="H4466" t="s">
        <v>938</v>
      </c>
    </row>
    <row r="4467" spans="1:8" hidden="1" x14ac:dyDescent="0.25">
      <c r="A4467" t="s">
        <v>6202</v>
      </c>
      <c r="B4467" s="1" t="str">
        <f>HYPERLINK("https://asmlis.vasa.lt/Dashboard/Served?ServiceDateFrom=2025-11-24&amp;ServiceDateTo=2025-11-24&amp;DumpsterInvNr=13-P-112716", "13-P-112716")</f>
        <v>13-P-112716</v>
      </c>
      <c r="C4467">
        <v>0.24</v>
      </c>
      <c r="D4467" t="s">
        <v>6179</v>
      </c>
      <c r="E4467" t="s">
        <v>11</v>
      </c>
      <c r="F4467" t="s">
        <v>1209</v>
      </c>
      <c r="G4467" t="s">
        <v>1917</v>
      </c>
      <c r="H4467" t="s">
        <v>432</v>
      </c>
    </row>
    <row r="4468" spans="1:8" hidden="1" x14ac:dyDescent="0.25">
      <c r="A4468" t="s">
        <v>6203</v>
      </c>
      <c r="B4468" s="1" t="str">
        <f>HYPERLINK("https://asmlis.vasa.lt/Dashboard/Served?ServiceDateFrom=2025-11-24&amp;ServiceDateTo=2025-11-24&amp;DumpsterInvNr=13-P-300203", "13-P-300203")</f>
        <v>13-P-300203</v>
      </c>
      <c r="C4468">
        <v>2.5</v>
      </c>
      <c r="D4468" t="s">
        <v>358</v>
      </c>
      <c r="E4468" t="s">
        <v>11</v>
      </c>
      <c r="F4468" t="s">
        <v>13</v>
      </c>
      <c r="G4468" t="s">
        <v>412</v>
      </c>
      <c r="H4468" t="s">
        <v>14</v>
      </c>
    </row>
    <row r="4469" spans="1:8" hidden="1" x14ac:dyDescent="0.25">
      <c r="A4469" t="s">
        <v>6204</v>
      </c>
      <c r="B4469" s="1" t="str">
        <f>HYPERLINK("https://asmlis.vasa.lt/Dashboard/Served?ServiceDateFrom=2025-11-24&amp;ServiceDateTo=2025-11-24&amp;DumpsterInvNr=13-L-118202", "13-L-118202")</f>
        <v>13-L-118202</v>
      </c>
      <c r="C4469">
        <v>0.24</v>
      </c>
      <c r="D4469" t="s">
        <v>6205</v>
      </c>
      <c r="E4469" t="s">
        <v>11</v>
      </c>
      <c r="F4469" t="s">
        <v>1209</v>
      </c>
      <c r="G4469" t="s">
        <v>1912</v>
      </c>
      <c r="H4469" t="s">
        <v>432</v>
      </c>
    </row>
    <row r="4470" spans="1:8" hidden="1" x14ac:dyDescent="0.25">
      <c r="A4470" t="s">
        <v>6204</v>
      </c>
      <c r="B4470" s="1" t="str">
        <f>HYPERLINK("https://asmlis.vasa.lt/Dashboard/Served?ServiceDateFrom=2025-11-24&amp;ServiceDateTo=2025-11-24&amp;DumpsterInvNr=13-P-112564", "13-P-112564")</f>
        <v>13-P-112564</v>
      </c>
      <c r="C4470">
        <v>0.24</v>
      </c>
      <c r="D4470" t="s">
        <v>6205</v>
      </c>
      <c r="E4470" t="s">
        <v>11</v>
      </c>
      <c r="F4470" t="s">
        <v>1209</v>
      </c>
      <c r="G4470" t="s">
        <v>1917</v>
      </c>
      <c r="H4470" t="s">
        <v>432</v>
      </c>
    </row>
    <row r="4471" spans="1:8" hidden="1" x14ac:dyDescent="0.25">
      <c r="A4471" t="s">
        <v>4848</v>
      </c>
      <c r="B4471" s="1" t="str">
        <f>HYPERLINK("https://asmlis.vasa.lt/Dashboard/Served?ServiceDateFrom=2025-11-24&amp;ServiceDateTo=2025-11-24&amp;DumpsterInvNr=13-P-302599", "13-P-302599")</f>
        <v>13-P-302599</v>
      </c>
      <c r="C4471">
        <v>2.5</v>
      </c>
      <c r="D4471" t="s">
        <v>358</v>
      </c>
      <c r="E4471" t="s">
        <v>11</v>
      </c>
      <c r="F4471" t="s">
        <v>13</v>
      </c>
      <c r="G4471" t="s">
        <v>412</v>
      </c>
      <c r="H4471" t="s">
        <v>14</v>
      </c>
    </row>
    <row r="4472" spans="1:8" hidden="1" x14ac:dyDescent="0.25">
      <c r="A4472" t="s">
        <v>4868</v>
      </c>
      <c r="B4472" s="1" t="str">
        <f>HYPERLINK("https://asmlis.vasa.lt/Dashboard/Served?ServiceDateFrom=2025-11-24&amp;ServiceDateTo=2025-11-24&amp;DumpsterInvNr=13-L-106347", "13-L-106347")</f>
        <v>13-L-106347</v>
      </c>
      <c r="C4472">
        <v>0.24</v>
      </c>
      <c r="D4472" t="s">
        <v>6185</v>
      </c>
      <c r="E4472" t="s">
        <v>11</v>
      </c>
      <c r="F4472" t="s">
        <v>1209</v>
      </c>
      <c r="G4472" t="s">
        <v>1912</v>
      </c>
      <c r="H4472" t="s">
        <v>432</v>
      </c>
    </row>
    <row r="4473" spans="1:8" hidden="1" x14ac:dyDescent="0.25">
      <c r="A4473" t="s">
        <v>4868</v>
      </c>
      <c r="B4473" s="1" t="str">
        <f>HYPERLINK("https://asmlis.vasa.lt/Dashboard/Served?ServiceDateFrom=2025-11-24&amp;ServiceDateTo=2025-11-24&amp;DumpsterInvNr=13-L-415993", "13-L-415993")</f>
        <v>13-L-415993</v>
      </c>
      <c r="C4473">
        <v>0.24</v>
      </c>
      <c r="D4473" t="s">
        <v>2929</v>
      </c>
      <c r="E4473" t="s">
        <v>11</v>
      </c>
      <c r="G4473" t="s">
        <v>74</v>
      </c>
      <c r="H4473" t="s">
        <v>14</v>
      </c>
    </row>
    <row r="4474" spans="1:8" hidden="1" x14ac:dyDescent="0.25">
      <c r="A4474" t="s">
        <v>4912</v>
      </c>
      <c r="B4474" s="1" t="str">
        <f>HYPERLINK("https://asmlis.vasa.lt/Dashboard/Served?ServiceDateFrom=2025-11-24&amp;ServiceDateTo=2025-11-24&amp;DumpsterInvNr=13-L-212374", "13-L-212374")</f>
        <v>13-L-212374</v>
      </c>
      <c r="C4474">
        <v>1.1000000000000001</v>
      </c>
      <c r="D4474" t="s">
        <v>6206</v>
      </c>
      <c r="E4474" t="s">
        <v>11</v>
      </c>
      <c r="G4474" t="s">
        <v>936</v>
      </c>
      <c r="H4474" t="s">
        <v>938</v>
      </c>
    </row>
    <row r="4475" spans="1:8" hidden="1" x14ac:dyDescent="0.25">
      <c r="A4475" t="s">
        <v>5960</v>
      </c>
      <c r="B4475" s="1" t="str">
        <f>HYPERLINK("https://asmlis.vasa.lt/Dashboard/Served?ServiceDateFrom=2025-11-24&amp;ServiceDateTo=2025-11-24&amp;DumpsterInvNr=13-L-426317", "13-L-426317")</f>
        <v>13-L-426317</v>
      </c>
      <c r="C4475">
        <v>5</v>
      </c>
      <c r="D4475" t="s">
        <v>6207</v>
      </c>
      <c r="E4475" t="s">
        <v>11</v>
      </c>
      <c r="F4475" t="s">
        <v>13</v>
      </c>
      <c r="G4475" t="s">
        <v>74</v>
      </c>
      <c r="H4475" t="s">
        <v>14</v>
      </c>
    </row>
    <row r="4476" spans="1:8" hidden="1" x14ac:dyDescent="0.25">
      <c r="A4476" t="s">
        <v>6144</v>
      </c>
      <c r="B4476" s="1" t="str">
        <f>HYPERLINK("https://asmlis.vasa.lt/Dashboard/Served?ServiceDateFrom=2025-11-24&amp;ServiceDateTo=2025-11-24&amp;DumpsterInvNr=13-P-300232", "13-P-300232")</f>
        <v>13-P-300232</v>
      </c>
      <c r="C4476">
        <v>2.5</v>
      </c>
      <c r="D4476" t="s">
        <v>358</v>
      </c>
      <c r="E4476" t="s">
        <v>11</v>
      </c>
      <c r="F4476" t="s">
        <v>13</v>
      </c>
      <c r="G4476" t="s">
        <v>412</v>
      </c>
      <c r="H4476" t="s">
        <v>14</v>
      </c>
    </row>
    <row r="4477" spans="1:8" hidden="1" x14ac:dyDescent="0.25">
      <c r="A4477" t="s">
        <v>6208</v>
      </c>
      <c r="B4477" s="1" t="str">
        <f>HYPERLINK("https://asmlis.vasa.lt/Dashboard/Served?ServiceDateFrom=2025-11-24&amp;ServiceDateTo=2025-11-24&amp;DumpsterInvNr=13-L-401543", "13-L-401543")</f>
        <v>13-L-401543</v>
      </c>
      <c r="C4477">
        <v>0.24</v>
      </c>
      <c r="D4477" t="s">
        <v>2952</v>
      </c>
      <c r="E4477" t="s">
        <v>11</v>
      </c>
      <c r="G4477" t="s">
        <v>74</v>
      </c>
      <c r="H4477" t="s">
        <v>14</v>
      </c>
    </row>
    <row r="4478" spans="1:8" hidden="1" x14ac:dyDescent="0.25">
      <c r="A4478" t="s">
        <v>6209</v>
      </c>
      <c r="B4478" s="1" t="str">
        <f>HYPERLINK("https://asmlis.vasa.lt/Dashboard/Served?ServiceDateFrom=2025-11-24&amp;ServiceDateTo=2025-11-24&amp;DumpsterInvNr=13-M-201669", "13-M-201669")</f>
        <v>13-M-201669</v>
      </c>
      <c r="C4478">
        <v>0.12</v>
      </c>
      <c r="D4478" t="s">
        <v>6210</v>
      </c>
      <c r="E4478" t="s">
        <v>11</v>
      </c>
      <c r="G4478" t="s">
        <v>4876</v>
      </c>
      <c r="H4478" t="s">
        <v>938</v>
      </c>
    </row>
    <row r="4479" spans="1:8" hidden="1" x14ac:dyDescent="0.25">
      <c r="A4479" t="s">
        <v>6211</v>
      </c>
      <c r="B4479" s="1" t="str">
        <f>HYPERLINK("https://asmlis.vasa.lt/Dashboard/Served?ServiceDateFrom=2025-11-24&amp;ServiceDateTo=2025-11-24&amp;DumpsterInvNr=13-P-205138", "13-P-205138")</f>
        <v>13-P-205138</v>
      </c>
      <c r="C4479">
        <v>0.24</v>
      </c>
      <c r="D4479" t="s">
        <v>6212</v>
      </c>
      <c r="E4479" t="s">
        <v>11</v>
      </c>
      <c r="F4479" t="s">
        <v>1209</v>
      </c>
      <c r="G4479" t="s">
        <v>234</v>
      </c>
      <c r="H4479" t="s">
        <v>14</v>
      </c>
    </row>
    <row r="4480" spans="1:8" hidden="1" x14ac:dyDescent="0.25">
      <c r="A4480" t="s">
        <v>5067</v>
      </c>
      <c r="B4480" s="1" t="str">
        <f>HYPERLINK("https://asmlis.vasa.lt/Dashboard/Served?ServiceDateFrom=2025-11-24&amp;ServiceDateTo=2025-11-24&amp;DumpsterInvNr=13-P-205163", "13-P-205163")</f>
        <v>13-P-205163</v>
      </c>
      <c r="C4480">
        <v>0.24</v>
      </c>
      <c r="D4480" t="s">
        <v>6213</v>
      </c>
      <c r="E4480" t="s">
        <v>11</v>
      </c>
      <c r="F4480" t="s">
        <v>1209</v>
      </c>
      <c r="G4480" t="s">
        <v>234</v>
      </c>
      <c r="H4480" t="s">
        <v>14</v>
      </c>
    </row>
    <row r="4481" spans="1:8" hidden="1" x14ac:dyDescent="0.25">
      <c r="A4481" t="s">
        <v>4761</v>
      </c>
      <c r="B4481" s="1" t="str">
        <f>HYPERLINK("https://asmlis.vasa.lt/Dashboard/Served?ServiceDateFrom=2025-11-24&amp;ServiceDateTo=2025-11-24&amp;DumpsterInvNr=13-P-409320", "13-P-409320")</f>
        <v>13-P-409320</v>
      </c>
      <c r="C4481">
        <v>0.24</v>
      </c>
      <c r="D4481" t="s">
        <v>6215</v>
      </c>
      <c r="E4481" t="s">
        <v>11</v>
      </c>
      <c r="F4481" t="s">
        <v>1209</v>
      </c>
      <c r="G4481" t="s">
        <v>264</v>
      </c>
      <c r="H4481" t="s">
        <v>14</v>
      </c>
    </row>
    <row r="4482" spans="1:8" hidden="1" x14ac:dyDescent="0.25">
      <c r="A4482" t="s">
        <v>5080</v>
      </c>
      <c r="B4482" s="1" t="str">
        <f>HYPERLINK("https://asmlis.vasa.lt/Dashboard/Served?ServiceDateFrom=2025-11-24&amp;ServiceDateTo=2025-11-24&amp;DumpsterInvNr=13-L-123368", "13-L-123368")</f>
        <v>13-L-123368</v>
      </c>
      <c r="C4482">
        <v>0.12</v>
      </c>
      <c r="D4482" t="s">
        <v>6216</v>
      </c>
      <c r="E4482" t="s">
        <v>11</v>
      </c>
      <c r="G4482" t="s">
        <v>430</v>
      </c>
      <c r="H4482" t="s">
        <v>432</v>
      </c>
    </row>
    <row r="4483" spans="1:8" hidden="1" x14ac:dyDescent="0.25">
      <c r="A4483" t="s">
        <v>5080</v>
      </c>
      <c r="B4483" s="1" t="str">
        <f>HYPERLINK("https://asmlis.vasa.lt/Dashboard/Served?ServiceDateFrom=2025-11-24&amp;ServiceDateTo=2025-11-24&amp;DumpsterInvNr=13-P-502761", "13-P-502761")</f>
        <v>13-P-502761</v>
      </c>
      <c r="C4483">
        <v>0.24</v>
      </c>
      <c r="D4483" t="s">
        <v>5635</v>
      </c>
      <c r="E4483" t="s">
        <v>11</v>
      </c>
      <c r="G4483" t="s">
        <v>2178</v>
      </c>
      <c r="H4483" t="s">
        <v>432</v>
      </c>
    </row>
    <row r="4484" spans="1:8" hidden="1" x14ac:dyDescent="0.25">
      <c r="A4484" t="s">
        <v>5100</v>
      </c>
      <c r="B4484" s="1" t="str">
        <f>HYPERLINK("https://asmlis.vasa.lt/Dashboard/Served?ServiceDateFrom=2025-11-24&amp;ServiceDateTo=2025-11-24&amp;DumpsterInvNr=13-L-105168", "13-L-105168")</f>
        <v>13-L-105168</v>
      </c>
      <c r="C4484">
        <v>1.1000000000000001</v>
      </c>
      <c r="D4484" t="s">
        <v>6218</v>
      </c>
      <c r="E4484" t="s">
        <v>11</v>
      </c>
      <c r="G4484" t="s">
        <v>430</v>
      </c>
      <c r="H4484" t="s">
        <v>432</v>
      </c>
    </row>
    <row r="4485" spans="1:8" hidden="1" x14ac:dyDescent="0.25">
      <c r="A4485" t="s">
        <v>6219</v>
      </c>
      <c r="B4485" s="1" t="str">
        <f>HYPERLINK("https://asmlis.vasa.lt/Dashboard/Served?ServiceDateFrom=2025-11-24&amp;ServiceDateTo=2025-11-24&amp;DumpsterInvNr=13-M-201799", "13-M-201799")</f>
        <v>13-M-201799</v>
      </c>
      <c r="C4485">
        <v>0.12</v>
      </c>
      <c r="D4485" t="s">
        <v>6220</v>
      </c>
      <c r="E4485" t="s">
        <v>11</v>
      </c>
      <c r="F4485" t="s">
        <v>1209</v>
      </c>
      <c r="G4485" t="s">
        <v>4876</v>
      </c>
      <c r="H4485" t="s">
        <v>938</v>
      </c>
    </row>
    <row r="4486" spans="1:8" hidden="1" x14ac:dyDescent="0.25">
      <c r="A4486" t="s">
        <v>5194</v>
      </c>
      <c r="B4486" s="1" t="str">
        <f>HYPERLINK("https://asmlis.vasa.lt/Dashboard/Served?ServiceDateFrom=2025-11-24&amp;ServiceDateTo=2025-11-24&amp;DumpsterInvNr=13-P-413683", "13-P-413683")</f>
        <v>13-P-413683</v>
      </c>
      <c r="C4486">
        <v>5</v>
      </c>
      <c r="D4486" t="s">
        <v>6221</v>
      </c>
      <c r="E4486" t="s">
        <v>11</v>
      </c>
      <c r="G4486" t="s">
        <v>264</v>
      </c>
      <c r="H4486" t="s">
        <v>14</v>
      </c>
    </row>
    <row r="4487" spans="1:8" hidden="1" x14ac:dyDescent="0.25">
      <c r="A4487" t="s">
        <v>5212</v>
      </c>
      <c r="B4487" s="1" t="str">
        <f>HYPERLINK("https://asmlis.vasa.lt/Dashboard/Served?ServiceDateFrom=2025-11-24&amp;ServiceDateTo=2025-11-24&amp;DumpsterInvNr=13-M-206924", "13-M-206924")</f>
        <v>13-M-206924</v>
      </c>
      <c r="C4487">
        <v>0.12</v>
      </c>
      <c r="D4487" t="s">
        <v>6222</v>
      </c>
      <c r="E4487" t="s">
        <v>11</v>
      </c>
      <c r="F4487" t="s">
        <v>1209</v>
      </c>
      <c r="G4487" t="s">
        <v>4876</v>
      </c>
      <c r="H4487" t="s">
        <v>938</v>
      </c>
    </row>
    <row r="4488" spans="1:8" hidden="1" x14ac:dyDescent="0.25">
      <c r="A4488" t="s">
        <v>6223</v>
      </c>
      <c r="B4488" s="1" t="str">
        <f>HYPERLINK("https://asmlis.vasa.lt/Dashboard/Served?ServiceDateFrom=2025-11-24&amp;ServiceDateTo=2025-11-24&amp;DumpsterInvNr=13-L-123369", "13-L-123369")</f>
        <v>13-L-123369</v>
      </c>
      <c r="C4488">
        <v>0.12</v>
      </c>
      <c r="D4488" t="s">
        <v>6224</v>
      </c>
      <c r="E4488" t="s">
        <v>11</v>
      </c>
      <c r="F4488" t="s">
        <v>1209</v>
      </c>
      <c r="G4488" t="s">
        <v>430</v>
      </c>
      <c r="H4488" t="s">
        <v>432</v>
      </c>
    </row>
    <row r="4489" spans="1:8" hidden="1" x14ac:dyDescent="0.25">
      <c r="A4489" t="s">
        <v>6223</v>
      </c>
      <c r="B4489" s="1" t="str">
        <f>HYPERLINK("https://asmlis.vasa.lt/Dashboard/Served?ServiceDateFrom=2025-11-24&amp;ServiceDateTo=2025-11-24&amp;DumpsterInvNr=13-P-404421", "13-P-404421")</f>
        <v>13-P-404421</v>
      </c>
      <c r="C4489">
        <v>0.24</v>
      </c>
      <c r="D4489" t="s">
        <v>6225</v>
      </c>
      <c r="E4489" t="s">
        <v>11</v>
      </c>
      <c r="G4489" t="s">
        <v>264</v>
      </c>
      <c r="H4489" t="s">
        <v>14</v>
      </c>
    </row>
    <row r="4490" spans="1:8" hidden="1" x14ac:dyDescent="0.25">
      <c r="A4490" t="s">
        <v>6226</v>
      </c>
      <c r="B4490" s="1" t="str">
        <f>HYPERLINK("https://asmlis.vasa.lt/Dashboard/Served?ServiceDateFrom=2025-11-24&amp;ServiceDateTo=2025-11-24&amp;DumpsterInvNr=13-P-306818", "13-P-306818")</f>
        <v>13-P-306818</v>
      </c>
      <c r="C4490">
        <v>1.1000000000000001</v>
      </c>
      <c r="D4490" t="s">
        <v>1057</v>
      </c>
      <c r="E4490" t="s">
        <v>11</v>
      </c>
      <c r="F4490" t="s">
        <v>13</v>
      </c>
      <c r="G4490" t="s">
        <v>412</v>
      </c>
      <c r="H4490" t="s">
        <v>14</v>
      </c>
    </row>
    <row r="4491" spans="1:8" hidden="1" x14ac:dyDescent="0.25">
      <c r="A4491" t="s">
        <v>6227</v>
      </c>
      <c r="B4491" s="1" t="str">
        <f>HYPERLINK("https://asmlis.vasa.lt/Dashboard/Served?ServiceDateFrom=2025-11-24&amp;ServiceDateTo=2025-11-24&amp;DumpsterInvNr=13-L-317175", "13-L-317175")</f>
        <v>13-L-317175</v>
      </c>
      <c r="C4491">
        <v>1.1000000000000001</v>
      </c>
      <c r="D4491" t="s">
        <v>6228</v>
      </c>
      <c r="E4491" t="s">
        <v>11</v>
      </c>
      <c r="G4491" t="s">
        <v>9</v>
      </c>
      <c r="H4491" t="s">
        <v>14</v>
      </c>
    </row>
    <row r="4492" spans="1:8" hidden="1" x14ac:dyDescent="0.25">
      <c r="A4492" t="s">
        <v>6229</v>
      </c>
      <c r="B4492" s="1" t="str">
        <f>HYPERLINK("https://asmlis.vasa.lt/Dashboard/Served?ServiceDateFrom=2025-11-24&amp;ServiceDateTo=2025-11-24&amp;DumpsterInvNr=13-L-138027", "13-L-138027")</f>
        <v>13-L-138027</v>
      </c>
      <c r="C4492">
        <v>5</v>
      </c>
      <c r="D4492" t="s">
        <v>6230</v>
      </c>
      <c r="E4492" t="s">
        <v>11</v>
      </c>
      <c r="F4492" t="s">
        <v>13</v>
      </c>
      <c r="G4492" t="s">
        <v>430</v>
      </c>
      <c r="H4492" t="s">
        <v>432</v>
      </c>
    </row>
    <row r="4493" spans="1:8" hidden="1" x14ac:dyDescent="0.25">
      <c r="A4493" t="s">
        <v>6229</v>
      </c>
      <c r="B4493" s="1" t="str">
        <f>HYPERLINK("https://asmlis.vasa.lt/Dashboard/Served?ServiceDateFrom=2025-11-24&amp;ServiceDateTo=2025-11-24&amp;DumpsterInvNr=13-L-147352", "13-L-147352")</f>
        <v>13-L-147352</v>
      </c>
      <c r="C4493">
        <v>1.1000000000000001</v>
      </c>
      <c r="D4493" t="s">
        <v>6231</v>
      </c>
      <c r="E4493" t="s">
        <v>11</v>
      </c>
      <c r="G4493" t="s">
        <v>1912</v>
      </c>
      <c r="H4493" t="s">
        <v>432</v>
      </c>
    </row>
    <row r="4494" spans="1:8" hidden="1" x14ac:dyDescent="0.25">
      <c r="A4494" t="s">
        <v>6232</v>
      </c>
      <c r="B4494" s="1" t="str">
        <f>HYPERLINK("https://asmlis.vasa.lt/Dashboard/Served?ServiceDateFrom=2025-11-24&amp;ServiceDateTo=2025-11-24&amp;DumpsterInvNr=13-L-317174", "13-L-317174")</f>
        <v>13-L-317174</v>
      </c>
      <c r="C4494">
        <v>1.1000000000000001</v>
      </c>
      <c r="D4494" t="s">
        <v>6228</v>
      </c>
      <c r="E4494" t="s">
        <v>11</v>
      </c>
      <c r="G4494" t="s">
        <v>9</v>
      </c>
      <c r="H4494" t="s">
        <v>14</v>
      </c>
    </row>
    <row r="4495" spans="1:8" hidden="1" x14ac:dyDescent="0.25">
      <c r="A4495" t="s">
        <v>5566</v>
      </c>
      <c r="B4495" s="1" t="str">
        <f>HYPERLINK("https://asmlis.vasa.lt/Dashboard/Served?ServiceDateFrom=2025-11-24&amp;ServiceDateTo=2025-11-24&amp;DumpsterInvNr=13-L-423413", "13-L-423413")</f>
        <v>13-L-423413</v>
      </c>
      <c r="C4495">
        <v>0.24</v>
      </c>
      <c r="D4495" t="s">
        <v>2966</v>
      </c>
      <c r="E4495" t="s">
        <v>11</v>
      </c>
      <c r="G4495" t="s">
        <v>74</v>
      </c>
      <c r="H4495" t="s">
        <v>14</v>
      </c>
    </row>
    <row r="4496" spans="1:8" hidden="1" x14ac:dyDescent="0.25">
      <c r="A4496" t="s">
        <v>5566</v>
      </c>
      <c r="B4496" s="1" t="str">
        <f>HYPERLINK("https://asmlis.vasa.lt/Dashboard/Served?ServiceDateFrom=2025-11-24&amp;ServiceDateTo=2025-11-24&amp;DumpsterInvNr=13-M-206940", "13-M-206940")</f>
        <v>13-M-206940</v>
      </c>
      <c r="C4496">
        <v>0.12</v>
      </c>
      <c r="D4496" t="s">
        <v>6233</v>
      </c>
      <c r="E4496" t="s">
        <v>11</v>
      </c>
      <c r="F4496" t="s">
        <v>1209</v>
      </c>
      <c r="G4496" t="s">
        <v>4876</v>
      </c>
      <c r="H4496" t="s">
        <v>938</v>
      </c>
    </row>
    <row r="4497" spans="1:10" hidden="1" x14ac:dyDescent="0.25">
      <c r="A4497" t="s">
        <v>6235</v>
      </c>
      <c r="B4497" s="1" t="str">
        <f>HYPERLINK("https://asmlis.vasa.lt/Dashboard/Served?ServiceDateFrom=2025-11-24&amp;ServiceDateTo=2025-11-24&amp;DumpsterInvNr=13-L-146076", "13-L-146076")</f>
        <v>13-L-146076</v>
      </c>
      <c r="C4497">
        <v>5</v>
      </c>
      <c r="D4497" t="s">
        <v>6236</v>
      </c>
      <c r="E4497" t="s">
        <v>11</v>
      </c>
      <c r="F4497" t="s">
        <v>13</v>
      </c>
      <c r="G4497" t="s">
        <v>430</v>
      </c>
      <c r="H4497" t="s">
        <v>432</v>
      </c>
    </row>
    <row r="4498" spans="1:10" hidden="1" x14ac:dyDescent="0.25">
      <c r="A4498" t="s">
        <v>6237</v>
      </c>
      <c r="B4498" s="1" t="str">
        <f>HYPERLINK("https://asmlis.vasa.lt/Dashboard/Served?ServiceDateFrom=2025-11-24&amp;ServiceDateTo=2025-11-24&amp;DumpsterInvNr=13-L-134856", "13-L-134856")</f>
        <v>13-L-134856</v>
      </c>
      <c r="C4498">
        <v>1.1000000000000001</v>
      </c>
      <c r="D4498" t="s">
        <v>6238</v>
      </c>
      <c r="E4498" t="s">
        <v>11</v>
      </c>
      <c r="G4498" t="s">
        <v>430</v>
      </c>
      <c r="H4498" t="s">
        <v>432</v>
      </c>
    </row>
    <row r="4499" spans="1:10" hidden="1" x14ac:dyDescent="0.25">
      <c r="A4499" t="s">
        <v>5344</v>
      </c>
      <c r="B4499" s="1" t="str">
        <f>HYPERLINK("https://asmlis.vasa.lt/Dashboard/Served?ServiceDateFrom=2025-11-24&amp;ServiceDateTo=2025-11-24&amp;DumpsterInvNr=13-P-212752", "13-P-212752")</f>
        <v>13-P-212752</v>
      </c>
      <c r="C4499">
        <v>0.24</v>
      </c>
      <c r="D4499" t="s">
        <v>6239</v>
      </c>
      <c r="E4499" t="s">
        <v>11</v>
      </c>
      <c r="G4499" t="s">
        <v>234</v>
      </c>
      <c r="H4499" t="s">
        <v>14</v>
      </c>
    </row>
    <row r="4500" spans="1:10" hidden="1" x14ac:dyDescent="0.25">
      <c r="A4500" t="s">
        <v>5344</v>
      </c>
      <c r="B4500" s="1" t="str">
        <f>HYPERLINK("https://asmlis.vasa.lt/Dashboard/Served?ServiceDateFrom=2025-11-24&amp;ServiceDateTo=2025-11-24&amp;DumpsterInvNr=13-M-206947", "13-M-206947")</f>
        <v>13-M-206947</v>
      </c>
      <c r="C4500">
        <v>0.12</v>
      </c>
      <c r="D4500" t="s">
        <v>6240</v>
      </c>
      <c r="E4500" t="s">
        <v>11</v>
      </c>
      <c r="F4500" t="s">
        <v>1209</v>
      </c>
      <c r="G4500" t="s">
        <v>4876</v>
      </c>
      <c r="H4500" t="s">
        <v>938</v>
      </c>
    </row>
    <row r="4501" spans="1:10" hidden="1" x14ac:dyDescent="0.25">
      <c r="A4501" t="s">
        <v>6241</v>
      </c>
      <c r="B4501" s="1" t="str">
        <f>HYPERLINK("https://asmlis.vasa.lt/Dashboard/Served?ServiceDateFrom=2025-11-24&amp;ServiceDateTo=2025-11-24&amp;DumpsterInvNr=13-L-133839", "13-L-133839")</f>
        <v>13-L-133839</v>
      </c>
      <c r="C4501">
        <v>5</v>
      </c>
      <c r="D4501" t="s">
        <v>6236</v>
      </c>
      <c r="E4501" t="s">
        <v>11</v>
      </c>
      <c r="F4501" t="s">
        <v>13</v>
      </c>
      <c r="G4501" t="s">
        <v>430</v>
      </c>
      <c r="H4501" t="s">
        <v>432</v>
      </c>
    </row>
    <row r="4502" spans="1:10" hidden="1" x14ac:dyDescent="0.25">
      <c r="A4502" t="s">
        <v>5434</v>
      </c>
      <c r="B4502" s="1" t="str">
        <f>HYPERLINK("https://asmlis.vasa.lt/Dashboard/Served?ServiceDateFrom=2025-11-24&amp;ServiceDateTo=2025-11-24&amp;DumpsterInvNr=13-M-206925", "13-M-206925")</f>
        <v>13-M-206925</v>
      </c>
      <c r="C4502">
        <v>0.12</v>
      </c>
      <c r="D4502" t="s">
        <v>6242</v>
      </c>
      <c r="E4502" t="s">
        <v>11</v>
      </c>
      <c r="F4502" t="s">
        <v>1209</v>
      </c>
      <c r="G4502" t="s">
        <v>4876</v>
      </c>
      <c r="H4502" t="s">
        <v>938</v>
      </c>
    </row>
    <row r="4503" spans="1:10" hidden="1" x14ac:dyDescent="0.25">
      <c r="A4503" t="s">
        <v>5684</v>
      </c>
      <c r="B4503" s="1" t="str">
        <f>HYPERLINK("https://asmlis.vasa.lt/Dashboard/Served?ServiceDateFrom=2025-11-24&amp;ServiceDateTo=2025-11-24&amp;DumpsterInvNr=13-L-422032", "13-L-422032")</f>
        <v>13-L-422032</v>
      </c>
      <c r="C4503">
        <v>5</v>
      </c>
      <c r="D4503" t="s">
        <v>6243</v>
      </c>
      <c r="E4503" t="s">
        <v>11</v>
      </c>
      <c r="G4503" t="s">
        <v>74</v>
      </c>
      <c r="H4503" t="s">
        <v>14</v>
      </c>
    </row>
    <row r="4504" spans="1:10" hidden="1" x14ac:dyDescent="0.25">
      <c r="A4504" t="s">
        <v>5684</v>
      </c>
      <c r="B4504" s="1" t="str">
        <f>HYPERLINK("https://asmlis.vasa.lt/Dashboard/Served?ServiceDateFrom=2025-11-24&amp;ServiceDateTo=2025-11-24&amp;DumpsterInvNr=13-P-508005", "13-P-508005")</f>
        <v>13-P-508005</v>
      </c>
      <c r="C4504">
        <v>5</v>
      </c>
      <c r="D4504" t="s">
        <v>6244</v>
      </c>
      <c r="E4504" t="s">
        <v>11</v>
      </c>
      <c r="F4504" t="s">
        <v>13</v>
      </c>
      <c r="G4504" t="s">
        <v>2178</v>
      </c>
      <c r="H4504" t="s">
        <v>432</v>
      </c>
    </row>
    <row r="4505" spans="1:10" hidden="1" x14ac:dyDescent="0.25">
      <c r="A4505" t="s">
        <v>6245</v>
      </c>
      <c r="B4505" s="1" t="str">
        <f>HYPERLINK("https://asmlis.vasa.lt/Dashboard/Served?ServiceDateFrom=2025-11-24&amp;ServiceDateTo=2025-11-24&amp;DumpsterInvNr=13-L-426826", "13-L-426826")</f>
        <v>13-L-426826</v>
      </c>
      <c r="C4505">
        <v>0.24</v>
      </c>
      <c r="D4505" t="s">
        <v>2970</v>
      </c>
      <c r="E4505" t="s">
        <v>11</v>
      </c>
      <c r="F4505" t="s">
        <v>1209</v>
      </c>
      <c r="G4505" t="s">
        <v>74</v>
      </c>
      <c r="H4505" t="s">
        <v>14</v>
      </c>
    </row>
    <row r="4506" spans="1:10" hidden="1" x14ac:dyDescent="0.25">
      <c r="A4506" t="s">
        <v>6245</v>
      </c>
      <c r="B4506" s="1" t="str">
        <f>HYPERLINK("https://asmlis.vasa.lt/Dashboard/Served?ServiceDateFrom=2025-11-24&amp;ServiceDateTo=2025-11-24&amp;DumpsterInvNr=13-M-205769", "13-M-205769")</f>
        <v>13-M-205769</v>
      </c>
      <c r="C4506">
        <v>0.12</v>
      </c>
      <c r="D4506" t="s">
        <v>6246</v>
      </c>
      <c r="E4506" t="s">
        <v>11</v>
      </c>
      <c r="F4506" t="s">
        <v>1209</v>
      </c>
      <c r="G4506" t="s">
        <v>4876</v>
      </c>
      <c r="H4506" t="s">
        <v>938</v>
      </c>
    </row>
    <row r="4507" spans="1:10" hidden="1" x14ac:dyDescent="0.25">
      <c r="A4507" t="s">
        <v>6248</v>
      </c>
      <c r="B4507" s="1" t="str">
        <f>HYPERLINK("https://asmlis.vasa.lt/Dashboard/Served?ServiceDateFrom=2025-11-24&amp;ServiceDateTo=2025-11-24&amp;DumpsterInvNr=13-L-116877", "13-L-116877")</f>
        <v>13-L-116877</v>
      </c>
      <c r="C4507">
        <v>1.1000000000000001</v>
      </c>
      <c r="D4507" t="s">
        <v>6238</v>
      </c>
      <c r="E4507" t="s">
        <v>11</v>
      </c>
      <c r="G4507" t="s">
        <v>430</v>
      </c>
      <c r="H4507" t="s">
        <v>432</v>
      </c>
    </row>
    <row r="4508" spans="1:10" x14ac:dyDescent="0.25">
      <c r="A4508" t="s">
        <v>6249</v>
      </c>
      <c r="B4508" s="1" t="str">
        <f>HYPERLINK("https://asmlis.vasa.lt/Dashboard/Served?ServiceDateFrom=2025-11-24&amp;ServiceDateTo=2025-11-24&amp;DumpsterInvNr=13-P-404419", "13-P-404419")</f>
        <v>13-P-404419</v>
      </c>
      <c r="C4508">
        <v>0.24</v>
      </c>
      <c r="D4508" t="s">
        <v>6250</v>
      </c>
      <c r="E4508" t="s">
        <v>11</v>
      </c>
      <c r="F4508" t="s">
        <v>1215</v>
      </c>
      <c r="G4508" t="s">
        <v>264</v>
      </c>
      <c r="H4508" t="s">
        <v>14</v>
      </c>
      <c r="J4508" t="s">
        <v>17511</v>
      </c>
    </row>
    <row r="4509" spans="1:10" x14ac:dyDescent="0.25">
      <c r="A4509" t="s">
        <v>6249</v>
      </c>
      <c r="B4509" s="1" t="str">
        <f>HYPERLINK("https://asmlis.vasa.lt/Dashboard/Served?ServiceDateFrom=2025-11-24&amp;ServiceDateTo=2025-11-24&amp;DumpsterInvNr=13-P-404420", "13-P-404420")</f>
        <v>13-P-404420</v>
      </c>
      <c r="C4509">
        <v>0.24</v>
      </c>
      <c r="D4509" t="s">
        <v>6252</v>
      </c>
      <c r="E4509" t="s">
        <v>11</v>
      </c>
      <c r="F4509" t="s">
        <v>1215</v>
      </c>
      <c r="G4509" t="s">
        <v>264</v>
      </c>
      <c r="H4509" t="s">
        <v>14</v>
      </c>
      <c r="J4509" t="s">
        <v>17511</v>
      </c>
    </row>
    <row r="4510" spans="1:10" x14ac:dyDescent="0.25">
      <c r="A4510" t="s">
        <v>6249</v>
      </c>
      <c r="B4510" s="1" t="str">
        <f>HYPERLINK("https://asmlis.vasa.lt/Dashboard/Served?ServiceDateFrom=2025-11-24&amp;ServiceDateTo=2025-11-24&amp;DumpsterInvNr=13-P-404422", "13-P-404422")</f>
        <v>13-P-404422</v>
      </c>
      <c r="C4510">
        <v>0.24</v>
      </c>
      <c r="D4510" t="s">
        <v>6253</v>
      </c>
      <c r="E4510" t="s">
        <v>11</v>
      </c>
      <c r="F4510" t="s">
        <v>1215</v>
      </c>
      <c r="G4510" t="s">
        <v>264</v>
      </c>
      <c r="H4510" t="s">
        <v>14</v>
      </c>
      <c r="J4510" t="s">
        <v>17511</v>
      </c>
    </row>
    <row r="4511" spans="1:10" x14ac:dyDescent="0.25">
      <c r="A4511" t="s">
        <v>6249</v>
      </c>
      <c r="B4511" s="1" t="str">
        <f>HYPERLINK("https://asmlis.vasa.lt/Dashboard/Served?ServiceDateFrom=2025-11-24&amp;ServiceDateTo=2025-11-24&amp;DumpsterInvNr=13-P-404423", "13-P-404423")</f>
        <v>13-P-404423</v>
      </c>
      <c r="C4511">
        <v>0.24</v>
      </c>
      <c r="D4511" t="s">
        <v>6254</v>
      </c>
      <c r="E4511" t="s">
        <v>11</v>
      </c>
      <c r="F4511" t="s">
        <v>1215</v>
      </c>
      <c r="G4511" t="s">
        <v>264</v>
      </c>
      <c r="H4511" t="s">
        <v>14</v>
      </c>
      <c r="J4511" t="s">
        <v>17511</v>
      </c>
    </row>
    <row r="4512" spans="1:10" x14ac:dyDescent="0.25">
      <c r="A4512" t="s">
        <v>6249</v>
      </c>
      <c r="B4512" s="1" t="str">
        <f>HYPERLINK("https://asmlis.vasa.lt/Dashboard/Served?ServiceDateFrom=2025-11-24&amp;ServiceDateTo=2025-11-24&amp;DumpsterInvNr=13-P-404424", "13-P-404424")</f>
        <v>13-P-404424</v>
      </c>
      <c r="C4512">
        <v>0.12</v>
      </c>
      <c r="D4512" t="s">
        <v>6255</v>
      </c>
      <c r="E4512" t="s">
        <v>11</v>
      </c>
      <c r="F4512" t="s">
        <v>1215</v>
      </c>
      <c r="G4512" t="s">
        <v>264</v>
      </c>
      <c r="H4512" t="s">
        <v>14</v>
      </c>
      <c r="J4512" t="s">
        <v>17511</v>
      </c>
    </row>
    <row r="4513" spans="1:10" x14ac:dyDescent="0.25">
      <c r="A4513" t="s">
        <v>6249</v>
      </c>
      <c r="B4513" s="1" t="str">
        <f>HYPERLINK("https://asmlis.vasa.lt/Dashboard/Served?ServiceDateFrom=2025-11-24&amp;ServiceDateTo=2025-11-24&amp;DumpsterInvNr=13-P-413047", "13-P-413047")</f>
        <v>13-P-413047</v>
      </c>
      <c r="C4513">
        <v>0.24</v>
      </c>
      <c r="D4513" t="s">
        <v>6256</v>
      </c>
      <c r="E4513" t="s">
        <v>11</v>
      </c>
      <c r="F4513" t="s">
        <v>1215</v>
      </c>
      <c r="G4513" t="s">
        <v>264</v>
      </c>
      <c r="H4513" t="s">
        <v>14</v>
      </c>
      <c r="J4513" t="s">
        <v>17511</v>
      </c>
    </row>
    <row r="4514" spans="1:10" hidden="1" x14ac:dyDescent="0.25">
      <c r="A4514" t="s">
        <v>5790</v>
      </c>
      <c r="B4514" s="1" t="str">
        <f>HYPERLINK("https://asmlis.vasa.lt/Dashboard/Served?ServiceDateFrom=2025-11-24&amp;ServiceDateTo=2025-11-24&amp;DumpsterInvNr=13-L-145864", "13-L-145864")</f>
        <v>13-L-145864</v>
      </c>
      <c r="C4514">
        <v>5</v>
      </c>
      <c r="D4514" t="s">
        <v>6257</v>
      </c>
      <c r="E4514" t="s">
        <v>11</v>
      </c>
      <c r="F4514" t="s">
        <v>13</v>
      </c>
      <c r="G4514" t="s">
        <v>1912</v>
      </c>
      <c r="H4514" t="s">
        <v>432</v>
      </c>
    </row>
    <row r="4515" spans="1:10" hidden="1" x14ac:dyDescent="0.25">
      <c r="A4515" t="s">
        <v>6022</v>
      </c>
      <c r="B4515" s="1" t="str">
        <f>HYPERLINK("https://asmlis.vasa.lt/Dashboard/Served?ServiceDateFrom=2025-11-24&amp;ServiceDateTo=2025-11-24&amp;DumpsterInvNr=13-L-118203", "13-L-118203")</f>
        <v>13-L-118203</v>
      </c>
      <c r="C4515">
        <v>0.12</v>
      </c>
      <c r="D4515" t="s">
        <v>6258</v>
      </c>
      <c r="E4515" t="s">
        <v>11</v>
      </c>
      <c r="G4515" t="s">
        <v>1912</v>
      </c>
      <c r="H4515" t="s">
        <v>432</v>
      </c>
    </row>
    <row r="4516" spans="1:10" hidden="1" x14ac:dyDescent="0.25">
      <c r="A4516" t="s">
        <v>6022</v>
      </c>
      <c r="B4516" s="1" t="str">
        <f>HYPERLINK("https://asmlis.vasa.lt/Dashboard/Served?ServiceDateFrom=2025-11-24&amp;ServiceDateTo=2025-11-24&amp;DumpsterInvNr=13-P-112652", "13-P-112652")</f>
        <v>13-P-112652</v>
      </c>
      <c r="C4516">
        <v>0.24</v>
      </c>
      <c r="D4516" t="s">
        <v>6258</v>
      </c>
      <c r="E4516" t="s">
        <v>11</v>
      </c>
      <c r="G4516" t="s">
        <v>1917</v>
      </c>
      <c r="H4516" t="s">
        <v>432</v>
      </c>
    </row>
    <row r="4517" spans="1:10" hidden="1" x14ac:dyDescent="0.25">
      <c r="A4517" t="s">
        <v>6137</v>
      </c>
      <c r="B4517" s="1" t="str">
        <f>HYPERLINK("https://asmlis.vasa.lt/Dashboard/Served?ServiceDateFrom=2025-11-24&amp;ServiceDateTo=2025-11-24&amp;DumpsterInvNr=13-L-116876", "13-L-116876")</f>
        <v>13-L-116876</v>
      </c>
      <c r="C4517">
        <v>1.1000000000000001</v>
      </c>
      <c r="D4517" t="s">
        <v>6238</v>
      </c>
      <c r="E4517" t="s">
        <v>11</v>
      </c>
      <c r="G4517" t="s">
        <v>430</v>
      </c>
      <c r="H4517" t="s">
        <v>432</v>
      </c>
    </row>
    <row r="4518" spans="1:10" hidden="1" x14ac:dyDescent="0.25">
      <c r="A4518" t="s">
        <v>6137</v>
      </c>
      <c r="B4518" s="1" t="str">
        <f>HYPERLINK("https://asmlis.vasa.lt/Dashboard/Served?ServiceDateFrom=2025-11-24&amp;ServiceDateTo=2025-11-24&amp;DumpsterInvNr=13-M-206944", "13-M-206944")</f>
        <v>13-M-206944</v>
      </c>
      <c r="C4518">
        <v>0.12</v>
      </c>
      <c r="D4518" t="s">
        <v>6261</v>
      </c>
      <c r="E4518" t="s">
        <v>11</v>
      </c>
      <c r="F4518" t="s">
        <v>1209</v>
      </c>
      <c r="G4518" t="s">
        <v>4876</v>
      </c>
      <c r="H4518" t="s">
        <v>938</v>
      </c>
    </row>
    <row r="4519" spans="1:10" hidden="1" x14ac:dyDescent="0.25">
      <c r="A4519" t="s">
        <v>6263</v>
      </c>
      <c r="B4519" s="1" t="str">
        <f>HYPERLINK("https://asmlis.vasa.lt/Dashboard/Served?ServiceDateFrom=2025-11-24&amp;ServiceDateTo=2025-11-24&amp;DumpsterInvNr=13-M-206926", "13-M-206926")</f>
        <v>13-M-206926</v>
      </c>
      <c r="C4519">
        <v>0.12</v>
      </c>
      <c r="D4519" t="s">
        <v>6264</v>
      </c>
      <c r="E4519" t="s">
        <v>11</v>
      </c>
      <c r="F4519" t="s">
        <v>1209</v>
      </c>
      <c r="G4519" t="s">
        <v>4876</v>
      </c>
      <c r="H4519" t="s">
        <v>938</v>
      </c>
    </row>
    <row r="4520" spans="1:10" hidden="1" x14ac:dyDescent="0.25">
      <c r="A4520" t="s">
        <v>6265</v>
      </c>
      <c r="B4520" s="1" t="str">
        <f>HYPERLINK("https://asmlis.vasa.lt/Dashboard/Served?ServiceDateFrom=2025-11-24&amp;ServiceDateTo=2025-11-24&amp;DumpsterInvNr=13-L-415509", "13-L-415509")</f>
        <v>13-L-415509</v>
      </c>
      <c r="C4520">
        <v>0.12</v>
      </c>
      <c r="D4520" t="s">
        <v>2995</v>
      </c>
      <c r="E4520" t="s">
        <v>11</v>
      </c>
      <c r="G4520" t="s">
        <v>74</v>
      </c>
      <c r="H4520" t="s">
        <v>14</v>
      </c>
    </row>
    <row r="4521" spans="1:10" hidden="1" x14ac:dyDescent="0.25">
      <c r="A4521" t="s">
        <v>6265</v>
      </c>
      <c r="B4521" s="1" t="str">
        <f>HYPERLINK("https://asmlis.vasa.lt/Dashboard/Served?ServiceDateFrom=2025-11-24&amp;ServiceDateTo=2025-11-24&amp;DumpsterInvNr=13-L-401540", "13-L-401540")</f>
        <v>13-L-401540</v>
      </c>
      <c r="C4521">
        <v>0.24</v>
      </c>
      <c r="D4521" t="s">
        <v>3001</v>
      </c>
      <c r="E4521" t="s">
        <v>11</v>
      </c>
      <c r="G4521" t="s">
        <v>74</v>
      </c>
      <c r="H4521" t="s">
        <v>14</v>
      </c>
    </row>
    <row r="4522" spans="1:10" hidden="1" x14ac:dyDescent="0.25">
      <c r="A4522" t="s">
        <v>5918</v>
      </c>
      <c r="B4522" s="1" t="str">
        <f>HYPERLINK("https://asmlis.vasa.lt/Dashboard/Served?ServiceDateFrom=2025-11-24&amp;ServiceDateTo=2025-11-24&amp;DumpsterInvNr=13-P-404426", "13-P-404426")</f>
        <v>13-P-404426</v>
      </c>
      <c r="C4522">
        <v>0.24</v>
      </c>
      <c r="D4522" t="s">
        <v>6266</v>
      </c>
      <c r="E4522" t="s">
        <v>11</v>
      </c>
      <c r="G4522" t="s">
        <v>264</v>
      </c>
      <c r="H4522" t="s">
        <v>14</v>
      </c>
    </row>
    <row r="4523" spans="1:10" hidden="1" x14ac:dyDescent="0.25">
      <c r="A4523" t="s">
        <v>6267</v>
      </c>
      <c r="B4523" s="1" t="str">
        <f>HYPERLINK("https://asmlis.vasa.lt/Dashboard/Served?ServiceDateFrom=2025-11-24&amp;ServiceDateTo=2025-11-24&amp;DumpsterInvNr=13-M-202894", "13-M-202894")</f>
        <v>13-M-202894</v>
      </c>
      <c r="C4523">
        <v>0.12</v>
      </c>
      <c r="D4523" t="s">
        <v>6268</v>
      </c>
      <c r="E4523" t="s">
        <v>11</v>
      </c>
      <c r="F4523" t="s">
        <v>1209</v>
      </c>
      <c r="G4523" t="s">
        <v>4876</v>
      </c>
      <c r="H4523" t="s">
        <v>938</v>
      </c>
    </row>
    <row r="4524" spans="1:10" hidden="1" x14ac:dyDescent="0.25">
      <c r="A4524" t="s">
        <v>5933</v>
      </c>
      <c r="B4524" s="1" t="str">
        <f>HYPERLINK("https://asmlis.vasa.lt/Dashboard/Served?ServiceDateFrom=2025-11-24&amp;ServiceDateTo=2025-11-24&amp;DumpsterInvNr=13-L-123952", "13-L-123952")</f>
        <v>13-L-123952</v>
      </c>
      <c r="C4524">
        <v>0.66</v>
      </c>
      <c r="D4524" t="s">
        <v>6270</v>
      </c>
      <c r="E4524" t="s">
        <v>11</v>
      </c>
      <c r="G4524" t="s">
        <v>1912</v>
      </c>
      <c r="H4524" t="s">
        <v>432</v>
      </c>
    </row>
    <row r="4525" spans="1:10" hidden="1" x14ac:dyDescent="0.25">
      <c r="A4525" t="s">
        <v>6271</v>
      </c>
      <c r="B4525" s="1" t="str">
        <f>HYPERLINK("https://asmlis.vasa.lt/Dashboard/Served?ServiceDateFrom=2025-11-24&amp;ServiceDateTo=2025-11-24&amp;DumpsterInvNr=13-P-205182", "13-P-205182")</f>
        <v>13-P-205182</v>
      </c>
      <c r="C4525">
        <v>0.24</v>
      </c>
      <c r="D4525" t="s">
        <v>6272</v>
      </c>
      <c r="E4525" t="s">
        <v>11</v>
      </c>
      <c r="G4525" t="s">
        <v>234</v>
      </c>
      <c r="H4525" t="s">
        <v>14</v>
      </c>
    </row>
    <row r="4526" spans="1:10" hidden="1" x14ac:dyDescent="0.25">
      <c r="A4526" t="s">
        <v>6271</v>
      </c>
      <c r="B4526" s="1" t="str">
        <f>HYPERLINK("https://asmlis.vasa.lt/Dashboard/Served?ServiceDateFrom=2025-11-24&amp;ServiceDateTo=2025-11-24&amp;DumpsterInvNr=13-S-206722", "13-S-206722")</f>
        <v>13-S-206722</v>
      </c>
      <c r="C4526">
        <v>0.12</v>
      </c>
      <c r="D4526" t="s">
        <v>6272</v>
      </c>
      <c r="E4526" t="s">
        <v>11</v>
      </c>
      <c r="G4526" t="s">
        <v>234</v>
      </c>
      <c r="H4526" t="s">
        <v>14</v>
      </c>
    </row>
    <row r="4527" spans="1:10" hidden="1" x14ac:dyDescent="0.25">
      <c r="A4527" t="s">
        <v>5992</v>
      </c>
      <c r="B4527" s="1" t="str">
        <f>HYPERLINK("https://asmlis.vasa.lt/Dashboard/Served?ServiceDateFrom=2025-11-24&amp;ServiceDateTo=2025-11-24&amp;DumpsterInvNr=13-L-116878", "13-L-116878")</f>
        <v>13-L-116878</v>
      </c>
      <c r="C4527">
        <v>1.1000000000000001</v>
      </c>
      <c r="D4527" t="s">
        <v>6238</v>
      </c>
      <c r="E4527" t="s">
        <v>11</v>
      </c>
      <c r="G4527" t="s">
        <v>430</v>
      </c>
      <c r="H4527" t="s">
        <v>432</v>
      </c>
    </row>
    <row r="4528" spans="1:10" hidden="1" x14ac:dyDescent="0.25">
      <c r="A4528" t="s">
        <v>6273</v>
      </c>
      <c r="B4528" s="1" t="str">
        <f>HYPERLINK("https://asmlis.vasa.lt/Dashboard/Served?ServiceDateFrom=2025-11-24&amp;ServiceDateTo=2025-11-24&amp;DumpsterInvNr=13-L-112241", "13-L-112241")</f>
        <v>13-L-112241</v>
      </c>
      <c r="C4528">
        <v>0.24</v>
      </c>
      <c r="D4528" t="s">
        <v>6274</v>
      </c>
      <c r="E4528" t="s">
        <v>11</v>
      </c>
      <c r="G4528" t="s">
        <v>430</v>
      </c>
      <c r="H4528" t="s">
        <v>432</v>
      </c>
    </row>
    <row r="4529" spans="1:8" hidden="1" x14ac:dyDescent="0.25">
      <c r="A4529" t="s">
        <v>6273</v>
      </c>
      <c r="B4529" s="1" t="str">
        <f>HYPERLINK("https://asmlis.vasa.lt/Dashboard/Served?ServiceDateFrom=2025-11-24&amp;ServiceDateTo=2025-11-24&amp;DumpsterInvNr=13-P-506933", "13-P-506933")</f>
        <v>13-P-506933</v>
      </c>
      <c r="C4529">
        <v>0.24</v>
      </c>
      <c r="D4529" t="s">
        <v>6274</v>
      </c>
      <c r="E4529" t="s">
        <v>11</v>
      </c>
      <c r="G4529" t="s">
        <v>2178</v>
      </c>
      <c r="H4529" t="s">
        <v>432</v>
      </c>
    </row>
    <row r="4530" spans="1:8" hidden="1" x14ac:dyDescent="0.25">
      <c r="A4530" t="s">
        <v>6276</v>
      </c>
      <c r="B4530" s="1" t="str">
        <f>HYPERLINK("https://asmlis.vasa.lt/Dashboard/Served?ServiceDateFrom=2025-11-24&amp;ServiceDateTo=2025-11-24&amp;DumpsterInvNr=13-L-117000", "13-L-117000")</f>
        <v>13-L-117000</v>
      </c>
      <c r="C4530">
        <v>1.1000000000000001</v>
      </c>
      <c r="D4530" t="s">
        <v>6238</v>
      </c>
      <c r="E4530" t="s">
        <v>11</v>
      </c>
      <c r="G4530" t="s">
        <v>430</v>
      </c>
      <c r="H4530" t="s">
        <v>432</v>
      </c>
    </row>
    <row r="4531" spans="1:8" hidden="1" x14ac:dyDescent="0.25">
      <c r="A4531" t="s">
        <v>6276</v>
      </c>
      <c r="B4531" s="1" t="str">
        <f>HYPERLINK("https://asmlis.vasa.lt/Dashboard/Served?ServiceDateFrom=2025-11-24&amp;ServiceDateTo=2025-11-24&amp;DumpsterInvNr=13-M-206957", "13-M-206957")</f>
        <v>13-M-206957</v>
      </c>
      <c r="C4531">
        <v>0.12</v>
      </c>
      <c r="D4531" t="s">
        <v>6277</v>
      </c>
      <c r="E4531" t="s">
        <v>11</v>
      </c>
      <c r="G4531" t="s">
        <v>4876</v>
      </c>
      <c r="H4531" t="s">
        <v>938</v>
      </c>
    </row>
    <row r="4532" spans="1:8" hidden="1" x14ac:dyDescent="0.25">
      <c r="A4532" t="s">
        <v>5256</v>
      </c>
      <c r="B4532" s="1" t="str">
        <f>HYPERLINK("https://asmlis.vasa.lt/Dashboard/Served?ServiceDateFrom=2025-11-24&amp;ServiceDateTo=2025-11-24&amp;DumpsterInvNr=13-L-314799", "13-L-314799")</f>
        <v>13-L-314799</v>
      </c>
      <c r="C4532">
        <v>0.77</v>
      </c>
      <c r="D4532" t="s">
        <v>6278</v>
      </c>
      <c r="E4532" t="s">
        <v>11</v>
      </c>
      <c r="G4532" t="s">
        <v>9</v>
      </c>
      <c r="H4532" t="s">
        <v>14</v>
      </c>
    </row>
    <row r="4533" spans="1:8" hidden="1" x14ac:dyDescent="0.25">
      <c r="A4533" t="s">
        <v>5256</v>
      </c>
      <c r="B4533" s="1" t="str">
        <f>HYPERLINK("https://asmlis.vasa.lt/Dashboard/Served?ServiceDateFrom=2025-11-24&amp;ServiceDateTo=2025-11-24&amp;DumpsterInvNr=13-P-500527", "13-P-500527")</f>
        <v>13-P-500527</v>
      </c>
      <c r="C4533">
        <v>5</v>
      </c>
      <c r="D4533" t="s">
        <v>6279</v>
      </c>
      <c r="E4533" t="s">
        <v>11</v>
      </c>
      <c r="F4533" t="s">
        <v>13</v>
      </c>
      <c r="G4533" t="s">
        <v>2178</v>
      </c>
      <c r="H4533" t="s">
        <v>432</v>
      </c>
    </row>
    <row r="4534" spans="1:8" hidden="1" x14ac:dyDescent="0.25">
      <c r="A4534" t="s">
        <v>6280</v>
      </c>
      <c r="B4534" s="1" t="str">
        <f>HYPERLINK("https://asmlis.vasa.lt/Dashboard/Served?ServiceDateFrom=2025-11-24&amp;ServiceDateTo=2025-11-24&amp;DumpsterInvNr=13-L-140753", "13-L-140753")</f>
        <v>13-L-140753</v>
      </c>
      <c r="C4534">
        <v>0.12</v>
      </c>
      <c r="D4534" t="s">
        <v>6281</v>
      </c>
      <c r="E4534" t="s">
        <v>11</v>
      </c>
      <c r="F4534" t="s">
        <v>1209</v>
      </c>
      <c r="G4534" t="s">
        <v>1912</v>
      </c>
      <c r="H4534" t="s">
        <v>432</v>
      </c>
    </row>
    <row r="4535" spans="1:8" hidden="1" x14ac:dyDescent="0.25">
      <c r="A4535" t="s">
        <v>6282</v>
      </c>
      <c r="B4535" s="1" t="str">
        <f>HYPERLINK("https://asmlis.vasa.lt/Dashboard/Served?ServiceDateFrom=2025-11-24&amp;ServiceDateTo=2025-11-24&amp;DumpsterInvNr=13-L-223508", "13-L-223508")</f>
        <v>13-L-223508</v>
      </c>
      <c r="C4535">
        <v>1.1000000000000001</v>
      </c>
      <c r="D4535" t="s">
        <v>6283</v>
      </c>
      <c r="E4535" t="s">
        <v>11</v>
      </c>
      <c r="G4535" t="s">
        <v>936</v>
      </c>
      <c r="H4535" t="s">
        <v>938</v>
      </c>
    </row>
    <row r="4536" spans="1:8" hidden="1" x14ac:dyDescent="0.25">
      <c r="A4536" t="s">
        <v>5228</v>
      </c>
      <c r="B4536" s="1" t="str">
        <f>HYPERLINK("https://asmlis.vasa.lt/Dashboard/Served?ServiceDateFrom=2025-11-24&amp;ServiceDateTo=2025-11-24&amp;DumpsterInvNr=13-P-404449", "13-P-404449")</f>
        <v>13-P-404449</v>
      </c>
      <c r="C4536">
        <v>0.24</v>
      </c>
      <c r="D4536" t="s">
        <v>6284</v>
      </c>
      <c r="E4536" t="s">
        <v>11</v>
      </c>
      <c r="G4536" t="s">
        <v>264</v>
      </c>
      <c r="H4536" t="s">
        <v>14</v>
      </c>
    </row>
    <row r="4537" spans="1:8" hidden="1" x14ac:dyDescent="0.25">
      <c r="A4537" t="s">
        <v>6285</v>
      </c>
      <c r="B4537" s="1" t="str">
        <f>HYPERLINK("https://asmlis.vasa.lt/Dashboard/Served?ServiceDateFrom=2025-11-24&amp;ServiceDateTo=2025-11-24&amp;DumpsterInvNr=13-L-123370", "13-L-123370")</f>
        <v>13-L-123370</v>
      </c>
      <c r="C4537">
        <v>0.24</v>
      </c>
      <c r="D4537" t="s">
        <v>6286</v>
      </c>
      <c r="E4537" t="s">
        <v>11</v>
      </c>
      <c r="G4537" t="s">
        <v>430</v>
      </c>
      <c r="H4537" t="s">
        <v>432</v>
      </c>
    </row>
    <row r="4538" spans="1:8" hidden="1" x14ac:dyDescent="0.25">
      <c r="A4538" t="s">
        <v>6285</v>
      </c>
      <c r="B4538" s="1" t="str">
        <f>HYPERLINK("https://asmlis.vasa.lt/Dashboard/Served?ServiceDateFrom=2025-11-24&amp;ServiceDateTo=2025-11-24&amp;DumpsterInvNr=13-P-502763", "13-P-502763")</f>
        <v>13-P-502763</v>
      </c>
      <c r="C4538">
        <v>0.24</v>
      </c>
      <c r="D4538" t="s">
        <v>6286</v>
      </c>
      <c r="E4538" t="s">
        <v>11</v>
      </c>
      <c r="G4538" t="s">
        <v>2178</v>
      </c>
      <c r="H4538" t="s">
        <v>432</v>
      </c>
    </row>
    <row r="4539" spans="1:8" hidden="1" x14ac:dyDescent="0.25">
      <c r="A4539" t="s">
        <v>6287</v>
      </c>
      <c r="B4539" s="1" t="str">
        <f>HYPERLINK("https://asmlis.vasa.lt/Dashboard/Served?ServiceDateFrom=2025-11-24&amp;ServiceDateTo=2025-11-24&amp;DumpsterInvNr=13-P-101144", "13-P-101144")</f>
        <v>13-P-101144</v>
      </c>
      <c r="C4539">
        <v>0.24</v>
      </c>
      <c r="D4539" t="s">
        <v>6281</v>
      </c>
      <c r="E4539" t="s">
        <v>11</v>
      </c>
      <c r="F4539" t="s">
        <v>1209</v>
      </c>
      <c r="G4539" t="s">
        <v>1917</v>
      </c>
      <c r="H4539" t="s">
        <v>432</v>
      </c>
    </row>
    <row r="4540" spans="1:8" hidden="1" x14ac:dyDescent="0.25">
      <c r="A4540" t="s">
        <v>6288</v>
      </c>
      <c r="B4540" s="1" t="str">
        <f>HYPERLINK("https://asmlis.vasa.lt/Dashboard/Served?ServiceDateFrom=2025-11-24&amp;ServiceDateTo=2025-11-24&amp;DumpsterInvNr=13-P-400581", "13-P-400581")</f>
        <v>13-P-400581</v>
      </c>
      <c r="C4540">
        <v>5</v>
      </c>
      <c r="D4540" t="s">
        <v>6289</v>
      </c>
      <c r="E4540" t="s">
        <v>11</v>
      </c>
      <c r="F4540" t="s">
        <v>13</v>
      </c>
      <c r="G4540" t="s">
        <v>264</v>
      </c>
      <c r="H4540" t="s">
        <v>14</v>
      </c>
    </row>
    <row r="4541" spans="1:8" hidden="1" x14ac:dyDescent="0.25">
      <c r="A4541" t="s">
        <v>6288</v>
      </c>
      <c r="B4541" s="1" t="str">
        <f>HYPERLINK("https://asmlis.vasa.lt/Dashboard/Served?ServiceDateFrom=2025-11-24&amp;ServiceDateTo=2025-11-24&amp;DumpsterInvNr=13-P-415874", "13-P-415874")</f>
        <v>13-P-415874</v>
      </c>
      <c r="C4541">
        <v>0.24</v>
      </c>
      <c r="D4541" t="s">
        <v>6290</v>
      </c>
      <c r="E4541" t="s">
        <v>11</v>
      </c>
      <c r="F4541" t="s">
        <v>1209</v>
      </c>
      <c r="G4541" t="s">
        <v>264</v>
      </c>
      <c r="H4541" t="s">
        <v>14</v>
      </c>
    </row>
    <row r="4542" spans="1:8" hidden="1" x14ac:dyDescent="0.25">
      <c r="A4542" t="s">
        <v>6291</v>
      </c>
      <c r="B4542" s="1" t="str">
        <f>HYPERLINK("https://asmlis.vasa.lt/Dashboard/Served?ServiceDateFrom=2025-11-24&amp;ServiceDateTo=2025-11-24&amp;DumpsterInvNr=13-L-422608", "13-L-422608")</f>
        <v>13-L-422608</v>
      </c>
      <c r="C4542">
        <v>1.1000000000000001</v>
      </c>
      <c r="D4542" t="s">
        <v>6292</v>
      </c>
      <c r="E4542" t="s">
        <v>11</v>
      </c>
      <c r="G4542" t="s">
        <v>74</v>
      </c>
      <c r="H4542" t="s">
        <v>14</v>
      </c>
    </row>
    <row r="4543" spans="1:8" hidden="1" x14ac:dyDescent="0.25">
      <c r="A4543" t="s">
        <v>6291</v>
      </c>
      <c r="B4543" s="1" t="str">
        <f>HYPERLINK("https://asmlis.vasa.lt/Dashboard/Served?ServiceDateFrom=2025-11-24&amp;ServiceDateTo=2025-11-24&amp;DumpsterInvNr=13-P-400594", "13-P-400594")</f>
        <v>13-P-400594</v>
      </c>
      <c r="C4543">
        <v>5</v>
      </c>
      <c r="D4543" t="s">
        <v>6289</v>
      </c>
      <c r="E4543" t="s">
        <v>11</v>
      </c>
      <c r="F4543" t="s">
        <v>13</v>
      </c>
      <c r="G4543" t="s">
        <v>264</v>
      </c>
      <c r="H4543" t="s">
        <v>14</v>
      </c>
    </row>
    <row r="4544" spans="1:8" hidden="1" x14ac:dyDescent="0.25">
      <c r="A4544" t="s">
        <v>5199</v>
      </c>
      <c r="B4544" s="1" t="str">
        <f>HYPERLINK("https://asmlis.vasa.lt/Dashboard/Served?ServiceDateFrom=2025-11-24&amp;ServiceDateTo=2025-11-24&amp;DumpsterInvNr=13-L-416210", "13-L-416210")</f>
        <v>13-L-416210</v>
      </c>
      <c r="C4544">
        <v>5</v>
      </c>
      <c r="D4544" t="s">
        <v>6207</v>
      </c>
      <c r="E4544" t="s">
        <v>11</v>
      </c>
      <c r="F4544" t="s">
        <v>13</v>
      </c>
      <c r="G4544" t="s">
        <v>74</v>
      </c>
      <c r="H4544" t="s">
        <v>14</v>
      </c>
    </row>
    <row r="4545" spans="1:8" hidden="1" x14ac:dyDescent="0.25">
      <c r="A4545" t="s">
        <v>6293</v>
      </c>
      <c r="B4545" s="1" t="str">
        <f>HYPERLINK("https://asmlis.vasa.lt/Dashboard/Served?ServiceDateFrom=2025-11-24&amp;ServiceDateTo=2025-11-24&amp;DumpsterInvNr=13-L-118390", "13-L-118390")</f>
        <v>13-L-118390</v>
      </c>
      <c r="C4545">
        <v>0.12</v>
      </c>
      <c r="D4545" t="s">
        <v>6294</v>
      </c>
      <c r="E4545" t="s">
        <v>11</v>
      </c>
      <c r="G4545" t="s">
        <v>1912</v>
      </c>
      <c r="H4545" t="s">
        <v>432</v>
      </c>
    </row>
    <row r="4546" spans="1:8" hidden="1" x14ac:dyDescent="0.25">
      <c r="A4546" t="s">
        <v>6295</v>
      </c>
      <c r="B4546" s="1" t="str">
        <f>HYPERLINK("https://asmlis.vasa.lt/Dashboard/Served?ServiceDateFrom=2025-11-24&amp;ServiceDateTo=2025-11-24&amp;DumpsterInvNr=13-L-116921", "13-L-116921")</f>
        <v>13-L-116921</v>
      </c>
      <c r="C4546">
        <v>1.1000000000000001</v>
      </c>
      <c r="D4546" t="s">
        <v>6296</v>
      </c>
      <c r="E4546" t="s">
        <v>11</v>
      </c>
      <c r="G4546" t="s">
        <v>430</v>
      </c>
      <c r="H4546" t="s">
        <v>432</v>
      </c>
    </row>
    <row r="4547" spans="1:8" hidden="1" x14ac:dyDescent="0.25">
      <c r="A4547" t="s">
        <v>6295</v>
      </c>
      <c r="B4547" s="1" t="str">
        <f>HYPERLINK("https://asmlis.vasa.lt/Dashboard/Served?ServiceDateFrom=2025-11-24&amp;ServiceDateTo=2025-11-24&amp;DumpsterInvNr=13-L-225220", "13-L-225220")</f>
        <v>13-L-225220</v>
      </c>
      <c r="C4547">
        <v>1.1000000000000001</v>
      </c>
      <c r="D4547" t="s">
        <v>6283</v>
      </c>
      <c r="E4547" t="s">
        <v>11</v>
      </c>
      <c r="G4547" t="s">
        <v>936</v>
      </c>
      <c r="H4547" t="s">
        <v>938</v>
      </c>
    </row>
    <row r="4548" spans="1:8" hidden="1" x14ac:dyDescent="0.25">
      <c r="A4548" t="s">
        <v>6295</v>
      </c>
      <c r="B4548" s="1" t="str">
        <f>HYPERLINK("https://asmlis.vasa.lt/Dashboard/Served?ServiceDateFrom=2025-11-24&amp;ServiceDateTo=2025-11-24&amp;DumpsterInvNr=13-P-415551", "13-P-415551")</f>
        <v>13-P-415551</v>
      </c>
      <c r="C4548">
        <v>5</v>
      </c>
      <c r="D4548" t="s">
        <v>6297</v>
      </c>
      <c r="E4548" t="s">
        <v>11</v>
      </c>
      <c r="G4548" t="s">
        <v>264</v>
      </c>
      <c r="H4548" t="s">
        <v>14</v>
      </c>
    </row>
    <row r="4549" spans="1:8" hidden="1" x14ac:dyDescent="0.25">
      <c r="A4549" t="s">
        <v>6298</v>
      </c>
      <c r="B4549" s="1" t="str">
        <f>HYPERLINK("https://asmlis.vasa.lt/Dashboard/Served?ServiceDateFrom=2025-11-24&amp;ServiceDateTo=2025-11-24&amp;DumpsterInvNr=13-P-101143", "13-P-101143")</f>
        <v>13-P-101143</v>
      </c>
      <c r="C4549">
        <v>0.24</v>
      </c>
      <c r="D4549" t="s">
        <v>6294</v>
      </c>
      <c r="E4549" t="s">
        <v>11</v>
      </c>
      <c r="G4549" t="s">
        <v>1917</v>
      </c>
      <c r="H4549" t="s">
        <v>432</v>
      </c>
    </row>
    <row r="4550" spans="1:8" hidden="1" x14ac:dyDescent="0.25">
      <c r="A4550" t="s">
        <v>6299</v>
      </c>
      <c r="B4550" s="1" t="str">
        <f>HYPERLINK("https://asmlis.vasa.lt/Dashboard/Served?ServiceDateFrom=2025-11-24&amp;ServiceDateTo=2025-11-24&amp;DumpsterInvNr=13-P-211849", "13-P-211849")</f>
        <v>13-P-211849</v>
      </c>
      <c r="C4550">
        <v>0.24</v>
      </c>
      <c r="D4550" t="s">
        <v>6300</v>
      </c>
      <c r="E4550" t="s">
        <v>11</v>
      </c>
      <c r="G4550" t="s">
        <v>234</v>
      </c>
      <c r="H4550" t="s">
        <v>14</v>
      </c>
    </row>
    <row r="4551" spans="1:8" hidden="1" x14ac:dyDescent="0.25">
      <c r="A4551" t="s">
        <v>6299</v>
      </c>
      <c r="B4551" s="1" t="str">
        <f>HYPERLINK("https://asmlis.vasa.lt/Dashboard/Served?ServiceDateFrom=2025-11-24&amp;ServiceDateTo=2025-11-24&amp;DumpsterInvNr=13-M-205765", "13-M-205765")</f>
        <v>13-M-205765</v>
      </c>
      <c r="C4551">
        <v>0.12</v>
      </c>
      <c r="D4551" t="s">
        <v>6301</v>
      </c>
      <c r="E4551" t="s">
        <v>11</v>
      </c>
      <c r="G4551" t="s">
        <v>4876</v>
      </c>
      <c r="H4551" t="s">
        <v>938</v>
      </c>
    </row>
    <row r="4552" spans="1:8" hidden="1" x14ac:dyDescent="0.25">
      <c r="A4552" t="s">
        <v>6302</v>
      </c>
      <c r="B4552" s="1" t="str">
        <f>HYPERLINK("https://asmlis.vasa.lt/Dashboard/Served?ServiceDateFrom=2025-11-24&amp;ServiceDateTo=2025-11-24&amp;DumpsterInvNr=13-P-414760", "13-P-414760")</f>
        <v>13-P-414760</v>
      </c>
      <c r="C4552">
        <v>0.24</v>
      </c>
      <c r="D4552" t="s">
        <v>6303</v>
      </c>
      <c r="E4552" t="s">
        <v>11</v>
      </c>
      <c r="G4552" t="s">
        <v>264</v>
      </c>
      <c r="H4552" t="s">
        <v>14</v>
      </c>
    </row>
    <row r="4553" spans="1:8" hidden="1" x14ac:dyDescent="0.25">
      <c r="A4553" t="s">
        <v>5281</v>
      </c>
      <c r="B4553" s="1" t="str">
        <f>HYPERLINK("https://asmlis.vasa.lt/Dashboard/Served?ServiceDateFrom=2025-11-24&amp;ServiceDateTo=2025-11-24&amp;DumpsterInvNr=13-P-208098", "13-P-208098")</f>
        <v>13-P-208098</v>
      </c>
      <c r="C4553">
        <v>1.1000000000000001</v>
      </c>
      <c r="D4553" t="s">
        <v>6304</v>
      </c>
      <c r="E4553" t="s">
        <v>11</v>
      </c>
      <c r="F4553" t="s">
        <v>13</v>
      </c>
      <c r="G4553" t="s">
        <v>234</v>
      </c>
      <c r="H4553" t="s">
        <v>14</v>
      </c>
    </row>
    <row r="4554" spans="1:8" hidden="1" x14ac:dyDescent="0.25">
      <c r="A4554" t="s">
        <v>5281</v>
      </c>
      <c r="B4554" s="1" t="str">
        <f>HYPERLINK("https://asmlis.vasa.lt/Dashboard/Served?ServiceDateFrom=2025-11-24&amp;ServiceDateTo=2025-11-24&amp;DumpsterInvNr=13-M-205524", "13-M-205524")</f>
        <v>13-M-205524</v>
      </c>
      <c r="C4554">
        <v>0.12</v>
      </c>
      <c r="D4554" t="s">
        <v>6305</v>
      </c>
      <c r="E4554" t="s">
        <v>11</v>
      </c>
      <c r="F4554" t="s">
        <v>1209</v>
      </c>
      <c r="G4554" t="s">
        <v>4876</v>
      </c>
      <c r="H4554" t="s">
        <v>938</v>
      </c>
    </row>
    <row r="4555" spans="1:8" hidden="1" x14ac:dyDescent="0.25">
      <c r="A4555" t="s">
        <v>6307</v>
      </c>
      <c r="B4555" s="1" t="str">
        <f>HYPERLINK("https://asmlis.vasa.lt/Dashboard/Served?ServiceDateFrom=2025-11-24&amp;ServiceDateTo=2025-11-24&amp;DumpsterInvNr=13-P-502769", "13-P-502769")</f>
        <v>13-P-502769</v>
      </c>
      <c r="C4555">
        <v>0.24</v>
      </c>
      <c r="D4555" t="s">
        <v>6308</v>
      </c>
      <c r="E4555" t="s">
        <v>11</v>
      </c>
      <c r="G4555" t="s">
        <v>2178</v>
      </c>
      <c r="H4555" t="s">
        <v>432</v>
      </c>
    </row>
    <row r="4556" spans="1:8" hidden="1" x14ac:dyDescent="0.25">
      <c r="A4556" t="s">
        <v>5470</v>
      </c>
      <c r="B4556" s="1" t="str">
        <f>HYPERLINK("https://asmlis.vasa.lt/Dashboard/Served?ServiceDateFrom=2025-11-24&amp;ServiceDateTo=2025-11-24&amp;DumpsterInvNr=13-L-123375", "13-L-123375")</f>
        <v>13-L-123375</v>
      </c>
      <c r="C4556">
        <v>0.24</v>
      </c>
      <c r="D4556" t="s">
        <v>6308</v>
      </c>
      <c r="E4556" t="s">
        <v>11</v>
      </c>
      <c r="G4556" t="s">
        <v>430</v>
      </c>
      <c r="H4556" t="s">
        <v>432</v>
      </c>
    </row>
    <row r="4557" spans="1:8" hidden="1" x14ac:dyDescent="0.25">
      <c r="A4557" t="s">
        <v>6309</v>
      </c>
      <c r="B4557" s="1" t="str">
        <f>HYPERLINK("https://asmlis.vasa.lt/Dashboard/Served?ServiceDateFrom=2025-11-24&amp;ServiceDateTo=2025-11-24&amp;DumpsterInvNr=13-L-116922", "13-L-116922")</f>
        <v>13-L-116922</v>
      </c>
      <c r="C4557">
        <v>1.1000000000000001</v>
      </c>
      <c r="D4557" t="s">
        <v>6296</v>
      </c>
      <c r="E4557" t="s">
        <v>11</v>
      </c>
      <c r="G4557" t="s">
        <v>430</v>
      </c>
      <c r="H4557" t="s">
        <v>432</v>
      </c>
    </row>
    <row r="4558" spans="1:8" hidden="1" x14ac:dyDescent="0.25">
      <c r="A4558" t="s">
        <v>6214</v>
      </c>
      <c r="B4558" s="1" t="str">
        <f>HYPERLINK("https://asmlis.vasa.lt/Dashboard/Served?ServiceDateFrom=2025-11-24&amp;ServiceDateTo=2025-11-24&amp;DumpsterInvNr=13-P-116010", "13-P-116010")</f>
        <v>13-P-116010</v>
      </c>
      <c r="C4558">
        <v>1.1000000000000001</v>
      </c>
      <c r="D4558" t="s">
        <v>6310</v>
      </c>
      <c r="E4558" t="s">
        <v>11</v>
      </c>
      <c r="G4558" t="s">
        <v>1917</v>
      </c>
      <c r="H4558" t="s">
        <v>432</v>
      </c>
    </row>
    <row r="4559" spans="1:8" hidden="1" x14ac:dyDescent="0.25">
      <c r="A4559" t="s">
        <v>5360</v>
      </c>
      <c r="B4559" s="1" t="str">
        <f>HYPERLINK("https://asmlis.vasa.lt/Dashboard/Served?ServiceDateFrom=2025-11-24&amp;ServiceDateTo=2025-11-24&amp;DumpsterInvNr=13-L-401536", "13-L-401536")</f>
        <v>13-L-401536</v>
      </c>
      <c r="C4559">
        <v>0.24</v>
      </c>
      <c r="D4559" t="s">
        <v>3057</v>
      </c>
      <c r="E4559" t="s">
        <v>11</v>
      </c>
      <c r="G4559" t="s">
        <v>74</v>
      </c>
      <c r="H4559" t="s">
        <v>14</v>
      </c>
    </row>
    <row r="4560" spans="1:8" hidden="1" x14ac:dyDescent="0.25">
      <c r="A4560" t="s">
        <v>5360</v>
      </c>
      <c r="B4560" s="1" t="str">
        <f>HYPERLINK("https://asmlis.vasa.lt/Dashboard/Served?ServiceDateFrom=2025-11-24&amp;ServiceDateTo=2025-11-24&amp;DumpsterInvNr=13-L-412082", "13-L-412082")</f>
        <v>13-L-412082</v>
      </c>
      <c r="C4560">
        <v>0.24</v>
      </c>
      <c r="D4560" t="s">
        <v>3033</v>
      </c>
      <c r="E4560" t="s">
        <v>11</v>
      </c>
      <c r="G4560" t="s">
        <v>74</v>
      </c>
      <c r="H4560" t="s">
        <v>14</v>
      </c>
    </row>
    <row r="4561" spans="1:8" hidden="1" x14ac:dyDescent="0.25">
      <c r="A4561" t="s">
        <v>6311</v>
      </c>
      <c r="B4561" s="1" t="str">
        <f>HYPERLINK("https://asmlis.vasa.lt/Dashboard/Served?ServiceDateFrom=2025-11-24&amp;ServiceDateTo=2025-11-24&amp;DumpsterInvNr=13-L-419196", "13-L-419196")</f>
        <v>13-L-419196</v>
      </c>
      <c r="C4561">
        <v>0.77</v>
      </c>
      <c r="D4561" t="s">
        <v>6292</v>
      </c>
      <c r="E4561" t="s">
        <v>11</v>
      </c>
      <c r="G4561" t="s">
        <v>74</v>
      </c>
      <c r="H4561" t="s">
        <v>14</v>
      </c>
    </row>
    <row r="4562" spans="1:8" hidden="1" x14ac:dyDescent="0.25">
      <c r="A4562" t="s">
        <v>6312</v>
      </c>
      <c r="B4562" s="1" t="str">
        <f>HYPERLINK("https://asmlis.vasa.lt/Dashboard/Served?ServiceDateFrom=2025-11-24&amp;ServiceDateTo=2025-11-24&amp;DumpsterInvNr=13-L-134783", "13-L-134783")</f>
        <v>13-L-134783</v>
      </c>
      <c r="C4562">
        <v>5</v>
      </c>
      <c r="D4562" t="s">
        <v>6313</v>
      </c>
      <c r="E4562" t="s">
        <v>11</v>
      </c>
      <c r="F4562" t="s">
        <v>13</v>
      </c>
      <c r="G4562" t="s">
        <v>430</v>
      </c>
      <c r="H4562" t="s">
        <v>432</v>
      </c>
    </row>
    <row r="4563" spans="1:8" hidden="1" x14ac:dyDescent="0.25">
      <c r="A4563" t="s">
        <v>6314</v>
      </c>
      <c r="B4563" s="1" t="str">
        <f>HYPERLINK("https://asmlis.vasa.lt/Dashboard/Served?ServiceDateFrom=2025-11-24&amp;ServiceDateTo=2025-11-24&amp;DumpsterInvNr=13-L-422511", "13-L-422511")</f>
        <v>13-L-422511</v>
      </c>
      <c r="C4563">
        <v>0.24</v>
      </c>
      <c r="D4563" t="s">
        <v>3046</v>
      </c>
      <c r="E4563" t="s">
        <v>11</v>
      </c>
      <c r="G4563" t="s">
        <v>74</v>
      </c>
      <c r="H4563" t="s">
        <v>14</v>
      </c>
    </row>
    <row r="4564" spans="1:8" hidden="1" x14ac:dyDescent="0.25">
      <c r="A4564" t="s">
        <v>6314</v>
      </c>
      <c r="B4564" s="1" t="str">
        <f>HYPERLINK("https://asmlis.vasa.lt/Dashboard/Served?ServiceDateFrom=2025-11-24&amp;ServiceDateTo=2025-11-24&amp;DumpsterInvNr=13-M-200214", "13-M-200214")</f>
        <v>13-M-200214</v>
      </c>
      <c r="C4564">
        <v>0.12</v>
      </c>
      <c r="D4564" t="s">
        <v>6315</v>
      </c>
      <c r="E4564" t="s">
        <v>11</v>
      </c>
      <c r="F4564" t="s">
        <v>1209</v>
      </c>
      <c r="G4564" t="s">
        <v>4876</v>
      </c>
      <c r="H4564" t="s">
        <v>938</v>
      </c>
    </row>
    <row r="4565" spans="1:8" hidden="1" x14ac:dyDescent="0.25">
      <c r="A4565" t="s">
        <v>5820</v>
      </c>
      <c r="B4565" s="1" t="str">
        <f>HYPERLINK("https://asmlis.vasa.lt/Dashboard/Served?ServiceDateFrom=2025-11-24&amp;ServiceDateTo=2025-11-24&amp;DumpsterInvNr=13-P-112632", "13-P-112632")</f>
        <v>13-P-112632</v>
      </c>
      <c r="C4565">
        <v>0.24</v>
      </c>
      <c r="D4565" t="s">
        <v>6316</v>
      </c>
      <c r="E4565" t="s">
        <v>11</v>
      </c>
      <c r="G4565" t="s">
        <v>1917</v>
      </c>
      <c r="H4565" t="s">
        <v>432</v>
      </c>
    </row>
    <row r="4566" spans="1:8" hidden="1" x14ac:dyDescent="0.25">
      <c r="A4566" t="s">
        <v>6317</v>
      </c>
      <c r="B4566" s="1" t="str">
        <f>HYPERLINK("https://asmlis.vasa.lt/Dashboard/Served?ServiceDateFrom=2025-11-24&amp;ServiceDateTo=2025-11-24&amp;DumpsterInvNr=13-L-116988", "13-L-116988")</f>
        <v>13-L-116988</v>
      </c>
      <c r="C4566">
        <v>1.1000000000000001</v>
      </c>
      <c r="D4566" t="s">
        <v>6318</v>
      </c>
      <c r="E4566" t="s">
        <v>11</v>
      </c>
      <c r="G4566" t="s">
        <v>430</v>
      </c>
      <c r="H4566" t="s">
        <v>432</v>
      </c>
    </row>
    <row r="4567" spans="1:8" hidden="1" x14ac:dyDescent="0.25">
      <c r="A4567" t="s">
        <v>6317</v>
      </c>
      <c r="B4567" s="1" t="str">
        <f>HYPERLINK("https://asmlis.vasa.lt/Dashboard/Served?ServiceDateFrom=2025-11-24&amp;ServiceDateTo=2025-11-24&amp;DumpsterInvNr=13-L-133838", "13-L-133838")</f>
        <v>13-L-133838</v>
      </c>
      <c r="C4567">
        <v>5</v>
      </c>
      <c r="D4567" t="s">
        <v>6319</v>
      </c>
      <c r="E4567" t="s">
        <v>11</v>
      </c>
      <c r="F4567" t="s">
        <v>13</v>
      </c>
      <c r="G4567" t="s">
        <v>430</v>
      </c>
      <c r="H4567" t="s">
        <v>432</v>
      </c>
    </row>
    <row r="4568" spans="1:8" hidden="1" x14ac:dyDescent="0.25">
      <c r="A4568" t="s">
        <v>6317</v>
      </c>
      <c r="B4568" s="1" t="str">
        <f>HYPERLINK("https://asmlis.vasa.lt/Dashboard/Served?ServiceDateFrom=2025-11-24&amp;ServiceDateTo=2025-11-24&amp;DumpsterInvNr=13-P-300429", "13-P-300429")</f>
        <v>13-P-300429</v>
      </c>
      <c r="C4568">
        <v>1.1000000000000001</v>
      </c>
      <c r="D4568" t="s">
        <v>6320</v>
      </c>
      <c r="E4568" t="s">
        <v>11</v>
      </c>
      <c r="G4568" t="s">
        <v>412</v>
      </c>
      <c r="H4568" t="s">
        <v>14</v>
      </c>
    </row>
    <row r="4569" spans="1:8" hidden="1" x14ac:dyDescent="0.25">
      <c r="A4569" t="s">
        <v>6321</v>
      </c>
      <c r="B4569" s="1" t="str">
        <f>HYPERLINK("https://asmlis.vasa.lt/Dashboard/Served?ServiceDateFrom=2025-11-24&amp;ServiceDateTo=2025-11-24&amp;DumpsterInvNr=13-L-139666", "13-L-139666")</f>
        <v>13-L-139666</v>
      </c>
      <c r="C4569">
        <v>0.12</v>
      </c>
      <c r="D4569" t="s">
        <v>6316</v>
      </c>
      <c r="E4569" t="s">
        <v>11</v>
      </c>
      <c r="G4569" t="s">
        <v>1912</v>
      </c>
      <c r="H4569" t="s">
        <v>432</v>
      </c>
    </row>
    <row r="4570" spans="1:8" hidden="1" x14ac:dyDescent="0.25">
      <c r="A4570" t="s">
        <v>6323</v>
      </c>
      <c r="B4570" s="1" t="str">
        <f>HYPERLINK("https://asmlis.vasa.lt/Dashboard/Served?ServiceDateFrom=2025-11-24&amp;ServiceDateTo=2025-11-24&amp;DumpsterInvNr=13-M-202883", "13-M-202883")</f>
        <v>13-M-202883</v>
      </c>
      <c r="C4570">
        <v>0.12</v>
      </c>
      <c r="D4570" t="s">
        <v>6324</v>
      </c>
      <c r="E4570" t="s">
        <v>11</v>
      </c>
      <c r="F4570" t="s">
        <v>1209</v>
      </c>
      <c r="G4570" t="s">
        <v>4876</v>
      </c>
      <c r="H4570" t="s">
        <v>938</v>
      </c>
    </row>
    <row r="4571" spans="1:8" hidden="1" x14ac:dyDescent="0.25">
      <c r="A4571" t="s">
        <v>6325</v>
      </c>
      <c r="B4571" s="1" t="str">
        <f>HYPERLINK("https://asmlis.vasa.lt/Dashboard/Served?ServiceDateFrom=2025-11-24&amp;ServiceDateTo=2025-11-24&amp;DumpsterInvNr=13-L-305258", "13-L-305258")</f>
        <v>13-L-305258</v>
      </c>
      <c r="C4571">
        <v>5</v>
      </c>
      <c r="D4571" t="s">
        <v>6326</v>
      </c>
      <c r="E4571" t="s">
        <v>11</v>
      </c>
      <c r="F4571" t="s">
        <v>13</v>
      </c>
      <c r="G4571" t="s">
        <v>9</v>
      </c>
      <c r="H4571" t="s">
        <v>14</v>
      </c>
    </row>
    <row r="4572" spans="1:8" hidden="1" x14ac:dyDescent="0.25">
      <c r="A4572" t="s">
        <v>6327</v>
      </c>
      <c r="B4572" s="1" t="str">
        <f>HYPERLINK("https://asmlis.vasa.lt/Dashboard/Served?ServiceDateFrom=2025-11-24&amp;ServiceDateTo=2025-11-24&amp;DumpsterInvNr=13-M-205494", "13-M-205494")</f>
        <v>13-M-205494</v>
      </c>
      <c r="C4572">
        <v>0.12</v>
      </c>
      <c r="D4572" t="s">
        <v>6328</v>
      </c>
      <c r="E4572" t="s">
        <v>11</v>
      </c>
      <c r="F4572" t="s">
        <v>1209</v>
      </c>
      <c r="G4572" t="s">
        <v>4876</v>
      </c>
      <c r="H4572" t="s">
        <v>938</v>
      </c>
    </row>
    <row r="4573" spans="1:8" hidden="1" x14ac:dyDescent="0.25">
      <c r="A4573" t="s">
        <v>6329</v>
      </c>
      <c r="B4573" s="1" t="str">
        <f>HYPERLINK("https://asmlis.vasa.lt/Dashboard/Served?ServiceDateFrom=2025-11-24&amp;ServiceDateTo=2025-11-24&amp;DumpsterInvNr=13-L-116985", "13-L-116985")</f>
        <v>13-L-116985</v>
      </c>
      <c r="C4573">
        <v>1.1000000000000001</v>
      </c>
      <c r="D4573" t="s">
        <v>6318</v>
      </c>
      <c r="E4573" t="s">
        <v>11</v>
      </c>
      <c r="G4573" t="s">
        <v>430</v>
      </c>
      <c r="H4573" t="s">
        <v>432</v>
      </c>
    </row>
    <row r="4574" spans="1:8" hidden="1" x14ac:dyDescent="0.25">
      <c r="A4574" t="s">
        <v>6330</v>
      </c>
      <c r="B4574" s="1" t="str">
        <f>HYPERLINK("https://asmlis.vasa.lt/Dashboard/Served?ServiceDateFrom=2025-11-24&amp;ServiceDateTo=2025-11-24&amp;DumpsterInvNr=13-M-206935", "13-M-206935")</f>
        <v>13-M-206935</v>
      </c>
      <c r="C4574">
        <v>0.12</v>
      </c>
      <c r="D4574" t="s">
        <v>6331</v>
      </c>
      <c r="E4574" t="s">
        <v>11</v>
      </c>
      <c r="F4574" t="s">
        <v>1209</v>
      </c>
      <c r="G4574" t="s">
        <v>4876</v>
      </c>
      <c r="H4574" t="s">
        <v>938</v>
      </c>
    </row>
    <row r="4575" spans="1:8" hidden="1" x14ac:dyDescent="0.25">
      <c r="A4575" t="s">
        <v>6332</v>
      </c>
      <c r="B4575" s="1" t="str">
        <f>HYPERLINK("https://asmlis.vasa.lt/Dashboard/Served?ServiceDateFrom=2025-11-24&amp;ServiceDateTo=2025-11-24&amp;DumpsterInvNr=13-P-404448", "13-P-404448")</f>
        <v>13-P-404448</v>
      </c>
      <c r="C4575">
        <v>0.24</v>
      </c>
      <c r="D4575" t="s">
        <v>6333</v>
      </c>
      <c r="E4575" t="s">
        <v>11</v>
      </c>
      <c r="G4575" t="s">
        <v>264</v>
      </c>
      <c r="H4575" t="s">
        <v>14</v>
      </c>
    </row>
    <row r="4576" spans="1:8" hidden="1" x14ac:dyDescent="0.25">
      <c r="A4576" t="s">
        <v>6334</v>
      </c>
      <c r="B4576" s="1" t="str">
        <f>HYPERLINK("https://asmlis.vasa.lt/Dashboard/Served?ServiceDateFrom=2025-11-24&amp;ServiceDateTo=2025-11-24&amp;DumpsterInvNr=13-P-300525", "13-P-300525")</f>
        <v>13-P-300525</v>
      </c>
      <c r="C4576">
        <v>1.1000000000000001</v>
      </c>
      <c r="D4576" t="s">
        <v>2739</v>
      </c>
      <c r="E4576" t="s">
        <v>11</v>
      </c>
      <c r="G4576" t="s">
        <v>412</v>
      </c>
      <c r="H4576" t="s">
        <v>14</v>
      </c>
    </row>
    <row r="4577" spans="1:8" hidden="1" x14ac:dyDescent="0.25">
      <c r="A4577" t="s">
        <v>6334</v>
      </c>
      <c r="B4577" s="1" t="str">
        <f>HYPERLINK("https://asmlis.vasa.lt/Dashboard/Served?ServiceDateFrom=2025-11-24&amp;ServiceDateTo=2025-11-24&amp;DumpsterInvNr=13-M-205485", "13-M-205485")</f>
        <v>13-M-205485</v>
      </c>
      <c r="C4577">
        <v>0.12</v>
      </c>
      <c r="D4577" t="s">
        <v>6335</v>
      </c>
      <c r="E4577" t="s">
        <v>11</v>
      </c>
      <c r="F4577" t="s">
        <v>1209</v>
      </c>
      <c r="G4577" t="s">
        <v>4876</v>
      </c>
      <c r="H4577" t="s">
        <v>938</v>
      </c>
    </row>
    <row r="4578" spans="1:8" hidden="1" x14ac:dyDescent="0.25">
      <c r="A4578" t="s">
        <v>6336</v>
      </c>
      <c r="B4578" s="1" t="str">
        <f>HYPERLINK("https://asmlis.vasa.lt/Dashboard/Served?ServiceDateFrom=2025-11-24&amp;ServiceDateTo=2025-11-24&amp;DumpsterInvNr=13-L-223684", "13-L-223684")</f>
        <v>13-L-223684</v>
      </c>
      <c r="C4578">
        <v>1.1000000000000001</v>
      </c>
      <c r="D4578" t="s">
        <v>5544</v>
      </c>
      <c r="E4578" t="s">
        <v>11</v>
      </c>
      <c r="G4578" t="s">
        <v>936</v>
      </c>
      <c r="H4578" t="s">
        <v>938</v>
      </c>
    </row>
    <row r="4579" spans="1:8" hidden="1" x14ac:dyDescent="0.25">
      <c r="A4579" t="s">
        <v>6337</v>
      </c>
      <c r="B4579" s="1" t="str">
        <f>HYPERLINK("https://asmlis.vasa.lt/Dashboard/Served?ServiceDateFrom=2025-11-24&amp;ServiceDateTo=2025-11-24&amp;DumpsterInvNr=13-L-422071", "13-L-422071")</f>
        <v>13-L-422071</v>
      </c>
      <c r="C4579">
        <v>5</v>
      </c>
      <c r="D4579" t="s">
        <v>6338</v>
      </c>
      <c r="E4579" t="s">
        <v>11</v>
      </c>
      <c r="G4579" t="s">
        <v>74</v>
      </c>
      <c r="H4579" t="s">
        <v>14</v>
      </c>
    </row>
    <row r="4580" spans="1:8" hidden="1" x14ac:dyDescent="0.25">
      <c r="A4580" t="s">
        <v>5967</v>
      </c>
      <c r="B4580" s="1" t="str">
        <f>HYPERLINK("https://asmlis.vasa.lt/Dashboard/Served?ServiceDateFrom=2025-11-24&amp;ServiceDateTo=2025-11-24&amp;DumpsterInvNr=13-P-404446", "13-P-404446")</f>
        <v>13-P-404446</v>
      </c>
      <c r="C4580">
        <v>0.24</v>
      </c>
      <c r="D4580" t="s">
        <v>6339</v>
      </c>
      <c r="E4580" t="s">
        <v>11</v>
      </c>
      <c r="G4580" t="s">
        <v>264</v>
      </c>
      <c r="H4580" t="s">
        <v>14</v>
      </c>
    </row>
    <row r="4581" spans="1:8" hidden="1" x14ac:dyDescent="0.25">
      <c r="A4581" t="s">
        <v>6340</v>
      </c>
      <c r="B4581" s="1" t="str">
        <f>HYPERLINK("https://asmlis.vasa.lt/Dashboard/Served?ServiceDateFrom=2025-11-24&amp;ServiceDateTo=2025-11-24&amp;DumpsterInvNr=13-L-138193", "13-L-138193")</f>
        <v>13-L-138193</v>
      </c>
      <c r="C4581">
        <v>5</v>
      </c>
      <c r="D4581" t="s">
        <v>6341</v>
      </c>
      <c r="E4581" t="s">
        <v>11</v>
      </c>
      <c r="F4581" t="s">
        <v>13</v>
      </c>
      <c r="G4581" t="s">
        <v>430</v>
      </c>
      <c r="H4581" t="s">
        <v>432</v>
      </c>
    </row>
    <row r="4582" spans="1:8" hidden="1" x14ac:dyDescent="0.25">
      <c r="A4582" t="s">
        <v>6342</v>
      </c>
      <c r="B4582" s="1" t="str">
        <f>HYPERLINK("https://asmlis.vasa.lt/Dashboard/Served?ServiceDateFrom=2025-11-24&amp;ServiceDateTo=2025-11-24&amp;DumpsterInvNr=13-L-116987", "13-L-116987")</f>
        <v>13-L-116987</v>
      </c>
      <c r="C4582">
        <v>1.1000000000000001</v>
      </c>
      <c r="D4582" t="s">
        <v>6318</v>
      </c>
      <c r="E4582" t="s">
        <v>11</v>
      </c>
      <c r="G4582" t="s">
        <v>430</v>
      </c>
      <c r="H4582" t="s">
        <v>432</v>
      </c>
    </row>
    <row r="4583" spans="1:8" hidden="1" x14ac:dyDescent="0.25">
      <c r="A4583" t="s">
        <v>5595</v>
      </c>
      <c r="B4583" s="1" t="str">
        <f>HYPERLINK("https://asmlis.vasa.lt/Dashboard/Served?ServiceDateFrom=2025-11-24&amp;ServiceDateTo=2025-11-24&amp;DumpsterInvNr=13-P-500644", "13-P-500644")</f>
        <v>13-P-500644</v>
      </c>
      <c r="C4583">
        <v>2.5</v>
      </c>
      <c r="D4583" t="s">
        <v>6343</v>
      </c>
      <c r="E4583" t="s">
        <v>11</v>
      </c>
      <c r="F4583" t="s">
        <v>13</v>
      </c>
      <c r="G4583" t="s">
        <v>2178</v>
      </c>
      <c r="H4583" t="s">
        <v>432</v>
      </c>
    </row>
    <row r="4584" spans="1:8" hidden="1" x14ac:dyDescent="0.25">
      <c r="A4584" t="s">
        <v>6344</v>
      </c>
      <c r="B4584" s="1" t="str">
        <f>HYPERLINK("https://asmlis.vasa.lt/Dashboard/Served?ServiceDateFrom=2025-11-24&amp;ServiceDateTo=2025-11-24&amp;DumpsterInvNr=13-P-102472", "13-P-102472")</f>
        <v>13-P-102472</v>
      </c>
      <c r="C4584">
        <v>5</v>
      </c>
      <c r="D4584" t="s">
        <v>6345</v>
      </c>
      <c r="E4584" t="s">
        <v>11</v>
      </c>
      <c r="F4584" t="s">
        <v>13</v>
      </c>
      <c r="G4584" t="s">
        <v>1917</v>
      </c>
      <c r="H4584" t="s">
        <v>432</v>
      </c>
    </row>
    <row r="4585" spans="1:8" hidden="1" x14ac:dyDescent="0.25">
      <c r="A4585" t="s">
        <v>6346</v>
      </c>
      <c r="B4585" s="1" t="str">
        <f>HYPERLINK("https://asmlis.vasa.lt/Dashboard/Served?ServiceDateFrom=2025-11-24&amp;ServiceDateTo=2025-11-24&amp;DumpsterInvNr=13-P-500645", "13-P-500645")</f>
        <v>13-P-500645</v>
      </c>
      <c r="C4585">
        <v>2.5</v>
      </c>
      <c r="D4585" t="s">
        <v>6343</v>
      </c>
      <c r="E4585" t="s">
        <v>11</v>
      </c>
      <c r="F4585" t="s">
        <v>13</v>
      </c>
      <c r="G4585" t="s">
        <v>2178</v>
      </c>
      <c r="H4585" t="s">
        <v>432</v>
      </c>
    </row>
    <row r="4586" spans="1:8" hidden="1" x14ac:dyDescent="0.25">
      <c r="A4586" t="s">
        <v>6346</v>
      </c>
      <c r="B4586" s="1" t="str">
        <f>HYPERLINK("https://asmlis.vasa.lt/Dashboard/Served?ServiceDateFrom=2025-11-24&amp;ServiceDateTo=2025-11-24&amp;DumpsterInvNr=13-M-202886", "13-M-202886")</f>
        <v>13-M-202886</v>
      </c>
      <c r="C4586">
        <v>0.12</v>
      </c>
      <c r="D4586" t="s">
        <v>6347</v>
      </c>
      <c r="E4586" t="s">
        <v>11</v>
      </c>
      <c r="G4586" t="s">
        <v>4876</v>
      </c>
      <c r="H4586" t="s">
        <v>938</v>
      </c>
    </row>
    <row r="4587" spans="1:8" hidden="1" x14ac:dyDescent="0.25">
      <c r="A4587" t="s">
        <v>5505</v>
      </c>
      <c r="B4587" s="1" t="str">
        <f>HYPERLINK("https://asmlis.vasa.lt/Dashboard/Served?ServiceDateFrom=2025-11-24&amp;ServiceDateTo=2025-11-24&amp;DumpsterInvNr=13-L-118402", "13-L-118402")</f>
        <v>13-L-118402</v>
      </c>
      <c r="C4587">
        <v>0.24</v>
      </c>
      <c r="D4587" t="s">
        <v>6348</v>
      </c>
      <c r="E4587" t="s">
        <v>11</v>
      </c>
      <c r="G4587" t="s">
        <v>1912</v>
      </c>
      <c r="H4587" t="s">
        <v>432</v>
      </c>
    </row>
    <row r="4588" spans="1:8" hidden="1" x14ac:dyDescent="0.25">
      <c r="A4588" t="s">
        <v>5505</v>
      </c>
      <c r="B4588" s="1" t="str">
        <f>HYPERLINK("https://asmlis.vasa.lt/Dashboard/Served?ServiceDateFrom=2025-11-24&amp;ServiceDateTo=2025-11-24&amp;DumpsterInvNr=13-P-114914", "13-P-114914")</f>
        <v>13-P-114914</v>
      </c>
      <c r="C4588">
        <v>0.24</v>
      </c>
      <c r="D4588" t="s">
        <v>6350</v>
      </c>
      <c r="E4588" t="s">
        <v>11</v>
      </c>
      <c r="G4588" t="s">
        <v>1917</v>
      </c>
      <c r="H4588" t="s">
        <v>432</v>
      </c>
    </row>
    <row r="4589" spans="1:8" hidden="1" x14ac:dyDescent="0.25">
      <c r="A4589" t="s">
        <v>6351</v>
      </c>
      <c r="B4589" s="1" t="str">
        <f>HYPERLINK("https://asmlis.vasa.lt/Dashboard/Served?ServiceDateFrom=2025-11-24&amp;ServiceDateTo=2025-11-24&amp;DumpsterInvNr=13-L-212626", "13-L-212626")</f>
        <v>13-L-212626</v>
      </c>
      <c r="C4589">
        <v>1.1000000000000001</v>
      </c>
      <c r="D4589" t="s">
        <v>6352</v>
      </c>
      <c r="E4589" t="s">
        <v>11</v>
      </c>
      <c r="G4589" t="s">
        <v>936</v>
      </c>
      <c r="H4589" t="s">
        <v>938</v>
      </c>
    </row>
    <row r="4590" spans="1:8" hidden="1" x14ac:dyDescent="0.25">
      <c r="A4590" t="s">
        <v>6353</v>
      </c>
      <c r="B4590" s="1" t="str">
        <f>HYPERLINK("https://asmlis.vasa.lt/Dashboard/Served?ServiceDateFrom=2025-11-24&amp;ServiceDateTo=2025-11-24&amp;DumpsterInvNr=13-L-106802", "13-L-106802")</f>
        <v>13-L-106802</v>
      </c>
      <c r="C4590">
        <v>0.77</v>
      </c>
      <c r="D4590" t="s">
        <v>6354</v>
      </c>
      <c r="E4590" t="s">
        <v>11</v>
      </c>
      <c r="G4590" t="s">
        <v>1912</v>
      </c>
      <c r="H4590" t="s">
        <v>432</v>
      </c>
    </row>
    <row r="4591" spans="1:8" hidden="1" x14ac:dyDescent="0.25">
      <c r="A4591" t="s">
        <v>6355</v>
      </c>
      <c r="B4591" s="1" t="str">
        <f>HYPERLINK("https://asmlis.vasa.lt/Dashboard/Served?ServiceDateFrom=2025-11-24&amp;ServiceDateTo=2025-11-24&amp;DumpsterInvNr=13-L-143703", "13-L-143703")</f>
        <v>13-L-143703</v>
      </c>
      <c r="C4591">
        <v>5</v>
      </c>
      <c r="D4591" t="s">
        <v>6356</v>
      </c>
      <c r="E4591" t="s">
        <v>11</v>
      </c>
      <c r="F4591" t="s">
        <v>13</v>
      </c>
      <c r="G4591" t="s">
        <v>430</v>
      </c>
      <c r="H4591" t="s">
        <v>432</v>
      </c>
    </row>
    <row r="4592" spans="1:8" hidden="1" x14ac:dyDescent="0.25">
      <c r="A4592" t="s">
        <v>6355</v>
      </c>
      <c r="B4592" s="1" t="str">
        <f>HYPERLINK("https://asmlis.vasa.lt/Dashboard/Served?ServiceDateFrom=2025-11-24&amp;ServiceDateTo=2025-11-24&amp;DumpsterInvNr=13-L-224199", "13-L-224199")</f>
        <v>13-L-224199</v>
      </c>
      <c r="C4592">
        <v>1.1000000000000001</v>
      </c>
      <c r="D4592" t="s">
        <v>6357</v>
      </c>
      <c r="E4592" t="s">
        <v>11</v>
      </c>
      <c r="G4592" t="s">
        <v>936</v>
      </c>
      <c r="H4592" t="s">
        <v>938</v>
      </c>
    </row>
    <row r="4593" spans="1:8" hidden="1" x14ac:dyDescent="0.25">
      <c r="A4593" t="s">
        <v>6358</v>
      </c>
      <c r="B4593" s="1" t="str">
        <f>HYPERLINK("https://asmlis.vasa.lt/Dashboard/Served?ServiceDateFrom=2025-11-24&amp;ServiceDateTo=2025-11-24&amp;DumpsterInvNr=13-L-116986", "13-L-116986")</f>
        <v>13-L-116986</v>
      </c>
      <c r="C4593">
        <v>1.1000000000000001</v>
      </c>
      <c r="D4593" t="s">
        <v>6318</v>
      </c>
      <c r="E4593" t="s">
        <v>11</v>
      </c>
      <c r="G4593" t="s">
        <v>430</v>
      </c>
      <c r="H4593" t="s">
        <v>432</v>
      </c>
    </row>
    <row r="4594" spans="1:8" hidden="1" x14ac:dyDescent="0.25">
      <c r="A4594" t="s">
        <v>6358</v>
      </c>
      <c r="B4594" s="1" t="str">
        <f>HYPERLINK("https://asmlis.vasa.lt/Dashboard/Served?ServiceDateFrom=2025-11-24&amp;ServiceDateTo=2025-11-24&amp;DumpsterInvNr=13-L-104881", "13-L-104881")</f>
        <v>13-L-104881</v>
      </c>
      <c r="C4594">
        <v>1.1000000000000001</v>
      </c>
      <c r="D4594" t="s">
        <v>6359</v>
      </c>
      <c r="E4594" t="s">
        <v>11</v>
      </c>
      <c r="G4594" t="s">
        <v>430</v>
      </c>
      <c r="H4594" t="s">
        <v>432</v>
      </c>
    </row>
    <row r="4595" spans="1:8" hidden="1" x14ac:dyDescent="0.25">
      <c r="A4595" t="s">
        <v>6358</v>
      </c>
      <c r="B4595" s="1" t="str">
        <f>HYPERLINK("https://asmlis.vasa.lt/Dashboard/Served?ServiceDateFrom=2025-11-24&amp;ServiceDateTo=2025-11-24&amp;DumpsterInvNr=13-P-209739", "13-P-209739")</f>
        <v>13-P-209739</v>
      </c>
      <c r="C4595">
        <v>0.24</v>
      </c>
      <c r="D4595" t="s">
        <v>6360</v>
      </c>
      <c r="E4595" t="s">
        <v>11</v>
      </c>
      <c r="G4595" t="s">
        <v>234</v>
      </c>
      <c r="H4595" t="s">
        <v>14</v>
      </c>
    </row>
    <row r="4596" spans="1:8" hidden="1" x14ac:dyDescent="0.25">
      <c r="A4596" t="s">
        <v>6361</v>
      </c>
      <c r="B4596" s="1" t="str">
        <f>HYPERLINK("https://asmlis.vasa.lt/Dashboard/Served?ServiceDateFrom=2025-11-24&amp;ServiceDateTo=2025-11-24&amp;DumpsterInvNr=13-M-202404", "13-M-202404")</f>
        <v>13-M-202404</v>
      </c>
      <c r="C4596">
        <v>0.12</v>
      </c>
      <c r="D4596" t="s">
        <v>6362</v>
      </c>
      <c r="E4596" t="s">
        <v>11</v>
      </c>
      <c r="F4596" t="s">
        <v>1209</v>
      </c>
      <c r="G4596" t="s">
        <v>4876</v>
      </c>
      <c r="H4596" t="s">
        <v>938</v>
      </c>
    </row>
    <row r="4597" spans="1:8" hidden="1" x14ac:dyDescent="0.25">
      <c r="A4597" t="s">
        <v>5540</v>
      </c>
      <c r="B4597" s="1" t="str">
        <f>HYPERLINK("https://asmlis.vasa.lt/Dashboard/Served?ServiceDateFrom=2025-11-24&amp;ServiceDateTo=2025-11-24&amp;DumpsterInvNr=13-L-123372", "13-L-123372")</f>
        <v>13-L-123372</v>
      </c>
      <c r="C4597">
        <v>0.24</v>
      </c>
      <c r="D4597" t="s">
        <v>6364</v>
      </c>
      <c r="E4597" t="s">
        <v>11</v>
      </c>
      <c r="G4597" t="s">
        <v>430</v>
      </c>
      <c r="H4597" t="s">
        <v>432</v>
      </c>
    </row>
    <row r="4598" spans="1:8" hidden="1" x14ac:dyDescent="0.25">
      <c r="A4598" t="s">
        <v>5540</v>
      </c>
      <c r="B4598" s="1" t="str">
        <f>HYPERLINK("https://asmlis.vasa.lt/Dashboard/Served?ServiceDateFrom=2025-11-24&amp;ServiceDateTo=2025-11-24&amp;DumpsterInvNr=13-L-123371", "13-L-123371")</f>
        <v>13-L-123371</v>
      </c>
      <c r="C4598">
        <v>0.12</v>
      </c>
      <c r="D4598" t="s">
        <v>6365</v>
      </c>
      <c r="E4598" t="s">
        <v>11</v>
      </c>
      <c r="G4598" t="s">
        <v>430</v>
      </c>
      <c r="H4598" t="s">
        <v>432</v>
      </c>
    </row>
    <row r="4599" spans="1:8" hidden="1" x14ac:dyDescent="0.25">
      <c r="A4599" t="s">
        <v>6366</v>
      </c>
      <c r="B4599" s="1" t="str">
        <f>HYPERLINK("https://asmlis.vasa.lt/Dashboard/Served?ServiceDateFrom=2025-11-24&amp;ServiceDateTo=2025-11-24&amp;DumpsterInvNr=13-M-204265", "13-M-204265")</f>
        <v>13-M-204265</v>
      </c>
      <c r="C4599">
        <v>0.12</v>
      </c>
      <c r="D4599" t="s">
        <v>6367</v>
      </c>
      <c r="E4599" t="s">
        <v>11</v>
      </c>
      <c r="F4599" t="s">
        <v>1209</v>
      </c>
      <c r="G4599" t="s">
        <v>4876</v>
      </c>
      <c r="H4599" t="s">
        <v>938</v>
      </c>
    </row>
    <row r="4600" spans="1:8" hidden="1" x14ac:dyDescent="0.25">
      <c r="A4600" t="s">
        <v>6369</v>
      </c>
      <c r="B4600" s="1" t="str">
        <f>HYPERLINK("https://asmlis.vasa.lt/Dashboard/Served?ServiceDateFrom=2025-11-24&amp;ServiceDateTo=2025-11-24&amp;DumpsterInvNr=13-L-141900", "13-L-141900")</f>
        <v>13-L-141900</v>
      </c>
      <c r="C4600">
        <v>0.24</v>
      </c>
      <c r="D4600" t="s">
        <v>6350</v>
      </c>
      <c r="E4600" t="s">
        <v>11</v>
      </c>
      <c r="F4600" t="s">
        <v>1209</v>
      </c>
      <c r="G4600" t="s">
        <v>1912</v>
      </c>
      <c r="H4600" t="s">
        <v>432</v>
      </c>
    </row>
    <row r="4601" spans="1:8" hidden="1" x14ac:dyDescent="0.25">
      <c r="A4601" t="s">
        <v>6369</v>
      </c>
      <c r="B4601" s="1" t="str">
        <f>HYPERLINK("https://asmlis.vasa.lt/Dashboard/Served?ServiceDateFrom=2025-11-24&amp;ServiceDateTo=2025-11-24&amp;DumpsterInvNr=13-L-116984", "13-L-116984")</f>
        <v>13-L-116984</v>
      </c>
      <c r="C4601">
        <v>1.1000000000000001</v>
      </c>
      <c r="D4601" t="s">
        <v>6318</v>
      </c>
      <c r="E4601" t="s">
        <v>11</v>
      </c>
      <c r="G4601" t="s">
        <v>430</v>
      </c>
      <c r="H4601" t="s">
        <v>432</v>
      </c>
    </row>
    <row r="4602" spans="1:8" hidden="1" x14ac:dyDescent="0.25">
      <c r="A4602" t="s">
        <v>6369</v>
      </c>
      <c r="B4602" s="1" t="str">
        <f>HYPERLINK("https://asmlis.vasa.lt/Dashboard/Served?ServiceDateFrom=2025-11-24&amp;ServiceDateTo=2025-11-24&amp;DumpsterInvNr=13-P-301826", "13-P-301826")</f>
        <v>13-P-301826</v>
      </c>
      <c r="C4602">
        <v>1.1000000000000001</v>
      </c>
      <c r="D4602" t="s">
        <v>2739</v>
      </c>
      <c r="E4602" t="s">
        <v>11</v>
      </c>
      <c r="G4602" t="s">
        <v>412</v>
      </c>
      <c r="H4602" t="s">
        <v>14</v>
      </c>
    </row>
    <row r="4603" spans="1:8" hidden="1" x14ac:dyDescent="0.25">
      <c r="A4603" t="s">
        <v>6371</v>
      </c>
      <c r="B4603" s="1" t="str">
        <f>HYPERLINK("https://asmlis.vasa.lt/Dashboard/Served?ServiceDateFrom=2025-11-24&amp;ServiceDateTo=2025-11-24&amp;DumpsterInvNr=13-M-200981", "13-M-200981")</f>
        <v>13-M-200981</v>
      </c>
      <c r="C4603">
        <v>0.12</v>
      </c>
      <c r="D4603" t="s">
        <v>6372</v>
      </c>
      <c r="E4603" t="s">
        <v>11</v>
      </c>
      <c r="F4603" t="s">
        <v>1209</v>
      </c>
      <c r="G4603" t="s">
        <v>4876</v>
      </c>
      <c r="H4603" t="s">
        <v>938</v>
      </c>
    </row>
    <row r="4604" spans="1:8" hidden="1" x14ac:dyDescent="0.25">
      <c r="A4604" t="s">
        <v>5504</v>
      </c>
      <c r="B4604" s="1" t="str">
        <f>HYPERLINK("https://asmlis.vasa.lt/Dashboard/Served?ServiceDateFrom=2025-11-24&amp;ServiceDateTo=2025-11-24&amp;DumpsterInvNr=13-L-106803", "13-L-106803")</f>
        <v>13-L-106803</v>
      </c>
      <c r="C4604">
        <v>0.77</v>
      </c>
      <c r="D4604" t="s">
        <v>6354</v>
      </c>
      <c r="E4604" t="s">
        <v>11</v>
      </c>
      <c r="G4604" t="s">
        <v>1912</v>
      </c>
      <c r="H4604" t="s">
        <v>432</v>
      </c>
    </row>
    <row r="4605" spans="1:8" hidden="1" x14ac:dyDescent="0.25">
      <c r="A4605" t="s">
        <v>6373</v>
      </c>
      <c r="B4605" s="1" t="str">
        <f>HYPERLINK("https://asmlis.vasa.lt/Dashboard/Served?ServiceDateFrom=2025-11-24&amp;ServiceDateTo=2025-11-24&amp;DumpsterInvNr=13-L-116920", "13-L-116920")</f>
        <v>13-L-116920</v>
      </c>
      <c r="C4605">
        <v>1.1000000000000001</v>
      </c>
      <c r="D4605" t="s">
        <v>6359</v>
      </c>
      <c r="E4605" t="s">
        <v>11</v>
      </c>
      <c r="G4605" t="s">
        <v>430</v>
      </c>
      <c r="H4605" t="s">
        <v>432</v>
      </c>
    </row>
    <row r="4606" spans="1:8" hidden="1" x14ac:dyDescent="0.25">
      <c r="A4606" t="s">
        <v>5490</v>
      </c>
      <c r="B4606" s="1" t="str">
        <f>HYPERLINK("https://asmlis.vasa.lt/Dashboard/Served?ServiceDateFrom=2025-11-24&amp;ServiceDateTo=2025-11-24&amp;DumpsterInvNr=13-L-222319", "13-L-222319")</f>
        <v>13-L-222319</v>
      </c>
      <c r="C4606">
        <v>1.1000000000000001</v>
      </c>
      <c r="D4606" t="s">
        <v>6283</v>
      </c>
      <c r="E4606" t="s">
        <v>11</v>
      </c>
      <c r="G4606" t="s">
        <v>936</v>
      </c>
      <c r="H4606" t="s">
        <v>938</v>
      </c>
    </row>
    <row r="4607" spans="1:8" hidden="1" x14ac:dyDescent="0.25">
      <c r="A4607" t="s">
        <v>6374</v>
      </c>
      <c r="B4607" s="1" t="str">
        <f>HYPERLINK("https://asmlis.vasa.lt/Dashboard/Served?ServiceDateFrom=2025-11-24&amp;ServiceDateTo=2025-11-24&amp;DumpsterInvNr=13-P-404447", "13-P-404447")</f>
        <v>13-P-404447</v>
      </c>
      <c r="C4607">
        <v>0.24</v>
      </c>
      <c r="D4607" t="s">
        <v>6375</v>
      </c>
      <c r="E4607" t="s">
        <v>11</v>
      </c>
      <c r="G4607" t="s">
        <v>264</v>
      </c>
      <c r="H4607" t="s">
        <v>14</v>
      </c>
    </row>
    <row r="4608" spans="1:8" hidden="1" x14ac:dyDescent="0.25">
      <c r="A4608" t="s">
        <v>5558</v>
      </c>
      <c r="B4608" s="1" t="str">
        <f>HYPERLINK("https://asmlis.vasa.lt/Dashboard/Served?ServiceDateFrom=2025-11-24&amp;ServiceDateTo=2025-11-24&amp;DumpsterInvNr=13-P-502765", "13-P-502765")</f>
        <v>13-P-502765</v>
      </c>
      <c r="C4608">
        <v>0.12</v>
      </c>
      <c r="D4608" t="s">
        <v>6364</v>
      </c>
      <c r="E4608" t="s">
        <v>11</v>
      </c>
      <c r="F4608" t="s">
        <v>1209</v>
      </c>
      <c r="G4608" t="s">
        <v>2178</v>
      </c>
      <c r="H4608" t="s">
        <v>432</v>
      </c>
    </row>
    <row r="4609" spans="1:10" hidden="1" x14ac:dyDescent="0.25">
      <c r="A4609" t="s">
        <v>5620</v>
      </c>
      <c r="B4609" s="1" t="str">
        <f>HYPERLINK("https://asmlis.vasa.lt/Dashboard/Served?ServiceDateFrom=2025-11-24&amp;ServiceDateTo=2025-11-24&amp;DumpsterInvNr=13-L-410344", "13-L-410344")</f>
        <v>13-L-410344</v>
      </c>
      <c r="C4609">
        <v>0.24</v>
      </c>
      <c r="D4609" t="s">
        <v>3359</v>
      </c>
      <c r="E4609" t="s">
        <v>11</v>
      </c>
      <c r="G4609" t="s">
        <v>74</v>
      </c>
      <c r="H4609" t="s">
        <v>14</v>
      </c>
    </row>
    <row r="4610" spans="1:10" x14ac:dyDescent="0.25">
      <c r="A4610" t="s">
        <v>6376</v>
      </c>
      <c r="B4610" s="1" t="str">
        <f>HYPERLINK("https://asmlis.vasa.lt/Dashboard/Served?ServiceDateFrom=2025-11-24&amp;ServiceDateTo=2025-11-24&amp;DumpsterInvNr=13-L-217221", "13-L-217221")</f>
        <v>13-L-217221</v>
      </c>
      <c r="C4610">
        <v>5</v>
      </c>
      <c r="D4610" t="s">
        <v>674</v>
      </c>
      <c r="E4610" t="s">
        <v>11</v>
      </c>
      <c r="F4610" t="s">
        <v>2491</v>
      </c>
      <c r="G4610" t="s">
        <v>936</v>
      </c>
      <c r="H4610" t="s">
        <v>938</v>
      </c>
      <c r="J4610" t="s">
        <v>17511</v>
      </c>
    </row>
    <row r="4611" spans="1:10" hidden="1" x14ac:dyDescent="0.25">
      <c r="A4611" t="s">
        <v>6377</v>
      </c>
      <c r="B4611" s="1" t="str">
        <f>HYPERLINK("https://asmlis.vasa.lt/Dashboard/Served?ServiceDateFrom=2025-11-24&amp;ServiceDateTo=2025-11-24&amp;DumpsterInvNr=13-L-421318", "13-L-421318")</f>
        <v>13-L-421318</v>
      </c>
      <c r="C4611">
        <v>5</v>
      </c>
      <c r="D4611" t="s">
        <v>6378</v>
      </c>
      <c r="E4611" t="s">
        <v>11</v>
      </c>
      <c r="F4611" t="s">
        <v>13</v>
      </c>
      <c r="G4611" t="s">
        <v>74</v>
      </c>
      <c r="H4611" t="s">
        <v>14</v>
      </c>
    </row>
    <row r="4612" spans="1:10" hidden="1" x14ac:dyDescent="0.25">
      <c r="A4612" t="s">
        <v>6377</v>
      </c>
      <c r="B4612" s="1" t="str">
        <f>HYPERLINK("https://asmlis.vasa.lt/Dashboard/Served?ServiceDateFrom=2025-11-24&amp;ServiceDateTo=2025-11-24&amp;DumpsterInvNr=13-P-204814", "13-P-204814")</f>
        <v>13-P-204814</v>
      </c>
      <c r="C4612">
        <v>5</v>
      </c>
      <c r="D4612" t="s">
        <v>6379</v>
      </c>
      <c r="E4612" t="s">
        <v>11</v>
      </c>
      <c r="F4612" t="s">
        <v>13</v>
      </c>
      <c r="G4612" t="s">
        <v>234</v>
      </c>
      <c r="H4612" t="s">
        <v>14</v>
      </c>
    </row>
    <row r="4613" spans="1:10" hidden="1" x14ac:dyDescent="0.25">
      <c r="A4613" t="s">
        <v>6377</v>
      </c>
      <c r="B4613" s="1" t="str">
        <f>HYPERLINK("https://asmlis.vasa.lt/Dashboard/Served?ServiceDateFrom=2025-11-24&amp;ServiceDateTo=2025-11-24&amp;DumpsterInvNr=13-M-203942", "13-M-203942")</f>
        <v>13-M-203942</v>
      </c>
      <c r="C4613">
        <v>0.12</v>
      </c>
      <c r="D4613" t="s">
        <v>6381</v>
      </c>
      <c r="E4613" t="s">
        <v>11</v>
      </c>
      <c r="G4613" t="s">
        <v>4876</v>
      </c>
      <c r="H4613" t="s">
        <v>938</v>
      </c>
    </row>
    <row r="4614" spans="1:10" hidden="1" x14ac:dyDescent="0.25">
      <c r="A4614" t="s">
        <v>5636</v>
      </c>
      <c r="B4614" s="1" t="str">
        <f>HYPERLINK("https://asmlis.vasa.lt/Dashboard/Served?ServiceDateFrom=2025-11-24&amp;ServiceDateTo=2025-11-24&amp;DumpsterInvNr=13-P-209742", "13-P-209742")</f>
        <v>13-P-209742</v>
      </c>
      <c r="C4614">
        <v>0.24</v>
      </c>
      <c r="D4614" t="s">
        <v>6382</v>
      </c>
      <c r="E4614" t="s">
        <v>11</v>
      </c>
      <c r="G4614" t="s">
        <v>234</v>
      </c>
      <c r="H4614" t="s">
        <v>14</v>
      </c>
    </row>
    <row r="4615" spans="1:10" hidden="1" x14ac:dyDescent="0.25">
      <c r="A4615" t="s">
        <v>6383</v>
      </c>
      <c r="B4615" s="1" t="str">
        <f>HYPERLINK("https://asmlis.vasa.lt/Dashboard/Served?ServiceDateFrom=2025-11-24&amp;ServiceDateTo=2025-11-24&amp;DumpsterInvNr=13-M-206985", "13-M-206985")</f>
        <v>13-M-206985</v>
      </c>
      <c r="C4615">
        <v>0.12</v>
      </c>
      <c r="D4615" t="s">
        <v>6384</v>
      </c>
      <c r="E4615" t="s">
        <v>11</v>
      </c>
      <c r="F4615" t="s">
        <v>1209</v>
      </c>
      <c r="G4615" t="s">
        <v>4876</v>
      </c>
      <c r="H4615" t="s">
        <v>938</v>
      </c>
    </row>
    <row r="4616" spans="1:10" hidden="1" x14ac:dyDescent="0.25">
      <c r="A4616" t="s">
        <v>6385</v>
      </c>
      <c r="B4616" s="1" t="str">
        <f>HYPERLINK("https://asmlis.vasa.lt/Dashboard/Served?ServiceDateFrom=2025-11-24&amp;ServiceDateTo=2025-11-24&amp;DumpsterInvNr=13-P-209735", "13-P-209735")</f>
        <v>13-P-209735</v>
      </c>
      <c r="C4616">
        <v>0.24</v>
      </c>
      <c r="D4616" t="s">
        <v>6387</v>
      </c>
      <c r="E4616" t="s">
        <v>11</v>
      </c>
      <c r="F4616" t="s">
        <v>1209</v>
      </c>
      <c r="G4616" t="s">
        <v>234</v>
      </c>
      <c r="H4616" t="s">
        <v>14</v>
      </c>
    </row>
    <row r="4617" spans="1:10" hidden="1" x14ac:dyDescent="0.25">
      <c r="A4617" t="s">
        <v>6385</v>
      </c>
      <c r="B4617" s="1" t="str">
        <f>HYPERLINK("https://asmlis.vasa.lt/Dashboard/Served?ServiceDateFrom=2025-11-24&amp;ServiceDateTo=2025-11-24&amp;DumpsterInvNr=13-P-300321", "13-P-300321")</f>
        <v>13-P-300321</v>
      </c>
      <c r="C4617">
        <v>1.1000000000000001</v>
      </c>
      <c r="D4617" t="s">
        <v>2739</v>
      </c>
      <c r="E4617" t="s">
        <v>11</v>
      </c>
      <c r="F4617" t="s">
        <v>13</v>
      </c>
      <c r="G4617" t="s">
        <v>412</v>
      </c>
      <c r="H4617" t="s">
        <v>14</v>
      </c>
    </row>
    <row r="4618" spans="1:10" hidden="1" x14ac:dyDescent="0.25">
      <c r="A4618" t="s">
        <v>6388</v>
      </c>
      <c r="B4618" s="1" t="str">
        <f>HYPERLINK("https://asmlis.vasa.lt/Dashboard/Served?ServiceDateFrom=2025-11-24&amp;ServiceDateTo=2025-11-24&amp;DumpsterInvNr=13-L-123373", "13-L-123373")</f>
        <v>13-L-123373</v>
      </c>
      <c r="C4618">
        <v>0.12</v>
      </c>
      <c r="D4618" t="s">
        <v>6389</v>
      </c>
      <c r="E4618" t="s">
        <v>11</v>
      </c>
      <c r="G4618" t="s">
        <v>430</v>
      </c>
      <c r="H4618" t="s">
        <v>432</v>
      </c>
    </row>
    <row r="4619" spans="1:10" hidden="1" x14ac:dyDescent="0.25">
      <c r="A4619" t="s">
        <v>6388</v>
      </c>
      <c r="B4619" s="1" t="str">
        <f>HYPERLINK("https://asmlis.vasa.lt/Dashboard/Served?ServiceDateFrom=2025-11-24&amp;ServiceDateTo=2025-11-24&amp;DumpsterInvNr=13-P-502766", "13-P-502766")</f>
        <v>13-P-502766</v>
      </c>
      <c r="C4619">
        <v>0.12</v>
      </c>
      <c r="D4619" t="s">
        <v>6389</v>
      </c>
      <c r="E4619" t="s">
        <v>11</v>
      </c>
      <c r="G4619" t="s">
        <v>2178</v>
      </c>
      <c r="H4619" t="s">
        <v>432</v>
      </c>
    </row>
    <row r="4620" spans="1:10" hidden="1" x14ac:dyDescent="0.25">
      <c r="A4620" t="s">
        <v>6391</v>
      </c>
      <c r="B4620" s="1" t="str">
        <f>HYPERLINK("https://asmlis.vasa.lt/Dashboard/Served?ServiceDateFrom=2025-11-24&amp;ServiceDateTo=2025-11-24&amp;DumpsterInvNr=13-P-500528", "13-P-500528")</f>
        <v>13-P-500528</v>
      </c>
      <c r="C4620">
        <v>5</v>
      </c>
      <c r="D4620" t="s">
        <v>6392</v>
      </c>
      <c r="E4620" t="s">
        <v>11</v>
      </c>
      <c r="F4620" t="s">
        <v>13</v>
      </c>
      <c r="G4620" t="s">
        <v>2178</v>
      </c>
      <c r="H4620" t="s">
        <v>432</v>
      </c>
    </row>
    <row r="4621" spans="1:10" hidden="1" x14ac:dyDescent="0.25">
      <c r="A4621" t="s">
        <v>6393</v>
      </c>
      <c r="B4621" s="1" t="str">
        <f>HYPERLINK("https://asmlis.vasa.lt/Dashboard/Served?ServiceDateFrom=2025-11-24&amp;ServiceDateTo=2025-11-24&amp;DumpsterInvNr=13-L-427079", "13-L-427079")</f>
        <v>13-L-427079</v>
      </c>
      <c r="C4621">
        <v>1.1000000000000001</v>
      </c>
      <c r="D4621" t="s">
        <v>6394</v>
      </c>
      <c r="E4621" t="s">
        <v>11</v>
      </c>
      <c r="F4621" t="s">
        <v>13</v>
      </c>
      <c r="G4621" t="s">
        <v>74</v>
      </c>
      <c r="H4621" t="s">
        <v>14</v>
      </c>
    </row>
    <row r="4622" spans="1:10" hidden="1" x14ac:dyDescent="0.25">
      <c r="A4622" t="s">
        <v>6395</v>
      </c>
      <c r="B4622" s="1" t="str">
        <f>HYPERLINK("https://asmlis.vasa.lt/Dashboard/Served?ServiceDateFrom=2025-11-24&amp;ServiceDateTo=2025-11-24&amp;DumpsterInvNr=13-L-145923", "13-L-145923")</f>
        <v>13-L-145923</v>
      </c>
      <c r="C4622">
        <v>5</v>
      </c>
      <c r="D4622" t="s">
        <v>6396</v>
      </c>
      <c r="E4622" t="s">
        <v>11</v>
      </c>
      <c r="F4622" t="s">
        <v>13</v>
      </c>
      <c r="G4622" t="s">
        <v>430</v>
      </c>
      <c r="H4622" t="s">
        <v>432</v>
      </c>
    </row>
    <row r="4623" spans="1:10" hidden="1" x14ac:dyDescent="0.25">
      <c r="A4623" t="s">
        <v>6397</v>
      </c>
      <c r="B4623" s="1" t="str">
        <f>HYPERLINK("https://asmlis.vasa.lt/Dashboard/Served?ServiceDateFrom=2025-11-24&amp;ServiceDateTo=2025-11-24&amp;DumpsterInvNr=13-M-203930", "13-M-203930")</f>
        <v>13-M-203930</v>
      </c>
      <c r="C4623">
        <v>0.12</v>
      </c>
      <c r="D4623" t="s">
        <v>6398</v>
      </c>
      <c r="E4623" t="s">
        <v>11</v>
      </c>
      <c r="F4623" t="s">
        <v>1209</v>
      </c>
      <c r="G4623" t="s">
        <v>4876</v>
      </c>
      <c r="H4623" t="s">
        <v>938</v>
      </c>
    </row>
    <row r="4624" spans="1:10" hidden="1" x14ac:dyDescent="0.25">
      <c r="A4624" t="s">
        <v>6399</v>
      </c>
      <c r="B4624" s="1" t="str">
        <f>HYPERLINK("https://asmlis.vasa.lt/Dashboard/Served?ServiceDateFrom=2025-11-24&amp;ServiceDateTo=2025-11-24&amp;DumpsterInvNr=13-L-220327", "13-L-220327")</f>
        <v>13-L-220327</v>
      </c>
      <c r="C4624">
        <v>0.24</v>
      </c>
      <c r="D4624" t="s">
        <v>6400</v>
      </c>
      <c r="E4624" t="s">
        <v>11</v>
      </c>
      <c r="G4624" t="s">
        <v>936</v>
      </c>
      <c r="H4624" t="s">
        <v>938</v>
      </c>
    </row>
    <row r="4625" spans="1:8" hidden="1" x14ac:dyDescent="0.25">
      <c r="A4625" t="s">
        <v>6401</v>
      </c>
      <c r="B4625" s="1" t="str">
        <f>HYPERLINK("https://asmlis.vasa.lt/Dashboard/Served?ServiceDateFrom=2025-11-24&amp;ServiceDateTo=2025-11-24&amp;DumpsterInvNr=13-L-316373", "13-L-316373")</f>
        <v>13-L-316373</v>
      </c>
      <c r="C4625">
        <v>5</v>
      </c>
      <c r="D4625" t="s">
        <v>6402</v>
      </c>
      <c r="E4625" t="s">
        <v>11</v>
      </c>
      <c r="F4625" t="s">
        <v>13</v>
      </c>
      <c r="G4625" t="s">
        <v>9</v>
      </c>
      <c r="H4625" t="s">
        <v>14</v>
      </c>
    </row>
    <row r="4626" spans="1:8" hidden="1" x14ac:dyDescent="0.25">
      <c r="A4626" t="s">
        <v>6403</v>
      </c>
      <c r="B4626" s="1" t="str">
        <f>HYPERLINK("https://asmlis.vasa.lt/Dashboard/Served?ServiceDateFrom=2025-11-24&amp;ServiceDateTo=2025-11-24&amp;DumpsterInvNr=13-L-303128", "13-L-303128")</f>
        <v>13-L-303128</v>
      </c>
      <c r="C4626">
        <v>1.1000000000000001</v>
      </c>
      <c r="D4626" t="s">
        <v>6404</v>
      </c>
      <c r="E4626" t="s">
        <v>11</v>
      </c>
      <c r="F4626" t="s">
        <v>712</v>
      </c>
      <c r="G4626" t="s">
        <v>9</v>
      </c>
      <c r="H4626" t="s">
        <v>14</v>
      </c>
    </row>
    <row r="4627" spans="1:8" hidden="1" x14ac:dyDescent="0.25">
      <c r="A4627" t="s">
        <v>6405</v>
      </c>
      <c r="B4627" s="1" t="str">
        <f>HYPERLINK("https://asmlis.vasa.lt/Dashboard/Served?ServiceDateFrom=2025-11-24&amp;ServiceDateTo=2025-11-24&amp;DumpsterInvNr=13-L-411947", "13-L-411947")</f>
        <v>13-L-411947</v>
      </c>
      <c r="C4627">
        <v>5</v>
      </c>
      <c r="D4627" t="s">
        <v>6406</v>
      </c>
      <c r="E4627" t="s">
        <v>11</v>
      </c>
      <c r="F4627" t="s">
        <v>13</v>
      </c>
      <c r="G4627" t="s">
        <v>74</v>
      </c>
      <c r="H4627" t="s">
        <v>14</v>
      </c>
    </row>
    <row r="4628" spans="1:8" hidden="1" x14ac:dyDescent="0.25">
      <c r="A4628" t="s">
        <v>6407</v>
      </c>
      <c r="B4628" s="1" t="str">
        <f>HYPERLINK("https://asmlis.vasa.lt/Dashboard/Served?ServiceDateFrom=2025-11-24&amp;ServiceDateTo=2025-11-24&amp;DumpsterInvNr=13-L-220326", "13-L-220326")</f>
        <v>13-L-220326</v>
      </c>
      <c r="C4628">
        <v>0.24</v>
      </c>
      <c r="D4628" t="s">
        <v>6408</v>
      </c>
      <c r="E4628" t="s">
        <v>11</v>
      </c>
      <c r="G4628" t="s">
        <v>936</v>
      </c>
      <c r="H4628" t="s">
        <v>938</v>
      </c>
    </row>
    <row r="4629" spans="1:8" hidden="1" x14ac:dyDescent="0.25">
      <c r="A4629" t="s">
        <v>6409</v>
      </c>
      <c r="B4629" s="1" t="str">
        <f>HYPERLINK("https://asmlis.vasa.lt/Dashboard/Served?ServiceDateFrom=2025-11-24&amp;ServiceDateTo=2025-11-24&amp;DumpsterInvNr=13-L-127559", "13-L-127559")</f>
        <v>13-L-127559</v>
      </c>
      <c r="C4629">
        <v>0.12</v>
      </c>
      <c r="D4629" t="s">
        <v>6410</v>
      </c>
      <c r="E4629" t="s">
        <v>11</v>
      </c>
      <c r="G4629" t="s">
        <v>1912</v>
      </c>
      <c r="H4629" t="s">
        <v>432</v>
      </c>
    </row>
    <row r="4630" spans="1:8" hidden="1" x14ac:dyDescent="0.25">
      <c r="A4630" t="s">
        <v>6409</v>
      </c>
      <c r="B4630" s="1" t="str">
        <f>HYPERLINK("https://asmlis.vasa.lt/Dashboard/Served?ServiceDateFrom=2025-11-24&amp;ServiceDateTo=2025-11-24&amp;DumpsterInvNr=13-L-413446", "13-L-413446")</f>
        <v>13-L-413446</v>
      </c>
      <c r="C4630">
        <v>0.24</v>
      </c>
      <c r="D4630" t="s">
        <v>3103</v>
      </c>
      <c r="E4630" t="s">
        <v>11</v>
      </c>
      <c r="G4630" t="s">
        <v>74</v>
      </c>
      <c r="H4630" t="s">
        <v>14</v>
      </c>
    </row>
    <row r="4631" spans="1:8" hidden="1" x14ac:dyDescent="0.25">
      <c r="A4631" t="s">
        <v>6412</v>
      </c>
      <c r="B4631" s="1" t="str">
        <f>HYPERLINK("https://asmlis.vasa.lt/Dashboard/Served?ServiceDateFrom=2025-11-24&amp;ServiceDateTo=2025-11-24&amp;DumpsterInvNr=13-P-114913", "13-P-114913")</f>
        <v>13-P-114913</v>
      </c>
      <c r="C4631">
        <v>0.24</v>
      </c>
      <c r="D4631" t="s">
        <v>6410</v>
      </c>
      <c r="E4631" t="s">
        <v>11</v>
      </c>
      <c r="G4631" t="s">
        <v>1917</v>
      </c>
      <c r="H4631" t="s">
        <v>432</v>
      </c>
    </row>
    <row r="4632" spans="1:8" hidden="1" x14ac:dyDescent="0.25">
      <c r="A4632" t="s">
        <v>6413</v>
      </c>
      <c r="B4632" s="1" t="str">
        <f>HYPERLINK("https://asmlis.vasa.lt/Dashboard/Served?ServiceDateFrom=2025-11-24&amp;ServiceDateTo=2025-11-24&amp;DumpsterInvNr=13-P-415448", "13-P-415448")</f>
        <v>13-P-415448</v>
      </c>
      <c r="C4632">
        <v>2.5</v>
      </c>
      <c r="D4632" t="s">
        <v>6414</v>
      </c>
      <c r="E4632" t="s">
        <v>11</v>
      </c>
      <c r="F4632" t="s">
        <v>13</v>
      </c>
      <c r="G4632" t="s">
        <v>264</v>
      </c>
      <c r="H4632" t="s">
        <v>14</v>
      </c>
    </row>
    <row r="4633" spans="1:8" hidden="1" x14ac:dyDescent="0.25">
      <c r="A4633" t="s">
        <v>6415</v>
      </c>
      <c r="B4633" s="1" t="str">
        <f>HYPERLINK("https://asmlis.vasa.lt/Dashboard/Served?ServiceDateFrom=2025-11-24&amp;ServiceDateTo=2025-11-24&amp;DumpsterInvNr=13-P-401648", "13-P-401648")</f>
        <v>13-P-401648</v>
      </c>
      <c r="C4633">
        <v>2.5</v>
      </c>
      <c r="D4633" t="s">
        <v>6414</v>
      </c>
      <c r="E4633" t="s">
        <v>11</v>
      </c>
      <c r="F4633" t="s">
        <v>13</v>
      </c>
      <c r="G4633" t="s">
        <v>264</v>
      </c>
      <c r="H4633" t="s">
        <v>14</v>
      </c>
    </row>
    <row r="4634" spans="1:8" hidden="1" x14ac:dyDescent="0.25">
      <c r="A4634" t="s">
        <v>6416</v>
      </c>
      <c r="B4634" s="1" t="str">
        <f>HYPERLINK("https://asmlis.vasa.lt/Dashboard/Served?ServiceDateFrom=2025-11-24&amp;ServiceDateTo=2025-11-24&amp;DumpsterInvNr=13-P-502760", "13-P-502760")</f>
        <v>13-P-502760</v>
      </c>
      <c r="C4634">
        <v>0.12</v>
      </c>
      <c r="D4634" t="s">
        <v>6417</v>
      </c>
      <c r="E4634" t="s">
        <v>11</v>
      </c>
      <c r="G4634" t="s">
        <v>2178</v>
      </c>
      <c r="H4634" t="s">
        <v>432</v>
      </c>
    </row>
    <row r="4635" spans="1:8" hidden="1" x14ac:dyDescent="0.25">
      <c r="A4635" t="s">
        <v>6418</v>
      </c>
      <c r="B4635" s="1" t="str">
        <f>HYPERLINK("https://asmlis.vasa.lt/Dashboard/Served?ServiceDateFrom=2025-11-24&amp;ServiceDateTo=2025-11-24&amp;DumpsterInvNr=13-L-227449", "13-L-227449")</f>
        <v>13-L-227449</v>
      </c>
      <c r="C4635">
        <v>1.1000000000000001</v>
      </c>
      <c r="D4635" t="s">
        <v>5544</v>
      </c>
      <c r="E4635" t="s">
        <v>11</v>
      </c>
      <c r="G4635" t="s">
        <v>936</v>
      </c>
      <c r="H4635" t="s">
        <v>938</v>
      </c>
    </row>
    <row r="4636" spans="1:8" hidden="1" x14ac:dyDescent="0.25">
      <c r="A4636" t="s">
        <v>6418</v>
      </c>
      <c r="B4636" s="1" t="str">
        <f>HYPERLINK("https://asmlis.vasa.lt/Dashboard/Served?ServiceDateFrom=2025-11-24&amp;ServiceDateTo=2025-11-24&amp;DumpsterInvNr=13-P-101145", "13-P-101145")</f>
        <v>13-P-101145</v>
      </c>
      <c r="C4636">
        <v>0.24</v>
      </c>
      <c r="D4636" t="s">
        <v>6348</v>
      </c>
      <c r="E4636" t="s">
        <v>11</v>
      </c>
      <c r="F4636" t="s">
        <v>1209</v>
      </c>
      <c r="G4636" t="s">
        <v>1917</v>
      </c>
      <c r="H4636" t="s">
        <v>432</v>
      </c>
    </row>
    <row r="4637" spans="1:8" hidden="1" x14ac:dyDescent="0.25">
      <c r="A4637" t="s">
        <v>6418</v>
      </c>
      <c r="B4637" s="1" t="str">
        <f>HYPERLINK("https://asmlis.vasa.lt/Dashboard/Served?ServiceDateFrom=2025-11-24&amp;ServiceDateTo=2025-11-24&amp;DumpsterInvNr=13-P-408988", "13-P-408988")</f>
        <v>13-P-408988</v>
      </c>
      <c r="C4637">
        <v>2.5</v>
      </c>
      <c r="D4637" t="s">
        <v>6414</v>
      </c>
      <c r="E4637" t="s">
        <v>11</v>
      </c>
      <c r="F4637" t="s">
        <v>13</v>
      </c>
      <c r="G4637" t="s">
        <v>264</v>
      </c>
      <c r="H4637" t="s">
        <v>14</v>
      </c>
    </row>
    <row r="4638" spans="1:8" hidden="1" x14ac:dyDescent="0.25">
      <c r="A4638" t="s">
        <v>6420</v>
      </c>
      <c r="B4638" s="1" t="str">
        <f>HYPERLINK("https://asmlis.vasa.lt/Dashboard/Served?ServiceDateFrom=2025-11-24&amp;ServiceDateTo=2025-11-24&amp;DumpsterInvNr=13-P-402071", "13-P-402071")</f>
        <v>13-P-402071</v>
      </c>
      <c r="C4638">
        <v>1.1000000000000001</v>
      </c>
      <c r="D4638" t="s">
        <v>6421</v>
      </c>
      <c r="E4638" t="s">
        <v>11</v>
      </c>
      <c r="G4638" t="s">
        <v>264</v>
      </c>
      <c r="H4638" t="s">
        <v>14</v>
      </c>
    </row>
    <row r="4639" spans="1:8" hidden="1" x14ac:dyDescent="0.25">
      <c r="A4639" t="s">
        <v>6422</v>
      </c>
      <c r="B4639" s="1" t="str">
        <f>HYPERLINK("https://asmlis.vasa.lt/Dashboard/Served?ServiceDateFrom=2025-11-24&amp;ServiceDateTo=2025-11-24&amp;DumpsterInvNr=13-P-415439", "13-P-415439")</f>
        <v>13-P-415439</v>
      </c>
      <c r="C4639">
        <v>2.5</v>
      </c>
      <c r="D4639" t="s">
        <v>6414</v>
      </c>
      <c r="E4639" t="s">
        <v>11</v>
      </c>
      <c r="F4639" t="s">
        <v>13</v>
      </c>
      <c r="G4639" t="s">
        <v>264</v>
      </c>
      <c r="H4639" t="s">
        <v>14</v>
      </c>
    </row>
    <row r="4640" spans="1:8" hidden="1" x14ac:dyDescent="0.25">
      <c r="A4640" t="s">
        <v>6423</v>
      </c>
      <c r="B4640" s="1" t="str">
        <f>HYPERLINK("https://asmlis.vasa.lt/Dashboard/Served?ServiceDateFrom=2025-11-24&amp;ServiceDateTo=2025-11-24&amp;DumpsterInvNr=13-L-123374", "13-L-123374")</f>
        <v>13-L-123374</v>
      </c>
      <c r="C4640">
        <v>0.24</v>
      </c>
      <c r="D4640" t="s">
        <v>6417</v>
      </c>
      <c r="E4640" t="s">
        <v>11</v>
      </c>
      <c r="G4640" t="s">
        <v>430</v>
      </c>
      <c r="H4640" t="s">
        <v>432</v>
      </c>
    </row>
    <row r="4641" spans="1:8" hidden="1" x14ac:dyDescent="0.25">
      <c r="A4641" t="s">
        <v>6425</v>
      </c>
      <c r="B4641" s="1" t="str">
        <f>HYPERLINK("https://asmlis.vasa.lt/Dashboard/Served?ServiceDateFrom=2025-11-24&amp;ServiceDateTo=2025-11-24&amp;DumpsterInvNr=13-P-211901", "13-P-211901")</f>
        <v>13-P-211901</v>
      </c>
      <c r="C4641">
        <v>0.24</v>
      </c>
      <c r="D4641" t="s">
        <v>6426</v>
      </c>
      <c r="E4641" t="s">
        <v>11</v>
      </c>
      <c r="G4641" t="s">
        <v>234</v>
      </c>
      <c r="H4641" t="s">
        <v>14</v>
      </c>
    </row>
    <row r="4642" spans="1:8" hidden="1" x14ac:dyDescent="0.25">
      <c r="A4642" t="s">
        <v>6427</v>
      </c>
      <c r="B4642" s="1" t="str">
        <f>HYPERLINK("https://asmlis.vasa.lt/Dashboard/Served?ServiceDateFrom=2025-11-24&amp;ServiceDateTo=2025-11-24&amp;DumpsterInvNr=13-T-000141", "13-T-000141")</f>
        <v>13-T-000141</v>
      </c>
      <c r="C4642">
        <v>2.5</v>
      </c>
      <c r="D4642" t="s">
        <v>6428</v>
      </c>
      <c r="E4642" t="s">
        <v>11</v>
      </c>
      <c r="F4642" t="s">
        <v>13</v>
      </c>
      <c r="G4642" t="s">
        <v>1899</v>
      </c>
      <c r="H4642" t="s">
        <v>432</v>
      </c>
    </row>
    <row r="4643" spans="1:8" hidden="1" x14ac:dyDescent="0.25">
      <c r="A4643" t="s">
        <v>6429</v>
      </c>
      <c r="B4643" s="1" t="str">
        <f>HYPERLINK("https://asmlis.vasa.lt/Dashboard/Served?ServiceDateFrom=2025-11-24&amp;ServiceDateTo=2025-11-24&amp;DumpsterInvNr=13-M-201241", "13-M-201241")</f>
        <v>13-M-201241</v>
      </c>
      <c r="C4643">
        <v>0.12</v>
      </c>
      <c r="D4643" t="s">
        <v>6430</v>
      </c>
      <c r="E4643" t="s">
        <v>11</v>
      </c>
      <c r="F4643" t="s">
        <v>1209</v>
      </c>
      <c r="G4643" t="s">
        <v>4876</v>
      </c>
      <c r="H4643" t="s">
        <v>938</v>
      </c>
    </row>
    <row r="4644" spans="1:8" hidden="1" x14ac:dyDescent="0.25">
      <c r="A4644" t="s">
        <v>6431</v>
      </c>
      <c r="B4644" s="1" t="str">
        <f>HYPERLINK("https://asmlis.vasa.lt/Dashboard/Served?ServiceDateFrom=2025-11-24&amp;ServiceDateTo=2025-11-24&amp;DumpsterInvNr=13-L-416072", "13-L-416072")</f>
        <v>13-L-416072</v>
      </c>
      <c r="C4644">
        <v>0.24</v>
      </c>
      <c r="D4644" t="s">
        <v>3125</v>
      </c>
      <c r="E4644" t="s">
        <v>11</v>
      </c>
      <c r="G4644" t="s">
        <v>74</v>
      </c>
      <c r="H4644" t="s">
        <v>14</v>
      </c>
    </row>
    <row r="4645" spans="1:8" hidden="1" x14ac:dyDescent="0.25">
      <c r="A4645" t="s">
        <v>6433</v>
      </c>
      <c r="B4645" s="1" t="str">
        <f>HYPERLINK("https://asmlis.vasa.lt/Dashboard/Served?ServiceDateFrom=2025-11-24&amp;ServiceDateTo=2025-11-24&amp;DumpsterInvNr=13-P-211951", "13-P-211951")</f>
        <v>13-P-211951</v>
      </c>
      <c r="C4645">
        <v>0.24</v>
      </c>
      <c r="D4645" t="s">
        <v>6434</v>
      </c>
      <c r="E4645" t="s">
        <v>11</v>
      </c>
      <c r="G4645" t="s">
        <v>234</v>
      </c>
      <c r="H4645" t="s">
        <v>14</v>
      </c>
    </row>
    <row r="4646" spans="1:8" hidden="1" x14ac:dyDescent="0.25">
      <c r="A4646" t="s">
        <v>6435</v>
      </c>
      <c r="B4646" s="1" t="str">
        <f>HYPERLINK("https://asmlis.vasa.lt/Dashboard/Served?ServiceDateFrom=2025-11-24&amp;ServiceDateTo=2025-11-24&amp;DumpsterInvNr=13-T-000142", "13-T-000142")</f>
        <v>13-T-000142</v>
      </c>
      <c r="C4646">
        <v>2.5</v>
      </c>
      <c r="D4646" t="s">
        <v>6428</v>
      </c>
      <c r="E4646" t="s">
        <v>11</v>
      </c>
      <c r="F4646" t="s">
        <v>13</v>
      </c>
      <c r="G4646" t="s">
        <v>1899</v>
      </c>
      <c r="H4646" t="s">
        <v>432</v>
      </c>
    </row>
    <row r="4647" spans="1:8" hidden="1" x14ac:dyDescent="0.25">
      <c r="A4647" t="s">
        <v>6436</v>
      </c>
      <c r="B4647" s="1" t="str">
        <f>HYPERLINK("https://asmlis.vasa.lt/Dashboard/Served?ServiceDateFrom=2025-11-24&amp;ServiceDateTo=2025-11-24&amp;DumpsterInvNr=13-P-502767", "13-P-502767")</f>
        <v>13-P-502767</v>
      </c>
      <c r="C4647">
        <v>0.24</v>
      </c>
      <c r="D4647" t="s">
        <v>6417</v>
      </c>
      <c r="E4647" t="s">
        <v>11</v>
      </c>
      <c r="G4647" t="s">
        <v>2178</v>
      </c>
      <c r="H4647" t="s">
        <v>432</v>
      </c>
    </row>
    <row r="4648" spans="1:8" hidden="1" x14ac:dyDescent="0.25">
      <c r="A4648" t="s">
        <v>6437</v>
      </c>
      <c r="B4648" s="1" t="str">
        <f>HYPERLINK("https://asmlis.vasa.lt/Dashboard/Served?ServiceDateFrom=2025-11-24&amp;ServiceDateTo=2025-11-24&amp;DumpsterInvNr=13-P-211970", "13-P-211970")</f>
        <v>13-P-211970</v>
      </c>
      <c r="C4648">
        <v>0.24</v>
      </c>
      <c r="D4648" t="s">
        <v>6438</v>
      </c>
      <c r="E4648" t="s">
        <v>11</v>
      </c>
      <c r="G4648" t="s">
        <v>234</v>
      </c>
      <c r="H4648" t="s">
        <v>14</v>
      </c>
    </row>
    <row r="4649" spans="1:8" hidden="1" x14ac:dyDescent="0.25">
      <c r="A4649" t="s">
        <v>6439</v>
      </c>
      <c r="B4649" s="1" t="str">
        <f>HYPERLINK("https://asmlis.vasa.lt/Dashboard/Served?ServiceDateFrom=2025-11-24&amp;ServiceDateTo=2025-11-24&amp;DumpsterInvNr=13-L-426304", "13-L-426304")</f>
        <v>13-L-426304</v>
      </c>
      <c r="C4649">
        <v>1.1000000000000001</v>
      </c>
      <c r="D4649" t="s">
        <v>6394</v>
      </c>
      <c r="E4649" t="s">
        <v>11</v>
      </c>
      <c r="F4649" t="s">
        <v>13</v>
      </c>
      <c r="G4649" t="s">
        <v>74</v>
      </c>
      <c r="H4649" t="s">
        <v>14</v>
      </c>
    </row>
    <row r="4650" spans="1:8" hidden="1" x14ac:dyDescent="0.25">
      <c r="A4650" t="s">
        <v>6440</v>
      </c>
      <c r="B4650" s="1" t="str">
        <f>HYPERLINK("https://asmlis.vasa.lt/Dashboard/Served?ServiceDateFrom=2025-11-24&amp;ServiceDateTo=2025-11-24&amp;DumpsterInvNr=13-L-116526", "13-L-116526")</f>
        <v>13-L-116526</v>
      </c>
      <c r="C4650">
        <v>1.1000000000000001</v>
      </c>
      <c r="D4650" t="s">
        <v>6441</v>
      </c>
      <c r="E4650" t="s">
        <v>11</v>
      </c>
      <c r="G4650" t="s">
        <v>430</v>
      </c>
      <c r="H4650" t="s">
        <v>432</v>
      </c>
    </row>
    <row r="4651" spans="1:8" hidden="1" x14ac:dyDescent="0.25">
      <c r="A4651" t="s">
        <v>6442</v>
      </c>
      <c r="B4651" s="1" t="str">
        <f>HYPERLINK("https://asmlis.vasa.lt/Dashboard/Served?ServiceDateFrom=2025-11-24&amp;ServiceDateTo=2025-11-24&amp;DumpsterInvNr=13-L-209062", "13-L-209062")</f>
        <v>13-L-209062</v>
      </c>
      <c r="C4651">
        <v>0.12</v>
      </c>
      <c r="D4651" t="s">
        <v>6444</v>
      </c>
      <c r="E4651" t="s">
        <v>11</v>
      </c>
      <c r="G4651" t="s">
        <v>936</v>
      </c>
      <c r="H4651" t="s">
        <v>938</v>
      </c>
    </row>
    <row r="4652" spans="1:8" hidden="1" x14ac:dyDescent="0.25">
      <c r="A4652" t="s">
        <v>6442</v>
      </c>
      <c r="B4652" s="1" t="str">
        <f>HYPERLINK("https://asmlis.vasa.lt/Dashboard/Served?ServiceDateFrom=2025-11-24&amp;ServiceDateTo=2025-11-24&amp;DumpsterInvNr=13-P-302574", "13-P-302574")</f>
        <v>13-P-302574</v>
      </c>
      <c r="C4652">
        <v>2.5</v>
      </c>
      <c r="D4652" t="s">
        <v>6445</v>
      </c>
      <c r="E4652" t="s">
        <v>11</v>
      </c>
      <c r="F4652" t="s">
        <v>13</v>
      </c>
      <c r="G4652" t="s">
        <v>412</v>
      </c>
      <c r="H4652" t="s">
        <v>14</v>
      </c>
    </row>
    <row r="4653" spans="1:8" hidden="1" x14ac:dyDescent="0.25">
      <c r="A4653" t="s">
        <v>6446</v>
      </c>
      <c r="B4653" s="1" t="str">
        <f>HYPERLINK("https://asmlis.vasa.lt/Dashboard/Served?ServiceDateFrom=2025-11-24&amp;ServiceDateTo=2025-11-24&amp;DumpsterInvNr=13-M-200963", "13-M-200963")</f>
        <v>13-M-200963</v>
      </c>
      <c r="C4653">
        <v>0.12</v>
      </c>
      <c r="D4653" t="s">
        <v>6447</v>
      </c>
      <c r="E4653" t="s">
        <v>11</v>
      </c>
      <c r="F4653" t="s">
        <v>1209</v>
      </c>
      <c r="G4653" t="s">
        <v>4876</v>
      </c>
      <c r="H4653" t="s">
        <v>938</v>
      </c>
    </row>
    <row r="4654" spans="1:8" hidden="1" x14ac:dyDescent="0.25">
      <c r="A4654" t="s">
        <v>6448</v>
      </c>
      <c r="B4654" s="1" t="str">
        <f>HYPERLINK("https://asmlis.vasa.lt/Dashboard/Served?ServiceDateFrom=2025-11-24&amp;ServiceDateTo=2025-11-24&amp;DumpsterInvNr=13-L-426305", "13-L-426305")</f>
        <v>13-L-426305</v>
      </c>
      <c r="C4654">
        <v>1.1000000000000001</v>
      </c>
      <c r="D4654" t="s">
        <v>6414</v>
      </c>
      <c r="E4654" t="s">
        <v>11</v>
      </c>
      <c r="F4654" t="s">
        <v>13</v>
      </c>
      <c r="G4654" t="s">
        <v>74</v>
      </c>
      <c r="H4654" t="s">
        <v>14</v>
      </c>
    </row>
    <row r="4655" spans="1:8" hidden="1" x14ac:dyDescent="0.25">
      <c r="A4655" t="s">
        <v>6449</v>
      </c>
      <c r="B4655" s="1" t="str">
        <f>HYPERLINK("https://asmlis.vasa.lt/Dashboard/Served?ServiceDateFrom=2025-11-24&amp;ServiceDateTo=2025-11-24&amp;DumpsterInvNr=13-P-302573", "13-P-302573")</f>
        <v>13-P-302573</v>
      </c>
      <c r="C4655">
        <v>2.5</v>
      </c>
      <c r="D4655" t="s">
        <v>6445</v>
      </c>
      <c r="E4655" t="s">
        <v>11</v>
      </c>
      <c r="F4655" t="s">
        <v>13</v>
      </c>
      <c r="G4655" t="s">
        <v>412</v>
      </c>
      <c r="H4655" t="s">
        <v>14</v>
      </c>
    </row>
    <row r="4656" spans="1:8" hidden="1" x14ac:dyDescent="0.25">
      <c r="A4656" t="s">
        <v>6451</v>
      </c>
      <c r="B4656" s="1" t="str">
        <f>HYPERLINK("https://asmlis.vasa.lt/Dashboard/Served?ServiceDateFrom=2025-11-24&amp;ServiceDateTo=2025-11-24&amp;DumpsterInvNr=13-L-139029", "13-L-139029")</f>
        <v>13-L-139029</v>
      </c>
      <c r="C4656">
        <v>0.12</v>
      </c>
      <c r="D4656" t="s">
        <v>6452</v>
      </c>
      <c r="E4656" t="s">
        <v>11</v>
      </c>
      <c r="G4656" t="s">
        <v>430</v>
      </c>
      <c r="H4656" t="s">
        <v>432</v>
      </c>
    </row>
    <row r="4657" spans="1:8" hidden="1" x14ac:dyDescent="0.25">
      <c r="A4657" t="s">
        <v>6451</v>
      </c>
      <c r="B4657" s="1" t="str">
        <f>HYPERLINK("https://asmlis.vasa.lt/Dashboard/Served?ServiceDateFrom=2025-11-24&amp;ServiceDateTo=2025-11-24&amp;DumpsterInvNr=13-P-502770", "13-P-502770")</f>
        <v>13-P-502770</v>
      </c>
      <c r="C4657">
        <v>0.24</v>
      </c>
      <c r="D4657" t="s">
        <v>6452</v>
      </c>
      <c r="E4657" t="s">
        <v>11</v>
      </c>
      <c r="G4657" t="s">
        <v>2178</v>
      </c>
      <c r="H4657" t="s">
        <v>432</v>
      </c>
    </row>
    <row r="4658" spans="1:8" hidden="1" x14ac:dyDescent="0.25">
      <c r="A4658" t="s">
        <v>5637</v>
      </c>
      <c r="B4658" s="1" t="str">
        <f>HYPERLINK("https://asmlis.vasa.lt/Dashboard/Served?ServiceDateFrom=2025-11-24&amp;ServiceDateTo=2025-11-24&amp;DumpsterInvNr=13-L-123914", "13-L-123914")</f>
        <v>13-L-123914</v>
      </c>
      <c r="C4658">
        <v>0.24</v>
      </c>
      <c r="D4658" t="s">
        <v>6454</v>
      </c>
      <c r="E4658" t="s">
        <v>11</v>
      </c>
      <c r="G4658" t="s">
        <v>1912</v>
      </c>
      <c r="H4658" t="s">
        <v>432</v>
      </c>
    </row>
    <row r="4659" spans="1:8" hidden="1" x14ac:dyDescent="0.25">
      <c r="A4659" t="s">
        <v>5637</v>
      </c>
      <c r="B4659" s="1" t="str">
        <f>HYPERLINK("https://asmlis.vasa.lt/Dashboard/Served?ServiceDateFrom=2025-11-24&amp;ServiceDateTo=2025-11-24&amp;DumpsterInvNr=13-M-200965", "13-M-200965")</f>
        <v>13-M-200965</v>
      </c>
      <c r="C4659">
        <v>0.12</v>
      </c>
      <c r="D4659" t="s">
        <v>6455</v>
      </c>
      <c r="E4659" t="s">
        <v>11</v>
      </c>
      <c r="G4659" t="s">
        <v>4876</v>
      </c>
      <c r="H4659" t="s">
        <v>938</v>
      </c>
    </row>
    <row r="4660" spans="1:8" hidden="1" x14ac:dyDescent="0.25">
      <c r="A4660" t="s">
        <v>5688</v>
      </c>
      <c r="B4660" s="1" t="str">
        <f>HYPERLINK("https://asmlis.vasa.lt/Dashboard/Served?ServiceDateFrom=2025-11-24&amp;ServiceDateTo=2025-11-24&amp;DumpsterInvNr=13-P-300859", "13-P-300859")</f>
        <v>13-P-300859</v>
      </c>
      <c r="C4660">
        <v>1.1000000000000001</v>
      </c>
      <c r="D4660" t="s">
        <v>1130</v>
      </c>
      <c r="E4660" t="s">
        <v>11</v>
      </c>
      <c r="F4660" t="s">
        <v>13</v>
      </c>
      <c r="G4660" t="s">
        <v>412</v>
      </c>
      <c r="H4660" t="s">
        <v>14</v>
      </c>
    </row>
    <row r="4661" spans="1:8" hidden="1" x14ac:dyDescent="0.25">
      <c r="A4661" t="s">
        <v>6456</v>
      </c>
      <c r="B4661" s="1" t="str">
        <f>HYPERLINK("https://asmlis.vasa.lt/Dashboard/Served?ServiceDateFrom=2025-11-24&amp;ServiceDateTo=2025-11-24&amp;DumpsterInvNr=13-P-210643", "13-P-210643")</f>
        <v>13-P-210643</v>
      </c>
      <c r="C4661">
        <v>0.24</v>
      </c>
      <c r="D4661" t="s">
        <v>6457</v>
      </c>
      <c r="E4661" t="s">
        <v>11</v>
      </c>
      <c r="G4661" t="s">
        <v>234</v>
      </c>
      <c r="H4661" t="s">
        <v>14</v>
      </c>
    </row>
    <row r="4662" spans="1:8" hidden="1" x14ac:dyDescent="0.25">
      <c r="A4662" t="s">
        <v>6458</v>
      </c>
      <c r="B4662" s="1" t="str">
        <f>HYPERLINK("https://asmlis.vasa.lt/Dashboard/Served?ServiceDateFrom=2025-11-24&amp;ServiceDateTo=2025-11-24&amp;DumpsterInvNr=13-P-205239", "13-P-205239")</f>
        <v>13-P-205239</v>
      </c>
      <c r="C4662">
        <v>0.24</v>
      </c>
      <c r="D4662" t="s">
        <v>6459</v>
      </c>
      <c r="E4662" t="s">
        <v>11</v>
      </c>
      <c r="F4662" t="s">
        <v>1209</v>
      </c>
      <c r="G4662" t="s">
        <v>234</v>
      </c>
      <c r="H4662" t="s">
        <v>14</v>
      </c>
    </row>
    <row r="4663" spans="1:8" hidden="1" x14ac:dyDescent="0.25">
      <c r="A4663" t="s">
        <v>6460</v>
      </c>
      <c r="B4663" s="1" t="str">
        <f>HYPERLINK("https://asmlis.vasa.lt/Dashboard/Served?ServiceDateFrom=2025-11-24&amp;ServiceDateTo=2025-11-24&amp;DumpsterInvNr=13-L-218647", "13-L-218647")</f>
        <v>13-L-218647</v>
      </c>
      <c r="C4663">
        <v>0.24</v>
      </c>
      <c r="D4663" t="s">
        <v>6461</v>
      </c>
      <c r="E4663" t="s">
        <v>11</v>
      </c>
      <c r="G4663" t="s">
        <v>936</v>
      </c>
      <c r="H4663" t="s">
        <v>938</v>
      </c>
    </row>
    <row r="4664" spans="1:8" hidden="1" x14ac:dyDescent="0.25">
      <c r="A4664" t="s">
        <v>6460</v>
      </c>
      <c r="B4664" s="1" t="str">
        <f>HYPERLINK("https://asmlis.vasa.lt/Dashboard/Served?ServiceDateFrom=2025-11-24&amp;ServiceDateTo=2025-11-24&amp;DumpsterInvNr=13-L-206288", "13-L-206288")</f>
        <v>13-L-206288</v>
      </c>
      <c r="C4664">
        <v>0.12</v>
      </c>
      <c r="D4664" t="s">
        <v>6462</v>
      </c>
      <c r="E4664" t="s">
        <v>11</v>
      </c>
      <c r="G4664" t="s">
        <v>936</v>
      </c>
      <c r="H4664" t="s">
        <v>938</v>
      </c>
    </row>
    <row r="4665" spans="1:8" hidden="1" x14ac:dyDescent="0.25">
      <c r="A4665" t="s">
        <v>6460</v>
      </c>
      <c r="B4665" s="1" t="str">
        <f>HYPERLINK("https://asmlis.vasa.lt/Dashboard/Served?ServiceDateFrom=2025-11-24&amp;ServiceDateTo=2025-11-24&amp;DumpsterInvNr=13-P-404445", "13-P-404445")</f>
        <v>13-P-404445</v>
      </c>
      <c r="C4665">
        <v>0.24</v>
      </c>
      <c r="D4665" t="s">
        <v>6463</v>
      </c>
      <c r="E4665" t="s">
        <v>11</v>
      </c>
      <c r="G4665" t="s">
        <v>264</v>
      </c>
      <c r="H4665" t="s">
        <v>14</v>
      </c>
    </row>
    <row r="4666" spans="1:8" hidden="1" x14ac:dyDescent="0.25">
      <c r="A4666" t="s">
        <v>6464</v>
      </c>
      <c r="B4666" s="1" t="str">
        <f>HYPERLINK("https://asmlis.vasa.lt/Dashboard/Served?ServiceDateFrom=2025-11-24&amp;ServiceDateTo=2025-11-24&amp;DumpsterInvNr=13-L-426307", "13-L-426307")</f>
        <v>13-L-426307</v>
      </c>
      <c r="C4666">
        <v>1.1000000000000001</v>
      </c>
      <c r="D4666" t="s">
        <v>6465</v>
      </c>
      <c r="E4666" t="s">
        <v>11</v>
      </c>
      <c r="F4666" t="s">
        <v>13</v>
      </c>
      <c r="G4666" t="s">
        <v>74</v>
      </c>
      <c r="H4666" t="s">
        <v>14</v>
      </c>
    </row>
    <row r="4667" spans="1:8" hidden="1" x14ac:dyDescent="0.25">
      <c r="A4667" t="s">
        <v>6466</v>
      </c>
      <c r="B4667" s="1" t="str">
        <f>HYPERLINK("https://asmlis.vasa.lt/Dashboard/Served?ServiceDateFrom=2025-11-24&amp;ServiceDateTo=2025-11-24&amp;DumpsterInvNr=13-P-116358", "13-P-116358")</f>
        <v>13-P-116358</v>
      </c>
      <c r="C4667">
        <v>1.1000000000000001</v>
      </c>
      <c r="D4667" t="s">
        <v>6467</v>
      </c>
      <c r="E4667" t="s">
        <v>11</v>
      </c>
      <c r="G4667" t="s">
        <v>1917</v>
      </c>
      <c r="H4667" t="s">
        <v>432</v>
      </c>
    </row>
    <row r="4668" spans="1:8" hidden="1" x14ac:dyDescent="0.25">
      <c r="A4668" t="s">
        <v>6468</v>
      </c>
      <c r="B4668" s="1" t="str">
        <f>HYPERLINK("https://asmlis.vasa.lt/Dashboard/Served?ServiceDateFrom=2025-11-24&amp;ServiceDateTo=2025-11-24&amp;DumpsterInvNr=13-L-123956", "13-L-123956")</f>
        <v>13-L-123956</v>
      </c>
      <c r="C4668">
        <v>1.1000000000000001</v>
      </c>
      <c r="D4668" t="s">
        <v>6469</v>
      </c>
      <c r="E4668" t="s">
        <v>11</v>
      </c>
      <c r="G4668" t="s">
        <v>1912</v>
      </c>
      <c r="H4668" t="s">
        <v>432</v>
      </c>
    </row>
    <row r="4669" spans="1:8" hidden="1" x14ac:dyDescent="0.25">
      <c r="A4669" t="s">
        <v>6470</v>
      </c>
      <c r="B4669" s="1" t="str">
        <f>HYPERLINK("https://asmlis.vasa.lt/Dashboard/Served?ServiceDateFrom=2025-11-24&amp;ServiceDateTo=2025-11-24&amp;DumpsterInvNr=13-L-426309", "13-L-426309")</f>
        <v>13-L-426309</v>
      </c>
      <c r="C4669">
        <v>1.1000000000000001</v>
      </c>
      <c r="D4669" t="s">
        <v>6465</v>
      </c>
      <c r="E4669" t="s">
        <v>11</v>
      </c>
      <c r="F4669" t="s">
        <v>13</v>
      </c>
      <c r="G4669" t="s">
        <v>74</v>
      </c>
      <c r="H4669" t="s">
        <v>14</v>
      </c>
    </row>
    <row r="4670" spans="1:8" hidden="1" x14ac:dyDescent="0.25">
      <c r="A4670" t="s">
        <v>6471</v>
      </c>
      <c r="B4670" s="1" t="str">
        <f>HYPERLINK("https://asmlis.vasa.lt/Dashboard/Served?ServiceDateFrom=2025-11-24&amp;ServiceDateTo=2025-11-24&amp;DumpsterInvNr=13-L-116923", "13-L-116923")</f>
        <v>13-L-116923</v>
      </c>
      <c r="C4670">
        <v>1.1000000000000001</v>
      </c>
      <c r="D4670" t="s">
        <v>6296</v>
      </c>
      <c r="E4670" t="s">
        <v>11</v>
      </c>
      <c r="G4670" t="s">
        <v>430</v>
      </c>
      <c r="H4670" t="s">
        <v>432</v>
      </c>
    </row>
    <row r="4671" spans="1:8" hidden="1" x14ac:dyDescent="0.25">
      <c r="A4671" t="s">
        <v>6471</v>
      </c>
      <c r="B4671" s="1" t="str">
        <f>HYPERLINK("https://asmlis.vasa.lt/Dashboard/Served?ServiceDateFrom=2025-11-24&amp;ServiceDateTo=2025-11-24&amp;DumpsterInvNr=13-P-212237", "13-P-212237")</f>
        <v>13-P-212237</v>
      </c>
      <c r="C4671">
        <v>0.24</v>
      </c>
      <c r="D4671" t="s">
        <v>6472</v>
      </c>
      <c r="E4671" t="s">
        <v>11</v>
      </c>
      <c r="G4671" t="s">
        <v>234</v>
      </c>
      <c r="H4671" t="s">
        <v>14</v>
      </c>
    </row>
    <row r="4672" spans="1:8" hidden="1" x14ac:dyDescent="0.25">
      <c r="A4672" t="s">
        <v>5729</v>
      </c>
      <c r="B4672" s="1" t="str">
        <f>HYPERLINK("https://asmlis.vasa.lt/Dashboard/Served?ServiceDateFrom=2025-11-24&amp;ServiceDateTo=2025-11-24&amp;DumpsterInvNr=13-L-138051", "13-L-138051")</f>
        <v>13-L-138051</v>
      </c>
      <c r="C4672">
        <v>0.24</v>
      </c>
      <c r="D4672" t="s">
        <v>6473</v>
      </c>
      <c r="E4672" t="s">
        <v>11</v>
      </c>
      <c r="F4672" t="s">
        <v>1209</v>
      </c>
      <c r="G4672" t="s">
        <v>430</v>
      </c>
      <c r="H4672" t="s">
        <v>432</v>
      </c>
    </row>
    <row r="4673" spans="1:8" hidden="1" x14ac:dyDescent="0.25">
      <c r="A4673" t="s">
        <v>5729</v>
      </c>
      <c r="B4673" s="1" t="str">
        <f>HYPERLINK("https://asmlis.vasa.lt/Dashboard/Served?ServiceDateFrom=2025-11-24&amp;ServiceDateTo=2025-11-24&amp;DumpsterInvNr=13-L-426308", "13-L-426308")</f>
        <v>13-L-426308</v>
      </c>
      <c r="C4673">
        <v>1.1000000000000001</v>
      </c>
      <c r="D4673" t="s">
        <v>6465</v>
      </c>
      <c r="E4673" t="s">
        <v>11</v>
      </c>
      <c r="F4673" t="s">
        <v>13</v>
      </c>
      <c r="G4673" t="s">
        <v>74</v>
      </c>
      <c r="H4673" t="s">
        <v>14</v>
      </c>
    </row>
    <row r="4674" spans="1:8" hidden="1" x14ac:dyDescent="0.25">
      <c r="A4674" t="s">
        <v>5729</v>
      </c>
      <c r="B4674" s="1" t="str">
        <f>HYPERLINK("https://asmlis.vasa.lt/Dashboard/Served?ServiceDateFrom=2025-11-24&amp;ServiceDateTo=2025-11-24&amp;DumpsterInvNr=13-P-416265", "13-P-416265")</f>
        <v>13-P-416265</v>
      </c>
      <c r="C4674">
        <v>3</v>
      </c>
      <c r="D4674" t="s">
        <v>6474</v>
      </c>
      <c r="E4674" t="s">
        <v>11</v>
      </c>
      <c r="G4674" t="s">
        <v>264</v>
      </c>
      <c r="H4674" t="s">
        <v>14</v>
      </c>
    </row>
    <row r="4675" spans="1:8" hidden="1" x14ac:dyDescent="0.25">
      <c r="A4675" t="s">
        <v>6475</v>
      </c>
      <c r="B4675" s="1" t="str">
        <f>HYPERLINK("https://asmlis.vasa.lt/Dashboard/Served?ServiceDateFrom=2025-11-24&amp;ServiceDateTo=2025-11-24&amp;DumpsterInvNr=13-L-143080", "13-L-143080")</f>
        <v>13-L-143080</v>
      </c>
      <c r="C4675">
        <v>0.24</v>
      </c>
      <c r="D4675" t="s">
        <v>6477</v>
      </c>
      <c r="E4675" t="s">
        <v>11</v>
      </c>
      <c r="G4675" t="s">
        <v>430</v>
      </c>
      <c r="H4675" t="s">
        <v>432</v>
      </c>
    </row>
    <row r="4676" spans="1:8" hidden="1" x14ac:dyDescent="0.25">
      <c r="A4676" t="s">
        <v>6475</v>
      </c>
      <c r="B4676" s="1" t="str">
        <f>HYPERLINK("https://asmlis.vasa.lt/Dashboard/Served?ServiceDateFrom=2025-11-24&amp;ServiceDateTo=2025-11-24&amp;DumpsterInvNr=13-P-502772", "13-P-502772")</f>
        <v>13-P-502772</v>
      </c>
      <c r="C4676">
        <v>0.24</v>
      </c>
      <c r="D4676" t="s">
        <v>6477</v>
      </c>
      <c r="E4676" t="s">
        <v>11</v>
      </c>
      <c r="G4676" t="s">
        <v>2178</v>
      </c>
      <c r="H4676" t="s">
        <v>432</v>
      </c>
    </row>
    <row r="4677" spans="1:8" hidden="1" x14ac:dyDescent="0.25">
      <c r="A4677" t="s">
        <v>6478</v>
      </c>
      <c r="B4677" s="1" t="str">
        <f>HYPERLINK("https://asmlis.vasa.lt/Dashboard/Served?ServiceDateFrom=2025-11-24&amp;ServiceDateTo=2025-11-24&amp;DumpsterInvNr=13-M-204522", "13-M-204522")</f>
        <v>13-M-204522</v>
      </c>
      <c r="C4677">
        <v>0.12</v>
      </c>
      <c r="D4677" t="s">
        <v>6479</v>
      </c>
      <c r="E4677" t="s">
        <v>11</v>
      </c>
      <c r="F4677" t="s">
        <v>1209</v>
      </c>
      <c r="G4677" t="s">
        <v>4876</v>
      </c>
      <c r="H4677" t="s">
        <v>938</v>
      </c>
    </row>
    <row r="4678" spans="1:8" hidden="1" x14ac:dyDescent="0.25">
      <c r="A4678" t="s">
        <v>6480</v>
      </c>
      <c r="B4678" s="1" t="str">
        <f>HYPERLINK("https://asmlis.vasa.lt/Dashboard/Served?ServiceDateFrom=2025-11-24&amp;ServiceDateTo=2025-11-24&amp;DumpsterInvNr=13-L-204242", "13-L-204242")</f>
        <v>13-L-204242</v>
      </c>
      <c r="C4678">
        <v>1.1000000000000001</v>
      </c>
      <c r="D4678" t="s">
        <v>6283</v>
      </c>
      <c r="E4678" t="s">
        <v>11</v>
      </c>
      <c r="F4678" t="s">
        <v>13</v>
      </c>
      <c r="G4678" t="s">
        <v>936</v>
      </c>
      <c r="H4678" t="s">
        <v>938</v>
      </c>
    </row>
    <row r="4679" spans="1:8" hidden="1" x14ac:dyDescent="0.25">
      <c r="A4679" t="s">
        <v>6481</v>
      </c>
      <c r="B4679" s="1" t="str">
        <f>HYPERLINK("https://asmlis.vasa.lt/Dashboard/Served?ServiceDateFrom=2025-11-24&amp;ServiceDateTo=2025-11-24&amp;DumpsterInvNr=13-L-123376", "13-L-123376")</f>
        <v>13-L-123376</v>
      </c>
      <c r="C4679">
        <v>0.24</v>
      </c>
      <c r="D4679" t="s">
        <v>6482</v>
      </c>
      <c r="E4679" t="s">
        <v>11</v>
      </c>
      <c r="F4679" t="s">
        <v>1209</v>
      </c>
      <c r="G4679" t="s">
        <v>430</v>
      </c>
      <c r="H4679" t="s">
        <v>432</v>
      </c>
    </row>
    <row r="4680" spans="1:8" hidden="1" x14ac:dyDescent="0.25">
      <c r="A4680" t="s">
        <v>6481</v>
      </c>
      <c r="B4680" s="1" t="str">
        <f>HYPERLINK("https://asmlis.vasa.lt/Dashboard/Served?ServiceDateFrom=2025-11-24&amp;ServiceDateTo=2025-11-24&amp;DumpsterInvNr=13-P-502771", "13-P-502771")</f>
        <v>13-P-502771</v>
      </c>
      <c r="C4680">
        <v>0.24</v>
      </c>
      <c r="D4680" t="s">
        <v>6482</v>
      </c>
      <c r="E4680" t="s">
        <v>11</v>
      </c>
      <c r="F4680" t="s">
        <v>1209</v>
      </c>
      <c r="G4680" t="s">
        <v>2178</v>
      </c>
      <c r="H4680" t="s">
        <v>432</v>
      </c>
    </row>
    <row r="4681" spans="1:8" hidden="1" x14ac:dyDescent="0.25">
      <c r="A4681" t="s">
        <v>5748</v>
      </c>
      <c r="B4681" s="1" t="str">
        <f>HYPERLINK("https://asmlis.vasa.lt/Dashboard/Served?ServiceDateFrom=2025-11-24&amp;ServiceDateTo=2025-11-24&amp;DumpsterInvNr=13-L-118404", "13-L-118404")</f>
        <v>13-L-118404</v>
      </c>
      <c r="C4681">
        <v>0.24</v>
      </c>
      <c r="D4681" t="s">
        <v>6483</v>
      </c>
      <c r="E4681" t="s">
        <v>11</v>
      </c>
      <c r="G4681" t="s">
        <v>1912</v>
      </c>
      <c r="H4681" t="s">
        <v>432</v>
      </c>
    </row>
    <row r="4682" spans="1:8" hidden="1" x14ac:dyDescent="0.25">
      <c r="A4682" t="s">
        <v>6158</v>
      </c>
      <c r="B4682" s="1" t="str">
        <f>HYPERLINK("https://asmlis.vasa.lt/Dashboard/Served?ServiceDateFrom=2025-11-24&amp;ServiceDateTo=2025-11-24&amp;DumpsterInvNr=13-P-401331", "13-P-401331")</f>
        <v>13-P-401331</v>
      </c>
      <c r="C4682">
        <v>0.24</v>
      </c>
      <c r="D4682" t="s">
        <v>6484</v>
      </c>
      <c r="E4682" t="s">
        <v>11</v>
      </c>
      <c r="G4682" t="s">
        <v>264</v>
      </c>
      <c r="H4682" t="s">
        <v>14</v>
      </c>
    </row>
    <row r="4683" spans="1:8" hidden="1" x14ac:dyDescent="0.25">
      <c r="A4683" t="s">
        <v>6162</v>
      </c>
      <c r="B4683" s="1" t="str">
        <f>HYPERLINK("https://asmlis.vasa.lt/Dashboard/Served?ServiceDateFrom=2025-11-24&amp;ServiceDateTo=2025-11-24&amp;DumpsterInvNr=13-P-112572", "13-P-112572")</f>
        <v>13-P-112572</v>
      </c>
      <c r="C4683">
        <v>0.24</v>
      </c>
      <c r="D4683" t="s">
        <v>6483</v>
      </c>
      <c r="E4683" t="s">
        <v>11</v>
      </c>
      <c r="G4683" t="s">
        <v>1917</v>
      </c>
      <c r="H4683" t="s">
        <v>432</v>
      </c>
    </row>
    <row r="4684" spans="1:8" hidden="1" x14ac:dyDescent="0.25">
      <c r="A4684" t="s">
        <v>6485</v>
      </c>
      <c r="B4684" s="1" t="str">
        <f>HYPERLINK("https://asmlis.vasa.lt/Dashboard/Served?ServiceDateFrom=2025-11-24&amp;ServiceDateTo=2025-11-24&amp;DumpsterInvNr=13-L-221661", "13-L-221661")</f>
        <v>13-L-221661</v>
      </c>
      <c r="C4684">
        <v>1.1000000000000001</v>
      </c>
      <c r="D4684" t="s">
        <v>6486</v>
      </c>
      <c r="E4684" t="s">
        <v>11</v>
      </c>
      <c r="G4684" t="s">
        <v>936</v>
      </c>
      <c r="H4684" t="s">
        <v>938</v>
      </c>
    </row>
    <row r="4685" spans="1:8" hidden="1" x14ac:dyDescent="0.25">
      <c r="A4685" t="s">
        <v>6168</v>
      </c>
      <c r="B4685" s="1" t="str">
        <f>HYPERLINK("https://asmlis.vasa.lt/Dashboard/Served?ServiceDateFrom=2025-11-24&amp;ServiceDateTo=2025-11-24&amp;DumpsterInvNr=13-M-206974", "13-M-206974")</f>
        <v>13-M-206974</v>
      </c>
      <c r="C4685">
        <v>0.12</v>
      </c>
      <c r="D4685" t="s">
        <v>6487</v>
      </c>
      <c r="E4685" t="s">
        <v>11</v>
      </c>
      <c r="F4685" t="s">
        <v>1209</v>
      </c>
      <c r="G4685" t="s">
        <v>4876</v>
      </c>
      <c r="H4685" t="s">
        <v>938</v>
      </c>
    </row>
    <row r="4686" spans="1:8" hidden="1" x14ac:dyDescent="0.25">
      <c r="A4686" t="s">
        <v>6488</v>
      </c>
      <c r="B4686" s="1" t="str">
        <f>HYPERLINK("https://asmlis.vasa.lt/Dashboard/Served?ServiceDateFrom=2025-11-24&amp;ServiceDateTo=2025-11-24&amp;DumpsterInvNr=13-L-219174", "13-L-219174")</f>
        <v>13-L-219174</v>
      </c>
      <c r="C4686">
        <v>0.24</v>
      </c>
      <c r="D4686" t="s">
        <v>6489</v>
      </c>
      <c r="E4686" t="s">
        <v>11</v>
      </c>
      <c r="G4686" t="s">
        <v>936</v>
      </c>
      <c r="H4686" t="s">
        <v>938</v>
      </c>
    </row>
    <row r="4687" spans="1:8" hidden="1" x14ac:dyDescent="0.25">
      <c r="A4687" t="s">
        <v>5723</v>
      </c>
      <c r="B4687" s="1" t="str">
        <f>HYPERLINK("https://asmlis.vasa.lt/Dashboard/Served?ServiceDateFrom=2025-11-24&amp;ServiceDateTo=2025-11-24&amp;DumpsterInvNr=13-L-105245", "13-L-105245")</f>
        <v>13-L-105245</v>
      </c>
      <c r="C4687">
        <v>1.1000000000000001</v>
      </c>
      <c r="D4687" t="s">
        <v>6296</v>
      </c>
      <c r="E4687" t="s">
        <v>11</v>
      </c>
      <c r="G4687" t="s">
        <v>430</v>
      </c>
      <c r="H4687" t="s">
        <v>432</v>
      </c>
    </row>
    <row r="4688" spans="1:8" hidden="1" x14ac:dyDescent="0.25">
      <c r="A4688" t="s">
        <v>6234</v>
      </c>
      <c r="B4688" s="1" t="str">
        <f>HYPERLINK("https://asmlis.vasa.lt/Dashboard/Served?ServiceDateFrom=2025-11-24&amp;ServiceDateTo=2025-11-24&amp;DumpsterInvNr=13-M-203918", "13-M-203918")</f>
        <v>13-M-203918</v>
      </c>
      <c r="C4688">
        <v>0.12</v>
      </c>
      <c r="D4688" t="s">
        <v>6490</v>
      </c>
      <c r="E4688" t="s">
        <v>11</v>
      </c>
      <c r="F4688" t="s">
        <v>1209</v>
      </c>
      <c r="G4688" t="s">
        <v>4876</v>
      </c>
      <c r="H4688" t="s">
        <v>938</v>
      </c>
    </row>
    <row r="4689" spans="1:8" hidden="1" x14ac:dyDescent="0.25">
      <c r="A4689" t="s">
        <v>5747</v>
      </c>
      <c r="B4689" s="1" t="str">
        <f>HYPERLINK("https://asmlis.vasa.lt/Dashboard/Served?ServiceDateFrom=2025-11-24&amp;ServiceDateTo=2025-11-24&amp;DumpsterInvNr=13-L-422083", "13-L-422083")</f>
        <v>13-L-422083</v>
      </c>
      <c r="C4689">
        <v>5</v>
      </c>
      <c r="D4689" t="s">
        <v>6492</v>
      </c>
      <c r="E4689" t="s">
        <v>11</v>
      </c>
      <c r="G4689" t="s">
        <v>74</v>
      </c>
      <c r="H4689" t="s">
        <v>14</v>
      </c>
    </row>
    <row r="4690" spans="1:8" hidden="1" x14ac:dyDescent="0.25">
      <c r="A4690" t="s">
        <v>6493</v>
      </c>
      <c r="B4690" s="1" t="str">
        <f>HYPERLINK("https://asmlis.vasa.lt/Dashboard/Served?ServiceDateFrom=2025-11-24&amp;ServiceDateTo=2025-11-24&amp;DumpsterInvNr=13-P-506939", "13-P-506939")</f>
        <v>13-P-506939</v>
      </c>
      <c r="C4690">
        <v>0.24</v>
      </c>
      <c r="D4690" t="s">
        <v>6494</v>
      </c>
      <c r="E4690" t="s">
        <v>11</v>
      </c>
      <c r="G4690" t="s">
        <v>2178</v>
      </c>
      <c r="H4690" t="s">
        <v>432</v>
      </c>
    </row>
    <row r="4691" spans="1:8" hidden="1" x14ac:dyDescent="0.25">
      <c r="A4691" t="s">
        <v>6247</v>
      </c>
      <c r="B4691" s="1" t="str">
        <f>HYPERLINK("https://asmlis.vasa.lt/Dashboard/Served?ServiceDateFrom=2025-11-24&amp;ServiceDateTo=2025-11-24&amp;DumpsterInvNr=13-P-211900", "13-P-211900")</f>
        <v>13-P-211900</v>
      </c>
      <c r="C4691">
        <v>0.24</v>
      </c>
      <c r="D4691" t="s">
        <v>6495</v>
      </c>
      <c r="E4691" t="s">
        <v>11</v>
      </c>
      <c r="G4691" t="s">
        <v>234</v>
      </c>
      <c r="H4691" t="s">
        <v>14</v>
      </c>
    </row>
    <row r="4692" spans="1:8" hidden="1" x14ac:dyDescent="0.25">
      <c r="A4692" t="s">
        <v>6247</v>
      </c>
      <c r="B4692" s="1" t="str">
        <f>HYPERLINK("https://asmlis.vasa.lt/Dashboard/Served?ServiceDateFrom=2025-11-24&amp;ServiceDateTo=2025-11-24&amp;DumpsterInvNr=13-M-203926", "13-M-203926")</f>
        <v>13-M-203926</v>
      </c>
      <c r="C4692">
        <v>0.12</v>
      </c>
      <c r="D4692" t="s">
        <v>6496</v>
      </c>
      <c r="E4692" t="s">
        <v>11</v>
      </c>
      <c r="F4692" t="s">
        <v>1209</v>
      </c>
      <c r="G4692" t="s">
        <v>4876</v>
      </c>
      <c r="H4692" t="s">
        <v>938</v>
      </c>
    </row>
    <row r="4693" spans="1:8" hidden="1" x14ac:dyDescent="0.25">
      <c r="A4693" t="s">
        <v>6262</v>
      </c>
      <c r="B4693" s="1" t="str">
        <f>HYPERLINK("https://asmlis.vasa.lt/Dashboard/Served?ServiceDateFrom=2025-11-24&amp;ServiceDateTo=2025-11-24&amp;DumpsterInvNr=13-L-215590", "13-L-215590")</f>
        <v>13-L-215590</v>
      </c>
      <c r="C4693">
        <v>0.24</v>
      </c>
      <c r="D4693" t="s">
        <v>6498</v>
      </c>
      <c r="E4693" t="s">
        <v>11</v>
      </c>
      <c r="G4693" t="s">
        <v>936</v>
      </c>
      <c r="H4693" t="s">
        <v>938</v>
      </c>
    </row>
    <row r="4694" spans="1:8" hidden="1" x14ac:dyDescent="0.25">
      <c r="A4694" t="s">
        <v>6499</v>
      </c>
      <c r="B4694" s="1" t="str">
        <f>HYPERLINK("https://asmlis.vasa.lt/Dashboard/Served?ServiceDateFrom=2025-11-24&amp;ServiceDateTo=2025-11-24&amp;DumpsterInvNr=13-P-115045", "13-P-115045")</f>
        <v>13-P-115045</v>
      </c>
      <c r="C4694">
        <v>4</v>
      </c>
      <c r="D4694" t="s">
        <v>6500</v>
      </c>
      <c r="E4694" t="s">
        <v>11</v>
      </c>
      <c r="F4694" t="s">
        <v>13</v>
      </c>
      <c r="G4694" t="s">
        <v>1917</v>
      </c>
      <c r="H4694" t="s">
        <v>432</v>
      </c>
    </row>
    <row r="4695" spans="1:8" hidden="1" x14ac:dyDescent="0.25">
      <c r="A4695" t="s">
        <v>6269</v>
      </c>
      <c r="B4695" s="1" t="str">
        <f>HYPERLINK("https://asmlis.vasa.lt/Dashboard/Served?ServiceDateFrom=2025-11-24&amp;ServiceDateTo=2025-11-24&amp;DumpsterInvNr=13-L-135243", "13-L-135243")</f>
        <v>13-L-135243</v>
      </c>
      <c r="C4695">
        <v>5</v>
      </c>
      <c r="D4695" t="s">
        <v>6501</v>
      </c>
      <c r="E4695" t="s">
        <v>11</v>
      </c>
      <c r="F4695" t="s">
        <v>13</v>
      </c>
      <c r="G4695" t="s">
        <v>430</v>
      </c>
      <c r="H4695" t="s">
        <v>432</v>
      </c>
    </row>
    <row r="4696" spans="1:8" hidden="1" x14ac:dyDescent="0.25">
      <c r="A4696" t="s">
        <v>6502</v>
      </c>
      <c r="B4696" s="1" t="str">
        <f>HYPERLINK("https://asmlis.vasa.lt/Dashboard/Served?ServiceDateFrom=2025-11-24&amp;ServiceDateTo=2025-11-24&amp;DumpsterInvNr=13-L-135500", "13-L-135500")</f>
        <v>13-L-135500</v>
      </c>
      <c r="C4696">
        <v>0.24</v>
      </c>
      <c r="D4696" t="s">
        <v>6494</v>
      </c>
      <c r="E4696" t="s">
        <v>11</v>
      </c>
      <c r="G4696" t="s">
        <v>430</v>
      </c>
      <c r="H4696" t="s">
        <v>432</v>
      </c>
    </row>
    <row r="4697" spans="1:8" hidden="1" x14ac:dyDescent="0.25">
      <c r="A4697" t="s">
        <v>6502</v>
      </c>
      <c r="B4697" s="1" t="str">
        <f>HYPERLINK("https://asmlis.vasa.lt/Dashboard/Served?ServiceDateFrom=2025-11-24&amp;ServiceDateTo=2025-11-24&amp;DumpsterInvNr=13-P-414657", "13-P-414657")</f>
        <v>13-P-414657</v>
      </c>
      <c r="C4697">
        <v>0.24</v>
      </c>
      <c r="D4697" t="s">
        <v>6484</v>
      </c>
      <c r="E4697" t="s">
        <v>11</v>
      </c>
      <c r="F4697" t="s">
        <v>1209</v>
      </c>
      <c r="G4697" t="s">
        <v>264</v>
      </c>
      <c r="H4697" t="s">
        <v>14</v>
      </c>
    </row>
    <row r="4698" spans="1:8" hidden="1" x14ac:dyDescent="0.25">
      <c r="A4698" t="s">
        <v>6306</v>
      </c>
      <c r="B4698" s="1" t="str">
        <f>HYPERLINK("https://asmlis.vasa.lt/Dashboard/Served?ServiceDateFrom=2025-11-24&amp;ServiceDateTo=2025-11-24&amp;DumpsterInvNr=13-M-206984", "13-M-206984")</f>
        <v>13-M-206984</v>
      </c>
      <c r="C4698">
        <v>0.12</v>
      </c>
      <c r="D4698" t="s">
        <v>6503</v>
      </c>
      <c r="E4698" t="s">
        <v>11</v>
      </c>
      <c r="F4698" t="s">
        <v>1209</v>
      </c>
      <c r="G4698" t="s">
        <v>4876</v>
      </c>
      <c r="H4698" t="s">
        <v>938</v>
      </c>
    </row>
    <row r="4699" spans="1:8" hidden="1" x14ac:dyDescent="0.25">
      <c r="A4699" t="s">
        <v>6504</v>
      </c>
      <c r="B4699" s="1" t="str">
        <f>HYPERLINK("https://asmlis.vasa.lt/Dashboard/Served?ServiceDateFrom=2025-11-24&amp;ServiceDateTo=2025-11-24&amp;DumpsterInvNr=13-L-220514", "13-L-220514")</f>
        <v>13-L-220514</v>
      </c>
      <c r="C4699">
        <v>0.12</v>
      </c>
      <c r="D4699" t="s">
        <v>6505</v>
      </c>
      <c r="E4699" t="s">
        <v>11</v>
      </c>
      <c r="F4699" t="s">
        <v>1209</v>
      </c>
      <c r="G4699" t="s">
        <v>936</v>
      </c>
      <c r="H4699" t="s">
        <v>938</v>
      </c>
    </row>
    <row r="4700" spans="1:8" hidden="1" x14ac:dyDescent="0.25">
      <c r="A4700" t="s">
        <v>6506</v>
      </c>
      <c r="B4700" s="1" t="str">
        <f>HYPERLINK("https://asmlis.vasa.lt/Dashboard/Served?ServiceDateFrom=2025-11-24&amp;ServiceDateTo=2025-11-24&amp;DumpsterInvNr=13-M-203927", "13-M-203927")</f>
        <v>13-M-203927</v>
      </c>
      <c r="C4700">
        <v>0.12</v>
      </c>
      <c r="D4700" t="s">
        <v>6507</v>
      </c>
      <c r="E4700" t="s">
        <v>11</v>
      </c>
      <c r="F4700" t="s">
        <v>1209</v>
      </c>
      <c r="G4700" t="s">
        <v>4876</v>
      </c>
      <c r="H4700" t="s">
        <v>938</v>
      </c>
    </row>
    <row r="4701" spans="1:8" hidden="1" x14ac:dyDescent="0.25">
      <c r="A4701" t="s">
        <v>6508</v>
      </c>
      <c r="B4701" s="1" t="str">
        <f>HYPERLINK("https://asmlis.vasa.lt/Dashboard/Served?ServiceDateFrom=2025-11-24&amp;ServiceDateTo=2025-11-24&amp;DumpsterInvNr=13-M-203937", "13-M-203937")</f>
        <v>13-M-203937</v>
      </c>
      <c r="C4701">
        <v>0.12</v>
      </c>
      <c r="D4701" t="s">
        <v>6509</v>
      </c>
      <c r="E4701" t="s">
        <v>11</v>
      </c>
      <c r="F4701" t="s">
        <v>1209</v>
      </c>
      <c r="G4701" t="s">
        <v>4876</v>
      </c>
      <c r="H4701" t="s">
        <v>938</v>
      </c>
    </row>
    <row r="4702" spans="1:8" hidden="1" x14ac:dyDescent="0.25">
      <c r="A4702" t="s">
        <v>5916</v>
      </c>
      <c r="B4702" s="1" t="str">
        <f>HYPERLINK("https://asmlis.vasa.lt/Dashboard/Served?ServiceDateFrom=2025-11-24&amp;ServiceDateTo=2025-11-24&amp;DumpsterInvNr=13-L-215589", "13-L-215589")</f>
        <v>13-L-215589</v>
      </c>
      <c r="C4702">
        <v>0.24</v>
      </c>
      <c r="D4702" t="s">
        <v>6510</v>
      </c>
      <c r="E4702" t="s">
        <v>11</v>
      </c>
      <c r="F4702" t="s">
        <v>1209</v>
      </c>
      <c r="G4702" t="s">
        <v>936</v>
      </c>
      <c r="H4702" t="s">
        <v>938</v>
      </c>
    </row>
    <row r="4703" spans="1:8" hidden="1" x14ac:dyDescent="0.25">
      <c r="A4703" t="s">
        <v>6511</v>
      </c>
      <c r="B4703" s="1" t="str">
        <f>HYPERLINK("https://asmlis.vasa.lt/Dashboard/Served?ServiceDateFrom=2025-11-24&amp;ServiceDateTo=2025-11-24&amp;DumpsterInvNr=13-L-424356", "13-L-424356")</f>
        <v>13-L-424356</v>
      </c>
      <c r="C4703">
        <v>0.12</v>
      </c>
      <c r="D4703" t="s">
        <v>3165</v>
      </c>
      <c r="E4703" t="s">
        <v>11</v>
      </c>
      <c r="G4703" t="s">
        <v>74</v>
      </c>
      <c r="H4703" t="s">
        <v>14</v>
      </c>
    </row>
    <row r="4704" spans="1:8" hidden="1" x14ac:dyDescent="0.25">
      <c r="A4704" t="s">
        <v>6007</v>
      </c>
      <c r="B4704" s="1" t="str">
        <f>HYPERLINK("https://asmlis.vasa.lt/Dashboard/Served?ServiceDateFrom=2025-11-24&amp;ServiceDateTo=2025-11-24&amp;DumpsterInvNr=13-L-307554", "13-L-307554")</f>
        <v>13-L-307554</v>
      </c>
      <c r="C4704">
        <v>5</v>
      </c>
      <c r="D4704" t="s">
        <v>6512</v>
      </c>
      <c r="E4704" t="s">
        <v>11</v>
      </c>
      <c r="F4704" t="s">
        <v>13</v>
      </c>
      <c r="G4704" t="s">
        <v>9</v>
      </c>
      <c r="H4704" t="s">
        <v>14</v>
      </c>
    </row>
    <row r="4705" spans="1:8" hidden="1" x14ac:dyDescent="0.25">
      <c r="A4705" t="s">
        <v>6513</v>
      </c>
      <c r="B4705" s="1" t="str">
        <f>HYPERLINK("https://asmlis.vasa.lt/Dashboard/Served?ServiceDateFrom=2025-11-24&amp;ServiceDateTo=2025-11-24&amp;DumpsterInvNr=13-L-113891", "13-L-113891")</f>
        <v>13-L-113891</v>
      </c>
      <c r="C4705">
        <v>0.24</v>
      </c>
      <c r="D4705" t="s">
        <v>6514</v>
      </c>
      <c r="E4705" t="s">
        <v>11</v>
      </c>
      <c r="G4705" t="s">
        <v>1912</v>
      </c>
      <c r="H4705" t="s">
        <v>432</v>
      </c>
    </row>
    <row r="4706" spans="1:8" hidden="1" x14ac:dyDescent="0.25">
      <c r="A4706" t="s">
        <v>6513</v>
      </c>
      <c r="B4706" s="1" t="str">
        <f>HYPERLINK("https://asmlis.vasa.lt/Dashboard/Served?ServiceDateFrom=2025-11-24&amp;ServiceDateTo=2025-11-24&amp;DumpsterInvNr=13-P-101130", "13-P-101130")</f>
        <v>13-P-101130</v>
      </c>
      <c r="C4706">
        <v>0.12</v>
      </c>
      <c r="D4706" t="s">
        <v>6514</v>
      </c>
      <c r="E4706" t="s">
        <v>11</v>
      </c>
      <c r="G4706" t="s">
        <v>1917</v>
      </c>
      <c r="H4706" t="s">
        <v>432</v>
      </c>
    </row>
    <row r="4707" spans="1:8" hidden="1" x14ac:dyDescent="0.25">
      <c r="A4707" t="s">
        <v>6016</v>
      </c>
      <c r="B4707" s="1" t="str">
        <f>HYPERLINK("https://asmlis.vasa.lt/Dashboard/Served?ServiceDateFrom=2025-11-24&amp;ServiceDateTo=2025-11-24&amp;DumpsterInvNr=13-L-216172", "13-L-216172")</f>
        <v>13-L-216172</v>
      </c>
      <c r="C4707">
        <v>0.12</v>
      </c>
      <c r="D4707" t="s">
        <v>6516</v>
      </c>
      <c r="E4707" t="s">
        <v>11</v>
      </c>
      <c r="F4707" t="s">
        <v>1209</v>
      </c>
      <c r="G4707" t="s">
        <v>936</v>
      </c>
      <c r="H4707" t="s">
        <v>938</v>
      </c>
    </row>
    <row r="4708" spans="1:8" hidden="1" x14ac:dyDescent="0.25">
      <c r="A4708" t="s">
        <v>6016</v>
      </c>
      <c r="B4708" s="1" t="str">
        <f>HYPERLINK("https://asmlis.vasa.lt/Dashboard/Served?ServiceDateFrom=2025-11-24&amp;ServiceDateTo=2025-11-24&amp;DumpsterInvNr=13-L-146027", "13-L-146027")</f>
        <v>13-L-146027</v>
      </c>
      <c r="C4708">
        <v>5</v>
      </c>
      <c r="D4708" t="s">
        <v>6517</v>
      </c>
      <c r="E4708" t="s">
        <v>11</v>
      </c>
      <c r="F4708" t="s">
        <v>13</v>
      </c>
      <c r="G4708" t="s">
        <v>1912</v>
      </c>
      <c r="H4708" t="s">
        <v>432</v>
      </c>
    </row>
    <row r="4709" spans="1:8" hidden="1" x14ac:dyDescent="0.25">
      <c r="A4709" t="s">
        <v>6518</v>
      </c>
      <c r="B4709" s="1" t="str">
        <f>HYPERLINK("https://asmlis.vasa.lt/Dashboard/Served?ServiceDateFrom=2025-11-24&amp;ServiceDateTo=2025-11-24&amp;DumpsterInvNr=13-L-408840", "13-L-408840")</f>
        <v>13-L-408840</v>
      </c>
      <c r="C4709">
        <v>0.24</v>
      </c>
      <c r="D4709" t="s">
        <v>3170</v>
      </c>
      <c r="E4709" t="s">
        <v>11</v>
      </c>
      <c r="F4709" t="s">
        <v>1209</v>
      </c>
      <c r="G4709" t="s">
        <v>74</v>
      </c>
      <c r="H4709" t="s">
        <v>14</v>
      </c>
    </row>
    <row r="4710" spans="1:8" hidden="1" x14ac:dyDescent="0.25">
      <c r="A4710" t="s">
        <v>6519</v>
      </c>
      <c r="B4710" s="1" t="str">
        <f>HYPERLINK("https://asmlis.vasa.lt/Dashboard/Served?ServiceDateFrom=2025-11-24&amp;ServiceDateTo=2025-11-24&amp;DumpsterInvNr=13-P-412919", "13-P-412919")</f>
        <v>13-P-412919</v>
      </c>
      <c r="C4710">
        <v>0.24</v>
      </c>
      <c r="D4710" t="s">
        <v>6520</v>
      </c>
      <c r="E4710" t="s">
        <v>11</v>
      </c>
      <c r="G4710" t="s">
        <v>264</v>
      </c>
      <c r="H4710" t="s">
        <v>14</v>
      </c>
    </row>
    <row r="4711" spans="1:8" hidden="1" x14ac:dyDescent="0.25">
      <c r="A4711" t="s">
        <v>6025</v>
      </c>
      <c r="B4711" s="1" t="str">
        <f>HYPERLINK("https://asmlis.vasa.lt/Dashboard/Served?ServiceDateFrom=2025-11-24&amp;ServiceDateTo=2025-11-24&amp;DumpsterInvNr=13-L-136002", "13-L-136002")</f>
        <v>13-L-136002</v>
      </c>
      <c r="C4711">
        <v>5</v>
      </c>
      <c r="D4711" t="s">
        <v>6521</v>
      </c>
      <c r="E4711" t="s">
        <v>11</v>
      </c>
      <c r="F4711" t="s">
        <v>13</v>
      </c>
      <c r="G4711" t="s">
        <v>430</v>
      </c>
      <c r="H4711" t="s">
        <v>432</v>
      </c>
    </row>
    <row r="4712" spans="1:8" hidden="1" x14ac:dyDescent="0.25">
      <c r="A4712" t="s">
        <v>6522</v>
      </c>
      <c r="B4712" s="1" t="str">
        <f>HYPERLINK("https://asmlis.vasa.lt/Dashboard/Served?ServiceDateFrom=2025-11-24&amp;ServiceDateTo=2025-11-24&amp;DumpsterInvNr=13-P-500529", "13-P-500529")</f>
        <v>13-P-500529</v>
      </c>
      <c r="C4712">
        <v>5</v>
      </c>
      <c r="D4712" t="s">
        <v>6523</v>
      </c>
      <c r="E4712" t="s">
        <v>11</v>
      </c>
      <c r="F4712" t="s">
        <v>13</v>
      </c>
      <c r="G4712" t="s">
        <v>2178</v>
      </c>
      <c r="H4712" t="s">
        <v>432</v>
      </c>
    </row>
    <row r="4713" spans="1:8" hidden="1" x14ac:dyDescent="0.25">
      <c r="A4713" t="s">
        <v>6524</v>
      </c>
      <c r="B4713" s="1" t="str">
        <f>HYPERLINK("https://asmlis.vasa.lt/Dashboard/Served?ServiceDateFrom=2025-11-24&amp;ServiceDateTo=2025-11-24&amp;DumpsterInvNr=13-P-301447", "13-P-301447")</f>
        <v>13-P-301447</v>
      </c>
      <c r="C4713">
        <v>0.24</v>
      </c>
      <c r="D4713" t="s">
        <v>5498</v>
      </c>
      <c r="E4713" t="s">
        <v>11</v>
      </c>
      <c r="G4713" t="s">
        <v>412</v>
      </c>
      <c r="H4713" t="s">
        <v>14</v>
      </c>
    </row>
    <row r="4714" spans="1:8" hidden="1" x14ac:dyDescent="0.25">
      <c r="A4714" t="s">
        <v>6524</v>
      </c>
      <c r="B4714" s="1" t="str">
        <f>HYPERLINK("https://asmlis.vasa.lt/Dashboard/Served?ServiceDateFrom=2025-11-24&amp;ServiceDateTo=2025-11-24&amp;DumpsterInvNr=13-P-211955", "13-P-211955")</f>
        <v>13-P-211955</v>
      </c>
      <c r="C4714">
        <v>0.24</v>
      </c>
      <c r="D4714" t="s">
        <v>6525</v>
      </c>
      <c r="E4714" t="s">
        <v>11</v>
      </c>
      <c r="G4714" t="s">
        <v>234</v>
      </c>
      <c r="H4714" t="s">
        <v>14</v>
      </c>
    </row>
    <row r="4715" spans="1:8" hidden="1" x14ac:dyDescent="0.25">
      <c r="A4715" t="s">
        <v>6526</v>
      </c>
      <c r="B4715" s="1" t="str">
        <f>HYPERLINK("https://asmlis.vasa.lt/Dashboard/Served?ServiceDateFrom=2025-11-24&amp;ServiceDateTo=2025-11-24&amp;DumpsterInvNr=13-L-135478", "13-L-135478")</f>
        <v>13-L-135478</v>
      </c>
      <c r="C4715">
        <v>0.24</v>
      </c>
      <c r="D4715" t="s">
        <v>6527</v>
      </c>
      <c r="E4715" t="s">
        <v>11</v>
      </c>
      <c r="G4715" t="s">
        <v>430</v>
      </c>
      <c r="H4715" t="s">
        <v>432</v>
      </c>
    </row>
    <row r="4716" spans="1:8" hidden="1" x14ac:dyDescent="0.25">
      <c r="A4716" t="s">
        <v>6526</v>
      </c>
      <c r="B4716" s="1" t="str">
        <f>HYPERLINK("https://asmlis.vasa.lt/Dashboard/Served?ServiceDateFrom=2025-11-24&amp;ServiceDateTo=2025-11-24&amp;DumpsterInvNr=13-L-303126", "13-L-303126")</f>
        <v>13-L-303126</v>
      </c>
      <c r="C4716">
        <v>1.1000000000000001</v>
      </c>
      <c r="D4716" t="s">
        <v>1192</v>
      </c>
      <c r="E4716" t="s">
        <v>11</v>
      </c>
      <c r="G4716" t="s">
        <v>9</v>
      </c>
      <c r="H4716" t="s">
        <v>14</v>
      </c>
    </row>
    <row r="4717" spans="1:8" hidden="1" x14ac:dyDescent="0.25">
      <c r="A4717" t="s">
        <v>6526</v>
      </c>
      <c r="B4717" s="1" t="str">
        <f>HYPERLINK("https://asmlis.vasa.lt/Dashboard/Served?ServiceDateFrom=2025-11-24&amp;ServiceDateTo=2025-11-24&amp;DumpsterInvNr=13-P-506938", "13-P-506938")</f>
        <v>13-P-506938</v>
      </c>
      <c r="C4717">
        <v>0.24</v>
      </c>
      <c r="D4717" t="s">
        <v>6473</v>
      </c>
      <c r="E4717" t="s">
        <v>11</v>
      </c>
      <c r="G4717" t="s">
        <v>2178</v>
      </c>
      <c r="H4717" t="s">
        <v>432</v>
      </c>
    </row>
    <row r="4718" spans="1:8" hidden="1" x14ac:dyDescent="0.25">
      <c r="A4718" t="s">
        <v>6026</v>
      </c>
      <c r="B4718" s="1" t="str">
        <f>HYPERLINK("https://asmlis.vasa.lt/Dashboard/Served?ServiceDateFrom=2025-11-24&amp;ServiceDateTo=2025-11-24&amp;DumpsterInvNr=13-P-400506", "13-P-400506")</f>
        <v>13-P-400506</v>
      </c>
      <c r="C4718">
        <v>5</v>
      </c>
      <c r="D4718" t="s">
        <v>6528</v>
      </c>
      <c r="E4718" t="s">
        <v>11</v>
      </c>
      <c r="G4718" t="s">
        <v>264</v>
      </c>
      <c r="H4718" t="s">
        <v>14</v>
      </c>
    </row>
    <row r="4719" spans="1:8" hidden="1" x14ac:dyDescent="0.25">
      <c r="A4719" t="s">
        <v>6529</v>
      </c>
      <c r="B4719" s="1" t="str">
        <f>HYPERLINK("https://asmlis.vasa.lt/Dashboard/Served?ServiceDateFrom=2025-11-24&amp;ServiceDateTo=2025-11-24&amp;DumpsterInvNr=13-P-301449", "13-P-301449")</f>
        <v>13-P-301449</v>
      </c>
      <c r="C4719">
        <v>0.24</v>
      </c>
      <c r="D4719" t="s">
        <v>5498</v>
      </c>
      <c r="E4719" t="s">
        <v>11</v>
      </c>
      <c r="G4719" t="s">
        <v>412</v>
      </c>
      <c r="H4719" t="s">
        <v>14</v>
      </c>
    </row>
    <row r="4720" spans="1:8" hidden="1" x14ac:dyDescent="0.25">
      <c r="A4720" t="s">
        <v>6045</v>
      </c>
      <c r="B4720" s="1" t="str">
        <f>HYPERLINK("https://asmlis.vasa.lt/Dashboard/Served?ServiceDateFrom=2025-11-24&amp;ServiceDateTo=2025-11-24&amp;DumpsterInvNr=13-L-215584", "13-L-215584")</f>
        <v>13-L-215584</v>
      </c>
      <c r="C4720">
        <v>0.24</v>
      </c>
      <c r="D4720" t="s">
        <v>6530</v>
      </c>
      <c r="E4720" t="s">
        <v>11</v>
      </c>
      <c r="F4720" t="s">
        <v>1209</v>
      </c>
      <c r="G4720" t="s">
        <v>936</v>
      </c>
      <c r="H4720" t="s">
        <v>938</v>
      </c>
    </row>
    <row r="4721" spans="1:8" hidden="1" x14ac:dyDescent="0.25">
      <c r="A4721" t="s">
        <v>6532</v>
      </c>
      <c r="B4721" s="1" t="str">
        <f>HYPERLINK("https://asmlis.vasa.lt/Dashboard/Served?ServiceDateFrom=2025-11-24&amp;ServiceDateTo=2025-11-24&amp;DumpsterInvNr=13-L-221493", "13-L-221493")</f>
        <v>13-L-221493</v>
      </c>
      <c r="C4721">
        <v>1.1000000000000001</v>
      </c>
      <c r="D4721" t="s">
        <v>6533</v>
      </c>
      <c r="E4721" t="s">
        <v>11</v>
      </c>
      <c r="G4721" t="s">
        <v>936</v>
      </c>
      <c r="H4721" t="s">
        <v>938</v>
      </c>
    </row>
    <row r="4722" spans="1:8" hidden="1" x14ac:dyDescent="0.25">
      <c r="A4722" t="s">
        <v>6534</v>
      </c>
      <c r="B4722" s="1" t="str">
        <f>HYPERLINK("https://asmlis.vasa.lt/Dashboard/Served?ServiceDateFrom=2025-11-24&amp;ServiceDateTo=2025-11-24&amp;DumpsterInvNr=13-P-506944", "13-P-506944")</f>
        <v>13-P-506944</v>
      </c>
      <c r="C4722">
        <v>0.24</v>
      </c>
      <c r="D4722" t="s">
        <v>6527</v>
      </c>
      <c r="E4722" t="s">
        <v>11</v>
      </c>
      <c r="G4722" t="s">
        <v>2178</v>
      </c>
      <c r="H4722" t="s">
        <v>432</v>
      </c>
    </row>
    <row r="4723" spans="1:8" hidden="1" x14ac:dyDescent="0.25">
      <c r="A4723" t="s">
        <v>6048</v>
      </c>
      <c r="B4723" s="1" t="str">
        <f>HYPERLINK("https://asmlis.vasa.lt/Dashboard/Served?ServiceDateFrom=2025-11-24&amp;ServiceDateTo=2025-11-24&amp;DumpsterInvNr=13-P-209741", "13-P-209741")</f>
        <v>13-P-209741</v>
      </c>
      <c r="C4723">
        <v>0.24</v>
      </c>
      <c r="D4723" t="s">
        <v>6535</v>
      </c>
      <c r="E4723" t="s">
        <v>11</v>
      </c>
      <c r="G4723" t="s">
        <v>234</v>
      </c>
      <c r="H4723" t="s">
        <v>14</v>
      </c>
    </row>
    <row r="4724" spans="1:8" hidden="1" x14ac:dyDescent="0.25">
      <c r="A4724" t="s">
        <v>6536</v>
      </c>
      <c r="B4724" s="1" t="str">
        <f>HYPERLINK("https://asmlis.vasa.lt/Dashboard/Served?ServiceDateFrom=2025-11-24&amp;ServiceDateTo=2025-11-24&amp;DumpsterInvNr=13-L-216803", "13-L-216803")</f>
        <v>13-L-216803</v>
      </c>
      <c r="C4724">
        <v>0.24</v>
      </c>
      <c r="D4724" t="s">
        <v>6537</v>
      </c>
      <c r="E4724" t="s">
        <v>11</v>
      </c>
      <c r="G4724" t="s">
        <v>936</v>
      </c>
      <c r="H4724" t="s">
        <v>938</v>
      </c>
    </row>
    <row r="4725" spans="1:8" hidden="1" x14ac:dyDescent="0.25">
      <c r="A4725" t="s">
        <v>6538</v>
      </c>
      <c r="B4725" s="1" t="str">
        <f>HYPERLINK("https://asmlis.vasa.lt/Dashboard/Served?ServiceDateFrom=2025-11-24&amp;ServiceDateTo=2025-11-24&amp;DumpsterInvNr=13-P-413353", "13-P-413353")</f>
        <v>13-P-413353</v>
      </c>
      <c r="C4725">
        <v>3</v>
      </c>
      <c r="D4725" t="s">
        <v>6539</v>
      </c>
      <c r="E4725" t="s">
        <v>11</v>
      </c>
      <c r="G4725" t="s">
        <v>264</v>
      </c>
      <c r="H4725" t="s">
        <v>14</v>
      </c>
    </row>
    <row r="4726" spans="1:8" hidden="1" x14ac:dyDescent="0.25">
      <c r="A4726" t="s">
        <v>6097</v>
      </c>
      <c r="B4726" s="1" t="str">
        <f>HYPERLINK("https://asmlis.vasa.lt/Dashboard/Served?ServiceDateFrom=2025-11-24&amp;ServiceDateTo=2025-11-24&amp;DumpsterInvNr=13-S-203414", "13-S-203414")</f>
        <v>13-S-203414</v>
      </c>
      <c r="C4726">
        <v>0.12</v>
      </c>
      <c r="D4726" t="s">
        <v>6535</v>
      </c>
      <c r="E4726" t="s">
        <v>11</v>
      </c>
      <c r="F4726" t="s">
        <v>1209</v>
      </c>
      <c r="G4726" t="s">
        <v>234</v>
      </c>
      <c r="H4726" t="s">
        <v>14</v>
      </c>
    </row>
    <row r="4727" spans="1:8" hidden="1" x14ac:dyDescent="0.25">
      <c r="A4727" t="s">
        <v>6541</v>
      </c>
      <c r="B4727" s="1" t="str">
        <f>HYPERLINK("https://asmlis.vasa.lt/Dashboard/Served?ServiceDateFrom=2025-11-24&amp;ServiceDateTo=2025-11-24&amp;DumpsterInvNr=13-P-402015", "13-P-402015")</f>
        <v>13-P-402015</v>
      </c>
      <c r="C4727">
        <v>1.1000000000000001</v>
      </c>
      <c r="D4727" t="s">
        <v>6421</v>
      </c>
      <c r="E4727" t="s">
        <v>11</v>
      </c>
      <c r="G4727" t="s">
        <v>264</v>
      </c>
      <c r="H4727" t="s">
        <v>14</v>
      </c>
    </row>
    <row r="4728" spans="1:8" hidden="1" x14ac:dyDescent="0.25">
      <c r="A4728" t="s">
        <v>6542</v>
      </c>
      <c r="B4728" s="1" t="str">
        <f>HYPERLINK("https://asmlis.vasa.lt/Dashboard/Served?ServiceDateFrom=2025-11-24&amp;ServiceDateTo=2025-11-24&amp;DumpsterInvNr=13-L-104073", "13-L-104073")</f>
        <v>13-L-104073</v>
      </c>
      <c r="C4728">
        <v>5</v>
      </c>
      <c r="D4728" t="s">
        <v>6543</v>
      </c>
      <c r="E4728" t="s">
        <v>11</v>
      </c>
      <c r="F4728" t="s">
        <v>13</v>
      </c>
      <c r="G4728" t="s">
        <v>430</v>
      </c>
      <c r="H4728" t="s">
        <v>432</v>
      </c>
    </row>
    <row r="4729" spans="1:8" hidden="1" x14ac:dyDescent="0.25">
      <c r="A4729" t="s">
        <v>6542</v>
      </c>
      <c r="B4729" s="1" t="str">
        <f>HYPERLINK("https://asmlis.vasa.lt/Dashboard/Served?ServiceDateFrom=2025-11-24&amp;ServiceDateTo=2025-11-24&amp;DumpsterInvNr=13-L-408838", "13-L-408838")</f>
        <v>13-L-408838</v>
      </c>
      <c r="C4729">
        <v>0.24</v>
      </c>
      <c r="D4729" t="s">
        <v>3172</v>
      </c>
      <c r="E4729" t="s">
        <v>11</v>
      </c>
      <c r="G4729" t="s">
        <v>74</v>
      </c>
      <c r="H4729" t="s">
        <v>14</v>
      </c>
    </row>
    <row r="4730" spans="1:8" hidden="1" x14ac:dyDescent="0.25">
      <c r="A4730" t="s">
        <v>6544</v>
      </c>
      <c r="B4730" s="1" t="str">
        <f>HYPERLINK("https://asmlis.vasa.lt/Dashboard/Served?ServiceDateFrom=2025-11-24&amp;ServiceDateTo=2025-11-24&amp;DumpsterInvNr=13-M-203929", "13-M-203929")</f>
        <v>13-M-203929</v>
      </c>
      <c r="C4730">
        <v>0.12</v>
      </c>
      <c r="D4730" t="s">
        <v>6545</v>
      </c>
      <c r="E4730" t="s">
        <v>11</v>
      </c>
      <c r="G4730" t="s">
        <v>4876</v>
      </c>
      <c r="H4730" t="s">
        <v>938</v>
      </c>
    </row>
    <row r="4731" spans="1:8" hidden="1" x14ac:dyDescent="0.25">
      <c r="A4731" t="s">
        <v>6546</v>
      </c>
      <c r="B4731" s="1" t="str">
        <f>HYPERLINK("https://asmlis.vasa.lt/Dashboard/Served?ServiceDateFrom=2025-11-24&amp;ServiceDateTo=2025-11-24&amp;DumpsterInvNr=13-L-142714", "13-L-142714")</f>
        <v>13-L-142714</v>
      </c>
      <c r="C4731">
        <v>0.24</v>
      </c>
      <c r="D4731" t="s">
        <v>6547</v>
      </c>
      <c r="E4731" t="s">
        <v>11</v>
      </c>
      <c r="G4731" t="s">
        <v>1912</v>
      </c>
      <c r="H4731" t="s">
        <v>432</v>
      </c>
    </row>
    <row r="4732" spans="1:8" hidden="1" x14ac:dyDescent="0.25">
      <c r="A4732" t="s">
        <v>6548</v>
      </c>
      <c r="B4732" s="1" t="str">
        <f>HYPERLINK("https://asmlis.vasa.lt/Dashboard/Served?ServiceDateFrom=2025-11-24&amp;ServiceDateTo=2025-11-24&amp;DumpsterInvNr=13-M-200976", "13-M-200976")</f>
        <v>13-M-200976</v>
      </c>
      <c r="C4732">
        <v>0.12</v>
      </c>
      <c r="D4732" t="s">
        <v>6549</v>
      </c>
      <c r="E4732" t="s">
        <v>11</v>
      </c>
      <c r="F4732" t="s">
        <v>1209</v>
      </c>
      <c r="G4732" t="s">
        <v>4876</v>
      </c>
      <c r="H4732" t="s">
        <v>938</v>
      </c>
    </row>
    <row r="4733" spans="1:8" hidden="1" x14ac:dyDescent="0.25">
      <c r="A4733" t="s">
        <v>6548</v>
      </c>
      <c r="B4733" s="1" t="str">
        <f>HYPERLINK("https://asmlis.vasa.lt/Dashboard/Served?ServiceDateFrom=2025-11-24&amp;ServiceDateTo=2025-11-24&amp;DumpsterInvNr=13-P-506951", "13-P-506951")</f>
        <v>13-P-506951</v>
      </c>
      <c r="C4733">
        <v>0.24</v>
      </c>
      <c r="D4733" t="s">
        <v>6551</v>
      </c>
      <c r="E4733" t="s">
        <v>11</v>
      </c>
      <c r="G4733" t="s">
        <v>2178</v>
      </c>
      <c r="H4733" t="s">
        <v>432</v>
      </c>
    </row>
    <row r="4734" spans="1:8" hidden="1" x14ac:dyDescent="0.25">
      <c r="A4734" t="s">
        <v>6552</v>
      </c>
      <c r="B4734" s="1" t="str">
        <f>HYPERLINK("https://asmlis.vasa.lt/Dashboard/Served?ServiceDateFrom=2025-11-24&amp;ServiceDateTo=2025-11-24&amp;DumpsterInvNr=13-L-135466", "13-L-135466")</f>
        <v>13-L-135466</v>
      </c>
      <c r="C4734">
        <v>0.24</v>
      </c>
      <c r="D4734" t="s">
        <v>6551</v>
      </c>
      <c r="E4734" t="s">
        <v>11</v>
      </c>
      <c r="G4734" t="s">
        <v>430</v>
      </c>
      <c r="H4734" t="s">
        <v>432</v>
      </c>
    </row>
    <row r="4735" spans="1:8" hidden="1" x14ac:dyDescent="0.25">
      <c r="A4735" t="s">
        <v>6553</v>
      </c>
      <c r="B4735" s="1" t="str">
        <f>HYPERLINK("https://asmlis.vasa.lt/Dashboard/Served?ServiceDateFrom=2025-11-24&amp;ServiceDateTo=2025-11-24&amp;DumpsterInvNr=13-P-412937", "13-P-412937")</f>
        <v>13-P-412937</v>
      </c>
      <c r="C4735">
        <v>0.24</v>
      </c>
      <c r="D4735" t="s">
        <v>6554</v>
      </c>
      <c r="E4735" t="s">
        <v>11</v>
      </c>
      <c r="G4735" t="s">
        <v>264</v>
      </c>
      <c r="H4735" t="s">
        <v>14</v>
      </c>
    </row>
    <row r="4736" spans="1:8" hidden="1" x14ac:dyDescent="0.25">
      <c r="A4736" t="s">
        <v>6555</v>
      </c>
      <c r="B4736" s="1" t="str">
        <f>HYPERLINK("https://asmlis.vasa.lt/Dashboard/Served?ServiceDateFrom=2025-11-24&amp;ServiceDateTo=2025-11-24&amp;DumpsterInvNr=13-S-210506", "13-S-210506")</f>
        <v>13-S-210506</v>
      </c>
      <c r="C4736">
        <v>3</v>
      </c>
      <c r="D4736" t="s">
        <v>6556</v>
      </c>
      <c r="E4736" t="s">
        <v>11</v>
      </c>
      <c r="F4736" t="s">
        <v>13</v>
      </c>
      <c r="G4736" t="s">
        <v>234</v>
      </c>
      <c r="H4736" t="s">
        <v>14</v>
      </c>
    </row>
    <row r="4737" spans="1:8" hidden="1" x14ac:dyDescent="0.25">
      <c r="A4737" t="s">
        <v>6363</v>
      </c>
      <c r="B4737" s="1" t="str">
        <f>HYPERLINK("https://asmlis.vasa.lt/Dashboard/Served?ServiceDateFrom=2025-11-24&amp;ServiceDateTo=2025-11-24&amp;DumpsterInvNr=13-P-112653", "13-P-112653")</f>
        <v>13-P-112653</v>
      </c>
      <c r="C4737">
        <v>0.24</v>
      </c>
      <c r="D4737" t="s">
        <v>6547</v>
      </c>
      <c r="E4737" t="s">
        <v>11</v>
      </c>
      <c r="F4737" t="s">
        <v>1209</v>
      </c>
      <c r="G4737" t="s">
        <v>1917</v>
      </c>
      <c r="H4737" t="s">
        <v>432</v>
      </c>
    </row>
    <row r="4738" spans="1:8" hidden="1" x14ac:dyDescent="0.25">
      <c r="A4738" t="s">
        <v>6368</v>
      </c>
      <c r="B4738" s="1" t="str">
        <f>HYPERLINK("https://asmlis.vasa.lt/Dashboard/Served?ServiceDateFrom=2025-11-24&amp;ServiceDateTo=2025-11-24&amp;DumpsterInvNr=13-L-223832", "13-L-223832")</f>
        <v>13-L-223832</v>
      </c>
      <c r="C4738">
        <v>1.1000000000000001</v>
      </c>
      <c r="D4738" t="s">
        <v>6486</v>
      </c>
      <c r="E4738" t="s">
        <v>11</v>
      </c>
      <c r="G4738" t="s">
        <v>936</v>
      </c>
      <c r="H4738" t="s">
        <v>938</v>
      </c>
    </row>
    <row r="4739" spans="1:8" hidden="1" x14ac:dyDescent="0.25">
      <c r="A4739" t="s">
        <v>6557</v>
      </c>
      <c r="B4739" s="1" t="str">
        <f>HYPERLINK("https://asmlis.vasa.lt/Dashboard/Served?ServiceDateFrom=2025-11-24&amp;ServiceDateTo=2025-11-24&amp;DumpsterInvNr=13-P-211952", "13-P-211952")</f>
        <v>13-P-211952</v>
      </c>
      <c r="C4739">
        <v>0.24</v>
      </c>
      <c r="D4739" t="s">
        <v>6558</v>
      </c>
      <c r="E4739" t="s">
        <v>11</v>
      </c>
      <c r="G4739" t="s">
        <v>234</v>
      </c>
      <c r="H4739" t="s">
        <v>14</v>
      </c>
    </row>
    <row r="4740" spans="1:8" hidden="1" x14ac:dyDescent="0.25">
      <c r="A4740" t="s">
        <v>6557</v>
      </c>
      <c r="B4740" s="1" t="str">
        <f>HYPERLINK("https://asmlis.vasa.lt/Dashboard/Served?ServiceDateFrom=2025-11-24&amp;ServiceDateTo=2025-11-24&amp;DumpsterInvNr=13-P-205224", "13-P-205224")</f>
        <v>13-P-205224</v>
      </c>
      <c r="C4740">
        <v>0.24</v>
      </c>
      <c r="D4740" t="s">
        <v>6559</v>
      </c>
      <c r="E4740" t="s">
        <v>11</v>
      </c>
      <c r="G4740" t="s">
        <v>234</v>
      </c>
      <c r="H4740" t="s">
        <v>14</v>
      </c>
    </row>
    <row r="4741" spans="1:8" hidden="1" x14ac:dyDescent="0.25">
      <c r="A4741" t="s">
        <v>6560</v>
      </c>
      <c r="B4741" s="1" t="str">
        <f>HYPERLINK("https://asmlis.vasa.lt/Dashboard/Served?ServiceDateFrom=2025-11-24&amp;ServiceDateTo=2025-11-24&amp;DumpsterInvNr=13-L-220519", "13-L-220519")</f>
        <v>13-L-220519</v>
      </c>
      <c r="C4741">
        <v>0.12</v>
      </c>
      <c r="D4741" t="s">
        <v>6561</v>
      </c>
      <c r="E4741" t="s">
        <v>11</v>
      </c>
      <c r="G4741" t="s">
        <v>936</v>
      </c>
      <c r="H4741" t="s">
        <v>938</v>
      </c>
    </row>
    <row r="4742" spans="1:8" hidden="1" x14ac:dyDescent="0.25">
      <c r="A4742" t="s">
        <v>6562</v>
      </c>
      <c r="B4742" s="1" t="str">
        <f>HYPERLINK("https://asmlis.vasa.lt/Dashboard/Served?ServiceDateFrom=2025-11-24&amp;ServiceDateTo=2025-11-24&amp;DumpsterInvNr=13-P-415763", "13-P-415763")</f>
        <v>13-P-415763</v>
      </c>
      <c r="C4742">
        <v>2.5</v>
      </c>
      <c r="D4742" t="s">
        <v>6539</v>
      </c>
      <c r="E4742" t="s">
        <v>11</v>
      </c>
      <c r="F4742" t="s">
        <v>13</v>
      </c>
      <c r="G4742" t="s">
        <v>264</v>
      </c>
      <c r="H4742" t="s">
        <v>14</v>
      </c>
    </row>
    <row r="4743" spans="1:8" hidden="1" x14ac:dyDescent="0.25">
      <c r="A4743" t="s">
        <v>6563</v>
      </c>
      <c r="B4743" s="1" t="str">
        <f>HYPERLINK("https://asmlis.vasa.lt/Dashboard/Served?ServiceDateFrom=2025-11-24&amp;ServiceDateTo=2025-11-24&amp;DumpsterInvNr=13-L-407204", "13-L-407204")</f>
        <v>13-L-407204</v>
      </c>
      <c r="C4743">
        <v>0.12</v>
      </c>
      <c r="D4743" t="s">
        <v>3171</v>
      </c>
      <c r="E4743" t="s">
        <v>11</v>
      </c>
      <c r="G4743" t="s">
        <v>74</v>
      </c>
      <c r="H4743" t="s">
        <v>14</v>
      </c>
    </row>
    <row r="4744" spans="1:8" hidden="1" x14ac:dyDescent="0.25">
      <c r="A4744" t="s">
        <v>6563</v>
      </c>
      <c r="B4744" s="1" t="str">
        <f>HYPERLINK("https://asmlis.vasa.lt/Dashboard/Served?ServiceDateFrom=2025-11-24&amp;ServiceDateTo=2025-11-24&amp;DumpsterInvNr=13-L-408837", "13-L-408837")</f>
        <v>13-L-408837</v>
      </c>
      <c r="C4744">
        <v>0.24</v>
      </c>
      <c r="D4744" t="s">
        <v>3169</v>
      </c>
      <c r="E4744" t="s">
        <v>11</v>
      </c>
      <c r="G4744" t="s">
        <v>74</v>
      </c>
      <c r="H4744" t="s">
        <v>14</v>
      </c>
    </row>
    <row r="4745" spans="1:8" hidden="1" x14ac:dyDescent="0.25">
      <c r="A4745" t="s">
        <v>6564</v>
      </c>
      <c r="B4745" s="1" t="str">
        <f>HYPERLINK("https://asmlis.vasa.lt/Dashboard/Served?ServiceDateFrom=2025-11-24&amp;ServiceDateTo=2025-11-24&amp;DumpsterInvNr=13-P-500643", "13-P-500643")</f>
        <v>13-P-500643</v>
      </c>
      <c r="C4745">
        <v>1.3</v>
      </c>
      <c r="D4745" t="s">
        <v>6565</v>
      </c>
      <c r="E4745" t="s">
        <v>11</v>
      </c>
      <c r="F4745" t="s">
        <v>13</v>
      </c>
      <c r="G4745" t="s">
        <v>2178</v>
      </c>
      <c r="H4745" t="s">
        <v>432</v>
      </c>
    </row>
    <row r="4746" spans="1:8" hidden="1" x14ac:dyDescent="0.25">
      <c r="A4746" t="s">
        <v>6566</v>
      </c>
      <c r="B4746" s="1" t="str">
        <f>HYPERLINK("https://asmlis.vasa.lt/Dashboard/Served?ServiceDateFrom=2025-11-24&amp;ServiceDateTo=2025-11-24&amp;DumpsterInvNr=13-L-227636", "13-L-227636")</f>
        <v>13-L-227636</v>
      </c>
      <c r="C4746">
        <v>1.1000000000000001</v>
      </c>
      <c r="D4746" t="s">
        <v>6486</v>
      </c>
      <c r="E4746" t="s">
        <v>11</v>
      </c>
      <c r="G4746" t="s">
        <v>936</v>
      </c>
      <c r="H4746" t="s">
        <v>938</v>
      </c>
    </row>
    <row r="4747" spans="1:8" hidden="1" x14ac:dyDescent="0.25">
      <c r="A4747" t="s">
        <v>6567</v>
      </c>
      <c r="B4747" s="1" t="str">
        <f>HYPERLINK("https://asmlis.vasa.lt/Dashboard/Served?ServiceDateFrom=2025-11-24&amp;ServiceDateTo=2025-11-24&amp;DumpsterInvNr=13-L-423715", "13-L-423715")</f>
        <v>13-L-423715</v>
      </c>
      <c r="C4747">
        <v>1.1000000000000001</v>
      </c>
      <c r="D4747" t="s">
        <v>6569</v>
      </c>
      <c r="E4747" t="s">
        <v>11</v>
      </c>
      <c r="F4747" t="s">
        <v>13</v>
      </c>
      <c r="G4747" t="s">
        <v>74</v>
      </c>
      <c r="H4747" t="s">
        <v>14</v>
      </c>
    </row>
    <row r="4748" spans="1:8" hidden="1" x14ac:dyDescent="0.25">
      <c r="A4748" t="s">
        <v>6570</v>
      </c>
      <c r="B4748" s="1" t="str">
        <f>HYPERLINK("https://asmlis.vasa.lt/Dashboard/Served?ServiceDateFrom=2025-11-24&amp;ServiceDateTo=2025-11-24&amp;DumpsterInvNr=13-S-210509", "13-S-210509")</f>
        <v>13-S-210509</v>
      </c>
      <c r="C4748">
        <v>0.12</v>
      </c>
      <c r="D4748" t="s">
        <v>6571</v>
      </c>
      <c r="E4748" t="s">
        <v>11</v>
      </c>
      <c r="F4748" t="s">
        <v>1209</v>
      </c>
      <c r="G4748" t="s">
        <v>234</v>
      </c>
      <c r="H4748" t="s">
        <v>14</v>
      </c>
    </row>
    <row r="4749" spans="1:8" hidden="1" x14ac:dyDescent="0.25">
      <c r="A4749" t="s">
        <v>6570</v>
      </c>
      <c r="B4749" s="1" t="str">
        <f>HYPERLINK("https://asmlis.vasa.lt/Dashboard/Served?ServiceDateFrom=2025-11-24&amp;ServiceDateTo=2025-11-24&amp;DumpsterInvNr=13-P-500642", "13-P-500642")</f>
        <v>13-P-500642</v>
      </c>
      <c r="C4749">
        <v>1.3</v>
      </c>
      <c r="D4749" t="s">
        <v>6565</v>
      </c>
      <c r="E4749" t="s">
        <v>11</v>
      </c>
      <c r="F4749" t="s">
        <v>13</v>
      </c>
      <c r="G4749" t="s">
        <v>2178</v>
      </c>
      <c r="H4749" t="s">
        <v>432</v>
      </c>
    </row>
    <row r="4750" spans="1:8" hidden="1" x14ac:dyDescent="0.25">
      <c r="A4750" t="s">
        <v>6570</v>
      </c>
      <c r="B4750" s="1" t="str">
        <f>HYPERLINK("https://asmlis.vasa.lt/Dashboard/Served?ServiceDateFrom=2025-11-24&amp;ServiceDateTo=2025-11-24&amp;DumpsterInvNr=13-L-149467", "13-L-149467")</f>
        <v>13-L-149467</v>
      </c>
      <c r="C4750">
        <v>0.24</v>
      </c>
      <c r="D4750" t="s">
        <v>6572</v>
      </c>
      <c r="E4750" t="s">
        <v>11</v>
      </c>
      <c r="G4750" t="s">
        <v>1912</v>
      </c>
      <c r="H4750" t="s">
        <v>432</v>
      </c>
    </row>
    <row r="4751" spans="1:8" hidden="1" x14ac:dyDescent="0.25">
      <c r="A4751" t="s">
        <v>6570</v>
      </c>
      <c r="B4751" s="1" t="str">
        <f>HYPERLINK("https://asmlis.vasa.lt/Dashboard/Served?ServiceDateFrom=2025-11-24&amp;ServiceDateTo=2025-11-24&amp;DumpsterInvNr=13-P-116114", "13-P-116114")</f>
        <v>13-P-116114</v>
      </c>
      <c r="C4751">
        <v>0.24</v>
      </c>
      <c r="D4751" t="s">
        <v>6572</v>
      </c>
      <c r="E4751" t="s">
        <v>11</v>
      </c>
      <c r="G4751" t="s">
        <v>1917</v>
      </c>
      <c r="H4751" t="s">
        <v>432</v>
      </c>
    </row>
    <row r="4752" spans="1:8" hidden="1" x14ac:dyDescent="0.25">
      <c r="A4752" t="s">
        <v>6573</v>
      </c>
      <c r="B4752" s="1" t="str">
        <f>HYPERLINK("https://asmlis.vasa.lt/Dashboard/Served?ServiceDateFrom=2025-11-24&amp;ServiceDateTo=2025-11-24&amp;DumpsterInvNr=13-L-228140", "13-L-228140")</f>
        <v>13-L-228140</v>
      </c>
      <c r="C4752">
        <v>0.24</v>
      </c>
      <c r="D4752" t="s">
        <v>6533</v>
      </c>
      <c r="E4752" t="s">
        <v>11</v>
      </c>
      <c r="G4752" t="s">
        <v>936</v>
      </c>
      <c r="H4752" t="s">
        <v>938</v>
      </c>
    </row>
    <row r="4753" spans="1:8" hidden="1" x14ac:dyDescent="0.25">
      <c r="A4753" t="s">
        <v>6574</v>
      </c>
      <c r="B4753" s="1" t="str">
        <f>HYPERLINK("https://asmlis.vasa.lt/Dashboard/Served?ServiceDateFrom=2025-11-24&amp;ServiceDateTo=2025-11-24&amp;DumpsterInvNr=13-L-423713", "13-L-423713")</f>
        <v>13-L-423713</v>
      </c>
      <c r="C4753">
        <v>1.1000000000000001</v>
      </c>
      <c r="D4753" t="s">
        <v>6569</v>
      </c>
      <c r="E4753" t="s">
        <v>11</v>
      </c>
      <c r="F4753" t="s">
        <v>13</v>
      </c>
      <c r="G4753" t="s">
        <v>74</v>
      </c>
      <c r="H4753" t="s">
        <v>14</v>
      </c>
    </row>
    <row r="4754" spans="1:8" hidden="1" x14ac:dyDescent="0.25">
      <c r="A4754" t="s">
        <v>6575</v>
      </c>
      <c r="B4754" s="1" t="str">
        <f>HYPERLINK("https://asmlis.vasa.lt/Dashboard/Served?ServiceDateFrom=2025-11-24&amp;ServiceDateTo=2025-11-24&amp;DumpsterInvNr=13-L-110943", "13-L-110943")</f>
        <v>13-L-110943</v>
      </c>
      <c r="C4754">
        <v>0.12</v>
      </c>
      <c r="D4754" t="s">
        <v>6576</v>
      </c>
      <c r="E4754" t="s">
        <v>11</v>
      </c>
      <c r="G4754" t="s">
        <v>430</v>
      </c>
      <c r="H4754" t="s">
        <v>432</v>
      </c>
    </row>
    <row r="4755" spans="1:8" hidden="1" x14ac:dyDescent="0.25">
      <c r="A4755" t="s">
        <v>6575</v>
      </c>
      <c r="B4755" s="1" t="str">
        <f>HYPERLINK("https://asmlis.vasa.lt/Dashboard/Served?ServiceDateFrom=2025-11-24&amp;ServiceDateTo=2025-11-24&amp;DumpsterInvNr=13-L-110941", "13-L-110941")</f>
        <v>13-L-110941</v>
      </c>
      <c r="C4755">
        <v>0.24</v>
      </c>
      <c r="D4755" t="s">
        <v>6578</v>
      </c>
      <c r="E4755" t="s">
        <v>11</v>
      </c>
      <c r="G4755" t="s">
        <v>430</v>
      </c>
      <c r="H4755" t="s">
        <v>432</v>
      </c>
    </row>
    <row r="4756" spans="1:8" hidden="1" x14ac:dyDescent="0.25">
      <c r="A4756" t="s">
        <v>6575</v>
      </c>
      <c r="B4756" s="1" t="str">
        <f>HYPERLINK("https://asmlis.vasa.lt/Dashboard/Served?ServiceDateFrom=2025-11-24&amp;ServiceDateTo=2025-11-24&amp;DumpsterInvNr=13-P-412879", "13-P-412879")</f>
        <v>13-P-412879</v>
      </c>
      <c r="C4756">
        <v>0.24</v>
      </c>
      <c r="D4756" t="s">
        <v>6580</v>
      </c>
      <c r="E4756" t="s">
        <v>11</v>
      </c>
      <c r="G4756" t="s">
        <v>264</v>
      </c>
      <c r="H4756" t="s">
        <v>14</v>
      </c>
    </row>
    <row r="4757" spans="1:8" hidden="1" x14ac:dyDescent="0.25">
      <c r="A4757" t="s">
        <v>6575</v>
      </c>
      <c r="B4757" s="1" t="str">
        <f>HYPERLINK("https://asmlis.vasa.lt/Dashboard/Served?ServiceDateFrom=2025-11-24&amp;ServiceDateTo=2025-11-24&amp;DumpsterInvNr=13-P-505365", "13-P-505365")</f>
        <v>13-P-505365</v>
      </c>
      <c r="C4757">
        <v>0.24</v>
      </c>
      <c r="D4757" t="s">
        <v>6576</v>
      </c>
      <c r="E4757" t="s">
        <v>11</v>
      </c>
      <c r="G4757" t="s">
        <v>2178</v>
      </c>
      <c r="H4757" t="s">
        <v>432</v>
      </c>
    </row>
    <row r="4758" spans="1:8" hidden="1" x14ac:dyDescent="0.25">
      <c r="A4758" t="s">
        <v>6581</v>
      </c>
      <c r="B4758" s="1" t="str">
        <f>HYPERLINK("https://asmlis.vasa.lt/Dashboard/Served?ServiceDateFrom=2025-11-24&amp;ServiceDateTo=2025-11-24&amp;DumpsterInvNr=13-M-200972", "13-M-200972")</f>
        <v>13-M-200972</v>
      </c>
      <c r="C4758">
        <v>0.12</v>
      </c>
      <c r="D4758" t="s">
        <v>6582</v>
      </c>
      <c r="E4758" t="s">
        <v>11</v>
      </c>
      <c r="G4758" t="s">
        <v>4876</v>
      </c>
      <c r="H4758" t="s">
        <v>938</v>
      </c>
    </row>
    <row r="4759" spans="1:8" hidden="1" x14ac:dyDescent="0.25">
      <c r="A4759" t="s">
        <v>6583</v>
      </c>
      <c r="B4759" s="1" t="str">
        <f>HYPERLINK("https://asmlis.vasa.lt/Dashboard/Served?ServiceDateFrom=2025-11-24&amp;ServiceDateTo=2025-11-24&amp;DumpsterInvNr=13-L-426018", "13-L-426018")</f>
        <v>13-L-426018</v>
      </c>
      <c r="C4759">
        <v>1.1000000000000001</v>
      </c>
      <c r="D4759" t="s">
        <v>6569</v>
      </c>
      <c r="E4759" t="s">
        <v>11</v>
      </c>
      <c r="F4759" t="s">
        <v>13</v>
      </c>
      <c r="G4759" t="s">
        <v>74</v>
      </c>
      <c r="H4759" t="s">
        <v>14</v>
      </c>
    </row>
    <row r="4760" spans="1:8" hidden="1" x14ac:dyDescent="0.25">
      <c r="A4760" t="s">
        <v>6584</v>
      </c>
      <c r="B4760" s="1" t="str">
        <f>HYPERLINK("https://asmlis.vasa.lt/Dashboard/Served?ServiceDateFrom=2025-11-24&amp;ServiceDateTo=2025-11-24&amp;DumpsterInvNr=13-L-206351", "13-L-206351")</f>
        <v>13-L-206351</v>
      </c>
      <c r="C4760">
        <v>0.24</v>
      </c>
      <c r="D4760" t="s">
        <v>6585</v>
      </c>
      <c r="E4760" t="s">
        <v>11</v>
      </c>
      <c r="G4760" t="s">
        <v>936</v>
      </c>
      <c r="H4760" t="s">
        <v>938</v>
      </c>
    </row>
    <row r="4761" spans="1:8" hidden="1" x14ac:dyDescent="0.25">
      <c r="A4761" t="s">
        <v>6586</v>
      </c>
      <c r="B4761" s="1" t="str">
        <f>HYPERLINK("https://asmlis.vasa.lt/Dashboard/Served?ServiceDateFrom=2025-11-24&amp;ServiceDateTo=2025-11-24&amp;DumpsterInvNr=13-M-203951", "13-M-203951")</f>
        <v>13-M-203951</v>
      </c>
      <c r="C4761">
        <v>0.12</v>
      </c>
      <c r="D4761" t="s">
        <v>6587</v>
      </c>
      <c r="E4761" t="s">
        <v>11</v>
      </c>
      <c r="F4761" t="s">
        <v>1209</v>
      </c>
      <c r="G4761" t="s">
        <v>4876</v>
      </c>
      <c r="H4761" t="s">
        <v>938</v>
      </c>
    </row>
    <row r="4762" spans="1:8" hidden="1" x14ac:dyDescent="0.25">
      <c r="A4762" t="s">
        <v>6588</v>
      </c>
      <c r="B4762" s="1" t="str">
        <f>HYPERLINK("https://asmlis.vasa.lt/Dashboard/Served?ServiceDateFrom=2025-11-24&amp;ServiceDateTo=2025-11-24&amp;DumpsterInvNr=13-L-215598", "13-L-215598")</f>
        <v>13-L-215598</v>
      </c>
      <c r="C4762">
        <v>0.12</v>
      </c>
      <c r="D4762" t="s">
        <v>6589</v>
      </c>
      <c r="E4762" t="s">
        <v>11</v>
      </c>
      <c r="F4762" t="s">
        <v>1209</v>
      </c>
      <c r="G4762" t="s">
        <v>936</v>
      </c>
      <c r="H4762" t="s">
        <v>938</v>
      </c>
    </row>
    <row r="4763" spans="1:8" hidden="1" x14ac:dyDescent="0.25">
      <c r="A4763" t="s">
        <v>6590</v>
      </c>
      <c r="B4763" s="1" t="str">
        <f>HYPERLINK("https://asmlis.vasa.lt/Dashboard/Served?ServiceDateFrom=2025-11-24&amp;ServiceDateTo=2025-11-24&amp;DumpsterInvNr=13-L-110940", "13-L-110940")</f>
        <v>13-L-110940</v>
      </c>
      <c r="C4763">
        <v>0.24</v>
      </c>
      <c r="D4763" t="s">
        <v>6591</v>
      </c>
      <c r="E4763" t="s">
        <v>11</v>
      </c>
      <c r="G4763" t="s">
        <v>430</v>
      </c>
      <c r="H4763" t="s">
        <v>432</v>
      </c>
    </row>
    <row r="4764" spans="1:8" hidden="1" x14ac:dyDescent="0.25">
      <c r="A4764" t="s">
        <v>6590</v>
      </c>
      <c r="B4764" s="1" t="str">
        <f>HYPERLINK("https://asmlis.vasa.lt/Dashboard/Served?ServiceDateFrom=2025-11-24&amp;ServiceDateTo=2025-11-24&amp;DumpsterInvNr=13-P-412715", "13-P-412715")</f>
        <v>13-P-412715</v>
      </c>
      <c r="C4764">
        <v>0.24</v>
      </c>
      <c r="D4764" t="s">
        <v>6592</v>
      </c>
      <c r="E4764" t="s">
        <v>11</v>
      </c>
      <c r="G4764" t="s">
        <v>264</v>
      </c>
      <c r="H4764" t="s">
        <v>14</v>
      </c>
    </row>
    <row r="4765" spans="1:8" hidden="1" x14ac:dyDescent="0.25">
      <c r="A4765" t="s">
        <v>6593</v>
      </c>
      <c r="B4765" s="1" t="str">
        <f>HYPERLINK("https://asmlis.vasa.lt/Dashboard/Served?ServiceDateFrom=2025-11-24&amp;ServiceDateTo=2025-11-24&amp;DumpsterInvNr=13-P-211954", "13-P-211954")</f>
        <v>13-P-211954</v>
      </c>
      <c r="C4765">
        <v>0.24</v>
      </c>
      <c r="D4765" t="s">
        <v>6571</v>
      </c>
      <c r="E4765" t="s">
        <v>11</v>
      </c>
      <c r="G4765" t="s">
        <v>234</v>
      </c>
      <c r="H4765" t="s">
        <v>14</v>
      </c>
    </row>
    <row r="4766" spans="1:8" hidden="1" x14ac:dyDescent="0.25">
      <c r="A4766" t="s">
        <v>6594</v>
      </c>
      <c r="B4766" s="1" t="str">
        <f>HYPERLINK("https://asmlis.vasa.lt/Dashboard/Served?ServiceDateFrom=2025-11-24&amp;ServiceDateTo=2025-11-24&amp;DumpsterInvNr=13-P-505392", "13-P-505392")</f>
        <v>13-P-505392</v>
      </c>
      <c r="C4766">
        <v>0.24</v>
      </c>
      <c r="D4766" t="s">
        <v>6591</v>
      </c>
      <c r="E4766" t="s">
        <v>11</v>
      </c>
      <c r="G4766" t="s">
        <v>2178</v>
      </c>
      <c r="H4766" t="s">
        <v>432</v>
      </c>
    </row>
    <row r="4767" spans="1:8" hidden="1" x14ac:dyDescent="0.25">
      <c r="A4767" t="s">
        <v>6596</v>
      </c>
      <c r="B4767" s="1" t="str">
        <f>HYPERLINK("https://asmlis.vasa.lt/Dashboard/Served?ServiceDateFrom=2025-11-24&amp;ServiceDateTo=2025-11-24&amp;DumpsterInvNr=13-L-207753", "13-L-207753")</f>
        <v>13-L-207753</v>
      </c>
      <c r="C4767">
        <v>0.77</v>
      </c>
      <c r="D4767" t="s">
        <v>6597</v>
      </c>
      <c r="E4767" t="s">
        <v>11</v>
      </c>
      <c r="F4767" t="s">
        <v>13</v>
      </c>
      <c r="G4767" t="s">
        <v>936</v>
      </c>
      <c r="H4767" t="s">
        <v>938</v>
      </c>
    </row>
    <row r="4768" spans="1:8" hidden="1" x14ac:dyDescent="0.25">
      <c r="A4768" t="s">
        <v>6598</v>
      </c>
      <c r="B4768" s="1" t="str">
        <f>HYPERLINK("https://asmlis.vasa.lt/Dashboard/Served?ServiceDateFrom=2025-11-24&amp;ServiceDateTo=2025-11-24&amp;DumpsterInvNr=13-L-426093", "13-L-426093")</f>
        <v>13-L-426093</v>
      </c>
      <c r="C4768">
        <v>1.1000000000000001</v>
      </c>
      <c r="D4768" t="s">
        <v>2262</v>
      </c>
      <c r="E4768" t="s">
        <v>11</v>
      </c>
      <c r="G4768" t="s">
        <v>74</v>
      </c>
      <c r="H4768" t="s">
        <v>14</v>
      </c>
    </row>
    <row r="4769" spans="1:8" hidden="1" x14ac:dyDescent="0.25">
      <c r="A4769" t="s">
        <v>6599</v>
      </c>
      <c r="B4769" s="1" t="str">
        <f>HYPERLINK("https://asmlis.vasa.lt/Dashboard/Served?ServiceDateFrom=2025-11-24&amp;ServiceDateTo=2025-11-24&amp;DumpsterInvNr=13-L-308850", "13-L-308850")</f>
        <v>13-L-308850</v>
      </c>
      <c r="C4769">
        <v>5</v>
      </c>
      <c r="D4769" t="s">
        <v>6600</v>
      </c>
      <c r="E4769" t="s">
        <v>11</v>
      </c>
      <c r="F4769" t="s">
        <v>13</v>
      </c>
      <c r="G4769" t="s">
        <v>9</v>
      </c>
      <c r="H4769" t="s">
        <v>14</v>
      </c>
    </row>
    <row r="4770" spans="1:8" hidden="1" x14ac:dyDescent="0.25">
      <c r="A4770" t="s">
        <v>6601</v>
      </c>
      <c r="B4770" s="1" t="str">
        <f>HYPERLINK("https://asmlis.vasa.lt/Dashboard/Served?ServiceDateFrom=2025-11-24&amp;ServiceDateTo=2025-11-24&amp;DumpsterInvNr=13-P-400579", "13-P-400579")</f>
        <v>13-P-400579</v>
      </c>
      <c r="C4770">
        <v>5</v>
      </c>
      <c r="D4770" t="s">
        <v>6602</v>
      </c>
      <c r="E4770" t="s">
        <v>11</v>
      </c>
      <c r="F4770" t="s">
        <v>13</v>
      </c>
      <c r="G4770" t="s">
        <v>264</v>
      </c>
      <c r="H4770" t="s">
        <v>14</v>
      </c>
    </row>
    <row r="4771" spans="1:8" hidden="1" x14ac:dyDescent="0.25">
      <c r="A4771" t="s">
        <v>6603</v>
      </c>
      <c r="B4771" s="1" t="str">
        <f>HYPERLINK("https://asmlis.vasa.lt/Dashboard/Served?ServiceDateFrom=2025-11-24&amp;ServiceDateTo=2025-11-24&amp;DumpsterInvNr=13-L-140988", "13-L-140988")</f>
        <v>13-L-140988</v>
      </c>
      <c r="C4771">
        <v>0.24</v>
      </c>
      <c r="D4771" t="s">
        <v>6604</v>
      </c>
      <c r="E4771" t="s">
        <v>11</v>
      </c>
      <c r="G4771" t="s">
        <v>430</v>
      </c>
      <c r="H4771" t="s">
        <v>432</v>
      </c>
    </row>
    <row r="4772" spans="1:8" hidden="1" x14ac:dyDescent="0.25">
      <c r="A4772" t="s">
        <v>6603</v>
      </c>
      <c r="B4772" s="1" t="str">
        <f>HYPERLINK("https://asmlis.vasa.lt/Dashboard/Served?ServiceDateFrom=2025-11-24&amp;ServiceDateTo=2025-11-24&amp;DumpsterInvNr=13-P-509150", "13-P-509150")</f>
        <v>13-P-509150</v>
      </c>
      <c r="C4772">
        <v>0.24</v>
      </c>
      <c r="D4772" t="s">
        <v>6604</v>
      </c>
      <c r="E4772" t="s">
        <v>11</v>
      </c>
      <c r="G4772" t="s">
        <v>2178</v>
      </c>
      <c r="H4772" t="s">
        <v>432</v>
      </c>
    </row>
    <row r="4773" spans="1:8" hidden="1" x14ac:dyDescent="0.25">
      <c r="A4773" t="s">
        <v>6606</v>
      </c>
      <c r="B4773" s="1" t="str">
        <f>HYPERLINK("https://asmlis.vasa.lt/Dashboard/Served?ServiceDateFrom=2025-11-24&amp;ServiceDateTo=2025-11-24&amp;DumpsterInvNr=13-L-417943", "13-L-417943")</f>
        <v>13-L-417943</v>
      </c>
      <c r="C4773">
        <v>0.12</v>
      </c>
      <c r="D4773" t="s">
        <v>3167</v>
      </c>
      <c r="E4773" t="s">
        <v>11</v>
      </c>
      <c r="G4773" t="s">
        <v>74</v>
      </c>
      <c r="H4773" t="s">
        <v>14</v>
      </c>
    </row>
    <row r="4774" spans="1:8" hidden="1" x14ac:dyDescent="0.25">
      <c r="A4774" t="s">
        <v>6607</v>
      </c>
      <c r="B4774" s="1" t="str">
        <f>HYPERLINK("https://asmlis.vasa.lt/Dashboard/Served?ServiceDateFrom=2025-11-24&amp;ServiceDateTo=2025-11-24&amp;DumpsterInvNr=13-P-205389", "13-P-205389")</f>
        <v>13-P-205389</v>
      </c>
      <c r="C4774">
        <v>0.24</v>
      </c>
      <c r="D4774" t="s">
        <v>6608</v>
      </c>
      <c r="E4774" t="s">
        <v>11</v>
      </c>
      <c r="F4774" t="s">
        <v>1209</v>
      </c>
      <c r="G4774" t="s">
        <v>234</v>
      </c>
      <c r="H4774" t="s">
        <v>14</v>
      </c>
    </row>
    <row r="4775" spans="1:8" hidden="1" x14ac:dyDescent="0.25">
      <c r="A4775" t="s">
        <v>6609</v>
      </c>
      <c r="B4775" s="1" t="str">
        <f>HYPERLINK("https://asmlis.vasa.lt/Dashboard/Served?ServiceDateFrom=2025-11-24&amp;ServiceDateTo=2025-11-24&amp;DumpsterInvNr=13-L-149190", "13-L-149190")</f>
        <v>13-L-149190</v>
      </c>
      <c r="C4775">
        <v>1.1000000000000001</v>
      </c>
      <c r="D4775" t="s">
        <v>6610</v>
      </c>
      <c r="E4775" t="s">
        <v>11</v>
      </c>
      <c r="G4775" t="s">
        <v>430</v>
      </c>
      <c r="H4775" t="s">
        <v>432</v>
      </c>
    </row>
    <row r="4776" spans="1:8" hidden="1" x14ac:dyDescent="0.25">
      <c r="A4776" t="s">
        <v>6611</v>
      </c>
      <c r="B4776" s="1" t="str">
        <f>HYPERLINK("https://asmlis.vasa.lt/Dashboard/Served?ServiceDateFrom=2025-11-24&amp;ServiceDateTo=2025-11-24&amp;DumpsterInvNr=13-L-144429", "13-L-144429")</f>
        <v>13-L-144429</v>
      </c>
      <c r="C4776">
        <v>5</v>
      </c>
      <c r="D4776" t="s">
        <v>6612</v>
      </c>
      <c r="E4776" t="s">
        <v>11</v>
      </c>
      <c r="F4776" t="s">
        <v>13</v>
      </c>
      <c r="G4776" t="s">
        <v>430</v>
      </c>
      <c r="H4776" t="s">
        <v>432</v>
      </c>
    </row>
    <row r="4777" spans="1:8" hidden="1" x14ac:dyDescent="0.25">
      <c r="A4777" t="s">
        <v>6613</v>
      </c>
      <c r="B4777" s="1" t="str">
        <f>HYPERLINK("https://asmlis.vasa.lt/Dashboard/Served?ServiceDateFrom=2025-11-24&amp;ServiceDateTo=2025-11-24&amp;DumpsterInvNr=13-L-426925", "13-L-426925")</f>
        <v>13-L-426925</v>
      </c>
      <c r="C4777">
        <v>1.1000000000000001</v>
      </c>
      <c r="D4777" t="s">
        <v>2262</v>
      </c>
      <c r="E4777" t="s">
        <v>11</v>
      </c>
      <c r="G4777" t="s">
        <v>74</v>
      </c>
      <c r="H4777" t="s">
        <v>14</v>
      </c>
    </row>
    <row r="4778" spans="1:8" hidden="1" x14ac:dyDescent="0.25">
      <c r="A4778" t="s">
        <v>6614</v>
      </c>
      <c r="B4778" s="1" t="str">
        <f>HYPERLINK("https://asmlis.vasa.lt/Dashboard/Served?ServiceDateFrom=2025-11-24&amp;ServiceDateTo=2025-11-24&amp;DumpsterInvNr=13-L-135242", "13-L-135242")</f>
        <v>13-L-135242</v>
      </c>
      <c r="C4778">
        <v>5</v>
      </c>
      <c r="D4778" t="s">
        <v>6615</v>
      </c>
      <c r="E4778" t="s">
        <v>11</v>
      </c>
      <c r="F4778" t="s">
        <v>13</v>
      </c>
      <c r="G4778" t="s">
        <v>430</v>
      </c>
      <c r="H4778" t="s">
        <v>432</v>
      </c>
    </row>
    <row r="4779" spans="1:8" hidden="1" x14ac:dyDescent="0.25">
      <c r="A4779" t="s">
        <v>6616</v>
      </c>
      <c r="B4779" s="1" t="str">
        <f>HYPERLINK("https://asmlis.vasa.lt/Dashboard/Served?ServiceDateFrom=2025-11-24&amp;ServiceDateTo=2025-11-24&amp;DumpsterInvNr=13-L-208588", "13-L-208588")</f>
        <v>13-L-208588</v>
      </c>
      <c r="C4779">
        <v>0.24</v>
      </c>
      <c r="D4779" t="s">
        <v>6617</v>
      </c>
      <c r="E4779" t="s">
        <v>11</v>
      </c>
      <c r="F4779" t="s">
        <v>1209</v>
      </c>
      <c r="G4779" t="s">
        <v>936</v>
      </c>
      <c r="H4779" t="s">
        <v>938</v>
      </c>
    </row>
    <row r="4780" spans="1:8" hidden="1" x14ac:dyDescent="0.25">
      <c r="A4780" t="s">
        <v>6618</v>
      </c>
      <c r="B4780" s="1" t="str">
        <f>HYPERLINK("https://asmlis.vasa.lt/Dashboard/Served?ServiceDateFrom=2025-11-24&amp;ServiceDateTo=2025-11-24&amp;DumpsterInvNr=13-P-209740", "13-P-209740")</f>
        <v>13-P-209740</v>
      </c>
      <c r="C4780">
        <v>0.24</v>
      </c>
      <c r="D4780" t="s">
        <v>6619</v>
      </c>
      <c r="E4780" t="s">
        <v>11</v>
      </c>
      <c r="F4780" t="s">
        <v>1209</v>
      </c>
      <c r="G4780" t="s">
        <v>234</v>
      </c>
      <c r="H4780" t="s">
        <v>14</v>
      </c>
    </row>
    <row r="4781" spans="1:8" hidden="1" x14ac:dyDescent="0.25">
      <c r="A4781" t="s">
        <v>6620</v>
      </c>
      <c r="B4781" s="1" t="str">
        <f>HYPERLINK("https://asmlis.vasa.lt/Dashboard/Served?ServiceDateFrom=2025-11-24&amp;ServiceDateTo=2025-11-24&amp;DumpsterInvNr=13-L-405692", "13-L-405692")</f>
        <v>13-L-405692</v>
      </c>
      <c r="C4781">
        <v>1.1000000000000001</v>
      </c>
      <c r="D4781" t="s">
        <v>2262</v>
      </c>
      <c r="E4781" t="s">
        <v>11</v>
      </c>
      <c r="G4781" t="s">
        <v>74</v>
      </c>
      <c r="H4781" t="s">
        <v>14</v>
      </c>
    </row>
    <row r="4782" spans="1:8" hidden="1" x14ac:dyDescent="0.25">
      <c r="A4782" t="s">
        <v>6620</v>
      </c>
      <c r="B4782" s="1" t="str">
        <f>HYPERLINK("https://asmlis.vasa.lt/Dashboard/Served?ServiceDateFrom=2025-11-24&amp;ServiceDateTo=2025-11-24&amp;DumpsterInvNr=13-P-302131", "13-P-302131")</f>
        <v>13-P-302131</v>
      </c>
      <c r="C4782">
        <v>1.1000000000000001</v>
      </c>
      <c r="D4782" t="s">
        <v>6621</v>
      </c>
      <c r="E4782" t="s">
        <v>11</v>
      </c>
      <c r="F4782" t="s">
        <v>13</v>
      </c>
      <c r="G4782" t="s">
        <v>412</v>
      </c>
      <c r="H4782" t="s">
        <v>14</v>
      </c>
    </row>
    <row r="4783" spans="1:8" hidden="1" x14ac:dyDescent="0.25">
      <c r="A4783" t="s">
        <v>6622</v>
      </c>
      <c r="B4783" s="1" t="str">
        <f>HYPERLINK("https://asmlis.vasa.lt/Dashboard/Served?ServiceDateFrom=2025-11-24&amp;ServiceDateTo=2025-11-24&amp;DumpsterInvNr=13-L-222900", "13-L-222900")</f>
        <v>13-L-222900</v>
      </c>
      <c r="C4783">
        <v>5</v>
      </c>
      <c r="D4783" t="s">
        <v>6150</v>
      </c>
      <c r="E4783" t="s">
        <v>11</v>
      </c>
      <c r="G4783" t="s">
        <v>936</v>
      </c>
      <c r="H4783" t="s">
        <v>938</v>
      </c>
    </row>
    <row r="4784" spans="1:8" hidden="1" x14ac:dyDescent="0.25">
      <c r="A4784" t="s">
        <v>6622</v>
      </c>
      <c r="B4784" s="1" t="str">
        <f>HYPERLINK("https://asmlis.vasa.lt/Dashboard/Served?ServiceDateFrom=2025-11-24&amp;ServiceDateTo=2025-11-24&amp;DumpsterInvNr=13-P-408994", "13-P-408994")</f>
        <v>13-P-408994</v>
      </c>
      <c r="C4784">
        <v>0.24</v>
      </c>
      <c r="D4784" t="s">
        <v>6623</v>
      </c>
      <c r="E4784" t="s">
        <v>11</v>
      </c>
      <c r="G4784" t="s">
        <v>264</v>
      </c>
      <c r="H4784" t="s">
        <v>14</v>
      </c>
    </row>
    <row r="4785" spans="1:8" hidden="1" x14ac:dyDescent="0.25">
      <c r="A4785" t="s">
        <v>6624</v>
      </c>
      <c r="B4785" s="1" t="str">
        <f>HYPERLINK("https://asmlis.vasa.lt/Dashboard/Served?ServiceDateFrom=2025-11-24&amp;ServiceDateTo=2025-11-24&amp;DumpsterInvNr=13-L-213013", "13-L-213013")</f>
        <v>13-L-213013</v>
      </c>
      <c r="C4785">
        <v>1.1000000000000001</v>
      </c>
      <c r="D4785" t="s">
        <v>6626</v>
      </c>
      <c r="E4785" t="s">
        <v>11</v>
      </c>
      <c r="G4785" t="s">
        <v>936</v>
      </c>
      <c r="H4785" t="s">
        <v>938</v>
      </c>
    </row>
    <row r="4786" spans="1:8" hidden="1" x14ac:dyDescent="0.25">
      <c r="A4786" t="s">
        <v>6627</v>
      </c>
      <c r="B4786" s="1" t="str">
        <f>HYPERLINK("https://asmlis.vasa.lt/Dashboard/Served?ServiceDateFrom=2025-11-24&amp;ServiceDateTo=2025-11-24&amp;DumpsterInvNr=13-L-149175", "13-L-149175")</f>
        <v>13-L-149175</v>
      </c>
      <c r="C4786">
        <v>1.1000000000000001</v>
      </c>
      <c r="D4786" t="s">
        <v>6610</v>
      </c>
      <c r="E4786" t="s">
        <v>11</v>
      </c>
      <c r="G4786" t="s">
        <v>430</v>
      </c>
      <c r="H4786" t="s">
        <v>432</v>
      </c>
    </row>
    <row r="4787" spans="1:8" hidden="1" x14ac:dyDescent="0.25">
      <c r="A4787" t="s">
        <v>6628</v>
      </c>
      <c r="B4787" s="1" t="str">
        <f>HYPERLINK("https://asmlis.vasa.lt/Dashboard/Served?ServiceDateFrom=2025-11-24&amp;ServiceDateTo=2025-11-24&amp;DumpsterInvNr=13-T-000317", "13-T-000317")</f>
        <v>13-T-000317</v>
      </c>
      <c r="C4787">
        <v>2.5</v>
      </c>
      <c r="D4787" t="s">
        <v>6629</v>
      </c>
      <c r="E4787" t="s">
        <v>11</v>
      </c>
      <c r="F4787" t="s">
        <v>13</v>
      </c>
      <c r="G4787" t="s">
        <v>1899</v>
      </c>
      <c r="H4787" t="s">
        <v>432</v>
      </c>
    </row>
    <row r="4788" spans="1:8" hidden="1" x14ac:dyDescent="0.25">
      <c r="A4788" t="s">
        <v>6630</v>
      </c>
      <c r="B4788" s="1" t="str">
        <f>HYPERLINK("https://asmlis.vasa.lt/Dashboard/Served?ServiceDateFrom=2025-11-24&amp;ServiceDateTo=2025-11-24&amp;DumpsterInvNr=13-M-206490", "13-M-206490")</f>
        <v>13-M-206490</v>
      </c>
      <c r="C4788">
        <v>0.12</v>
      </c>
      <c r="D4788" t="s">
        <v>6631</v>
      </c>
      <c r="E4788" t="s">
        <v>11</v>
      </c>
      <c r="G4788" t="s">
        <v>4876</v>
      </c>
      <c r="H4788" t="s">
        <v>938</v>
      </c>
    </row>
    <row r="4789" spans="1:8" hidden="1" x14ac:dyDescent="0.25">
      <c r="A4789" t="s">
        <v>6632</v>
      </c>
      <c r="B4789" s="1" t="str">
        <f>HYPERLINK("https://asmlis.vasa.lt/Dashboard/Served?ServiceDateFrom=2025-11-24&amp;ServiceDateTo=2025-11-24&amp;DumpsterInvNr=13-L-110944", "13-L-110944")</f>
        <v>13-L-110944</v>
      </c>
      <c r="C4789">
        <v>0.24</v>
      </c>
      <c r="D4789" t="s">
        <v>6633</v>
      </c>
      <c r="E4789" t="s">
        <v>11</v>
      </c>
      <c r="G4789" t="s">
        <v>430</v>
      </c>
      <c r="H4789" t="s">
        <v>432</v>
      </c>
    </row>
    <row r="4790" spans="1:8" hidden="1" x14ac:dyDescent="0.25">
      <c r="A4790" t="s">
        <v>6634</v>
      </c>
      <c r="B4790" s="1" t="str">
        <f>HYPERLINK("https://asmlis.vasa.lt/Dashboard/Served?ServiceDateFrom=2025-11-24&amp;ServiceDateTo=2025-11-24&amp;DumpsterInvNr=13-T-000308", "13-T-000308")</f>
        <v>13-T-000308</v>
      </c>
      <c r="C4790">
        <v>2.5</v>
      </c>
      <c r="D4790" t="s">
        <v>6629</v>
      </c>
      <c r="E4790" t="s">
        <v>11</v>
      </c>
      <c r="F4790" t="s">
        <v>13</v>
      </c>
      <c r="G4790" t="s">
        <v>1899</v>
      </c>
      <c r="H4790" t="s">
        <v>432</v>
      </c>
    </row>
    <row r="4791" spans="1:8" hidden="1" x14ac:dyDescent="0.25">
      <c r="A4791" t="s">
        <v>6635</v>
      </c>
      <c r="B4791" s="1" t="str">
        <f>HYPERLINK("https://asmlis.vasa.lt/Dashboard/Served?ServiceDateFrom=2025-11-24&amp;ServiceDateTo=2025-11-24&amp;DumpsterInvNr=13-L-426510", "13-L-426510")</f>
        <v>13-L-426510</v>
      </c>
      <c r="C4791">
        <v>1.1000000000000001</v>
      </c>
      <c r="D4791" t="s">
        <v>6636</v>
      </c>
      <c r="E4791" t="s">
        <v>11</v>
      </c>
      <c r="G4791" t="s">
        <v>74</v>
      </c>
      <c r="H4791" t="s">
        <v>14</v>
      </c>
    </row>
    <row r="4792" spans="1:8" hidden="1" x14ac:dyDescent="0.25">
      <c r="A4792" t="s">
        <v>6637</v>
      </c>
      <c r="B4792" s="1" t="str">
        <f>HYPERLINK("https://asmlis.vasa.lt/Dashboard/Served?ServiceDateFrom=2025-11-24&amp;ServiceDateTo=2025-11-24&amp;DumpsterInvNr=13-L-415330", "13-L-415330")</f>
        <v>13-L-415330</v>
      </c>
      <c r="C4792">
        <v>5</v>
      </c>
      <c r="D4792" t="s">
        <v>6638</v>
      </c>
      <c r="E4792" t="s">
        <v>11</v>
      </c>
      <c r="G4792" t="s">
        <v>74</v>
      </c>
      <c r="H4792" t="s">
        <v>14</v>
      </c>
    </row>
    <row r="4793" spans="1:8" hidden="1" x14ac:dyDescent="0.25">
      <c r="A4793" t="s">
        <v>6639</v>
      </c>
      <c r="B4793" s="1" t="str">
        <f>HYPERLINK("https://asmlis.vasa.lt/Dashboard/Served?ServiceDateFrom=2025-11-24&amp;ServiceDateTo=2025-11-24&amp;DumpsterInvNr=13-L-120189", "13-L-120189")</f>
        <v>13-L-120189</v>
      </c>
      <c r="C4793">
        <v>1.1000000000000001</v>
      </c>
      <c r="D4793" t="s">
        <v>6640</v>
      </c>
      <c r="E4793" t="s">
        <v>11</v>
      </c>
      <c r="G4793" t="s">
        <v>1912</v>
      </c>
      <c r="H4793" t="s">
        <v>432</v>
      </c>
    </row>
    <row r="4794" spans="1:8" hidden="1" x14ac:dyDescent="0.25">
      <c r="A4794" t="s">
        <v>6641</v>
      </c>
      <c r="B4794" s="1" t="str">
        <f>HYPERLINK("https://asmlis.vasa.lt/Dashboard/Served?ServiceDateFrom=2025-11-24&amp;ServiceDateTo=2025-11-24&amp;DumpsterInvNr=13-P-404459", "13-P-404459")</f>
        <v>13-P-404459</v>
      </c>
      <c r="C4794">
        <v>3</v>
      </c>
      <c r="D4794" t="s">
        <v>6642</v>
      </c>
      <c r="E4794" t="s">
        <v>11</v>
      </c>
      <c r="G4794" t="s">
        <v>264</v>
      </c>
      <c r="H4794" t="s">
        <v>14</v>
      </c>
    </row>
    <row r="4795" spans="1:8" hidden="1" x14ac:dyDescent="0.25">
      <c r="A4795" t="s">
        <v>6643</v>
      </c>
      <c r="B4795" s="1" t="str">
        <f>HYPERLINK("https://asmlis.vasa.lt/Dashboard/Served?ServiceDateFrom=2025-11-24&amp;ServiceDateTo=2025-11-24&amp;DumpsterInvNr=13-L-116939", "13-L-116939")</f>
        <v>13-L-116939</v>
      </c>
      <c r="C4795">
        <v>1.1000000000000001</v>
      </c>
      <c r="D4795" t="s">
        <v>6645</v>
      </c>
      <c r="E4795" t="s">
        <v>11</v>
      </c>
      <c r="G4795" t="s">
        <v>430</v>
      </c>
      <c r="H4795" t="s">
        <v>432</v>
      </c>
    </row>
    <row r="4796" spans="1:8" hidden="1" x14ac:dyDescent="0.25">
      <c r="A4796" t="s">
        <v>6646</v>
      </c>
      <c r="B4796" s="1" t="str">
        <f>HYPERLINK("https://asmlis.vasa.lt/Dashboard/Served?ServiceDateFrom=2025-11-24&amp;ServiceDateTo=2025-11-24&amp;DumpsterInvNr=13-L-148248", "13-L-148248")</f>
        <v>13-L-148248</v>
      </c>
      <c r="C4796">
        <v>1.1000000000000001</v>
      </c>
      <c r="D4796" t="s">
        <v>6610</v>
      </c>
      <c r="E4796" t="s">
        <v>11</v>
      </c>
      <c r="G4796" t="s">
        <v>430</v>
      </c>
      <c r="H4796" t="s">
        <v>432</v>
      </c>
    </row>
    <row r="4797" spans="1:8" hidden="1" x14ac:dyDescent="0.25">
      <c r="A4797" t="s">
        <v>6647</v>
      </c>
      <c r="B4797" s="1" t="str">
        <f>HYPERLINK("https://asmlis.vasa.lt/Dashboard/Served?ServiceDateFrom=2025-11-24&amp;ServiceDateTo=2025-11-24&amp;DumpsterInvNr=13-L-426708", "13-L-426708")</f>
        <v>13-L-426708</v>
      </c>
      <c r="C4797">
        <v>1.1000000000000001</v>
      </c>
      <c r="D4797" t="s">
        <v>6648</v>
      </c>
      <c r="E4797" t="s">
        <v>11</v>
      </c>
      <c r="G4797" t="s">
        <v>74</v>
      </c>
      <c r="H4797" t="s">
        <v>14</v>
      </c>
    </row>
    <row r="4798" spans="1:8" hidden="1" x14ac:dyDescent="0.25">
      <c r="A4798" t="s">
        <v>6647</v>
      </c>
      <c r="B4798" s="1" t="str">
        <f>HYPERLINK("https://asmlis.vasa.lt/Dashboard/Served?ServiceDateFrom=2025-11-24&amp;ServiceDateTo=2025-11-24&amp;DumpsterInvNr=13-P-306718", "13-P-306718")</f>
        <v>13-P-306718</v>
      </c>
      <c r="C4798">
        <v>5</v>
      </c>
      <c r="D4798" t="s">
        <v>6649</v>
      </c>
      <c r="E4798" t="s">
        <v>11</v>
      </c>
      <c r="F4798" t="s">
        <v>13</v>
      </c>
      <c r="G4798" t="s">
        <v>412</v>
      </c>
      <c r="H4798" t="s">
        <v>14</v>
      </c>
    </row>
    <row r="4799" spans="1:8" hidden="1" x14ac:dyDescent="0.25">
      <c r="A4799" t="s">
        <v>6650</v>
      </c>
      <c r="B4799" s="1" t="str">
        <f>HYPERLINK("https://asmlis.vasa.lt/Dashboard/Served?ServiceDateFrom=2025-11-24&amp;ServiceDateTo=2025-11-24&amp;DumpsterInvNr=13-L-145020", "13-L-145020")</f>
        <v>13-L-145020</v>
      </c>
      <c r="C4799">
        <v>5</v>
      </c>
      <c r="D4799" t="s">
        <v>6651</v>
      </c>
      <c r="E4799" t="s">
        <v>11</v>
      </c>
      <c r="F4799" t="s">
        <v>13</v>
      </c>
      <c r="G4799" t="s">
        <v>430</v>
      </c>
      <c r="H4799" t="s">
        <v>432</v>
      </c>
    </row>
    <row r="4800" spans="1:8" hidden="1" x14ac:dyDescent="0.25">
      <c r="A4800" t="s">
        <v>6652</v>
      </c>
      <c r="B4800" s="1" t="str">
        <f>HYPERLINK("https://asmlis.vasa.lt/Dashboard/Served?ServiceDateFrom=2025-11-24&amp;ServiceDateTo=2025-11-24&amp;DumpsterInvNr=13-S-211279", "13-S-211279")</f>
        <v>13-S-211279</v>
      </c>
      <c r="C4800">
        <v>3</v>
      </c>
      <c r="D4800" t="s">
        <v>6556</v>
      </c>
      <c r="E4800" t="s">
        <v>11</v>
      </c>
      <c r="G4800" t="s">
        <v>234</v>
      </c>
      <c r="H4800" t="s">
        <v>14</v>
      </c>
    </row>
    <row r="4801" spans="1:8" hidden="1" x14ac:dyDescent="0.25">
      <c r="A4801" t="s">
        <v>6654</v>
      </c>
      <c r="B4801" s="1" t="str">
        <f>HYPERLINK("https://asmlis.vasa.lt/Dashboard/Served?ServiceDateFrom=2025-11-24&amp;ServiceDateTo=2025-11-24&amp;DumpsterInvNr=13-L-147507", "13-L-147507")</f>
        <v>13-L-147507</v>
      </c>
      <c r="C4801">
        <v>1.1000000000000001</v>
      </c>
      <c r="D4801" t="s">
        <v>6645</v>
      </c>
      <c r="E4801" t="s">
        <v>11</v>
      </c>
      <c r="G4801" t="s">
        <v>430</v>
      </c>
      <c r="H4801" t="s">
        <v>432</v>
      </c>
    </row>
    <row r="4802" spans="1:8" hidden="1" x14ac:dyDescent="0.25">
      <c r="A4802" t="s">
        <v>6655</v>
      </c>
      <c r="B4802" s="1" t="str">
        <f>HYPERLINK("https://asmlis.vasa.lt/Dashboard/Served?ServiceDateFrom=2025-11-24&amp;ServiceDateTo=2025-11-24&amp;DumpsterInvNr=13-M-202889", "13-M-202889")</f>
        <v>13-M-202889</v>
      </c>
      <c r="C4802">
        <v>0.12</v>
      </c>
      <c r="D4802" t="s">
        <v>6656</v>
      </c>
      <c r="E4802" t="s">
        <v>11</v>
      </c>
      <c r="G4802" t="s">
        <v>4876</v>
      </c>
      <c r="H4802" t="s">
        <v>938</v>
      </c>
    </row>
    <row r="4803" spans="1:8" hidden="1" x14ac:dyDescent="0.25">
      <c r="A4803" t="s">
        <v>6655</v>
      </c>
      <c r="B4803" s="1" t="str">
        <f>HYPERLINK("https://asmlis.vasa.lt/Dashboard/Served?ServiceDateFrom=2025-11-24&amp;ServiceDateTo=2025-11-24&amp;DumpsterInvNr=13-L-425066", "13-L-425066")</f>
        <v>13-L-425066</v>
      </c>
      <c r="C4803">
        <v>0.77</v>
      </c>
      <c r="D4803" t="s">
        <v>2262</v>
      </c>
      <c r="E4803" t="s">
        <v>11</v>
      </c>
      <c r="F4803" t="s">
        <v>13</v>
      </c>
      <c r="G4803" t="s">
        <v>74</v>
      </c>
      <c r="H4803" t="s">
        <v>14</v>
      </c>
    </row>
    <row r="4804" spans="1:8" hidden="1" x14ac:dyDescent="0.25">
      <c r="A4804" t="s">
        <v>6657</v>
      </c>
      <c r="B4804" s="1" t="str">
        <f>HYPERLINK("https://asmlis.vasa.lt/Dashboard/Served?ServiceDateFrom=2025-11-24&amp;ServiceDateTo=2025-11-24&amp;DumpsterInvNr=13-L-116940", "13-L-116940")</f>
        <v>13-L-116940</v>
      </c>
      <c r="C4804">
        <v>1.1000000000000001</v>
      </c>
      <c r="D4804" t="s">
        <v>6645</v>
      </c>
      <c r="E4804" t="s">
        <v>11</v>
      </c>
      <c r="G4804" t="s">
        <v>430</v>
      </c>
      <c r="H4804" t="s">
        <v>432</v>
      </c>
    </row>
    <row r="4805" spans="1:8" hidden="1" x14ac:dyDescent="0.25">
      <c r="A4805" t="s">
        <v>6658</v>
      </c>
      <c r="B4805" s="1" t="str">
        <f>HYPERLINK("https://asmlis.vasa.lt/Dashboard/Served?ServiceDateFrom=2025-11-24&amp;ServiceDateTo=2025-11-24&amp;DumpsterInvNr=13-L-214251", "13-L-214251")</f>
        <v>13-L-214251</v>
      </c>
      <c r="C4805">
        <v>1.1000000000000001</v>
      </c>
      <c r="D4805" t="s">
        <v>6659</v>
      </c>
      <c r="E4805" t="s">
        <v>11</v>
      </c>
      <c r="F4805" t="s">
        <v>13</v>
      </c>
      <c r="G4805" t="s">
        <v>936</v>
      </c>
      <c r="H4805" t="s">
        <v>938</v>
      </c>
    </row>
    <row r="4806" spans="1:8" hidden="1" x14ac:dyDescent="0.25">
      <c r="A4806" t="s">
        <v>6660</v>
      </c>
      <c r="B4806" s="1" t="str">
        <f>HYPERLINK("https://asmlis.vasa.lt/Dashboard/Served?ServiceDateFrom=2025-11-24&amp;ServiceDateTo=2025-11-24&amp;DumpsterInvNr=13-L-105948", "13-L-105948")</f>
        <v>13-L-105948</v>
      </c>
      <c r="C4806">
        <v>5</v>
      </c>
      <c r="D4806" t="s">
        <v>6661</v>
      </c>
      <c r="E4806" t="s">
        <v>11</v>
      </c>
      <c r="F4806" t="s">
        <v>13</v>
      </c>
      <c r="G4806" t="s">
        <v>430</v>
      </c>
      <c r="H4806" t="s">
        <v>432</v>
      </c>
    </row>
    <row r="4807" spans="1:8" hidden="1" x14ac:dyDescent="0.25">
      <c r="A4807" t="s">
        <v>6660</v>
      </c>
      <c r="B4807" s="1" t="str">
        <f>HYPERLINK("https://asmlis.vasa.lt/Dashboard/Served?ServiceDateFrom=2025-11-24&amp;ServiceDateTo=2025-11-24&amp;DumpsterInvNr=13-P-506996", "13-P-506996")</f>
        <v>13-P-506996</v>
      </c>
      <c r="C4807">
        <v>0.24</v>
      </c>
      <c r="D4807" t="s">
        <v>6662</v>
      </c>
      <c r="E4807" t="s">
        <v>11</v>
      </c>
      <c r="G4807" t="s">
        <v>2178</v>
      </c>
      <c r="H4807" t="s">
        <v>432</v>
      </c>
    </row>
    <row r="4808" spans="1:8" hidden="1" x14ac:dyDescent="0.25">
      <c r="A4808" t="s">
        <v>6663</v>
      </c>
      <c r="B4808" s="1" t="str">
        <f>HYPERLINK("https://asmlis.vasa.lt/Dashboard/Served?ServiceDateFrom=2025-11-24&amp;ServiceDateTo=2025-11-24&amp;DumpsterInvNr=13-P-500640", "13-P-500640")</f>
        <v>13-P-500640</v>
      </c>
      <c r="C4808">
        <v>4</v>
      </c>
      <c r="D4808" t="s">
        <v>6565</v>
      </c>
      <c r="E4808" t="s">
        <v>11</v>
      </c>
      <c r="F4808" t="s">
        <v>13</v>
      </c>
      <c r="G4808" t="s">
        <v>2178</v>
      </c>
      <c r="H4808" t="s">
        <v>432</v>
      </c>
    </row>
    <row r="4809" spans="1:8" hidden="1" x14ac:dyDescent="0.25">
      <c r="A4809" t="s">
        <v>6664</v>
      </c>
      <c r="B4809" s="1" t="str">
        <f>HYPERLINK("https://asmlis.vasa.lt/Dashboard/Served?ServiceDateFrom=2025-11-24&amp;ServiceDateTo=2025-11-24&amp;DumpsterInvNr=13-L-144523", "13-L-144523")</f>
        <v>13-L-144523</v>
      </c>
      <c r="C4809">
        <v>0.24</v>
      </c>
      <c r="D4809" t="s">
        <v>6665</v>
      </c>
      <c r="E4809" t="s">
        <v>11</v>
      </c>
      <c r="G4809" t="s">
        <v>430</v>
      </c>
      <c r="H4809" t="s">
        <v>432</v>
      </c>
    </row>
    <row r="4810" spans="1:8" hidden="1" x14ac:dyDescent="0.25">
      <c r="A4810" t="s">
        <v>6664</v>
      </c>
      <c r="B4810" s="1" t="str">
        <f>HYPERLINK("https://asmlis.vasa.lt/Dashboard/Served?ServiceDateFrom=2025-11-24&amp;ServiceDateTo=2025-11-24&amp;DumpsterInvNr=13-L-138444", "13-L-138444")</f>
        <v>13-L-138444</v>
      </c>
      <c r="C4810">
        <v>0.24</v>
      </c>
      <c r="D4810" t="s">
        <v>6666</v>
      </c>
      <c r="E4810" t="s">
        <v>11</v>
      </c>
      <c r="G4810" t="s">
        <v>430</v>
      </c>
      <c r="H4810" t="s">
        <v>432</v>
      </c>
    </row>
    <row r="4811" spans="1:8" hidden="1" x14ac:dyDescent="0.25">
      <c r="A4811" t="s">
        <v>6667</v>
      </c>
      <c r="B4811" s="1" t="str">
        <f>HYPERLINK("https://asmlis.vasa.lt/Dashboard/Served?ServiceDateFrom=2025-11-24&amp;ServiceDateTo=2025-11-24&amp;DumpsterInvNr=13-L-317262", "13-L-317262")</f>
        <v>13-L-317262</v>
      </c>
      <c r="C4811">
        <v>1.1000000000000001</v>
      </c>
      <c r="D4811" t="s">
        <v>6668</v>
      </c>
      <c r="E4811" t="s">
        <v>11</v>
      </c>
      <c r="G4811" t="s">
        <v>9</v>
      </c>
      <c r="H4811" t="s">
        <v>14</v>
      </c>
    </row>
    <row r="4812" spans="1:8" hidden="1" x14ac:dyDescent="0.25">
      <c r="A4812" t="s">
        <v>6667</v>
      </c>
      <c r="B4812" s="1" t="str">
        <f>HYPERLINK("https://asmlis.vasa.lt/Dashboard/Served?ServiceDateFrom=2025-11-24&amp;ServiceDateTo=2025-11-24&amp;DumpsterInvNr=13-P-500641", "13-P-500641")</f>
        <v>13-P-500641</v>
      </c>
      <c r="C4812">
        <v>4</v>
      </c>
      <c r="D4812" t="s">
        <v>6565</v>
      </c>
      <c r="E4812" t="s">
        <v>11</v>
      </c>
      <c r="F4812" t="s">
        <v>13</v>
      </c>
      <c r="G4812" t="s">
        <v>2178</v>
      </c>
      <c r="H4812" t="s">
        <v>432</v>
      </c>
    </row>
    <row r="4813" spans="1:8" hidden="1" x14ac:dyDescent="0.25">
      <c r="A4813" t="s">
        <v>6669</v>
      </c>
      <c r="B4813" s="1" t="str">
        <f>HYPERLINK("https://asmlis.vasa.lt/Dashboard/Served?ServiceDateFrom=2025-11-24&amp;ServiceDateTo=2025-11-24&amp;DumpsterInvNr=13-P-412356", "13-P-412356")</f>
        <v>13-P-412356</v>
      </c>
      <c r="C4813">
        <v>0.24</v>
      </c>
      <c r="D4813" t="s">
        <v>6670</v>
      </c>
      <c r="E4813" t="s">
        <v>11</v>
      </c>
      <c r="G4813" t="s">
        <v>264</v>
      </c>
      <c r="H4813" t="s">
        <v>14</v>
      </c>
    </row>
    <row r="4814" spans="1:8" hidden="1" x14ac:dyDescent="0.25">
      <c r="A4814" t="s">
        <v>6671</v>
      </c>
      <c r="B4814" s="1" t="str">
        <f>HYPERLINK("https://asmlis.vasa.lt/Dashboard/Served?ServiceDateFrom=2025-11-24&amp;ServiceDateTo=2025-11-24&amp;DumpsterInvNr=13-P-402007", "13-P-402007")</f>
        <v>13-P-402007</v>
      </c>
      <c r="C4814">
        <v>0.24</v>
      </c>
      <c r="D4814" t="s">
        <v>6672</v>
      </c>
      <c r="E4814" t="s">
        <v>11</v>
      </c>
      <c r="G4814" t="s">
        <v>264</v>
      </c>
      <c r="H4814" t="s">
        <v>14</v>
      </c>
    </row>
    <row r="4815" spans="1:8" hidden="1" x14ac:dyDescent="0.25">
      <c r="A4815" t="s">
        <v>6673</v>
      </c>
      <c r="B4815" s="1" t="str">
        <f>HYPERLINK("https://asmlis.vasa.lt/Dashboard/Served?ServiceDateFrom=2025-11-24&amp;ServiceDateTo=2025-11-24&amp;DumpsterInvNr=13-L-149085", "13-L-149085")</f>
        <v>13-L-149085</v>
      </c>
      <c r="C4815">
        <v>0.24</v>
      </c>
      <c r="D4815" t="s">
        <v>6674</v>
      </c>
      <c r="E4815" t="s">
        <v>11</v>
      </c>
      <c r="G4815" t="s">
        <v>430</v>
      </c>
      <c r="H4815" t="s">
        <v>432</v>
      </c>
    </row>
    <row r="4816" spans="1:8" hidden="1" x14ac:dyDescent="0.25">
      <c r="A4816" t="s">
        <v>6673</v>
      </c>
      <c r="B4816" s="1" t="str">
        <f>HYPERLINK("https://asmlis.vasa.lt/Dashboard/Served?ServiceDateFrom=2025-11-24&amp;ServiceDateTo=2025-11-24&amp;DumpsterInvNr=13-P-507388", "13-P-507388")</f>
        <v>13-P-507388</v>
      </c>
      <c r="C4816">
        <v>0.24</v>
      </c>
      <c r="D4816" t="s">
        <v>6666</v>
      </c>
      <c r="E4816" t="s">
        <v>11</v>
      </c>
      <c r="G4816" t="s">
        <v>2178</v>
      </c>
      <c r="H4816" t="s">
        <v>432</v>
      </c>
    </row>
    <row r="4817" spans="1:8" hidden="1" x14ac:dyDescent="0.25">
      <c r="A4817" t="s">
        <v>6677</v>
      </c>
      <c r="B4817" s="1" t="str">
        <f>HYPERLINK("https://asmlis.vasa.lt/Dashboard/Served?ServiceDateFrom=2025-11-24&amp;ServiceDateTo=2025-11-24&amp;DumpsterInvNr=13-L-225995", "13-L-225995")</f>
        <v>13-L-225995</v>
      </c>
      <c r="C4817">
        <v>1.1000000000000001</v>
      </c>
      <c r="D4817" t="s">
        <v>835</v>
      </c>
      <c r="E4817" t="s">
        <v>11</v>
      </c>
      <c r="G4817" t="s">
        <v>936</v>
      </c>
      <c r="H4817" t="s">
        <v>938</v>
      </c>
    </row>
    <row r="4818" spans="1:8" hidden="1" x14ac:dyDescent="0.25">
      <c r="A4818" t="s">
        <v>6678</v>
      </c>
      <c r="B4818" s="1" t="str">
        <f>HYPERLINK("https://asmlis.vasa.lt/Dashboard/Served?ServiceDateFrom=2025-11-24&amp;ServiceDateTo=2025-11-24&amp;DumpsterInvNr=13-P-400563", "13-P-400563")</f>
        <v>13-P-400563</v>
      </c>
      <c r="C4818">
        <v>5</v>
      </c>
      <c r="D4818" t="s">
        <v>6679</v>
      </c>
      <c r="E4818" t="s">
        <v>11</v>
      </c>
      <c r="G4818" t="s">
        <v>264</v>
      </c>
      <c r="H4818" t="s">
        <v>14</v>
      </c>
    </row>
    <row r="4819" spans="1:8" hidden="1" x14ac:dyDescent="0.25">
      <c r="A4819" t="s">
        <v>6680</v>
      </c>
      <c r="B4819" s="1" t="str">
        <f>HYPERLINK("https://asmlis.vasa.lt/Dashboard/Served?ServiceDateFrom=2025-11-24&amp;ServiceDateTo=2025-11-24&amp;DumpsterInvNr=13-L-202061", "13-L-202061")</f>
        <v>13-L-202061</v>
      </c>
      <c r="C4819">
        <v>0.77</v>
      </c>
      <c r="D4819" t="s">
        <v>6681</v>
      </c>
      <c r="E4819" t="s">
        <v>11</v>
      </c>
      <c r="F4819" t="s">
        <v>13</v>
      </c>
      <c r="G4819" t="s">
        <v>936</v>
      </c>
      <c r="H4819" t="s">
        <v>938</v>
      </c>
    </row>
    <row r="4820" spans="1:8" hidden="1" x14ac:dyDescent="0.25">
      <c r="A4820" t="s">
        <v>6680</v>
      </c>
      <c r="B4820" s="1" t="str">
        <f>HYPERLINK("https://asmlis.vasa.lt/Dashboard/Served?ServiceDateFrom=2025-11-24&amp;ServiceDateTo=2025-11-24&amp;DumpsterInvNr=13-P-506998", "13-P-506998")</f>
        <v>13-P-506998</v>
      </c>
      <c r="C4820">
        <v>0.24</v>
      </c>
      <c r="D4820" t="s">
        <v>6682</v>
      </c>
      <c r="E4820" t="s">
        <v>11</v>
      </c>
      <c r="G4820" t="s">
        <v>2178</v>
      </c>
      <c r="H4820" t="s">
        <v>432</v>
      </c>
    </row>
    <row r="4821" spans="1:8" hidden="1" x14ac:dyDescent="0.25">
      <c r="A4821" t="s">
        <v>6683</v>
      </c>
      <c r="B4821" s="1" t="str">
        <f>HYPERLINK("https://asmlis.vasa.lt/Dashboard/Served?ServiceDateFrom=2025-11-24&amp;ServiceDateTo=2025-11-24&amp;DumpsterInvNr=13-L-218556", "13-L-218556")</f>
        <v>13-L-218556</v>
      </c>
      <c r="C4821">
        <v>0.24</v>
      </c>
      <c r="D4821" t="s">
        <v>6684</v>
      </c>
      <c r="E4821" t="s">
        <v>11</v>
      </c>
      <c r="G4821" t="s">
        <v>936</v>
      </c>
      <c r="H4821" t="s">
        <v>938</v>
      </c>
    </row>
    <row r="4822" spans="1:8" hidden="1" x14ac:dyDescent="0.25">
      <c r="A4822" t="s">
        <v>6683</v>
      </c>
      <c r="B4822" s="1" t="str">
        <f>HYPERLINK("https://asmlis.vasa.lt/Dashboard/Served?ServiceDateFrom=2025-11-24&amp;ServiceDateTo=2025-11-24&amp;DumpsterInvNr=13-P-213125", "13-P-213125")</f>
        <v>13-P-213125</v>
      </c>
      <c r="C4822">
        <v>1.1000000000000001</v>
      </c>
      <c r="D4822" t="s">
        <v>1655</v>
      </c>
      <c r="E4822" t="s">
        <v>11</v>
      </c>
      <c r="G4822" t="s">
        <v>234</v>
      </c>
      <c r="H4822" t="s">
        <v>14</v>
      </c>
    </row>
    <row r="4823" spans="1:8" hidden="1" x14ac:dyDescent="0.25">
      <c r="A4823" t="s">
        <v>6685</v>
      </c>
      <c r="B4823" s="1" t="str">
        <f>HYPERLINK("https://asmlis.vasa.lt/Dashboard/Served?ServiceDateFrom=2025-11-24&amp;ServiceDateTo=2025-11-24&amp;DumpsterInvNr=13-L-316338", "13-L-316338")</f>
        <v>13-L-316338</v>
      </c>
      <c r="C4823">
        <v>1.1000000000000001</v>
      </c>
      <c r="D4823" t="s">
        <v>6668</v>
      </c>
      <c r="E4823" t="s">
        <v>11</v>
      </c>
      <c r="G4823" t="s">
        <v>9</v>
      </c>
      <c r="H4823" t="s">
        <v>14</v>
      </c>
    </row>
    <row r="4824" spans="1:8" hidden="1" x14ac:dyDescent="0.25">
      <c r="A4824" t="s">
        <v>6686</v>
      </c>
      <c r="B4824" s="1" t="str">
        <f>HYPERLINK("https://asmlis.vasa.lt/Dashboard/Served?ServiceDateFrom=2025-11-24&amp;ServiceDateTo=2025-11-24&amp;DumpsterInvNr=13-P-408893", "13-P-408893")</f>
        <v>13-P-408893</v>
      </c>
      <c r="C4824">
        <v>0.24</v>
      </c>
      <c r="D4824" t="s">
        <v>6687</v>
      </c>
      <c r="E4824" t="s">
        <v>11</v>
      </c>
      <c r="G4824" t="s">
        <v>264</v>
      </c>
      <c r="H4824" t="s">
        <v>14</v>
      </c>
    </row>
    <row r="4825" spans="1:8" hidden="1" x14ac:dyDescent="0.25">
      <c r="A4825" t="s">
        <v>6688</v>
      </c>
      <c r="B4825" s="1" t="str">
        <f>HYPERLINK("https://asmlis.vasa.lt/Dashboard/Served?ServiceDateFrom=2025-11-24&amp;ServiceDateTo=2025-11-24&amp;DumpsterInvNr=13-L-400001", "13-L-400001")</f>
        <v>13-L-400001</v>
      </c>
      <c r="C4825">
        <v>5</v>
      </c>
      <c r="D4825" t="s">
        <v>6394</v>
      </c>
      <c r="E4825" t="s">
        <v>11</v>
      </c>
      <c r="F4825" t="s">
        <v>13</v>
      </c>
      <c r="G4825" t="s">
        <v>74</v>
      </c>
      <c r="H4825" t="s">
        <v>14</v>
      </c>
    </row>
    <row r="4826" spans="1:8" hidden="1" x14ac:dyDescent="0.25">
      <c r="A4826" t="s">
        <v>6689</v>
      </c>
      <c r="B4826" s="1" t="str">
        <f>HYPERLINK("https://asmlis.vasa.lt/Dashboard/Served?ServiceDateFrom=2025-11-24&amp;ServiceDateTo=2025-11-24&amp;DumpsterInvNr=13-P-404458", "13-P-404458")</f>
        <v>13-P-404458</v>
      </c>
      <c r="C4826">
        <v>3</v>
      </c>
      <c r="D4826" t="s">
        <v>6642</v>
      </c>
      <c r="E4826" t="s">
        <v>11</v>
      </c>
      <c r="F4826" t="s">
        <v>13</v>
      </c>
      <c r="G4826" t="s">
        <v>264</v>
      </c>
      <c r="H4826" t="s">
        <v>14</v>
      </c>
    </row>
    <row r="4827" spans="1:8" hidden="1" x14ac:dyDescent="0.25">
      <c r="A4827" t="s">
        <v>6690</v>
      </c>
      <c r="B4827" s="1" t="str">
        <f>HYPERLINK("https://asmlis.vasa.lt/Dashboard/Served?ServiceDateFrom=2025-11-24&amp;ServiceDateTo=2025-11-24&amp;DumpsterInvNr=13-L-223361", "13-L-223361")</f>
        <v>13-L-223361</v>
      </c>
      <c r="C4827">
        <v>1.1000000000000001</v>
      </c>
      <c r="D4827" t="s">
        <v>835</v>
      </c>
      <c r="E4827" t="s">
        <v>11</v>
      </c>
      <c r="G4827" t="s">
        <v>936</v>
      </c>
      <c r="H4827" t="s">
        <v>938</v>
      </c>
    </row>
    <row r="4828" spans="1:8" hidden="1" x14ac:dyDescent="0.25">
      <c r="A4828" t="s">
        <v>6691</v>
      </c>
      <c r="B4828" s="1" t="str">
        <f>HYPERLINK("https://asmlis.vasa.lt/Dashboard/Served?ServiceDateFrom=2025-11-24&amp;ServiceDateTo=2025-11-24&amp;DumpsterInvNr=13-L-422018", "13-L-422018")</f>
        <v>13-L-422018</v>
      </c>
      <c r="C4828">
        <v>5</v>
      </c>
      <c r="D4828" t="s">
        <v>6692</v>
      </c>
      <c r="E4828" t="s">
        <v>11</v>
      </c>
      <c r="F4828" t="s">
        <v>13</v>
      </c>
      <c r="G4828" t="s">
        <v>74</v>
      </c>
      <c r="H4828" t="s">
        <v>14</v>
      </c>
    </row>
    <row r="4829" spans="1:8" hidden="1" x14ac:dyDescent="0.25">
      <c r="A4829" t="s">
        <v>6693</v>
      </c>
      <c r="B4829" s="1" t="str">
        <f>HYPERLINK("https://asmlis.vasa.lt/Dashboard/Served?ServiceDateFrom=2025-11-24&amp;ServiceDateTo=2025-11-24&amp;DumpsterInvNr=13-P-116088", "13-P-116088")</f>
        <v>13-P-116088</v>
      </c>
      <c r="C4829">
        <v>1.1000000000000001</v>
      </c>
      <c r="D4829" t="s">
        <v>6694</v>
      </c>
      <c r="E4829" t="s">
        <v>11</v>
      </c>
      <c r="G4829" t="s">
        <v>1917</v>
      </c>
      <c r="H4829" t="s">
        <v>432</v>
      </c>
    </row>
    <row r="4830" spans="1:8" hidden="1" x14ac:dyDescent="0.25">
      <c r="A4830" t="s">
        <v>5118</v>
      </c>
      <c r="B4830" s="1" t="str">
        <f>HYPERLINK("https://asmlis.vasa.lt/Dashboard/Served?ServiceDateFrom=2025-11-24&amp;ServiceDateTo=2025-11-24&amp;DumpsterInvNr=13-P-211119", "13-P-211119")</f>
        <v>13-P-211119</v>
      </c>
      <c r="C4830">
        <v>0.24</v>
      </c>
      <c r="D4830" t="s">
        <v>6695</v>
      </c>
      <c r="E4830" t="s">
        <v>11</v>
      </c>
      <c r="G4830" t="s">
        <v>234</v>
      </c>
      <c r="H4830" t="s">
        <v>14</v>
      </c>
    </row>
    <row r="4831" spans="1:8" hidden="1" x14ac:dyDescent="0.25">
      <c r="A4831" t="s">
        <v>5310</v>
      </c>
      <c r="B4831" s="1" t="str">
        <f>HYPERLINK("https://asmlis.vasa.lt/Dashboard/Served?ServiceDateFrom=2025-11-24&amp;ServiceDateTo=2025-11-24&amp;DumpsterInvNr=13-L-139425", "13-L-139425")</f>
        <v>13-L-139425</v>
      </c>
      <c r="C4831">
        <v>0.24</v>
      </c>
      <c r="D4831" t="s">
        <v>6682</v>
      </c>
      <c r="E4831" t="s">
        <v>11</v>
      </c>
      <c r="G4831" t="s">
        <v>430</v>
      </c>
      <c r="H4831" t="s">
        <v>432</v>
      </c>
    </row>
    <row r="4832" spans="1:8" hidden="1" x14ac:dyDescent="0.25">
      <c r="A4832" t="s">
        <v>5310</v>
      </c>
      <c r="B4832" s="1" t="str">
        <f>HYPERLINK("https://asmlis.vasa.lt/Dashboard/Served?ServiceDateFrom=2025-11-24&amp;ServiceDateTo=2025-11-24&amp;DumpsterInvNr=13-L-113115", "13-L-113115")</f>
        <v>13-L-113115</v>
      </c>
      <c r="C4832">
        <v>0.24</v>
      </c>
      <c r="D4832" t="s">
        <v>6662</v>
      </c>
      <c r="E4832" t="s">
        <v>11</v>
      </c>
      <c r="G4832" t="s">
        <v>430</v>
      </c>
      <c r="H4832" t="s">
        <v>432</v>
      </c>
    </row>
    <row r="4833" spans="1:10" x14ac:dyDescent="0.25">
      <c r="A4833" t="s">
        <v>6696</v>
      </c>
      <c r="B4833" s="1" t="str">
        <f>HYPERLINK("https://asmlis.vasa.lt/Dashboard/Served?ServiceDateFrom=2025-11-24&amp;ServiceDateTo=2025-11-24&amp;DumpsterInvNr=13-L-149022", "13-L-149022")</f>
        <v>13-L-149022</v>
      </c>
      <c r="C4833">
        <v>0.12</v>
      </c>
      <c r="D4833" t="s">
        <v>6697</v>
      </c>
      <c r="E4833" t="s">
        <v>11</v>
      </c>
      <c r="F4833" t="s">
        <v>2556</v>
      </c>
      <c r="G4833" t="s">
        <v>1912</v>
      </c>
      <c r="H4833" t="s">
        <v>432</v>
      </c>
      <c r="J4833" t="s">
        <v>17511</v>
      </c>
    </row>
    <row r="4834" spans="1:10" hidden="1" x14ac:dyDescent="0.25">
      <c r="A4834" t="s">
        <v>6696</v>
      </c>
      <c r="B4834" s="1" t="str">
        <f>HYPERLINK("https://asmlis.vasa.lt/Dashboard/Served?ServiceDateFrom=2025-11-24&amp;ServiceDateTo=2025-11-24&amp;DumpsterInvNr=13-L-209976", "13-L-209976")</f>
        <v>13-L-209976</v>
      </c>
      <c r="C4834">
        <v>0.24</v>
      </c>
      <c r="D4834" t="s">
        <v>6698</v>
      </c>
      <c r="E4834" t="s">
        <v>11</v>
      </c>
      <c r="F4834" t="s">
        <v>1209</v>
      </c>
      <c r="G4834" t="s">
        <v>936</v>
      </c>
      <c r="H4834" t="s">
        <v>938</v>
      </c>
    </row>
    <row r="4835" spans="1:10" hidden="1" x14ac:dyDescent="0.25">
      <c r="A4835" t="s">
        <v>6699</v>
      </c>
      <c r="B4835" s="1" t="str">
        <f>HYPERLINK("https://asmlis.vasa.lt/Dashboard/Served?ServiceDateFrom=2025-11-24&amp;ServiceDateTo=2025-11-24&amp;DumpsterInvNr=13-L-221580", "13-L-221580")</f>
        <v>13-L-221580</v>
      </c>
      <c r="C4835">
        <v>1.1000000000000001</v>
      </c>
      <c r="D4835" t="s">
        <v>835</v>
      </c>
      <c r="E4835" t="s">
        <v>11</v>
      </c>
      <c r="F4835" t="s">
        <v>13</v>
      </c>
      <c r="G4835" t="s">
        <v>936</v>
      </c>
      <c r="H4835" t="s">
        <v>938</v>
      </c>
    </row>
    <row r="4836" spans="1:10" hidden="1" x14ac:dyDescent="0.25">
      <c r="A4836" t="s">
        <v>6700</v>
      </c>
      <c r="B4836" s="1" t="str">
        <f>HYPERLINK("https://asmlis.vasa.lt/Dashboard/Served?ServiceDateFrom=2025-11-24&amp;ServiceDateTo=2025-11-24&amp;DumpsterInvNr=13-P-211078", "13-P-211078")</f>
        <v>13-P-211078</v>
      </c>
      <c r="C4836">
        <v>0.24</v>
      </c>
      <c r="D4836" t="s">
        <v>6701</v>
      </c>
      <c r="E4836" t="s">
        <v>11</v>
      </c>
      <c r="G4836" t="s">
        <v>234</v>
      </c>
      <c r="H4836" t="s">
        <v>14</v>
      </c>
    </row>
    <row r="4837" spans="1:10" hidden="1" x14ac:dyDescent="0.25">
      <c r="A4837" t="s">
        <v>6702</v>
      </c>
      <c r="B4837" s="1" t="str">
        <f>HYPERLINK("https://asmlis.vasa.lt/Dashboard/Served?ServiceDateFrom=2025-11-24&amp;ServiceDateTo=2025-11-24&amp;DumpsterInvNr=13-L-420935", "13-L-420935")</f>
        <v>13-L-420935</v>
      </c>
      <c r="C4837">
        <v>5</v>
      </c>
      <c r="D4837" t="s">
        <v>6703</v>
      </c>
      <c r="E4837" t="s">
        <v>11</v>
      </c>
      <c r="F4837" t="s">
        <v>13</v>
      </c>
      <c r="G4837" t="s">
        <v>74</v>
      </c>
      <c r="H4837" t="s">
        <v>14</v>
      </c>
    </row>
    <row r="4838" spans="1:10" x14ac:dyDescent="0.25">
      <c r="A4838" t="s">
        <v>6704</v>
      </c>
      <c r="B4838" s="1" t="str">
        <f>HYPERLINK("https://asmlis.vasa.lt/Dashboard/Served?ServiceDateFrom=2025-11-24&amp;ServiceDateTo=2025-11-24&amp;DumpsterInvNr=13-L-148941", "13-L-148941")</f>
        <v>13-L-148941</v>
      </c>
      <c r="C4838">
        <v>0.12</v>
      </c>
      <c r="D4838" t="s">
        <v>6705</v>
      </c>
      <c r="E4838" t="s">
        <v>11</v>
      </c>
      <c r="F4838" t="s">
        <v>2556</v>
      </c>
      <c r="G4838" t="s">
        <v>1912</v>
      </c>
      <c r="H4838" t="s">
        <v>432</v>
      </c>
      <c r="J4838" t="s">
        <v>17511</v>
      </c>
    </row>
    <row r="4839" spans="1:10" hidden="1" x14ac:dyDescent="0.25">
      <c r="A4839" t="s">
        <v>6704</v>
      </c>
      <c r="B4839" s="1" t="str">
        <f>HYPERLINK("https://asmlis.vasa.lt/Dashboard/Served?ServiceDateFrom=2025-11-24&amp;ServiceDateTo=2025-11-24&amp;DumpsterInvNr=13-L-216173", "13-L-216173")</f>
        <v>13-L-216173</v>
      </c>
      <c r="C4839">
        <v>0.24</v>
      </c>
      <c r="D4839" t="s">
        <v>6698</v>
      </c>
      <c r="E4839" t="s">
        <v>11</v>
      </c>
      <c r="F4839" t="s">
        <v>1209</v>
      </c>
      <c r="G4839" t="s">
        <v>936</v>
      </c>
      <c r="H4839" t="s">
        <v>938</v>
      </c>
    </row>
    <row r="4840" spans="1:10" hidden="1" x14ac:dyDescent="0.25">
      <c r="A4840" t="s">
        <v>6707</v>
      </c>
      <c r="B4840" s="1" t="str">
        <f>HYPERLINK("https://asmlis.vasa.lt/Dashboard/Served?ServiceDateFrom=2025-11-24&amp;ServiceDateTo=2025-11-24&amp;DumpsterInvNr=13-P-211166", "13-P-211166")</f>
        <v>13-P-211166</v>
      </c>
      <c r="C4840">
        <v>0.24</v>
      </c>
      <c r="D4840" t="s">
        <v>6708</v>
      </c>
      <c r="E4840" t="s">
        <v>11</v>
      </c>
      <c r="F4840" t="s">
        <v>1209</v>
      </c>
      <c r="G4840" t="s">
        <v>234</v>
      </c>
      <c r="H4840" t="s">
        <v>14</v>
      </c>
    </row>
    <row r="4841" spans="1:10" hidden="1" x14ac:dyDescent="0.25">
      <c r="A4841" t="s">
        <v>5175</v>
      </c>
      <c r="B4841" s="1" t="str">
        <f>HYPERLINK("https://asmlis.vasa.lt/Dashboard/Served?ServiceDateFrom=2025-11-24&amp;ServiceDateTo=2025-11-24&amp;DumpsterInvNr=13-L-113043", "13-L-113043")</f>
        <v>13-L-113043</v>
      </c>
      <c r="C4841">
        <v>0.24</v>
      </c>
      <c r="D4841" t="s">
        <v>6710</v>
      </c>
      <c r="E4841" t="s">
        <v>11</v>
      </c>
      <c r="G4841" t="s">
        <v>430</v>
      </c>
      <c r="H4841" t="s">
        <v>432</v>
      </c>
    </row>
    <row r="4842" spans="1:10" hidden="1" x14ac:dyDescent="0.25">
      <c r="A4842" t="s">
        <v>5175</v>
      </c>
      <c r="B4842" s="1" t="str">
        <f>HYPERLINK("https://asmlis.vasa.lt/Dashboard/Served?ServiceDateFrom=2025-11-24&amp;ServiceDateTo=2025-11-24&amp;DumpsterInvNr=13-P-502253", "13-P-502253")</f>
        <v>13-P-502253</v>
      </c>
      <c r="C4842">
        <v>0.24</v>
      </c>
      <c r="D4842" t="s">
        <v>6665</v>
      </c>
      <c r="E4842" t="s">
        <v>11</v>
      </c>
      <c r="G4842" t="s">
        <v>2178</v>
      </c>
      <c r="H4842" t="s">
        <v>432</v>
      </c>
    </row>
    <row r="4843" spans="1:10" hidden="1" x14ac:dyDescent="0.25">
      <c r="A4843" t="s">
        <v>6386</v>
      </c>
      <c r="B4843" s="1" t="str">
        <f>HYPERLINK("https://asmlis.vasa.lt/Dashboard/Served?ServiceDateFrom=2025-11-24&amp;ServiceDateTo=2025-11-24&amp;DumpsterInvNr=13-L-305619", "13-L-305619")</f>
        <v>13-L-305619</v>
      </c>
      <c r="C4843">
        <v>1.1000000000000001</v>
      </c>
      <c r="D4843" t="s">
        <v>1192</v>
      </c>
      <c r="E4843" t="s">
        <v>11</v>
      </c>
      <c r="F4843" t="s">
        <v>13</v>
      </c>
      <c r="G4843" t="s">
        <v>9</v>
      </c>
      <c r="H4843" t="s">
        <v>14</v>
      </c>
    </row>
    <row r="4844" spans="1:10" hidden="1" x14ac:dyDescent="0.25">
      <c r="A4844" t="s">
        <v>6711</v>
      </c>
      <c r="B4844" s="1" t="str">
        <f>HYPERLINK("https://asmlis.vasa.lt/Dashboard/Served?ServiceDateFrom=2025-11-24&amp;ServiceDateTo=2025-11-24&amp;DumpsterInvNr=13-P-112276", "13-P-112276")</f>
        <v>13-P-112276</v>
      </c>
      <c r="C4844">
        <v>0.24</v>
      </c>
      <c r="D4844" t="s">
        <v>3055</v>
      </c>
      <c r="E4844" t="s">
        <v>11</v>
      </c>
      <c r="F4844" t="s">
        <v>1209</v>
      </c>
      <c r="G4844" t="s">
        <v>1917</v>
      </c>
      <c r="H4844" t="s">
        <v>432</v>
      </c>
    </row>
    <row r="4845" spans="1:10" hidden="1" x14ac:dyDescent="0.25">
      <c r="A4845" t="s">
        <v>6711</v>
      </c>
      <c r="B4845" s="1" t="str">
        <f>HYPERLINK("https://asmlis.vasa.lt/Dashboard/Served?ServiceDateFrom=2025-11-24&amp;ServiceDateTo=2025-11-24&amp;DumpsterInvNr=13-P-506988", "13-P-506988")</f>
        <v>13-P-506988</v>
      </c>
      <c r="C4845">
        <v>0.24</v>
      </c>
      <c r="D4845" t="s">
        <v>6710</v>
      </c>
      <c r="E4845" t="s">
        <v>11</v>
      </c>
      <c r="G4845" t="s">
        <v>2178</v>
      </c>
      <c r="H4845" t="s">
        <v>432</v>
      </c>
    </row>
    <row r="4846" spans="1:10" hidden="1" x14ac:dyDescent="0.25">
      <c r="A4846" t="s">
        <v>6706</v>
      </c>
      <c r="B4846" s="1" t="str">
        <f>HYPERLINK("https://asmlis.vasa.lt/Dashboard/Served?ServiceDateFrom=2025-11-24&amp;ServiceDateTo=2025-11-24&amp;DumpsterInvNr=13-L-213865", "13-L-213865")</f>
        <v>13-L-213865</v>
      </c>
      <c r="C4846">
        <v>5</v>
      </c>
      <c r="D4846" t="s">
        <v>6050</v>
      </c>
      <c r="E4846" t="s">
        <v>11</v>
      </c>
      <c r="G4846" t="s">
        <v>936</v>
      </c>
      <c r="H4846" t="s">
        <v>938</v>
      </c>
    </row>
    <row r="4847" spans="1:10" hidden="1" x14ac:dyDescent="0.25">
      <c r="A4847" t="s">
        <v>6712</v>
      </c>
      <c r="B4847" s="1" t="str">
        <f>HYPERLINK("https://asmlis.vasa.lt/Dashboard/Served?ServiceDateFrom=2025-11-24&amp;ServiceDateTo=2025-11-24&amp;DumpsterInvNr=13-P-301899", "13-P-301899")</f>
        <v>13-P-301899</v>
      </c>
      <c r="C4847">
        <v>1.1000000000000001</v>
      </c>
      <c r="D4847" t="s">
        <v>557</v>
      </c>
      <c r="E4847" t="s">
        <v>11</v>
      </c>
      <c r="G4847" t="s">
        <v>412</v>
      </c>
      <c r="H4847" t="s">
        <v>14</v>
      </c>
    </row>
    <row r="4848" spans="1:10" hidden="1" x14ac:dyDescent="0.25">
      <c r="A4848" t="s">
        <v>6713</v>
      </c>
      <c r="B4848" s="1" t="str">
        <f>HYPERLINK("https://asmlis.vasa.lt/Dashboard/Served?ServiceDateFrom=2025-11-24&amp;ServiceDateTo=2025-11-24&amp;DumpsterInvNr=13-L-224795", "13-L-224795")</f>
        <v>13-L-224795</v>
      </c>
      <c r="C4848">
        <v>0.12</v>
      </c>
      <c r="D4848" t="s">
        <v>6714</v>
      </c>
      <c r="E4848" t="s">
        <v>11</v>
      </c>
      <c r="G4848" t="s">
        <v>936</v>
      </c>
      <c r="H4848" t="s">
        <v>938</v>
      </c>
    </row>
    <row r="4849" spans="1:8" hidden="1" x14ac:dyDescent="0.25">
      <c r="A4849" t="s">
        <v>6715</v>
      </c>
      <c r="B4849" s="1" t="str">
        <f>HYPERLINK("https://asmlis.vasa.lt/Dashboard/Served?ServiceDateFrom=2025-11-24&amp;ServiceDateTo=2025-11-24&amp;DumpsterInvNr=13-P-402091", "13-P-402091")</f>
        <v>13-P-402091</v>
      </c>
      <c r="C4849">
        <v>0.24</v>
      </c>
      <c r="D4849" t="s">
        <v>6716</v>
      </c>
      <c r="E4849" t="s">
        <v>11</v>
      </c>
      <c r="G4849" t="s">
        <v>264</v>
      </c>
      <c r="H4849" t="s">
        <v>14</v>
      </c>
    </row>
    <row r="4850" spans="1:8" hidden="1" x14ac:dyDescent="0.25">
      <c r="A4850" t="s">
        <v>6717</v>
      </c>
      <c r="B4850" s="1" t="str">
        <f>HYPERLINK("https://asmlis.vasa.lt/Dashboard/Served?ServiceDateFrom=2025-11-24&amp;ServiceDateTo=2025-11-24&amp;DumpsterInvNr=13-L-317161", "13-L-317161")</f>
        <v>13-L-317161</v>
      </c>
      <c r="C4850">
        <v>1.1000000000000001</v>
      </c>
      <c r="D4850" t="s">
        <v>1192</v>
      </c>
      <c r="E4850" t="s">
        <v>11</v>
      </c>
      <c r="G4850" t="s">
        <v>9</v>
      </c>
      <c r="H4850" t="s">
        <v>14</v>
      </c>
    </row>
    <row r="4851" spans="1:8" hidden="1" x14ac:dyDescent="0.25">
      <c r="A4851" t="s">
        <v>6718</v>
      </c>
      <c r="B4851" s="1" t="str">
        <f>HYPERLINK("https://asmlis.vasa.lt/Dashboard/Served?ServiceDateFrom=2025-11-24&amp;ServiceDateTo=2025-11-24&amp;DumpsterInvNr=13-L-422578", "13-L-422578")</f>
        <v>13-L-422578</v>
      </c>
      <c r="C4851">
        <v>0.77</v>
      </c>
      <c r="D4851" t="s">
        <v>2152</v>
      </c>
      <c r="E4851" t="s">
        <v>11</v>
      </c>
      <c r="G4851" t="s">
        <v>74</v>
      </c>
      <c r="H4851" t="s">
        <v>14</v>
      </c>
    </row>
    <row r="4852" spans="1:8" hidden="1" x14ac:dyDescent="0.25">
      <c r="A4852" t="s">
        <v>6719</v>
      </c>
      <c r="B4852" s="1" t="str">
        <f>HYPERLINK("https://asmlis.vasa.lt/Dashboard/Served?ServiceDateFrom=2025-11-24&amp;ServiceDateTo=2025-11-24&amp;DumpsterInvNr=13-L-228048", "13-L-228048")</f>
        <v>13-L-228048</v>
      </c>
      <c r="C4852">
        <v>0.24</v>
      </c>
      <c r="D4852" t="s">
        <v>5559</v>
      </c>
      <c r="E4852" t="s">
        <v>11</v>
      </c>
      <c r="G4852" t="s">
        <v>936</v>
      </c>
      <c r="H4852" t="s">
        <v>938</v>
      </c>
    </row>
    <row r="4853" spans="1:8" hidden="1" x14ac:dyDescent="0.25">
      <c r="A4853" t="s">
        <v>6720</v>
      </c>
      <c r="B4853" s="1" t="str">
        <f>HYPERLINK("https://asmlis.vasa.lt/Dashboard/Served?ServiceDateFrom=2025-11-24&amp;ServiceDateTo=2025-11-24&amp;DumpsterInvNr=13-P-211120", "13-P-211120")</f>
        <v>13-P-211120</v>
      </c>
      <c r="C4853">
        <v>0.24</v>
      </c>
      <c r="D4853" t="s">
        <v>6721</v>
      </c>
      <c r="E4853" t="s">
        <v>11</v>
      </c>
      <c r="G4853" t="s">
        <v>234</v>
      </c>
      <c r="H4853" t="s">
        <v>14</v>
      </c>
    </row>
    <row r="4854" spans="1:8" hidden="1" x14ac:dyDescent="0.25">
      <c r="A4854" t="s">
        <v>6722</v>
      </c>
      <c r="B4854" s="1" t="str">
        <f>HYPERLINK("https://asmlis.vasa.lt/Dashboard/Served?ServiceDateFrom=2025-11-24&amp;ServiceDateTo=2025-11-24&amp;DumpsterInvNr=13-P-402050", "13-P-402050")</f>
        <v>13-P-402050</v>
      </c>
      <c r="C4854">
        <v>0.24</v>
      </c>
      <c r="D4854" t="s">
        <v>6723</v>
      </c>
      <c r="E4854" t="s">
        <v>11</v>
      </c>
      <c r="G4854" t="s">
        <v>264</v>
      </c>
      <c r="H4854" t="s">
        <v>14</v>
      </c>
    </row>
    <row r="4855" spans="1:8" hidden="1" x14ac:dyDescent="0.25">
      <c r="A4855" t="s">
        <v>6724</v>
      </c>
      <c r="B4855" s="1" t="str">
        <f>HYPERLINK("https://asmlis.vasa.lt/Dashboard/Served?ServiceDateFrom=2025-11-24&amp;ServiceDateTo=2025-11-24&amp;DumpsterInvNr=13-P-416584", "13-P-416584")</f>
        <v>13-P-416584</v>
      </c>
      <c r="C4855">
        <v>0.77</v>
      </c>
      <c r="D4855" t="s">
        <v>1856</v>
      </c>
      <c r="E4855" t="s">
        <v>11</v>
      </c>
      <c r="G4855" t="s">
        <v>264</v>
      </c>
      <c r="H4855" t="s">
        <v>14</v>
      </c>
    </row>
    <row r="4856" spans="1:8" hidden="1" x14ac:dyDescent="0.25">
      <c r="A4856" t="s">
        <v>6725</v>
      </c>
      <c r="B4856" s="1" t="str">
        <f>HYPERLINK("https://asmlis.vasa.lt/Dashboard/Served?ServiceDateFrom=2025-11-24&amp;ServiceDateTo=2025-11-24&amp;DumpsterInvNr=13-P-301618", "13-P-301618")</f>
        <v>13-P-301618</v>
      </c>
      <c r="C4856">
        <v>1.1000000000000001</v>
      </c>
      <c r="D4856" t="s">
        <v>557</v>
      </c>
      <c r="E4856" t="s">
        <v>11</v>
      </c>
      <c r="F4856" t="s">
        <v>13</v>
      </c>
      <c r="G4856" t="s">
        <v>412</v>
      </c>
      <c r="H4856" t="s">
        <v>14</v>
      </c>
    </row>
    <row r="4857" spans="1:8" hidden="1" x14ac:dyDescent="0.25">
      <c r="A4857" t="s">
        <v>6726</v>
      </c>
      <c r="B4857" s="1" t="str">
        <f>HYPERLINK("https://asmlis.vasa.lt/Dashboard/Served?ServiceDateFrom=2025-11-24&amp;ServiceDateTo=2025-11-24&amp;DumpsterInvNr=13-L-302946", "13-L-302946")</f>
        <v>13-L-302946</v>
      </c>
      <c r="C4857">
        <v>0.77</v>
      </c>
      <c r="D4857" t="s">
        <v>1192</v>
      </c>
      <c r="E4857" t="s">
        <v>11</v>
      </c>
      <c r="G4857" t="s">
        <v>9</v>
      </c>
      <c r="H4857" t="s">
        <v>14</v>
      </c>
    </row>
    <row r="4858" spans="1:8" hidden="1" x14ac:dyDescent="0.25">
      <c r="A4858" t="s">
        <v>6726</v>
      </c>
      <c r="B4858" s="1" t="str">
        <f>HYPERLINK("https://asmlis.vasa.lt/Dashboard/Served?ServiceDateFrom=2025-11-24&amp;ServiceDateTo=2025-11-24&amp;DumpsterInvNr=13-L-419166", "13-L-419166")</f>
        <v>13-L-419166</v>
      </c>
      <c r="C4858">
        <v>0.77</v>
      </c>
      <c r="D4858" t="s">
        <v>2152</v>
      </c>
      <c r="E4858" t="s">
        <v>11</v>
      </c>
      <c r="F4858" t="s">
        <v>13</v>
      </c>
      <c r="G4858" t="s">
        <v>74</v>
      </c>
      <c r="H4858" t="s">
        <v>14</v>
      </c>
    </row>
    <row r="4859" spans="1:8" hidden="1" x14ac:dyDescent="0.25">
      <c r="A4859" t="s">
        <v>6727</v>
      </c>
      <c r="B4859" s="1" t="str">
        <f>HYPERLINK("https://asmlis.vasa.lt/Dashboard/Served?ServiceDateFrom=2025-11-24&amp;ServiceDateTo=2025-11-24&amp;DumpsterInvNr=13-P-301666", "13-P-301666")</f>
        <v>13-P-301666</v>
      </c>
      <c r="C4859">
        <v>1.1000000000000001</v>
      </c>
      <c r="D4859" t="s">
        <v>557</v>
      </c>
      <c r="E4859" t="s">
        <v>11</v>
      </c>
      <c r="F4859" t="s">
        <v>13</v>
      </c>
      <c r="G4859" t="s">
        <v>412</v>
      </c>
      <c r="H4859" t="s">
        <v>14</v>
      </c>
    </row>
    <row r="4860" spans="1:8" hidden="1" x14ac:dyDescent="0.25">
      <c r="A4860" t="s">
        <v>6728</v>
      </c>
      <c r="B4860" s="1" t="str">
        <f>HYPERLINK("https://asmlis.vasa.lt/Dashboard/Served?ServiceDateFrom=2025-11-24&amp;ServiceDateTo=2025-11-24&amp;DumpsterInvNr=13-L-134231", "13-L-134231")</f>
        <v>13-L-134231</v>
      </c>
      <c r="C4860">
        <v>5</v>
      </c>
      <c r="D4860" t="s">
        <v>6729</v>
      </c>
      <c r="E4860" t="s">
        <v>11</v>
      </c>
      <c r="F4860" t="s">
        <v>13</v>
      </c>
      <c r="G4860" t="s">
        <v>430</v>
      </c>
      <c r="H4860" t="s">
        <v>432</v>
      </c>
    </row>
    <row r="4861" spans="1:8" hidden="1" x14ac:dyDescent="0.25">
      <c r="A4861" t="s">
        <v>6728</v>
      </c>
      <c r="B4861" s="1" t="str">
        <f>HYPERLINK("https://asmlis.vasa.lt/Dashboard/Served?ServiceDateFrom=2025-11-24&amp;ServiceDateTo=2025-11-24&amp;DumpsterInvNr=13-P-301675", "13-P-301675")</f>
        <v>13-P-301675</v>
      </c>
      <c r="C4861">
        <v>1.1000000000000001</v>
      </c>
      <c r="D4861" t="s">
        <v>557</v>
      </c>
      <c r="E4861" t="s">
        <v>11</v>
      </c>
      <c r="F4861" t="s">
        <v>13</v>
      </c>
      <c r="G4861" t="s">
        <v>412</v>
      </c>
      <c r="H4861" t="s">
        <v>14</v>
      </c>
    </row>
    <row r="4862" spans="1:8" hidden="1" x14ac:dyDescent="0.25">
      <c r="A4862" t="s">
        <v>6730</v>
      </c>
      <c r="B4862" s="1" t="str">
        <f>HYPERLINK("https://asmlis.vasa.lt/Dashboard/Served?ServiceDateFrom=2025-11-24&amp;ServiceDateTo=2025-11-24&amp;DumpsterInvNr=13-P-209768", "13-P-209768")</f>
        <v>13-P-209768</v>
      </c>
      <c r="C4862">
        <v>0.24</v>
      </c>
      <c r="D4862" t="s">
        <v>6731</v>
      </c>
      <c r="E4862" t="s">
        <v>11</v>
      </c>
      <c r="G4862" t="s">
        <v>234</v>
      </c>
      <c r="H4862" t="s">
        <v>14</v>
      </c>
    </row>
    <row r="4863" spans="1:8" hidden="1" x14ac:dyDescent="0.25">
      <c r="A4863" t="s">
        <v>6732</v>
      </c>
      <c r="B4863" s="1" t="str">
        <f>HYPERLINK("https://asmlis.vasa.lt/Dashboard/Served?ServiceDateFrom=2025-11-24&amp;ServiceDateTo=2025-11-24&amp;DumpsterInvNr=13-L-423099", "13-L-423099")</f>
        <v>13-L-423099</v>
      </c>
      <c r="C4863">
        <v>5</v>
      </c>
      <c r="D4863" t="s">
        <v>6733</v>
      </c>
      <c r="E4863" t="s">
        <v>11</v>
      </c>
      <c r="G4863" t="s">
        <v>74</v>
      </c>
      <c r="H4863" t="s">
        <v>14</v>
      </c>
    </row>
    <row r="4864" spans="1:8" hidden="1" x14ac:dyDescent="0.25">
      <c r="A4864" t="s">
        <v>6732</v>
      </c>
      <c r="B4864" s="1" t="str">
        <f>HYPERLINK("https://asmlis.vasa.lt/Dashboard/Served?ServiceDateFrom=2025-11-24&amp;ServiceDateTo=2025-11-24&amp;DumpsterInvNr=13-M-200240", "13-M-200240")</f>
        <v>13-M-200240</v>
      </c>
      <c r="C4864">
        <v>0.12</v>
      </c>
      <c r="D4864" t="s">
        <v>6734</v>
      </c>
      <c r="E4864" t="s">
        <v>11</v>
      </c>
      <c r="F4864" t="s">
        <v>1209</v>
      </c>
      <c r="G4864" t="s">
        <v>4876</v>
      </c>
      <c r="H4864" t="s">
        <v>938</v>
      </c>
    </row>
    <row r="4865" spans="1:8" hidden="1" x14ac:dyDescent="0.25">
      <c r="A4865" t="s">
        <v>6735</v>
      </c>
      <c r="B4865" s="1" t="str">
        <f>HYPERLINK("https://asmlis.vasa.lt/Dashboard/Served?ServiceDateFrom=2025-11-24&amp;ServiceDateTo=2025-11-24&amp;DumpsterInvNr=13-P-301663", "13-P-301663")</f>
        <v>13-P-301663</v>
      </c>
      <c r="C4865">
        <v>1.1000000000000001</v>
      </c>
      <c r="D4865" t="s">
        <v>557</v>
      </c>
      <c r="E4865" t="s">
        <v>11</v>
      </c>
      <c r="F4865" t="s">
        <v>13</v>
      </c>
      <c r="G4865" t="s">
        <v>412</v>
      </c>
      <c r="H4865" t="s">
        <v>14</v>
      </c>
    </row>
    <row r="4866" spans="1:8" hidden="1" x14ac:dyDescent="0.25">
      <c r="A4866" t="s">
        <v>6736</v>
      </c>
      <c r="B4866" s="1" t="str">
        <f>HYPERLINK("https://asmlis.vasa.lt/Dashboard/Served?ServiceDateFrom=2025-11-24&amp;ServiceDateTo=2025-11-24&amp;DumpsterInvNr=13-M-200224", "13-M-200224")</f>
        <v>13-M-200224</v>
      </c>
      <c r="C4866">
        <v>0.12</v>
      </c>
      <c r="D4866" t="s">
        <v>6737</v>
      </c>
      <c r="E4866" t="s">
        <v>11</v>
      </c>
      <c r="F4866" t="s">
        <v>1209</v>
      </c>
      <c r="G4866" t="s">
        <v>4876</v>
      </c>
      <c r="H4866" t="s">
        <v>938</v>
      </c>
    </row>
    <row r="4867" spans="1:8" hidden="1" x14ac:dyDescent="0.25">
      <c r="A4867" t="s">
        <v>6738</v>
      </c>
      <c r="B4867" s="1" t="str">
        <f>HYPERLINK("https://asmlis.vasa.lt/Dashboard/Served?ServiceDateFrom=2025-11-24&amp;ServiceDateTo=2025-11-24&amp;DumpsterInvNr=13-M-200244", "13-M-200244")</f>
        <v>13-M-200244</v>
      </c>
      <c r="C4867">
        <v>0.12</v>
      </c>
      <c r="D4867" t="s">
        <v>6739</v>
      </c>
      <c r="E4867" t="s">
        <v>11</v>
      </c>
      <c r="F4867" t="s">
        <v>1209</v>
      </c>
      <c r="G4867" t="s">
        <v>4876</v>
      </c>
      <c r="H4867" t="s">
        <v>938</v>
      </c>
    </row>
    <row r="4868" spans="1:8" hidden="1" x14ac:dyDescent="0.25">
      <c r="A4868" t="s">
        <v>6741</v>
      </c>
      <c r="B4868" s="1" t="str">
        <f>HYPERLINK("https://asmlis.vasa.lt/Dashboard/Served?ServiceDateFrom=2025-11-24&amp;ServiceDateTo=2025-11-24&amp;DumpsterInvNr=13-L-223052", "13-L-223052")</f>
        <v>13-L-223052</v>
      </c>
      <c r="C4868">
        <v>0.66</v>
      </c>
      <c r="D4868" t="s">
        <v>6681</v>
      </c>
      <c r="E4868" t="s">
        <v>11</v>
      </c>
      <c r="G4868" t="s">
        <v>936</v>
      </c>
      <c r="H4868" t="s">
        <v>938</v>
      </c>
    </row>
    <row r="4869" spans="1:8" hidden="1" x14ac:dyDescent="0.25">
      <c r="A4869" t="s">
        <v>6741</v>
      </c>
      <c r="B4869" s="1" t="str">
        <f>HYPERLINK("https://asmlis.vasa.lt/Dashboard/Served?ServiceDateFrom=2025-11-24&amp;ServiceDateTo=2025-11-24&amp;DumpsterInvNr=13-L-216174", "13-L-216174")</f>
        <v>13-L-216174</v>
      </c>
      <c r="C4869">
        <v>0.24</v>
      </c>
      <c r="D4869" t="s">
        <v>6742</v>
      </c>
      <c r="E4869" t="s">
        <v>11</v>
      </c>
      <c r="G4869" t="s">
        <v>936</v>
      </c>
      <c r="H4869" t="s">
        <v>938</v>
      </c>
    </row>
    <row r="4870" spans="1:8" hidden="1" x14ac:dyDescent="0.25">
      <c r="A4870" t="s">
        <v>6743</v>
      </c>
      <c r="B4870" s="1" t="str">
        <f>HYPERLINK("https://asmlis.vasa.lt/Dashboard/Served?ServiceDateFrom=2025-11-24&amp;ServiceDateTo=2025-11-24&amp;DumpsterInvNr=13-P-302123", "13-P-302123")</f>
        <v>13-P-302123</v>
      </c>
      <c r="C4870">
        <v>1.1000000000000001</v>
      </c>
      <c r="D4870" t="s">
        <v>6744</v>
      </c>
      <c r="E4870" t="s">
        <v>11</v>
      </c>
      <c r="F4870" t="s">
        <v>13</v>
      </c>
      <c r="G4870" t="s">
        <v>412</v>
      </c>
      <c r="H4870" t="s">
        <v>14</v>
      </c>
    </row>
    <row r="4871" spans="1:8" hidden="1" x14ac:dyDescent="0.25">
      <c r="A4871" t="s">
        <v>6745</v>
      </c>
      <c r="B4871" s="1" t="str">
        <f>HYPERLINK("https://asmlis.vasa.lt/Dashboard/Served?ServiceDateFrom=2025-11-24&amp;ServiceDateTo=2025-11-24&amp;DumpsterInvNr=13-M-200212", "13-M-200212")</f>
        <v>13-M-200212</v>
      </c>
      <c r="C4871">
        <v>0.12</v>
      </c>
      <c r="D4871" t="s">
        <v>6746</v>
      </c>
      <c r="E4871" t="s">
        <v>11</v>
      </c>
      <c r="F4871" t="s">
        <v>1209</v>
      </c>
      <c r="G4871" t="s">
        <v>4876</v>
      </c>
      <c r="H4871" t="s">
        <v>938</v>
      </c>
    </row>
    <row r="4872" spans="1:8" hidden="1" x14ac:dyDescent="0.25">
      <c r="A4872" t="s">
        <v>6747</v>
      </c>
      <c r="B4872" s="1" t="str">
        <f>HYPERLINK("https://asmlis.vasa.lt/Dashboard/Served?ServiceDateFrom=2025-11-24&amp;ServiceDateTo=2025-11-24&amp;DumpsterInvNr=13-L-213075", "13-L-213075")</f>
        <v>13-L-213075</v>
      </c>
      <c r="C4872">
        <v>0.12</v>
      </c>
      <c r="D4872" t="s">
        <v>6748</v>
      </c>
      <c r="E4872" t="s">
        <v>11</v>
      </c>
      <c r="F4872" t="s">
        <v>1209</v>
      </c>
      <c r="G4872" t="s">
        <v>936</v>
      </c>
      <c r="H4872" t="s">
        <v>938</v>
      </c>
    </row>
    <row r="4873" spans="1:8" hidden="1" x14ac:dyDescent="0.25">
      <c r="A4873" t="s">
        <v>6747</v>
      </c>
      <c r="B4873" s="1" t="str">
        <f>HYPERLINK("https://asmlis.vasa.lt/Dashboard/Served?ServiceDateFrom=2025-11-24&amp;ServiceDateTo=2025-11-24&amp;DumpsterInvNr=13-P-302122", "13-P-302122")</f>
        <v>13-P-302122</v>
      </c>
      <c r="C4873">
        <v>1.1000000000000001</v>
      </c>
      <c r="D4873" t="s">
        <v>6744</v>
      </c>
      <c r="E4873" t="s">
        <v>11</v>
      </c>
      <c r="F4873" t="s">
        <v>13</v>
      </c>
      <c r="G4873" t="s">
        <v>412</v>
      </c>
      <c r="H4873" t="s">
        <v>14</v>
      </c>
    </row>
    <row r="4874" spans="1:8" hidden="1" x14ac:dyDescent="0.25">
      <c r="A4874" t="s">
        <v>6749</v>
      </c>
      <c r="B4874" s="1" t="str">
        <f>HYPERLINK("https://asmlis.vasa.lt/Dashboard/Served?ServiceDateFrom=2025-11-24&amp;ServiceDateTo=2025-11-24&amp;DumpsterInvNr=13-P-408782", "13-P-408782")</f>
        <v>13-P-408782</v>
      </c>
      <c r="C4874">
        <v>0.24</v>
      </c>
      <c r="D4874" t="s">
        <v>6750</v>
      </c>
      <c r="E4874" t="s">
        <v>11</v>
      </c>
      <c r="G4874" t="s">
        <v>264</v>
      </c>
      <c r="H4874" t="s">
        <v>14</v>
      </c>
    </row>
    <row r="4875" spans="1:8" hidden="1" x14ac:dyDescent="0.25">
      <c r="A4875" t="s">
        <v>6749</v>
      </c>
      <c r="B4875" s="1" t="str">
        <f>HYPERLINK("https://asmlis.vasa.lt/Dashboard/Served?ServiceDateFrom=2025-11-24&amp;ServiceDateTo=2025-11-24&amp;DumpsterInvNr=13-P-300366", "13-P-300366")</f>
        <v>13-P-300366</v>
      </c>
      <c r="C4875">
        <v>1.1000000000000001</v>
      </c>
      <c r="D4875" t="s">
        <v>6744</v>
      </c>
      <c r="E4875" t="s">
        <v>11</v>
      </c>
      <c r="F4875" t="s">
        <v>13</v>
      </c>
      <c r="G4875" t="s">
        <v>412</v>
      </c>
      <c r="H4875" t="s">
        <v>14</v>
      </c>
    </row>
    <row r="4876" spans="1:8" hidden="1" x14ac:dyDescent="0.25">
      <c r="A4876" t="s">
        <v>6751</v>
      </c>
      <c r="B4876" s="1" t="str">
        <f>HYPERLINK("https://asmlis.vasa.lt/Dashboard/Served?ServiceDateFrom=2025-11-24&amp;ServiceDateTo=2025-11-24&amp;DumpsterInvNr=13-M-205758", "13-M-205758")</f>
        <v>13-M-205758</v>
      </c>
      <c r="C4876">
        <v>0.12</v>
      </c>
      <c r="D4876" t="s">
        <v>6752</v>
      </c>
      <c r="E4876" t="s">
        <v>11</v>
      </c>
      <c r="F4876" t="s">
        <v>1209</v>
      </c>
      <c r="G4876" t="s">
        <v>4876</v>
      </c>
      <c r="H4876" t="s">
        <v>938</v>
      </c>
    </row>
    <row r="4877" spans="1:8" hidden="1" x14ac:dyDescent="0.25">
      <c r="A4877" t="s">
        <v>6753</v>
      </c>
      <c r="B4877" s="1" t="str">
        <f>HYPERLINK("https://asmlis.vasa.lt/Dashboard/Served?ServiceDateFrom=2025-11-24&amp;ServiceDateTo=2025-11-24&amp;DumpsterInvNr=13-L-302949", "13-L-302949")</f>
        <v>13-L-302949</v>
      </c>
      <c r="C4877">
        <v>0.77</v>
      </c>
      <c r="D4877" t="s">
        <v>1192</v>
      </c>
      <c r="E4877" t="s">
        <v>11</v>
      </c>
      <c r="G4877" t="s">
        <v>9</v>
      </c>
      <c r="H4877" t="s">
        <v>14</v>
      </c>
    </row>
    <row r="4878" spans="1:8" hidden="1" x14ac:dyDescent="0.25">
      <c r="A4878" t="s">
        <v>6754</v>
      </c>
      <c r="B4878" s="1" t="str">
        <f>HYPERLINK("https://asmlis.vasa.lt/Dashboard/Served?ServiceDateFrom=2025-11-24&amp;ServiceDateTo=2025-11-24&amp;DumpsterInvNr=13-L-136410", "13-L-136410")</f>
        <v>13-L-136410</v>
      </c>
      <c r="C4878">
        <v>5</v>
      </c>
      <c r="D4878" t="s">
        <v>6755</v>
      </c>
      <c r="E4878" t="s">
        <v>11</v>
      </c>
      <c r="F4878" t="s">
        <v>13</v>
      </c>
      <c r="G4878" t="s">
        <v>430</v>
      </c>
      <c r="H4878" t="s">
        <v>432</v>
      </c>
    </row>
    <row r="4879" spans="1:8" hidden="1" x14ac:dyDescent="0.25">
      <c r="A4879" t="s">
        <v>6756</v>
      </c>
      <c r="B4879" s="1" t="str">
        <f>HYPERLINK("https://asmlis.vasa.lt/Dashboard/Served?ServiceDateFrom=2025-11-24&amp;ServiceDateTo=2025-11-24&amp;DumpsterInvNr=13-P-402170", "13-P-402170")</f>
        <v>13-P-402170</v>
      </c>
      <c r="C4879">
        <v>0.24</v>
      </c>
      <c r="D4879" t="s">
        <v>6757</v>
      </c>
      <c r="E4879" t="s">
        <v>11</v>
      </c>
      <c r="G4879" t="s">
        <v>264</v>
      </c>
      <c r="H4879" t="s">
        <v>14</v>
      </c>
    </row>
    <row r="4880" spans="1:8" hidden="1" x14ac:dyDescent="0.25">
      <c r="A4880" t="s">
        <v>6758</v>
      </c>
      <c r="B4880" s="1" t="str">
        <f>HYPERLINK("https://asmlis.vasa.lt/Dashboard/Served?ServiceDateFrom=2025-11-24&amp;ServiceDateTo=2025-11-24&amp;DumpsterInvNr=13-L-221539", "13-L-221539")</f>
        <v>13-L-221539</v>
      </c>
      <c r="C4880">
        <v>1.1000000000000001</v>
      </c>
      <c r="D4880" t="s">
        <v>6759</v>
      </c>
      <c r="E4880" t="s">
        <v>11</v>
      </c>
      <c r="G4880" t="s">
        <v>936</v>
      </c>
      <c r="H4880" t="s">
        <v>938</v>
      </c>
    </row>
    <row r="4881" spans="1:8" hidden="1" x14ac:dyDescent="0.25">
      <c r="A4881" t="s">
        <v>6760</v>
      </c>
      <c r="B4881" s="1" t="str">
        <f>HYPERLINK("https://asmlis.vasa.lt/Dashboard/Served?ServiceDateFrom=2025-11-24&amp;ServiceDateTo=2025-11-24&amp;DumpsterInvNr=13-L-106872", "13-L-106872")</f>
        <v>13-L-106872</v>
      </c>
      <c r="C4881">
        <v>1.1000000000000001</v>
      </c>
      <c r="D4881" t="s">
        <v>6761</v>
      </c>
      <c r="E4881" t="s">
        <v>11</v>
      </c>
      <c r="G4881" t="s">
        <v>1912</v>
      </c>
      <c r="H4881" t="s">
        <v>432</v>
      </c>
    </row>
    <row r="4882" spans="1:8" hidden="1" x14ac:dyDescent="0.25">
      <c r="A4882" t="s">
        <v>6760</v>
      </c>
      <c r="B4882" s="1" t="str">
        <f>HYPERLINK("https://asmlis.vasa.lt/Dashboard/Served?ServiceDateFrom=2025-11-24&amp;ServiceDateTo=2025-11-24&amp;DumpsterInvNr=DGA-ZALVARIS", "DGA-ZALVARIS")</f>
        <v>DGA-ZALVARIS</v>
      </c>
      <c r="C4882">
        <v>1</v>
      </c>
      <c r="D4882" t="s">
        <v>6764</v>
      </c>
      <c r="E4882" t="s">
        <v>12</v>
      </c>
      <c r="F4882" t="s">
        <v>13</v>
      </c>
      <c r="G4882" t="s">
        <v>6763</v>
      </c>
      <c r="H4882" t="s">
        <v>6765</v>
      </c>
    </row>
    <row r="4883" spans="1:8" hidden="1" x14ac:dyDescent="0.25">
      <c r="A4883" t="s">
        <v>6766</v>
      </c>
      <c r="B4883" s="1" t="str">
        <f>HYPERLINK("https://asmlis.vasa.lt/Dashboard/Served?ServiceDateFrom=2025-11-24&amp;ServiceDateTo=2025-11-24&amp;DumpsterInvNr=13-P-209659", "13-P-209659")</f>
        <v>13-P-209659</v>
      </c>
      <c r="C4883">
        <v>0.24</v>
      </c>
      <c r="D4883" t="s">
        <v>6767</v>
      </c>
      <c r="E4883" t="s">
        <v>11</v>
      </c>
      <c r="G4883" t="s">
        <v>234</v>
      </c>
      <c r="H4883" t="s">
        <v>14</v>
      </c>
    </row>
    <row r="4884" spans="1:8" hidden="1" x14ac:dyDescent="0.25">
      <c r="A4884" t="s">
        <v>6540</v>
      </c>
      <c r="B4884" s="1" t="str">
        <f>HYPERLINK("https://asmlis.vasa.lt/Dashboard/Served?ServiceDateFrom=2025-11-24&amp;ServiceDateTo=2025-11-24&amp;DumpsterInvNr=13-L-140032", "13-L-140032")</f>
        <v>13-L-140032</v>
      </c>
      <c r="C4884">
        <v>0.24</v>
      </c>
      <c r="D4884" t="s">
        <v>6768</v>
      </c>
      <c r="E4884" t="s">
        <v>11</v>
      </c>
      <c r="G4884" t="s">
        <v>430</v>
      </c>
      <c r="H4884" t="s">
        <v>432</v>
      </c>
    </row>
    <row r="4885" spans="1:8" hidden="1" x14ac:dyDescent="0.25">
      <c r="A4885" t="s">
        <v>6709</v>
      </c>
      <c r="B4885" s="1" t="str">
        <f>HYPERLINK("https://asmlis.vasa.lt/Dashboard/Served?ServiceDateFrom=2025-11-24&amp;ServiceDateTo=2025-11-24&amp;DumpsterInvNr=13-L-140823", "13-L-140823")</f>
        <v>13-L-140823</v>
      </c>
      <c r="C4885">
        <v>0.24</v>
      </c>
      <c r="D4885" t="s">
        <v>6770</v>
      </c>
      <c r="E4885" t="s">
        <v>11</v>
      </c>
      <c r="G4885" t="s">
        <v>430</v>
      </c>
      <c r="H4885" t="s">
        <v>432</v>
      </c>
    </row>
    <row r="4886" spans="1:8" hidden="1" x14ac:dyDescent="0.25">
      <c r="A4886" t="s">
        <v>6709</v>
      </c>
      <c r="B4886" s="1" t="str">
        <f>HYPERLINK("https://asmlis.vasa.lt/Dashboard/Served?ServiceDateFrom=2025-11-24&amp;ServiceDateTo=2025-11-24&amp;DumpsterInvNr=13-P-506991", "13-P-506991")</f>
        <v>13-P-506991</v>
      </c>
      <c r="C4886">
        <v>0.24</v>
      </c>
      <c r="D4886" t="s">
        <v>6770</v>
      </c>
      <c r="E4886" t="s">
        <v>11</v>
      </c>
      <c r="G4886" t="s">
        <v>2178</v>
      </c>
      <c r="H4886" t="s">
        <v>432</v>
      </c>
    </row>
    <row r="4887" spans="1:8" hidden="1" x14ac:dyDescent="0.25">
      <c r="A4887" t="s">
        <v>6771</v>
      </c>
      <c r="B4887" s="1" t="str">
        <f>HYPERLINK("https://asmlis.vasa.lt/Dashboard/Served?ServiceDateFrom=2025-11-24&amp;ServiceDateTo=2025-11-24&amp;DumpsterInvNr=13-L-118182", "13-L-118182")</f>
        <v>13-L-118182</v>
      </c>
      <c r="C4887">
        <v>0.12</v>
      </c>
      <c r="D4887" t="s">
        <v>6772</v>
      </c>
      <c r="E4887" t="s">
        <v>11</v>
      </c>
      <c r="G4887" t="s">
        <v>1912</v>
      </c>
      <c r="H4887" t="s">
        <v>432</v>
      </c>
    </row>
    <row r="4888" spans="1:8" hidden="1" x14ac:dyDescent="0.25">
      <c r="A4888" t="s">
        <v>6771</v>
      </c>
      <c r="B4888" s="1" t="str">
        <f>HYPERLINK("https://asmlis.vasa.lt/Dashboard/Served?ServiceDateFrom=2025-11-24&amp;ServiceDateTo=2025-11-24&amp;DumpsterInvNr=13-L-222818", "13-L-222818")</f>
        <v>13-L-222818</v>
      </c>
      <c r="C4888">
        <v>0.24</v>
      </c>
      <c r="D4888" t="s">
        <v>6774</v>
      </c>
      <c r="E4888" t="s">
        <v>11</v>
      </c>
      <c r="G4888" t="s">
        <v>936</v>
      </c>
      <c r="H4888" t="s">
        <v>938</v>
      </c>
    </row>
    <row r="4889" spans="1:8" hidden="1" x14ac:dyDescent="0.25">
      <c r="A4889" t="s">
        <v>6775</v>
      </c>
      <c r="B4889" s="1" t="str">
        <f>HYPERLINK("https://asmlis.vasa.lt/Dashboard/Served?ServiceDateFrom=2025-11-24&amp;ServiceDateTo=2025-11-24&amp;DumpsterInvNr=13-M-202884", "13-M-202884")</f>
        <v>13-M-202884</v>
      </c>
      <c r="C4889">
        <v>0.12</v>
      </c>
      <c r="D4889" t="s">
        <v>6776</v>
      </c>
      <c r="E4889" t="s">
        <v>11</v>
      </c>
      <c r="G4889" t="s">
        <v>4876</v>
      </c>
      <c r="H4889" t="s">
        <v>938</v>
      </c>
    </row>
    <row r="4890" spans="1:8" hidden="1" x14ac:dyDescent="0.25">
      <c r="A4890" t="s">
        <v>5056</v>
      </c>
      <c r="B4890" s="1" t="str">
        <f>HYPERLINK("https://asmlis.vasa.lt/Dashboard/Served?ServiceDateFrom=2025-11-24&amp;ServiceDateTo=2025-11-24&amp;DumpsterInvNr=13-P-112210", "13-P-112210")</f>
        <v>13-P-112210</v>
      </c>
      <c r="C4890">
        <v>0.24</v>
      </c>
      <c r="D4890" t="s">
        <v>6772</v>
      </c>
      <c r="E4890" t="s">
        <v>11</v>
      </c>
      <c r="G4890" t="s">
        <v>1917</v>
      </c>
      <c r="H4890" t="s">
        <v>432</v>
      </c>
    </row>
    <row r="4891" spans="1:8" hidden="1" x14ac:dyDescent="0.25">
      <c r="A4891" t="s">
        <v>6443</v>
      </c>
      <c r="B4891" s="1" t="str">
        <f>HYPERLINK("https://asmlis.vasa.lt/Dashboard/Served?ServiceDateFrom=2025-11-24&amp;ServiceDateTo=2025-11-24&amp;DumpsterInvNr=13-L-106813", "13-L-106813")</f>
        <v>13-L-106813</v>
      </c>
      <c r="C4891">
        <v>1.1000000000000001</v>
      </c>
      <c r="D4891" t="s">
        <v>6761</v>
      </c>
      <c r="E4891" t="s">
        <v>11</v>
      </c>
      <c r="G4891" t="s">
        <v>1912</v>
      </c>
      <c r="H4891" t="s">
        <v>432</v>
      </c>
    </row>
    <row r="4892" spans="1:8" hidden="1" x14ac:dyDescent="0.25">
      <c r="A4892" t="s">
        <v>6443</v>
      </c>
      <c r="B4892" s="1" t="str">
        <f>HYPERLINK("https://asmlis.vasa.lt/Dashboard/Served?ServiceDateFrom=2025-11-24&amp;ServiceDateTo=2025-11-24&amp;DumpsterInvNr=13-L-308267", "13-L-308267")</f>
        <v>13-L-308267</v>
      </c>
      <c r="C4892">
        <v>5</v>
      </c>
      <c r="D4892" t="s">
        <v>6778</v>
      </c>
      <c r="E4892" t="s">
        <v>11</v>
      </c>
      <c r="F4892" t="s">
        <v>13</v>
      </c>
      <c r="G4892" t="s">
        <v>9</v>
      </c>
      <c r="H4892" t="s">
        <v>14</v>
      </c>
    </row>
    <row r="4893" spans="1:8" hidden="1" x14ac:dyDescent="0.25">
      <c r="A4893" t="s">
        <v>6625</v>
      </c>
      <c r="B4893" s="1" t="str">
        <f>HYPERLINK("https://asmlis.vasa.lt/Dashboard/Served?ServiceDateFrom=2025-11-24&amp;ServiceDateTo=2025-11-24&amp;DumpsterInvNr=13-L-420284", "13-L-420284")</f>
        <v>13-L-420284</v>
      </c>
      <c r="C4893">
        <v>5</v>
      </c>
      <c r="D4893" t="s">
        <v>6779</v>
      </c>
      <c r="E4893" t="s">
        <v>11</v>
      </c>
      <c r="G4893" t="s">
        <v>74</v>
      </c>
      <c r="H4893" t="s">
        <v>14</v>
      </c>
    </row>
    <row r="4894" spans="1:8" hidden="1" x14ac:dyDescent="0.25">
      <c r="A4894" t="s">
        <v>6780</v>
      </c>
      <c r="B4894" s="1" t="str">
        <f>HYPERLINK("https://asmlis.vasa.lt/Dashboard/Served?ServiceDateFrom=2025-11-24&amp;ServiceDateTo=2025-11-24&amp;DumpsterInvNr=13-M-203780", "13-M-203780")</f>
        <v>13-M-203780</v>
      </c>
      <c r="C4894">
        <v>0.12</v>
      </c>
      <c r="D4894" t="s">
        <v>6781</v>
      </c>
      <c r="E4894" t="s">
        <v>11</v>
      </c>
      <c r="F4894" t="s">
        <v>1209</v>
      </c>
      <c r="G4894" t="s">
        <v>4876</v>
      </c>
      <c r="H4894" t="s">
        <v>938</v>
      </c>
    </row>
    <row r="4895" spans="1:8" hidden="1" x14ac:dyDescent="0.25">
      <c r="A4895" t="s">
        <v>6782</v>
      </c>
      <c r="B4895" s="1" t="str">
        <f>HYPERLINK("https://asmlis.vasa.lt/Dashboard/Served?ServiceDateFrom=2025-11-24&amp;ServiceDateTo=2025-11-24&amp;DumpsterInvNr=13-P-415611", "13-P-415611")</f>
        <v>13-P-415611</v>
      </c>
      <c r="C4895">
        <v>0.24</v>
      </c>
      <c r="D4895" t="s">
        <v>6783</v>
      </c>
      <c r="E4895" t="s">
        <v>11</v>
      </c>
      <c r="G4895" t="s">
        <v>264</v>
      </c>
      <c r="H4895" t="s">
        <v>14</v>
      </c>
    </row>
    <row r="4896" spans="1:8" hidden="1" x14ac:dyDescent="0.25">
      <c r="A4896" t="s">
        <v>6784</v>
      </c>
      <c r="B4896" s="1" t="str">
        <f>HYPERLINK("https://asmlis.vasa.lt/Dashboard/Served?ServiceDateFrom=2025-11-24&amp;ServiceDateTo=2025-11-24&amp;DumpsterInvNr=13-P-404461", "13-P-404461")</f>
        <v>13-P-404461</v>
      </c>
      <c r="C4896">
        <v>3</v>
      </c>
      <c r="D4896" t="s">
        <v>6786</v>
      </c>
      <c r="E4896" t="s">
        <v>11</v>
      </c>
      <c r="F4896" t="s">
        <v>13</v>
      </c>
      <c r="G4896" t="s">
        <v>264</v>
      </c>
      <c r="H4896" t="s">
        <v>14</v>
      </c>
    </row>
    <row r="4897" spans="1:8" hidden="1" x14ac:dyDescent="0.25">
      <c r="A4897" t="s">
        <v>6787</v>
      </c>
      <c r="B4897" s="1" t="str">
        <f>HYPERLINK("https://asmlis.vasa.lt/Dashboard/Served?ServiceDateFrom=2025-11-24&amp;ServiceDateTo=2025-11-24&amp;DumpsterInvNr=13-P-400591", "13-P-400591")</f>
        <v>13-P-400591</v>
      </c>
      <c r="C4897">
        <v>5</v>
      </c>
      <c r="D4897" t="s">
        <v>6788</v>
      </c>
      <c r="E4897" t="s">
        <v>11</v>
      </c>
      <c r="F4897" t="s">
        <v>13</v>
      </c>
      <c r="G4897" t="s">
        <v>264</v>
      </c>
      <c r="H4897" t="s">
        <v>14</v>
      </c>
    </row>
    <row r="4898" spans="1:8" hidden="1" x14ac:dyDescent="0.25">
      <c r="A4898" t="s">
        <v>6787</v>
      </c>
      <c r="B4898" s="1" t="str">
        <f>HYPERLINK("https://asmlis.vasa.lt/Dashboard/Served?ServiceDateFrom=2025-11-24&amp;ServiceDateTo=2025-11-24&amp;DumpsterInvNr=13-P-404460", "13-P-404460")</f>
        <v>13-P-404460</v>
      </c>
      <c r="C4898">
        <v>3</v>
      </c>
      <c r="D4898" t="s">
        <v>6786</v>
      </c>
      <c r="E4898" t="s">
        <v>11</v>
      </c>
      <c r="F4898" t="s">
        <v>13</v>
      </c>
      <c r="G4898" t="s">
        <v>264</v>
      </c>
      <c r="H4898" t="s">
        <v>14</v>
      </c>
    </row>
    <row r="4899" spans="1:8" hidden="1" x14ac:dyDescent="0.25">
      <c r="A4899" t="s">
        <v>6789</v>
      </c>
      <c r="B4899" s="1" t="str">
        <f>HYPERLINK("https://asmlis.vasa.lt/Dashboard/Served?ServiceDateFrom=2025-11-24&amp;ServiceDateTo=2025-11-24&amp;DumpsterInvNr=13-L-141090", "13-L-141090")</f>
        <v>13-L-141090</v>
      </c>
      <c r="C4899">
        <v>0.24</v>
      </c>
      <c r="D4899" t="s">
        <v>6790</v>
      </c>
      <c r="E4899" t="s">
        <v>11</v>
      </c>
      <c r="G4899" t="s">
        <v>430</v>
      </c>
      <c r="H4899" t="s">
        <v>432</v>
      </c>
    </row>
    <row r="4900" spans="1:8" hidden="1" x14ac:dyDescent="0.25">
      <c r="A4900" t="s">
        <v>6789</v>
      </c>
      <c r="B4900" s="1" t="str">
        <f>HYPERLINK("https://asmlis.vasa.lt/Dashboard/Served?ServiceDateFrom=2025-11-24&amp;ServiceDateTo=2025-11-24&amp;DumpsterInvNr=13-P-506967", "13-P-506967")</f>
        <v>13-P-506967</v>
      </c>
      <c r="C4900">
        <v>0.24</v>
      </c>
      <c r="D4900" t="s">
        <v>6768</v>
      </c>
      <c r="E4900" t="s">
        <v>11</v>
      </c>
      <c r="G4900" t="s">
        <v>2178</v>
      </c>
      <c r="H4900" t="s">
        <v>432</v>
      </c>
    </row>
    <row r="4901" spans="1:8" hidden="1" x14ac:dyDescent="0.25">
      <c r="A4901" t="s">
        <v>6792</v>
      </c>
      <c r="B4901" s="1" t="str">
        <f>HYPERLINK("https://asmlis.vasa.lt/Dashboard/Served?ServiceDateFrom=2025-11-24&amp;ServiceDateTo=2025-11-24&amp;DumpsterInvNr=13-P-400556", "13-P-400556")</f>
        <v>13-P-400556</v>
      </c>
      <c r="C4901">
        <v>5</v>
      </c>
      <c r="D4901" t="s">
        <v>6788</v>
      </c>
      <c r="E4901" t="s">
        <v>11</v>
      </c>
      <c r="F4901" t="s">
        <v>13</v>
      </c>
      <c r="G4901" t="s">
        <v>264</v>
      </c>
      <c r="H4901" t="s">
        <v>14</v>
      </c>
    </row>
    <row r="4902" spans="1:8" hidden="1" x14ac:dyDescent="0.25">
      <c r="A4902" t="s">
        <v>6793</v>
      </c>
      <c r="B4902" s="1" t="str">
        <f>HYPERLINK("https://asmlis.vasa.lt/Dashboard/Served?ServiceDateFrom=2025-11-24&amp;ServiceDateTo=2025-11-24&amp;DumpsterInvNr=13-L-227608", "13-L-227608")</f>
        <v>13-L-227608</v>
      </c>
      <c r="C4902">
        <v>1.1000000000000001</v>
      </c>
      <c r="D4902" t="s">
        <v>6794</v>
      </c>
      <c r="E4902" t="s">
        <v>11</v>
      </c>
      <c r="G4902" t="s">
        <v>936</v>
      </c>
      <c r="H4902" t="s">
        <v>938</v>
      </c>
    </row>
    <row r="4903" spans="1:8" hidden="1" x14ac:dyDescent="0.25">
      <c r="A4903" t="s">
        <v>6795</v>
      </c>
      <c r="B4903" s="1" t="str">
        <f>HYPERLINK("https://asmlis.vasa.lt/Dashboard/Served?ServiceDateFrom=2025-11-24&amp;ServiceDateTo=2025-11-24&amp;DumpsterInvNr=13-L-146455", "13-L-146455")</f>
        <v>13-L-146455</v>
      </c>
      <c r="C4903">
        <v>0.24</v>
      </c>
      <c r="D4903" t="s">
        <v>6796</v>
      </c>
      <c r="E4903" t="s">
        <v>11</v>
      </c>
      <c r="G4903" t="s">
        <v>1912</v>
      </c>
      <c r="H4903" t="s">
        <v>432</v>
      </c>
    </row>
    <row r="4904" spans="1:8" hidden="1" x14ac:dyDescent="0.25">
      <c r="A4904" t="s">
        <v>6795</v>
      </c>
      <c r="B4904" s="1" t="str">
        <f>HYPERLINK("https://asmlis.vasa.lt/Dashboard/Served?ServiceDateFrom=2025-11-24&amp;ServiceDateTo=2025-11-24&amp;DumpsterInvNr=13-L-106811", "13-L-106811")</f>
        <v>13-L-106811</v>
      </c>
      <c r="C4904">
        <v>1.1000000000000001</v>
      </c>
      <c r="D4904" t="s">
        <v>6761</v>
      </c>
      <c r="E4904" t="s">
        <v>11</v>
      </c>
      <c r="G4904" t="s">
        <v>1912</v>
      </c>
      <c r="H4904" t="s">
        <v>432</v>
      </c>
    </row>
    <row r="4905" spans="1:8" hidden="1" x14ac:dyDescent="0.25">
      <c r="A4905" t="s">
        <v>6798</v>
      </c>
      <c r="B4905" s="1" t="str">
        <f>HYPERLINK("https://asmlis.vasa.lt/Dashboard/Served?ServiceDateFrom=2025-11-24&amp;ServiceDateTo=2025-11-24&amp;DumpsterInvNr=13-L-218222", "13-L-218222")</f>
        <v>13-L-218222</v>
      </c>
      <c r="C4905">
        <v>1.1000000000000001</v>
      </c>
      <c r="D4905" t="s">
        <v>6681</v>
      </c>
      <c r="E4905" t="s">
        <v>11</v>
      </c>
      <c r="G4905" t="s">
        <v>936</v>
      </c>
      <c r="H4905" t="s">
        <v>938</v>
      </c>
    </row>
    <row r="4906" spans="1:8" hidden="1" x14ac:dyDescent="0.25">
      <c r="A4906" t="s">
        <v>6798</v>
      </c>
      <c r="B4906" s="1" t="str">
        <f>HYPERLINK("https://asmlis.vasa.lt/Dashboard/Served?ServiceDateFrom=2025-11-24&amp;ServiceDateTo=2025-11-24&amp;DumpsterInvNr=13-L-219451", "13-L-219451")</f>
        <v>13-L-219451</v>
      </c>
      <c r="C4906">
        <v>1.1000000000000001</v>
      </c>
      <c r="D4906" t="s">
        <v>6799</v>
      </c>
      <c r="E4906" t="s">
        <v>11</v>
      </c>
      <c r="F4906" t="s">
        <v>13</v>
      </c>
      <c r="G4906" t="s">
        <v>936</v>
      </c>
      <c r="H4906" t="s">
        <v>938</v>
      </c>
    </row>
    <row r="4907" spans="1:8" hidden="1" x14ac:dyDescent="0.25">
      <c r="A4907" t="s">
        <v>6800</v>
      </c>
      <c r="B4907" s="1" t="str">
        <f>HYPERLINK("https://asmlis.vasa.lt/Dashboard/Served?ServiceDateFrom=2025-11-24&amp;ServiceDateTo=2025-11-24&amp;DumpsterInvNr=13-P-105625", "13-P-105625")</f>
        <v>13-P-105625</v>
      </c>
      <c r="C4907">
        <v>0.24</v>
      </c>
      <c r="D4907" t="s">
        <v>6796</v>
      </c>
      <c r="E4907" t="s">
        <v>11</v>
      </c>
      <c r="G4907" t="s">
        <v>1917</v>
      </c>
      <c r="H4907" t="s">
        <v>432</v>
      </c>
    </row>
    <row r="4908" spans="1:8" hidden="1" x14ac:dyDescent="0.25">
      <c r="A4908" t="s">
        <v>5646</v>
      </c>
      <c r="B4908" s="1" t="str">
        <f>HYPERLINK("https://asmlis.vasa.lt/Dashboard/Served?ServiceDateFrom=2025-11-24&amp;ServiceDateTo=2025-11-24&amp;DumpsterInvNr=13-P-500530", "13-P-500530")</f>
        <v>13-P-500530</v>
      </c>
      <c r="C4908">
        <v>5</v>
      </c>
      <c r="D4908" t="s">
        <v>6801</v>
      </c>
      <c r="E4908" t="s">
        <v>11</v>
      </c>
      <c r="F4908" t="s">
        <v>13</v>
      </c>
      <c r="G4908" t="s">
        <v>2178</v>
      </c>
      <c r="H4908" t="s">
        <v>432</v>
      </c>
    </row>
    <row r="4909" spans="1:8" hidden="1" x14ac:dyDescent="0.25">
      <c r="A4909" t="s">
        <v>6380</v>
      </c>
      <c r="B4909" s="1" t="str">
        <f>HYPERLINK("https://asmlis.vasa.lt/Dashboard/Served?ServiceDateFrom=2025-11-24&amp;ServiceDateTo=2025-11-24&amp;DumpsterInvNr=13-L-302950", "13-L-302950")</f>
        <v>13-L-302950</v>
      </c>
      <c r="C4909">
        <v>0.77</v>
      </c>
      <c r="D4909" t="s">
        <v>1192</v>
      </c>
      <c r="E4909" t="s">
        <v>11</v>
      </c>
      <c r="G4909" t="s">
        <v>9</v>
      </c>
      <c r="H4909" t="s">
        <v>14</v>
      </c>
    </row>
    <row r="4910" spans="1:8" hidden="1" x14ac:dyDescent="0.25">
      <c r="A4910" t="s">
        <v>6802</v>
      </c>
      <c r="B4910" s="1" t="str">
        <f>HYPERLINK("https://asmlis.vasa.lt/Dashboard/Served?ServiceDateFrom=2025-11-24&amp;ServiceDateTo=2025-11-24&amp;DumpsterInvNr=13-L-106812", "13-L-106812")</f>
        <v>13-L-106812</v>
      </c>
      <c r="C4910">
        <v>1.1000000000000001</v>
      </c>
      <c r="D4910" t="s">
        <v>6761</v>
      </c>
      <c r="E4910" t="s">
        <v>11</v>
      </c>
      <c r="G4910" t="s">
        <v>1912</v>
      </c>
      <c r="H4910" t="s">
        <v>432</v>
      </c>
    </row>
    <row r="4911" spans="1:8" hidden="1" x14ac:dyDescent="0.25">
      <c r="A4911" t="s">
        <v>6531</v>
      </c>
      <c r="B4911" s="1" t="str">
        <f>HYPERLINK("https://asmlis.vasa.lt/Dashboard/Served?ServiceDateFrom=2025-11-24&amp;ServiceDateTo=2025-11-24&amp;DumpsterInvNr=13-L-137033", "13-L-137033")</f>
        <v>13-L-137033</v>
      </c>
      <c r="C4911">
        <v>0.24</v>
      </c>
      <c r="D4911" t="s">
        <v>6803</v>
      </c>
      <c r="E4911" t="s">
        <v>11</v>
      </c>
      <c r="G4911" t="s">
        <v>430</v>
      </c>
      <c r="H4911" t="s">
        <v>432</v>
      </c>
    </row>
    <row r="4912" spans="1:8" hidden="1" x14ac:dyDescent="0.25">
      <c r="A4912" t="s">
        <v>6491</v>
      </c>
      <c r="B4912" s="1" t="str">
        <f>HYPERLINK("https://asmlis.vasa.lt/Dashboard/Served?ServiceDateFrom=2025-11-24&amp;ServiceDateTo=2025-11-24&amp;DumpsterInvNr=13-L-227637", "13-L-227637")</f>
        <v>13-L-227637</v>
      </c>
      <c r="C4912">
        <v>1.1000000000000001</v>
      </c>
      <c r="D4912" t="s">
        <v>6794</v>
      </c>
      <c r="E4912" t="s">
        <v>11</v>
      </c>
      <c r="G4912" t="s">
        <v>936</v>
      </c>
      <c r="H4912" t="s">
        <v>938</v>
      </c>
    </row>
    <row r="4913" spans="1:8" hidden="1" x14ac:dyDescent="0.25">
      <c r="A4913" t="s">
        <v>6491</v>
      </c>
      <c r="B4913" s="1" t="str">
        <f>HYPERLINK("https://asmlis.vasa.lt/Dashboard/Served?ServiceDateFrom=2025-11-24&amp;ServiceDateTo=2025-11-24&amp;DumpsterInvNr=13-P-506989", "13-P-506989")</f>
        <v>13-P-506989</v>
      </c>
      <c r="C4913">
        <v>0.24</v>
      </c>
      <c r="D4913" t="s">
        <v>6803</v>
      </c>
      <c r="E4913" t="s">
        <v>11</v>
      </c>
      <c r="G4913" t="s">
        <v>2178</v>
      </c>
      <c r="H4913" t="s">
        <v>432</v>
      </c>
    </row>
    <row r="4914" spans="1:8" hidden="1" x14ac:dyDescent="0.25">
      <c r="A4914" t="s">
        <v>6497</v>
      </c>
      <c r="B4914" s="1" t="str">
        <f>HYPERLINK("https://asmlis.vasa.lt/Dashboard/Served?ServiceDateFrom=2025-11-24&amp;ServiceDateTo=2025-11-24&amp;DumpsterInvNr=13-L-424658", "13-L-424658")</f>
        <v>13-L-424658</v>
      </c>
      <c r="C4914">
        <v>1.1000000000000001</v>
      </c>
      <c r="D4914" t="s">
        <v>5484</v>
      </c>
      <c r="E4914" t="s">
        <v>11</v>
      </c>
      <c r="G4914" t="s">
        <v>74</v>
      </c>
      <c r="H4914" t="s">
        <v>14</v>
      </c>
    </row>
    <row r="4915" spans="1:8" hidden="1" x14ac:dyDescent="0.25">
      <c r="A4915" t="s">
        <v>6550</v>
      </c>
      <c r="B4915" s="1" t="str">
        <f>HYPERLINK("https://asmlis.vasa.lt/Dashboard/Served?ServiceDateFrom=2025-11-24&amp;ServiceDateTo=2025-11-24&amp;DumpsterInvNr=13-L-106814", "13-L-106814")</f>
        <v>13-L-106814</v>
      </c>
      <c r="C4915">
        <v>1.1000000000000001</v>
      </c>
      <c r="D4915" t="s">
        <v>6761</v>
      </c>
      <c r="E4915" t="s">
        <v>11</v>
      </c>
      <c r="G4915" t="s">
        <v>1912</v>
      </c>
      <c r="H4915" t="s">
        <v>432</v>
      </c>
    </row>
    <row r="4916" spans="1:8" hidden="1" x14ac:dyDescent="0.25">
      <c r="A4916" t="s">
        <v>6740</v>
      </c>
      <c r="B4916" s="1" t="str">
        <f>HYPERLINK("https://asmlis.vasa.lt/Dashboard/Served?ServiceDateFrom=2025-11-24&amp;ServiceDateTo=2025-11-24&amp;DumpsterInvNr=13-P-211020", "13-P-211020")</f>
        <v>13-P-211020</v>
      </c>
      <c r="C4916">
        <v>0.24</v>
      </c>
      <c r="D4916" t="s">
        <v>6805</v>
      </c>
      <c r="E4916" t="s">
        <v>11</v>
      </c>
      <c r="G4916" t="s">
        <v>234</v>
      </c>
      <c r="H4916" t="s">
        <v>14</v>
      </c>
    </row>
    <row r="4917" spans="1:8" hidden="1" x14ac:dyDescent="0.25">
      <c r="A4917" t="s">
        <v>6806</v>
      </c>
      <c r="B4917" s="1" t="str">
        <f>HYPERLINK("https://asmlis.vasa.lt/Dashboard/Served?ServiceDateFrom=2025-11-24&amp;ServiceDateTo=2025-11-24&amp;DumpsterInvNr=13-L-220823", "13-L-220823")</f>
        <v>13-L-220823</v>
      </c>
      <c r="C4917">
        <v>1.1000000000000001</v>
      </c>
      <c r="D4917" t="s">
        <v>6807</v>
      </c>
      <c r="E4917" t="s">
        <v>11</v>
      </c>
      <c r="G4917" t="s">
        <v>936</v>
      </c>
      <c r="H4917" t="s">
        <v>938</v>
      </c>
    </row>
    <row r="4918" spans="1:8" hidden="1" x14ac:dyDescent="0.25">
      <c r="A4918" t="s">
        <v>6806</v>
      </c>
      <c r="B4918" s="1" t="str">
        <f>HYPERLINK("https://asmlis.vasa.lt/Dashboard/Served?ServiceDateFrom=2025-11-24&amp;ServiceDateTo=2025-11-24&amp;DumpsterInvNr=13-S-209591", "13-S-209591")</f>
        <v>13-S-209591</v>
      </c>
      <c r="C4918">
        <v>0.12</v>
      </c>
      <c r="D4918" t="s">
        <v>6805</v>
      </c>
      <c r="E4918" t="s">
        <v>11</v>
      </c>
      <c r="F4918" t="s">
        <v>1209</v>
      </c>
      <c r="G4918" t="s">
        <v>234</v>
      </c>
      <c r="H4918" t="s">
        <v>14</v>
      </c>
    </row>
    <row r="4919" spans="1:8" hidden="1" x14ac:dyDescent="0.25">
      <c r="A4919" t="s">
        <v>6809</v>
      </c>
      <c r="B4919" s="1" t="str">
        <f>HYPERLINK("https://asmlis.vasa.lt/Dashboard/Served?ServiceDateFrom=2025-11-24&amp;ServiceDateTo=2025-11-24&amp;DumpsterInvNr=13-L-142831", "13-L-142831")</f>
        <v>13-L-142831</v>
      </c>
      <c r="C4919">
        <v>1.1000000000000001</v>
      </c>
      <c r="D4919" t="s">
        <v>6810</v>
      </c>
      <c r="E4919" t="s">
        <v>11</v>
      </c>
      <c r="G4919" t="s">
        <v>430</v>
      </c>
      <c r="H4919" t="s">
        <v>432</v>
      </c>
    </row>
    <row r="4920" spans="1:8" hidden="1" x14ac:dyDescent="0.25">
      <c r="A4920" t="s">
        <v>6809</v>
      </c>
      <c r="B4920" s="1" t="str">
        <f>HYPERLINK("https://asmlis.vasa.lt/Dashboard/Served?ServiceDateFrom=2025-11-24&amp;ServiceDateTo=2025-11-24&amp;DumpsterInvNr=13-L-135158", "13-L-135158")</f>
        <v>13-L-135158</v>
      </c>
      <c r="C4920">
        <v>1.1000000000000001</v>
      </c>
      <c r="D4920" t="s">
        <v>6811</v>
      </c>
      <c r="E4920" t="s">
        <v>11</v>
      </c>
      <c r="G4920" t="s">
        <v>430</v>
      </c>
      <c r="H4920" t="s">
        <v>432</v>
      </c>
    </row>
    <row r="4921" spans="1:8" hidden="1" x14ac:dyDescent="0.25">
      <c r="A4921" t="s">
        <v>6812</v>
      </c>
      <c r="B4921" s="1" t="str">
        <f>HYPERLINK("https://asmlis.vasa.lt/Dashboard/Served?ServiceDateFrom=2025-11-24&amp;ServiceDateTo=2025-11-24&amp;DumpsterInvNr=13-L-227609", "13-L-227609")</f>
        <v>13-L-227609</v>
      </c>
      <c r="C4921">
        <v>1.1000000000000001</v>
      </c>
      <c r="D4921" t="s">
        <v>6794</v>
      </c>
      <c r="E4921" t="s">
        <v>11</v>
      </c>
      <c r="G4921" t="s">
        <v>936</v>
      </c>
      <c r="H4921" t="s">
        <v>938</v>
      </c>
    </row>
    <row r="4922" spans="1:8" hidden="1" x14ac:dyDescent="0.25">
      <c r="A4922" t="s">
        <v>6812</v>
      </c>
      <c r="B4922" s="1" t="str">
        <f>HYPERLINK("https://asmlis.vasa.lt/Dashboard/Served?ServiceDateFrom=2025-11-24&amp;ServiceDateTo=2025-11-24&amp;DumpsterInvNr=13-P-506979", "13-P-506979")</f>
        <v>13-P-506979</v>
      </c>
      <c r="C4922">
        <v>0.24</v>
      </c>
      <c r="D4922" t="s">
        <v>6813</v>
      </c>
      <c r="E4922" t="s">
        <v>11</v>
      </c>
      <c r="G4922" t="s">
        <v>2178</v>
      </c>
      <c r="H4922" t="s">
        <v>432</v>
      </c>
    </row>
    <row r="4923" spans="1:8" hidden="1" x14ac:dyDescent="0.25">
      <c r="A4923" t="s">
        <v>6815</v>
      </c>
      <c r="B4923" s="1" t="str">
        <f>HYPERLINK("https://asmlis.vasa.lt/Dashboard/Served?ServiceDateFrom=2025-11-24&amp;ServiceDateTo=2025-11-24&amp;DumpsterInvNr=13-L-227628", "13-L-227628")</f>
        <v>13-L-227628</v>
      </c>
      <c r="C4923">
        <v>1.1000000000000001</v>
      </c>
      <c r="D4923" t="s">
        <v>6681</v>
      </c>
      <c r="E4923" t="s">
        <v>11</v>
      </c>
      <c r="G4923" t="s">
        <v>936</v>
      </c>
      <c r="H4923" t="s">
        <v>938</v>
      </c>
    </row>
    <row r="4924" spans="1:8" hidden="1" x14ac:dyDescent="0.25">
      <c r="A4924" t="s">
        <v>6816</v>
      </c>
      <c r="B4924" s="1" t="str">
        <f>HYPERLINK("https://asmlis.vasa.lt/Dashboard/Served?ServiceDateFrom=2025-11-24&amp;ServiceDateTo=2025-11-24&amp;DumpsterInvNr=13-L-137105", "13-L-137105")</f>
        <v>13-L-137105</v>
      </c>
      <c r="C4924">
        <v>0.24</v>
      </c>
      <c r="D4924" t="s">
        <v>6813</v>
      </c>
      <c r="E4924" t="s">
        <v>11</v>
      </c>
      <c r="G4924" t="s">
        <v>430</v>
      </c>
      <c r="H4924" t="s">
        <v>432</v>
      </c>
    </row>
    <row r="4925" spans="1:8" hidden="1" x14ac:dyDescent="0.25">
      <c r="A4925" t="s">
        <v>6817</v>
      </c>
      <c r="B4925" s="1" t="str">
        <f>HYPERLINK("https://asmlis.vasa.lt/Dashboard/Served?ServiceDateFrom=2025-11-24&amp;ServiceDateTo=2025-11-24&amp;DumpsterInvNr=13-L-134663", "13-L-134663")</f>
        <v>13-L-134663</v>
      </c>
      <c r="C4925">
        <v>1.1000000000000001</v>
      </c>
      <c r="D4925" t="s">
        <v>6761</v>
      </c>
      <c r="E4925" t="s">
        <v>11</v>
      </c>
      <c r="G4925" t="s">
        <v>1912</v>
      </c>
      <c r="H4925" t="s">
        <v>432</v>
      </c>
    </row>
    <row r="4926" spans="1:8" hidden="1" x14ac:dyDescent="0.25">
      <c r="A4926" t="s">
        <v>6817</v>
      </c>
      <c r="B4926" s="1" t="str">
        <f>HYPERLINK("https://asmlis.vasa.lt/Dashboard/Served?ServiceDateFrom=2025-11-24&amp;ServiceDateTo=2025-11-24&amp;DumpsterInvNr=13-L-144769", "13-L-144769")</f>
        <v>13-L-144769</v>
      </c>
      <c r="C4926">
        <v>5</v>
      </c>
      <c r="D4926" t="s">
        <v>6818</v>
      </c>
      <c r="E4926" t="s">
        <v>11</v>
      </c>
      <c r="F4926" t="s">
        <v>13</v>
      </c>
      <c r="G4926" t="s">
        <v>1912</v>
      </c>
      <c r="H4926" t="s">
        <v>432</v>
      </c>
    </row>
    <row r="4927" spans="1:8" hidden="1" x14ac:dyDescent="0.25">
      <c r="A4927" t="s">
        <v>6819</v>
      </c>
      <c r="B4927" s="1" t="str">
        <f>HYPERLINK("https://asmlis.vasa.lt/Dashboard/Served?ServiceDateFrom=2025-11-24&amp;ServiceDateTo=2025-11-24&amp;DumpsterInvNr=13-P-408735", "13-P-408735")</f>
        <v>13-P-408735</v>
      </c>
      <c r="C4927">
        <v>0.24</v>
      </c>
      <c r="D4927" t="s">
        <v>6820</v>
      </c>
      <c r="E4927" t="s">
        <v>11</v>
      </c>
      <c r="G4927" t="s">
        <v>264</v>
      </c>
      <c r="H4927" t="s">
        <v>14</v>
      </c>
    </row>
    <row r="4928" spans="1:8" hidden="1" x14ac:dyDescent="0.25">
      <c r="A4928" t="s">
        <v>6821</v>
      </c>
      <c r="B4928" s="1" t="str">
        <f>HYPERLINK("https://asmlis.vasa.lt/Dashboard/Served?ServiceDateFrom=2025-11-24&amp;ServiceDateTo=2025-11-24&amp;DumpsterInvNr=13-P-408963", "13-P-408963")</f>
        <v>13-P-408963</v>
      </c>
      <c r="C4928">
        <v>0.24</v>
      </c>
      <c r="D4928" t="s">
        <v>6822</v>
      </c>
      <c r="E4928" t="s">
        <v>11</v>
      </c>
      <c r="G4928" t="s">
        <v>264</v>
      </c>
      <c r="H4928" t="s">
        <v>14</v>
      </c>
    </row>
    <row r="4929" spans="1:8" hidden="1" x14ac:dyDescent="0.25">
      <c r="A4929" t="s">
        <v>6823</v>
      </c>
      <c r="B4929" s="1" t="str">
        <f>HYPERLINK("https://asmlis.vasa.lt/Dashboard/Served?ServiceDateFrom=2025-11-24&amp;ServiceDateTo=2025-11-24&amp;DumpsterInvNr=13-L-142832", "13-L-142832")</f>
        <v>13-L-142832</v>
      </c>
      <c r="C4929">
        <v>1.1000000000000001</v>
      </c>
      <c r="D4929" t="s">
        <v>6810</v>
      </c>
      <c r="E4929" t="s">
        <v>11</v>
      </c>
      <c r="G4929" t="s">
        <v>430</v>
      </c>
      <c r="H4929" t="s">
        <v>432</v>
      </c>
    </row>
    <row r="4930" spans="1:8" hidden="1" x14ac:dyDescent="0.25">
      <c r="A4930" t="s">
        <v>6824</v>
      </c>
      <c r="B4930" s="1" t="str">
        <f>HYPERLINK("https://asmlis.vasa.lt/Dashboard/Served?ServiceDateFrom=2025-11-24&amp;ServiceDateTo=2025-11-24&amp;DumpsterInvNr=13-L-106809", "13-L-106809")</f>
        <v>13-L-106809</v>
      </c>
      <c r="C4930">
        <v>1.1000000000000001</v>
      </c>
      <c r="D4930" t="s">
        <v>6761</v>
      </c>
      <c r="E4930" t="s">
        <v>11</v>
      </c>
      <c r="G4930" t="s">
        <v>1912</v>
      </c>
      <c r="H4930" t="s">
        <v>432</v>
      </c>
    </row>
    <row r="4931" spans="1:8" hidden="1" x14ac:dyDescent="0.25">
      <c r="A4931" t="s">
        <v>6825</v>
      </c>
      <c r="B4931" s="1" t="str">
        <f>HYPERLINK("https://asmlis.vasa.lt/Dashboard/Served?ServiceDateFrom=2025-11-24&amp;ServiceDateTo=2025-11-24&amp;DumpsterInvNr=13-L-212460", "13-L-212460")</f>
        <v>13-L-212460</v>
      </c>
      <c r="C4931">
        <v>1.1000000000000001</v>
      </c>
      <c r="D4931" t="s">
        <v>6826</v>
      </c>
      <c r="E4931" t="s">
        <v>11</v>
      </c>
      <c r="F4931" t="s">
        <v>1209</v>
      </c>
      <c r="G4931" t="s">
        <v>936</v>
      </c>
      <c r="H4931" t="s">
        <v>938</v>
      </c>
    </row>
    <row r="4932" spans="1:8" hidden="1" x14ac:dyDescent="0.25">
      <c r="A4932" t="s">
        <v>6828</v>
      </c>
      <c r="B4932" s="1" t="str">
        <f>HYPERLINK("https://asmlis.vasa.lt/Dashboard/Served?ServiceDateFrom=2025-11-24&amp;ServiceDateTo=2025-11-24&amp;DumpsterInvNr=13-M-205488", "13-M-205488")</f>
        <v>13-M-205488</v>
      </c>
      <c r="C4932">
        <v>0.12</v>
      </c>
      <c r="D4932" t="s">
        <v>6830</v>
      </c>
      <c r="E4932" t="s">
        <v>11</v>
      </c>
      <c r="F4932" t="s">
        <v>1209</v>
      </c>
      <c r="G4932" t="s">
        <v>4876</v>
      </c>
      <c r="H4932" t="s">
        <v>938</v>
      </c>
    </row>
    <row r="4933" spans="1:8" hidden="1" x14ac:dyDescent="0.25">
      <c r="A4933" t="s">
        <v>6828</v>
      </c>
      <c r="B4933" s="1" t="str">
        <f>HYPERLINK("https://asmlis.vasa.lt/Dashboard/Served?ServiceDateFrom=2025-11-24&amp;ServiceDateTo=2025-11-24&amp;DumpsterInvNr=13-L-118400", "13-L-118400")</f>
        <v>13-L-118400</v>
      </c>
      <c r="C4933">
        <v>0.24</v>
      </c>
      <c r="D4933" t="s">
        <v>6831</v>
      </c>
      <c r="E4933" t="s">
        <v>11</v>
      </c>
      <c r="G4933" t="s">
        <v>1912</v>
      </c>
      <c r="H4933" t="s">
        <v>432</v>
      </c>
    </row>
    <row r="4934" spans="1:8" hidden="1" x14ac:dyDescent="0.25">
      <c r="A4934" t="s">
        <v>6832</v>
      </c>
      <c r="B4934" s="1" t="str">
        <f>HYPERLINK("https://asmlis.vasa.lt/Dashboard/Served?ServiceDateFrom=2025-11-24&amp;ServiceDateTo=2025-11-24&amp;DumpsterInvNr=13-L-142833", "13-L-142833")</f>
        <v>13-L-142833</v>
      </c>
      <c r="C4934">
        <v>1.1000000000000001</v>
      </c>
      <c r="D4934" t="s">
        <v>6810</v>
      </c>
      <c r="E4934" t="s">
        <v>11</v>
      </c>
      <c r="G4934" t="s">
        <v>430</v>
      </c>
      <c r="H4934" t="s">
        <v>432</v>
      </c>
    </row>
    <row r="4935" spans="1:8" hidden="1" x14ac:dyDescent="0.25">
      <c r="A4935" t="s">
        <v>6832</v>
      </c>
      <c r="B4935" s="1" t="str">
        <f>HYPERLINK("https://asmlis.vasa.lt/Dashboard/Served?ServiceDateFrom=2025-11-24&amp;ServiceDateTo=2025-11-24&amp;DumpsterInvNr=13-L-302948", "13-L-302948")</f>
        <v>13-L-302948</v>
      </c>
      <c r="C4935">
        <v>0.77</v>
      </c>
      <c r="D4935" t="s">
        <v>1192</v>
      </c>
      <c r="E4935" t="s">
        <v>11</v>
      </c>
      <c r="G4935" t="s">
        <v>9</v>
      </c>
      <c r="H4935" t="s">
        <v>14</v>
      </c>
    </row>
    <row r="4936" spans="1:8" hidden="1" x14ac:dyDescent="0.25">
      <c r="A4936" t="s">
        <v>6833</v>
      </c>
      <c r="B4936" s="1" t="str">
        <f>HYPERLINK("https://asmlis.vasa.lt/Dashboard/Served?ServiceDateFrom=2025-11-24&amp;ServiceDateTo=2025-11-24&amp;DumpsterInvNr=13-L-140603", "13-L-140603")</f>
        <v>13-L-140603</v>
      </c>
      <c r="C4936">
        <v>0.24</v>
      </c>
      <c r="D4936" t="s">
        <v>6834</v>
      </c>
      <c r="E4936" t="s">
        <v>11</v>
      </c>
      <c r="G4936" t="s">
        <v>430</v>
      </c>
      <c r="H4936" t="s">
        <v>432</v>
      </c>
    </row>
    <row r="4937" spans="1:8" hidden="1" x14ac:dyDescent="0.25">
      <c r="A4937" t="s">
        <v>6833</v>
      </c>
      <c r="B4937" s="1" t="str">
        <f>HYPERLINK("https://asmlis.vasa.lt/Dashboard/Served?ServiceDateFrom=2025-11-24&amp;ServiceDateTo=2025-11-24&amp;DumpsterInvNr=13-P-208645", "13-P-208645")</f>
        <v>13-P-208645</v>
      </c>
      <c r="C4937">
        <v>0.24</v>
      </c>
      <c r="D4937" t="s">
        <v>6836</v>
      </c>
      <c r="E4937" t="s">
        <v>11</v>
      </c>
      <c r="F4937" t="s">
        <v>1209</v>
      </c>
      <c r="G4937" t="s">
        <v>234</v>
      </c>
      <c r="H4937" t="s">
        <v>14</v>
      </c>
    </row>
    <row r="4938" spans="1:8" hidden="1" x14ac:dyDescent="0.25">
      <c r="A4938" t="s">
        <v>6833</v>
      </c>
      <c r="B4938" s="1" t="str">
        <f>HYPERLINK("https://asmlis.vasa.lt/Dashboard/Served?ServiceDateFrom=2025-11-24&amp;ServiceDateTo=2025-11-24&amp;DumpsterInvNr=13-P-506987", "13-P-506987")</f>
        <v>13-P-506987</v>
      </c>
      <c r="C4938">
        <v>0.24</v>
      </c>
      <c r="D4938" t="s">
        <v>6834</v>
      </c>
      <c r="E4938" t="s">
        <v>11</v>
      </c>
      <c r="G4938" t="s">
        <v>2178</v>
      </c>
      <c r="H4938" t="s">
        <v>432</v>
      </c>
    </row>
    <row r="4939" spans="1:8" hidden="1" x14ac:dyDescent="0.25">
      <c r="A4939" t="s">
        <v>6837</v>
      </c>
      <c r="B4939" s="1" t="str">
        <f>HYPERLINK("https://asmlis.vasa.lt/Dashboard/Served?ServiceDateFrom=2025-11-24&amp;ServiceDateTo=2025-11-24&amp;DumpsterInvNr=13-L-118401", "13-L-118401")</f>
        <v>13-L-118401</v>
      </c>
      <c r="C4939">
        <v>0.24</v>
      </c>
      <c r="D4939" t="s">
        <v>6838</v>
      </c>
      <c r="E4939" t="s">
        <v>11</v>
      </c>
      <c r="G4939" t="s">
        <v>1912</v>
      </c>
      <c r="H4939" t="s">
        <v>432</v>
      </c>
    </row>
    <row r="4940" spans="1:8" hidden="1" x14ac:dyDescent="0.25">
      <c r="A4940" t="s">
        <v>6837</v>
      </c>
      <c r="B4940" s="1" t="str">
        <f>HYPERLINK("https://asmlis.vasa.lt/Dashboard/Served?ServiceDateFrom=2025-11-24&amp;ServiceDateTo=2025-11-24&amp;DumpsterInvNr=13-P-409143", "13-P-409143")</f>
        <v>13-P-409143</v>
      </c>
      <c r="C4940">
        <v>0.24</v>
      </c>
      <c r="D4940" t="s">
        <v>6839</v>
      </c>
      <c r="E4940" t="s">
        <v>11</v>
      </c>
      <c r="F4940" t="s">
        <v>1209</v>
      </c>
      <c r="G4940" t="s">
        <v>264</v>
      </c>
      <c r="H4940" t="s">
        <v>14</v>
      </c>
    </row>
    <row r="4941" spans="1:8" hidden="1" x14ac:dyDescent="0.25">
      <c r="A4941" t="s">
        <v>6841</v>
      </c>
      <c r="B4941" s="1" t="str">
        <f>HYPERLINK("https://asmlis.vasa.lt/Dashboard/Served?ServiceDateFrom=2025-11-24&amp;ServiceDateTo=2025-11-24&amp;DumpsterInvNr=13-P-409344", "13-P-409344")</f>
        <v>13-P-409344</v>
      </c>
      <c r="C4941">
        <v>0.24</v>
      </c>
      <c r="D4941" t="s">
        <v>6842</v>
      </c>
      <c r="E4941" t="s">
        <v>11</v>
      </c>
      <c r="F4941" t="s">
        <v>1209</v>
      </c>
      <c r="G4941" t="s">
        <v>264</v>
      </c>
      <c r="H4941" t="s">
        <v>14</v>
      </c>
    </row>
    <row r="4942" spans="1:8" hidden="1" x14ac:dyDescent="0.25">
      <c r="A4942" t="s">
        <v>6844</v>
      </c>
      <c r="B4942" s="1" t="str">
        <f>HYPERLINK("https://asmlis.vasa.lt/Dashboard/Served?ServiceDateFrom=2025-11-24&amp;ServiceDateTo=2025-11-24&amp;DumpsterInvNr=13-P-112248", "13-P-112248")</f>
        <v>13-P-112248</v>
      </c>
      <c r="C4942">
        <v>0.24</v>
      </c>
      <c r="D4942" t="s">
        <v>6831</v>
      </c>
      <c r="E4942" t="s">
        <v>11</v>
      </c>
      <c r="G4942" t="s">
        <v>1917</v>
      </c>
      <c r="H4942" t="s">
        <v>432</v>
      </c>
    </row>
    <row r="4943" spans="1:8" hidden="1" x14ac:dyDescent="0.25">
      <c r="A4943" t="s">
        <v>6846</v>
      </c>
      <c r="B4943" s="1" t="str">
        <f>HYPERLINK("https://asmlis.vasa.lt/Dashboard/Served?ServiceDateFrom=2025-11-24&amp;ServiceDateTo=2025-11-24&amp;DumpsterInvNr=13-L-106810", "13-L-106810")</f>
        <v>13-L-106810</v>
      </c>
      <c r="C4943">
        <v>1.1000000000000001</v>
      </c>
      <c r="D4943" t="s">
        <v>6761</v>
      </c>
      <c r="E4943" t="s">
        <v>11</v>
      </c>
      <c r="G4943" t="s">
        <v>1912</v>
      </c>
      <c r="H4943" t="s">
        <v>432</v>
      </c>
    </row>
    <row r="4944" spans="1:8" hidden="1" x14ac:dyDescent="0.25">
      <c r="A4944" t="s">
        <v>6847</v>
      </c>
      <c r="B4944" s="1" t="str">
        <f>HYPERLINK("https://asmlis.vasa.lt/Dashboard/Served?ServiceDateFrom=2025-11-24&amp;ServiceDateTo=2025-11-24&amp;DumpsterInvNr=13-P-207758", "13-P-207758")</f>
        <v>13-P-207758</v>
      </c>
      <c r="C4944">
        <v>2.5</v>
      </c>
      <c r="D4944" t="s">
        <v>2306</v>
      </c>
      <c r="E4944" t="s">
        <v>11</v>
      </c>
      <c r="G4944" t="s">
        <v>234</v>
      </c>
      <c r="H4944" t="s">
        <v>14</v>
      </c>
    </row>
    <row r="4945" spans="1:8" hidden="1" x14ac:dyDescent="0.25">
      <c r="A4945" t="s">
        <v>6848</v>
      </c>
      <c r="B4945" s="1" t="str">
        <f>HYPERLINK("https://asmlis.vasa.lt/Dashboard/Served?ServiceDateFrom=2025-11-24&amp;ServiceDateTo=2025-11-24&amp;DumpsterInvNr=13-M-202910", "13-M-202910")</f>
        <v>13-M-202910</v>
      </c>
      <c r="C4945">
        <v>0.12</v>
      </c>
      <c r="D4945" t="s">
        <v>6849</v>
      </c>
      <c r="E4945" t="s">
        <v>11</v>
      </c>
      <c r="F4945" t="s">
        <v>1209</v>
      </c>
      <c r="G4945" t="s">
        <v>4876</v>
      </c>
      <c r="H4945" t="s">
        <v>938</v>
      </c>
    </row>
    <row r="4946" spans="1:8" hidden="1" x14ac:dyDescent="0.25">
      <c r="A4946" t="s">
        <v>6850</v>
      </c>
      <c r="B4946" s="1" t="str">
        <f>HYPERLINK("https://asmlis.vasa.lt/Dashboard/Served?ServiceDateFrom=2025-11-24&amp;ServiceDateTo=2025-11-24&amp;DumpsterInvNr=13-P-208171", "13-P-208171")</f>
        <v>13-P-208171</v>
      </c>
      <c r="C4946">
        <v>0.24</v>
      </c>
      <c r="D4946" t="s">
        <v>6851</v>
      </c>
      <c r="E4946" t="s">
        <v>11</v>
      </c>
      <c r="G4946" t="s">
        <v>234</v>
      </c>
      <c r="H4946" t="s">
        <v>14</v>
      </c>
    </row>
    <row r="4947" spans="1:8" hidden="1" x14ac:dyDescent="0.25">
      <c r="A4947" t="s">
        <v>6852</v>
      </c>
      <c r="B4947" s="1" t="str">
        <f>HYPERLINK("https://asmlis.vasa.lt/Dashboard/Served?ServiceDateFrom=2025-11-24&amp;ServiceDateTo=2025-11-24&amp;DumpsterInvNr=13-P-300274", "13-P-300274")</f>
        <v>13-P-300274</v>
      </c>
      <c r="C4947">
        <v>5</v>
      </c>
      <c r="D4947" t="s">
        <v>6853</v>
      </c>
      <c r="E4947" t="s">
        <v>11</v>
      </c>
      <c r="F4947" t="s">
        <v>13</v>
      </c>
      <c r="G4947" t="s">
        <v>412</v>
      </c>
      <c r="H4947" t="s">
        <v>14</v>
      </c>
    </row>
    <row r="4948" spans="1:8" hidden="1" x14ac:dyDescent="0.25">
      <c r="A4948" t="s">
        <v>6854</v>
      </c>
      <c r="B4948" s="1" t="str">
        <f>HYPERLINK("https://asmlis.vasa.lt/Dashboard/Served?ServiceDateFrom=2025-11-24&amp;ServiceDateTo=2025-11-24&amp;DumpsterInvNr=13-L-216284", "13-L-216284")</f>
        <v>13-L-216284</v>
      </c>
      <c r="C4948">
        <v>0.77</v>
      </c>
      <c r="D4948" t="s">
        <v>6681</v>
      </c>
      <c r="E4948" t="s">
        <v>11</v>
      </c>
      <c r="G4948" t="s">
        <v>936</v>
      </c>
      <c r="H4948" t="s">
        <v>938</v>
      </c>
    </row>
    <row r="4949" spans="1:8" hidden="1" x14ac:dyDescent="0.25">
      <c r="A4949" t="s">
        <v>6855</v>
      </c>
      <c r="B4949" s="1" t="str">
        <f>HYPERLINK("https://asmlis.vasa.lt/Dashboard/Served?ServiceDateFrom=2025-11-24&amp;ServiceDateTo=2025-11-24&amp;DumpsterInvNr=13-L-221327", "13-L-221327")</f>
        <v>13-L-221327</v>
      </c>
      <c r="C4949">
        <v>5</v>
      </c>
      <c r="D4949" t="s">
        <v>792</v>
      </c>
      <c r="E4949" t="s">
        <v>11</v>
      </c>
      <c r="G4949" t="s">
        <v>936</v>
      </c>
      <c r="H4949" t="s">
        <v>938</v>
      </c>
    </row>
    <row r="4950" spans="1:8" hidden="1" x14ac:dyDescent="0.25">
      <c r="A4950" t="s">
        <v>6855</v>
      </c>
      <c r="B4950" s="1" t="str">
        <f>HYPERLINK("https://asmlis.vasa.lt/Dashboard/Served?ServiceDateFrom=2025-11-24&amp;ServiceDateTo=2025-11-24&amp;DumpsterInvNr=13-P-112190", "13-P-112190")</f>
        <v>13-P-112190</v>
      </c>
      <c r="C4950">
        <v>0.24</v>
      </c>
      <c r="D4950" t="s">
        <v>6838</v>
      </c>
      <c r="E4950" t="s">
        <v>11</v>
      </c>
      <c r="F4950" t="s">
        <v>1209</v>
      </c>
      <c r="G4950" t="s">
        <v>1917</v>
      </c>
      <c r="H4950" t="s">
        <v>432</v>
      </c>
    </row>
    <row r="4951" spans="1:8" hidden="1" x14ac:dyDescent="0.25">
      <c r="A4951" t="s">
        <v>6855</v>
      </c>
      <c r="B4951" s="1" t="str">
        <f>HYPERLINK("https://asmlis.vasa.lt/Dashboard/Served?ServiceDateFrom=2025-11-24&amp;ServiceDateTo=2025-11-24&amp;DumpsterInvNr=13-P-207389", "13-P-207389")</f>
        <v>13-P-207389</v>
      </c>
      <c r="C4951">
        <v>0.24</v>
      </c>
      <c r="D4951" t="s">
        <v>6856</v>
      </c>
      <c r="E4951" t="s">
        <v>11</v>
      </c>
      <c r="F4951" t="s">
        <v>1209</v>
      </c>
      <c r="G4951" t="s">
        <v>234</v>
      </c>
      <c r="H4951" t="s">
        <v>14</v>
      </c>
    </row>
    <row r="4952" spans="1:8" hidden="1" x14ac:dyDescent="0.25">
      <c r="A4952" t="s">
        <v>6857</v>
      </c>
      <c r="B4952" s="1" t="str">
        <f>HYPERLINK("https://asmlis.vasa.lt/Dashboard/Served?ServiceDateFrom=2025-11-24&amp;ServiceDateTo=2025-11-24&amp;DumpsterInvNr=13-L-104077", "13-L-104077")</f>
        <v>13-L-104077</v>
      </c>
      <c r="C4952">
        <v>5</v>
      </c>
      <c r="D4952" t="s">
        <v>6858</v>
      </c>
      <c r="E4952" t="s">
        <v>11</v>
      </c>
      <c r="F4952" t="s">
        <v>13</v>
      </c>
      <c r="G4952" t="s">
        <v>430</v>
      </c>
      <c r="H4952" t="s">
        <v>432</v>
      </c>
    </row>
    <row r="4953" spans="1:8" hidden="1" x14ac:dyDescent="0.25">
      <c r="A4953" t="s">
        <v>6859</v>
      </c>
      <c r="B4953" s="1" t="str">
        <f>HYPERLINK("https://asmlis.vasa.lt/Dashboard/Served?ServiceDateFrom=2025-11-24&amp;ServiceDateTo=2025-11-24&amp;DumpsterInvNr=13-T-000132", "13-T-000132")</f>
        <v>13-T-000132</v>
      </c>
      <c r="C4953">
        <v>2.5</v>
      </c>
      <c r="D4953" t="s">
        <v>6860</v>
      </c>
      <c r="E4953" t="s">
        <v>11</v>
      </c>
      <c r="F4953" t="s">
        <v>13</v>
      </c>
      <c r="G4953" t="s">
        <v>1899</v>
      </c>
      <c r="H4953" t="s">
        <v>432</v>
      </c>
    </row>
    <row r="4954" spans="1:8" hidden="1" x14ac:dyDescent="0.25">
      <c r="A4954" t="s">
        <v>6861</v>
      </c>
      <c r="B4954" s="1" t="str">
        <f>HYPERLINK("https://asmlis.vasa.lt/Dashboard/Served?ServiceDateFrom=2025-11-24&amp;ServiceDateTo=2025-11-24&amp;DumpsterInvNr=13-L-148544", "13-L-148544")</f>
        <v>13-L-148544</v>
      </c>
      <c r="C4954">
        <v>0.24</v>
      </c>
      <c r="D4954" t="s">
        <v>6862</v>
      </c>
      <c r="E4954" t="s">
        <v>11</v>
      </c>
      <c r="G4954" t="s">
        <v>430</v>
      </c>
      <c r="H4954" t="s">
        <v>432</v>
      </c>
    </row>
    <row r="4955" spans="1:8" hidden="1" x14ac:dyDescent="0.25">
      <c r="A4955" t="s">
        <v>6861</v>
      </c>
      <c r="B4955" s="1" t="str">
        <f>HYPERLINK("https://asmlis.vasa.lt/Dashboard/Served?ServiceDateFrom=2025-11-24&amp;ServiceDateTo=2025-11-24&amp;DumpsterInvNr=13-P-509134", "13-P-509134")</f>
        <v>13-P-509134</v>
      </c>
      <c r="C4955">
        <v>0.24</v>
      </c>
      <c r="D4955" t="s">
        <v>6862</v>
      </c>
      <c r="E4955" t="s">
        <v>11</v>
      </c>
      <c r="G4955" t="s">
        <v>2178</v>
      </c>
      <c r="H4955" t="s">
        <v>432</v>
      </c>
    </row>
    <row r="4956" spans="1:8" hidden="1" x14ac:dyDescent="0.25">
      <c r="A4956" t="s">
        <v>6864</v>
      </c>
      <c r="B4956" s="1" t="str">
        <f>HYPERLINK("https://asmlis.vasa.lt/Dashboard/Served?ServiceDateFrom=2025-11-24&amp;ServiceDateTo=2025-11-24&amp;DumpsterInvNr=13-L-318890", "13-L-318890")</f>
        <v>13-L-318890</v>
      </c>
      <c r="C4956">
        <v>1.1000000000000001</v>
      </c>
      <c r="D4956" t="s">
        <v>1148</v>
      </c>
      <c r="E4956" t="s">
        <v>11</v>
      </c>
      <c r="F4956" t="s">
        <v>13</v>
      </c>
      <c r="G4956" t="s">
        <v>9</v>
      </c>
      <c r="H4956" t="s">
        <v>14</v>
      </c>
    </row>
    <row r="4957" spans="1:8" hidden="1" x14ac:dyDescent="0.25">
      <c r="A4957" t="s">
        <v>6864</v>
      </c>
      <c r="B4957" s="1" t="str">
        <f>HYPERLINK("https://asmlis.vasa.lt/Dashboard/Served?ServiceDateFrom=2025-11-24&amp;ServiceDateTo=2025-11-24&amp;DumpsterInvNr=13-M-202263", "13-M-202263")</f>
        <v>13-M-202263</v>
      </c>
      <c r="C4957">
        <v>0.12</v>
      </c>
      <c r="D4957" t="s">
        <v>6865</v>
      </c>
      <c r="E4957" t="s">
        <v>11</v>
      </c>
      <c r="G4957" t="s">
        <v>4876</v>
      </c>
      <c r="H4957" t="s">
        <v>938</v>
      </c>
    </row>
    <row r="4958" spans="1:8" hidden="1" x14ac:dyDescent="0.25">
      <c r="A4958" t="s">
        <v>6762</v>
      </c>
      <c r="B4958" s="1" t="str">
        <f>HYPERLINK("https://asmlis.vasa.lt/Dashboard/Served?ServiceDateFrom=2025-11-24&amp;ServiceDateTo=2025-11-24&amp;DumpsterInvNr=13-M-202895", "13-M-202895")</f>
        <v>13-M-202895</v>
      </c>
      <c r="C4958">
        <v>0.12</v>
      </c>
      <c r="D4958" t="s">
        <v>6866</v>
      </c>
      <c r="E4958" t="s">
        <v>11</v>
      </c>
      <c r="G4958" t="s">
        <v>4876</v>
      </c>
      <c r="H4958" t="s">
        <v>938</v>
      </c>
    </row>
    <row r="4959" spans="1:8" hidden="1" x14ac:dyDescent="0.25">
      <c r="A4959" t="s">
        <v>6867</v>
      </c>
      <c r="B4959" s="1" t="str">
        <f>HYPERLINK("https://asmlis.vasa.lt/Dashboard/Served?ServiceDateFrom=2025-11-24&amp;ServiceDateTo=2025-11-24&amp;DumpsterInvNr=13-T-000133", "13-T-000133")</f>
        <v>13-T-000133</v>
      </c>
      <c r="C4959">
        <v>2.5</v>
      </c>
      <c r="D4959" t="s">
        <v>6860</v>
      </c>
      <c r="E4959" t="s">
        <v>11</v>
      </c>
      <c r="F4959" t="s">
        <v>13</v>
      </c>
      <c r="G4959" t="s">
        <v>1899</v>
      </c>
      <c r="H4959" t="s">
        <v>432</v>
      </c>
    </row>
    <row r="4960" spans="1:8" hidden="1" x14ac:dyDescent="0.25">
      <c r="A4960" t="s">
        <v>6868</v>
      </c>
      <c r="B4960" s="1" t="str">
        <f>HYPERLINK("https://asmlis.vasa.lt/Dashboard/Served?ServiceDateFrom=2025-11-24&amp;ServiceDateTo=2025-11-24&amp;DumpsterInvNr=13-L-426518", "13-L-426518")</f>
        <v>13-L-426518</v>
      </c>
      <c r="C4960">
        <v>1.1000000000000001</v>
      </c>
      <c r="D4960" t="s">
        <v>6869</v>
      </c>
      <c r="E4960" t="s">
        <v>11</v>
      </c>
      <c r="G4960" t="s">
        <v>74</v>
      </c>
      <c r="H4960" t="s">
        <v>14</v>
      </c>
    </row>
    <row r="4961" spans="1:8" hidden="1" x14ac:dyDescent="0.25">
      <c r="A4961" t="s">
        <v>6870</v>
      </c>
      <c r="B4961" s="1" t="str">
        <f>HYPERLINK("https://asmlis.vasa.lt/Dashboard/Served?ServiceDateFrom=2025-11-24&amp;ServiceDateTo=2025-11-24&amp;DumpsterInvNr=13-L-202342", "13-L-202342")</f>
        <v>13-L-202342</v>
      </c>
      <c r="C4961">
        <v>0.12</v>
      </c>
      <c r="D4961" t="s">
        <v>6871</v>
      </c>
      <c r="E4961" t="s">
        <v>11</v>
      </c>
      <c r="G4961" t="s">
        <v>936</v>
      </c>
      <c r="H4961" t="s">
        <v>938</v>
      </c>
    </row>
    <row r="4962" spans="1:8" hidden="1" x14ac:dyDescent="0.25">
      <c r="A4962" t="s">
        <v>5401</v>
      </c>
      <c r="B4962" s="1" t="str">
        <f>HYPERLINK("https://asmlis.vasa.lt/Dashboard/Served?ServiceDateFrom=2025-11-24&amp;ServiceDateTo=2025-11-24&amp;DumpsterInvNr=13-P-109525", "13-P-109525")</f>
        <v>13-P-109525</v>
      </c>
      <c r="C4962">
        <v>1.1000000000000001</v>
      </c>
      <c r="D4962" t="s">
        <v>6872</v>
      </c>
      <c r="E4962" t="s">
        <v>11</v>
      </c>
      <c r="G4962" t="s">
        <v>1917</v>
      </c>
      <c r="H4962" t="s">
        <v>432</v>
      </c>
    </row>
    <row r="4963" spans="1:8" hidden="1" x14ac:dyDescent="0.25">
      <c r="A4963" t="s">
        <v>5514</v>
      </c>
      <c r="B4963" s="1" t="str">
        <f>HYPERLINK("https://asmlis.vasa.lt/Dashboard/Served?ServiceDateFrom=2025-11-24&amp;ServiceDateTo=2025-11-24&amp;DumpsterInvNr=13-L-316504", "13-L-316504")</f>
        <v>13-L-316504</v>
      </c>
      <c r="C4963">
        <v>5</v>
      </c>
      <c r="D4963" t="s">
        <v>6873</v>
      </c>
      <c r="E4963" t="s">
        <v>11</v>
      </c>
      <c r="F4963" t="s">
        <v>13</v>
      </c>
      <c r="G4963" t="s">
        <v>9</v>
      </c>
      <c r="H4963" t="s">
        <v>14</v>
      </c>
    </row>
    <row r="4964" spans="1:8" hidden="1" x14ac:dyDescent="0.25">
      <c r="A4964" t="s">
        <v>6874</v>
      </c>
      <c r="B4964" s="1" t="str">
        <f>HYPERLINK("https://asmlis.vasa.lt/Dashboard/Served?ServiceDateFrom=2025-11-24&amp;ServiceDateTo=2025-11-24&amp;DumpsterInvNr=13-P-506854", "13-P-506854")</f>
        <v>13-P-506854</v>
      </c>
      <c r="C4964">
        <v>0.24</v>
      </c>
      <c r="D4964" t="s">
        <v>6875</v>
      </c>
      <c r="E4964" t="s">
        <v>11</v>
      </c>
      <c r="G4964" t="s">
        <v>2178</v>
      </c>
      <c r="H4964" t="s">
        <v>432</v>
      </c>
    </row>
    <row r="4965" spans="1:8" hidden="1" x14ac:dyDescent="0.25">
      <c r="A4965" t="s">
        <v>6877</v>
      </c>
      <c r="B4965" s="1" t="str">
        <f>HYPERLINK("https://asmlis.vasa.lt/Dashboard/Served?ServiceDateFrom=2025-11-24&amp;ServiceDateTo=2025-11-24&amp;DumpsterInvNr=13-M-205582", "13-M-205582")</f>
        <v>13-M-205582</v>
      </c>
      <c r="C4965">
        <v>0.12</v>
      </c>
      <c r="D4965" t="s">
        <v>6878</v>
      </c>
      <c r="E4965" t="s">
        <v>11</v>
      </c>
      <c r="F4965" t="s">
        <v>1209</v>
      </c>
      <c r="G4965" t="s">
        <v>4876</v>
      </c>
      <c r="H4965" t="s">
        <v>938</v>
      </c>
    </row>
    <row r="4966" spans="1:8" hidden="1" x14ac:dyDescent="0.25">
      <c r="A4966" t="s">
        <v>6877</v>
      </c>
      <c r="B4966" s="1" t="str">
        <f>HYPERLINK("https://asmlis.vasa.lt/Dashboard/Served?ServiceDateFrom=2025-11-24&amp;ServiceDateTo=2025-11-24&amp;DumpsterInvNr=13-L-110945", "13-L-110945")</f>
        <v>13-L-110945</v>
      </c>
      <c r="C4966">
        <v>0.24</v>
      </c>
      <c r="D4966" t="s">
        <v>6875</v>
      </c>
      <c r="E4966" t="s">
        <v>11</v>
      </c>
      <c r="G4966" t="s">
        <v>430</v>
      </c>
      <c r="H4966" t="s">
        <v>432</v>
      </c>
    </row>
    <row r="4967" spans="1:8" hidden="1" x14ac:dyDescent="0.25">
      <c r="A4967" t="s">
        <v>6879</v>
      </c>
      <c r="B4967" s="1" t="str">
        <f>HYPERLINK("https://asmlis.vasa.lt/Dashboard/Served?ServiceDateFrom=2025-11-24&amp;ServiceDateTo=2025-11-24&amp;DumpsterInvNr=13-L-125910", "13-L-125910")</f>
        <v>13-L-125910</v>
      </c>
      <c r="C4967">
        <v>0.24</v>
      </c>
      <c r="D4967" t="s">
        <v>6875</v>
      </c>
      <c r="E4967" t="s">
        <v>11</v>
      </c>
      <c r="G4967" t="s">
        <v>430</v>
      </c>
      <c r="H4967" t="s">
        <v>432</v>
      </c>
    </row>
    <row r="4968" spans="1:8" hidden="1" x14ac:dyDescent="0.25">
      <c r="A4968" t="s">
        <v>6879</v>
      </c>
      <c r="B4968" s="1" t="str">
        <f>HYPERLINK("https://asmlis.vasa.lt/Dashboard/Served?ServiceDateFrom=2025-11-24&amp;ServiceDateTo=2025-11-24&amp;DumpsterInvNr=13-L-213537", "13-L-213537")</f>
        <v>13-L-213537</v>
      </c>
      <c r="C4968">
        <v>0.24</v>
      </c>
      <c r="D4968" t="s">
        <v>6881</v>
      </c>
      <c r="E4968" t="s">
        <v>11</v>
      </c>
      <c r="F4968" t="s">
        <v>13</v>
      </c>
      <c r="G4968" t="s">
        <v>936</v>
      </c>
      <c r="H4968" t="s">
        <v>938</v>
      </c>
    </row>
    <row r="4969" spans="1:8" hidden="1" x14ac:dyDescent="0.25">
      <c r="A4969" t="s">
        <v>6882</v>
      </c>
      <c r="B4969" s="1" t="str">
        <f>HYPERLINK("https://asmlis.vasa.lt/Dashboard/Served?ServiceDateFrom=2025-11-24&amp;ServiceDateTo=2025-11-24&amp;DumpsterInvNr=13-L-420286", "13-L-420286")</f>
        <v>13-L-420286</v>
      </c>
      <c r="C4969">
        <v>5</v>
      </c>
      <c r="D4969" t="s">
        <v>6883</v>
      </c>
      <c r="E4969" t="s">
        <v>11</v>
      </c>
      <c r="F4969" t="s">
        <v>13</v>
      </c>
      <c r="G4969" t="s">
        <v>74</v>
      </c>
      <c r="H4969" t="s">
        <v>14</v>
      </c>
    </row>
    <row r="4970" spans="1:8" hidden="1" x14ac:dyDescent="0.25">
      <c r="A4970" t="s">
        <v>6884</v>
      </c>
      <c r="B4970" s="1" t="str">
        <f>HYPERLINK("https://asmlis.vasa.lt/Dashboard/Served?ServiceDateFrom=2025-11-24&amp;ServiceDateTo=2025-11-24&amp;DumpsterInvNr=13-M-202904", "13-M-202904")</f>
        <v>13-M-202904</v>
      </c>
      <c r="C4970">
        <v>0.12</v>
      </c>
      <c r="D4970" t="s">
        <v>6885</v>
      </c>
      <c r="E4970" t="s">
        <v>11</v>
      </c>
      <c r="F4970" t="s">
        <v>1209</v>
      </c>
      <c r="G4970" t="s">
        <v>4876</v>
      </c>
      <c r="H4970" t="s">
        <v>938</v>
      </c>
    </row>
    <row r="4971" spans="1:8" hidden="1" x14ac:dyDescent="0.25">
      <c r="A4971" t="s">
        <v>6887</v>
      </c>
      <c r="B4971" s="1" t="str">
        <f>HYPERLINK("https://asmlis.vasa.lt/Dashboard/Served?ServiceDateFrom=2025-11-24&amp;ServiceDateTo=2025-11-24&amp;DumpsterInvNr=13-P-211971", "13-P-211971")</f>
        <v>13-P-211971</v>
      </c>
      <c r="C4971">
        <v>0.24</v>
      </c>
      <c r="D4971" t="s">
        <v>6888</v>
      </c>
      <c r="E4971" t="s">
        <v>11</v>
      </c>
      <c r="G4971" t="s">
        <v>234</v>
      </c>
      <c r="H4971" t="s">
        <v>14</v>
      </c>
    </row>
    <row r="4972" spans="1:8" hidden="1" x14ac:dyDescent="0.25">
      <c r="A4972" t="s">
        <v>6889</v>
      </c>
      <c r="B4972" s="1" t="str">
        <f>HYPERLINK("https://asmlis.vasa.lt/Dashboard/Served?ServiceDateFrom=2025-11-24&amp;ServiceDateTo=2025-11-24&amp;DumpsterInvNr=13-L-125911", "13-L-125911")</f>
        <v>13-L-125911</v>
      </c>
      <c r="C4972">
        <v>0.24</v>
      </c>
      <c r="D4972" t="s">
        <v>6875</v>
      </c>
      <c r="E4972" t="s">
        <v>11</v>
      </c>
      <c r="G4972" t="s">
        <v>430</v>
      </c>
      <c r="H4972" t="s">
        <v>432</v>
      </c>
    </row>
    <row r="4973" spans="1:8" hidden="1" x14ac:dyDescent="0.25">
      <c r="A4973" t="s">
        <v>6891</v>
      </c>
      <c r="B4973" s="1" t="str">
        <f>HYPERLINK("https://asmlis.vasa.lt/Dashboard/Served?ServiceDateFrom=2025-11-24&amp;ServiceDateTo=2025-11-24&amp;DumpsterInvNr=13-L-420285", "13-L-420285")</f>
        <v>13-L-420285</v>
      </c>
      <c r="C4973">
        <v>5</v>
      </c>
      <c r="D4973" t="s">
        <v>6892</v>
      </c>
      <c r="E4973" t="s">
        <v>11</v>
      </c>
      <c r="F4973" t="s">
        <v>13</v>
      </c>
      <c r="G4973" t="s">
        <v>74</v>
      </c>
      <c r="H4973" t="s">
        <v>14</v>
      </c>
    </row>
    <row r="4974" spans="1:8" hidden="1" x14ac:dyDescent="0.25">
      <c r="A4974" t="s">
        <v>6893</v>
      </c>
      <c r="B4974" s="1" t="str">
        <f>HYPERLINK("https://asmlis.vasa.lt/Dashboard/Served?ServiceDateFrom=2025-11-24&amp;ServiceDateTo=2025-11-24&amp;DumpsterInvNr=13-P-505383", "13-P-505383")</f>
        <v>13-P-505383</v>
      </c>
      <c r="C4974">
        <v>0.24</v>
      </c>
      <c r="D4974" t="s">
        <v>6875</v>
      </c>
      <c r="E4974" t="s">
        <v>11</v>
      </c>
      <c r="G4974" t="s">
        <v>2178</v>
      </c>
      <c r="H4974" t="s">
        <v>432</v>
      </c>
    </row>
    <row r="4975" spans="1:8" hidden="1" x14ac:dyDescent="0.25">
      <c r="A4975" t="s">
        <v>6894</v>
      </c>
      <c r="B4975" s="1" t="str">
        <f>HYPERLINK("https://asmlis.vasa.lt/Dashboard/Served?ServiceDateFrom=2025-11-24&amp;ServiceDateTo=2025-11-24&amp;DumpsterInvNr=13-L-414030", "13-L-414030")</f>
        <v>13-L-414030</v>
      </c>
      <c r="C4975">
        <v>0.24</v>
      </c>
      <c r="D4975" t="s">
        <v>6895</v>
      </c>
      <c r="E4975" t="s">
        <v>11</v>
      </c>
      <c r="G4975" t="s">
        <v>74</v>
      </c>
      <c r="H4975" t="s">
        <v>14</v>
      </c>
    </row>
    <row r="4976" spans="1:8" hidden="1" x14ac:dyDescent="0.25">
      <c r="A4976" t="s">
        <v>6896</v>
      </c>
      <c r="B4976" s="1" t="str">
        <f>HYPERLINK("https://asmlis.vasa.lt/Dashboard/Served?ServiceDateFrom=2025-11-24&amp;ServiceDateTo=2025-11-24&amp;DumpsterInvNr=13-P-402030", "13-P-402030")</f>
        <v>13-P-402030</v>
      </c>
      <c r="C4976">
        <v>0.24</v>
      </c>
      <c r="D4976" t="s">
        <v>6898</v>
      </c>
      <c r="E4976" t="s">
        <v>11</v>
      </c>
      <c r="F4976" t="s">
        <v>1209</v>
      </c>
      <c r="G4976" t="s">
        <v>264</v>
      </c>
      <c r="H4976" t="s">
        <v>14</v>
      </c>
    </row>
    <row r="4977" spans="1:8" hidden="1" x14ac:dyDescent="0.25">
      <c r="A4977" t="s">
        <v>6899</v>
      </c>
      <c r="B4977" s="1" t="str">
        <f>HYPERLINK("https://asmlis.vasa.lt/Dashboard/Served?ServiceDateFrom=2025-11-24&amp;ServiceDateTo=2025-11-24&amp;DumpsterInvNr=13-P-500531", "13-P-500531")</f>
        <v>13-P-500531</v>
      </c>
      <c r="C4977">
        <v>5</v>
      </c>
      <c r="D4977" t="s">
        <v>6900</v>
      </c>
      <c r="E4977" t="s">
        <v>11</v>
      </c>
      <c r="F4977" t="s">
        <v>13</v>
      </c>
      <c r="G4977" t="s">
        <v>2178</v>
      </c>
      <c r="H4977" t="s">
        <v>432</v>
      </c>
    </row>
    <row r="4978" spans="1:8" hidden="1" x14ac:dyDescent="0.25">
      <c r="A4978" t="s">
        <v>6899</v>
      </c>
      <c r="B4978" s="1" t="str">
        <f>HYPERLINK("https://asmlis.vasa.lt/Dashboard/Served?ServiceDateFrom=2025-11-24&amp;ServiceDateTo=2025-11-24&amp;DumpsterInvNr=13-P-109526", "13-P-109526")</f>
        <v>13-P-109526</v>
      </c>
      <c r="C4978">
        <v>1.1000000000000001</v>
      </c>
      <c r="D4978" t="s">
        <v>6872</v>
      </c>
      <c r="E4978" t="s">
        <v>11</v>
      </c>
      <c r="G4978" t="s">
        <v>1917</v>
      </c>
      <c r="H4978" t="s">
        <v>432</v>
      </c>
    </row>
    <row r="4979" spans="1:8" hidden="1" x14ac:dyDescent="0.25">
      <c r="A4979" t="s">
        <v>6902</v>
      </c>
      <c r="B4979" s="1" t="str">
        <f>HYPERLINK("https://asmlis.vasa.lt/Dashboard/Served?ServiceDateFrom=2025-11-24&amp;ServiceDateTo=2025-11-24&amp;DumpsterInvNr=13-L-135796", "13-L-135796")</f>
        <v>13-L-135796</v>
      </c>
      <c r="C4979">
        <v>5</v>
      </c>
      <c r="D4979" t="s">
        <v>6903</v>
      </c>
      <c r="E4979" t="s">
        <v>11</v>
      </c>
      <c r="F4979" t="s">
        <v>13</v>
      </c>
      <c r="G4979" t="s">
        <v>430</v>
      </c>
      <c r="H4979" t="s">
        <v>432</v>
      </c>
    </row>
    <row r="4980" spans="1:8" hidden="1" x14ac:dyDescent="0.25">
      <c r="A4980" t="s">
        <v>6904</v>
      </c>
      <c r="B4980" s="1" t="str">
        <f>HYPERLINK("https://asmlis.vasa.lt/Dashboard/Served?ServiceDateFrom=2025-11-24&amp;ServiceDateTo=2025-11-24&amp;DumpsterInvNr=13-P-490031", "13-P-490031")</f>
        <v>13-P-490031</v>
      </c>
      <c r="C4980">
        <v>0.24</v>
      </c>
      <c r="D4980" t="s">
        <v>6905</v>
      </c>
      <c r="E4980" t="s">
        <v>11</v>
      </c>
      <c r="F4980" t="s">
        <v>1209</v>
      </c>
      <c r="G4980" t="s">
        <v>264</v>
      </c>
      <c r="H4980" t="s">
        <v>14</v>
      </c>
    </row>
    <row r="4981" spans="1:8" hidden="1" x14ac:dyDescent="0.25">
      <c r="A4981" t="s">
        <v>5672</v>
      </c>
      <c r="B4981" s="1" t="str">
        <f>HYPERLINK("https://asmlis.vasa.lt/Dashboard/Served?ServiceDateFrom=2025-11-24&amp;ServiceDateTo=2025-11-24&amp;DumpsterInvNr=13-P-490030", "13-P-490030")</f>
        <v>13-P-490030</v>
      </c>
      <c r="C4981">
        <v>0.24</v>
      </c>
      <c r="D4981" t="s">
        <v>6906</v>
      </c>
      <c r="E4981" t="s">
        <v>11</v>
      </c>
      <c r="F4981" t="s">
        <v>1209</v>
      </c>
      <c r="G4981" t="s">
        <v>264</v>
      </c>
      <c r="H4981" t="s">
        <v>14</v>
      </c>
    </row>
    <row r="4982" spans="1:8" hidden="1" x14ac:dyDescent="0.25">
      <c r="A4982" t="s">
        <v>6897</v>
      </c>
      <c r="B4982" s="1" t="str">
        <f>HYPERLINK("https://asmlis.vasa.lt/Dashboard/Served?ServiceDateFrom=2025-11-24&amp;ServiceDateTo=2025-11-24&amp;DumpsterInvNr=13-L-421601", "13-L-421601")</f>
        <v>13-L-421601</v>
      </c>
      <c r="C4982">
        <v>1.1000000000000001</v>
      </c>
      <c r="D4982" t="s">
        <v>6869</v>
      </c>
      <c r="E4982" t="s">
        <v>11</v>
      </c>
      <c r="G4982" t="s">
        <v>74</v>
      </c>
      <c r="H4982" t="s">
        <v>14</v>
      </c>
    </row>
    <row r="4983" spans="1:8" hidden="1" x14ac:dyDescent="0.25">
      <c r="A4983" t="s">
        <v>6907</v>
      </c>
      <c r="B4983" s="1" t="str">
        <f>HYPERLINK("https://asmlis.vasa.lt/Dashboard/Served?ServiceDateFrom=2025-11-24&amp;ServiceDateTo=2025-11-24&amp;DumpsterInvNr=13-P-500462", "13-P-500462")</f>
        <v>13-P-500462</v>
      </c>
      <c r="C4983">
        <v>5</v>
      </c>
      <c r="D4983" t="s">
        <v>6908</v>
      </c>
      <c r="E4983" t="s">
        <v>11</v>
      </c>
      <c r="F4983" t="s">
        <v>13</v>
      </c>
      <c r="G4983" t="s">
        <v>2178</v>
      </c>
      <c r="H4983" t="s">
        <v>432</v>
      </c>
    </row>
    <row r="4984" spans="1:8" hidden="1" x14ac:dyDescent="0.25">
      <c r="A4984" t="s">
        <v>6909</v>
      </c>
      <c r="B4984" s="1" t="str">
        <f>HYPERLINK("https://asmlis.vasa.lt/Dashboard/Served?ServiceDateFrom=2025-11-24&amp;ServiceDateTo=2025-11-24&amp;DumpsterInvNr=13-L-144224", "13-L-144224")</f>
        <v>13-L-144224</v>
      </c>
      <c r="C4984">
        <v>0.12</v>
      </c>
      <c r="D4984" t="s">
        <v>6875</v>
      </c>
      <c r="E4984" t="s">
        <v>11</v>
      </c>
      <c r="F4984" t="s">
        <v>1209</v>
      </c>
      <c r="G4984" t="s">
        <v>430</v>
      </c>
      <c r="H4984" t="s">
        <v>432</v>
      </c>
    </row>
    <row r="4985" spans="1:8" hidden="1" x14ac:dyDescent="0.25">
      <c r="A4985" t="s">
        <v>6909</v>
      </c>
      <c r="B4985" s="1" t="str">
        <f>HYPERLINK("https://asmlis.vasa.lt/Dashboard/Served?ServiceDateFrom=2025-11-24&amp;ServiceDateTo=2025-11-24&amp;DumpsterInvNr=13-S-208739", "13-S-208739")</f>
        <v>13-S-208739</v>
      </c>
      <c r="C4985">
        <v>0.12</v>
      </c>
      <c r="D4985" t="s">
        <v>6910</v>
      </c>
      <c r="E4985" t="s">
        <v>11</v>
      </c>
      <c r="G4985" t="s">
        <v>234</v>
      </c>
      <c r="H4985" t="s">
        <v>14</v>
      </c>
    </row>
    <row r="4986" spans="1:8" hidden="1" x14ac:dyDescent="0.25">
      <c r="A4986" t="s">
        <v>6911</v>
      </c>
      <c r="B4986" s="1" t="str">
        <f>HYPERLINK("https://asmlis.vasa.lt/Dashboard/Served?ServiceDateFrom=2025-11-24&amp;ServiceDateTo=2025-11-24&amp;DumpsterInvNr=13-L-223735", "13-L-223735")</f>
        <v>13-L-223735</v>
      </c>
      <c r="C4986">
        <v>1.1000000000000001</v>
      </c>
      <c r="D4986" t="s">
        <v>6912</v>
      </c>
      <c r="E4986" t="s">
        <v>11</v>
      </c>
      <c r="G4986" t="s">
        <v>936</v>
      </c>
      <c r="H4986" t="s">
        <v>938</v>
      </c>
    </row>
    <row r="4987" spans="1:8" hidden="1" x14ac:dyDescent="0.25">
      <c r="A4987" t="s">
        <v>6913</v>
      </c>
      <c r="B4987" s="1" t="str">
        <f>HYPERLINK("https://asmlis.vasa.lt/Dashboard/Served?ServiceDateFrom=2025-11-24&amp;ServiceDateTo=2025-11-24&amp;DumpsterInvNr=13-L-118178", "13-L-118178")</f>
        <v>13-L-118178</v>
      </c>
      <c r="C4987">
        <v>0.24</v>
      </c>
      <c r="D4987" t="s">
        <v>6914</v>
      </c>
      <c r="E4987" t="s">
        <v>11</v>
      </c>
      <c r="G4987" t="s">
        <v>1912</v>
      </c>
      <c r="H4987" t="s">
        <v>432</v>
      </c>
    </row>
    <row r="4988" spans="1:8" hidden="1" x14ac:dyDescent="0.25">
      <c r="A4988" t="s">
        <v>5398</v>
      </c>
      <c r="B4988" s="1" t="str">
        <f>HYPERLINK("https://asmlis.vasa.lt/Dashboard/Served?ServiceDateFrom=2025-11-24&amp;ServiceDateTo=2025-11-24&amp;DumpsterInvNr=13-P-112252", "13-P-112252")</f>
        <v>13-P-112252</v>
      </c>
      <c r="C4988">
        <v>0.24</v>
      </c>
      <c r="D4988" t="s">
        <v>6914</v>
      </c>
      <c r="E4988" t="s">
        <v>11</v>
      </c>
      <c r="G4988" t="s">
        <v>1917</v>
      </c>
      <c r="H4988" t="s">
        <v>432</v>
      </c>
    </row>
    <row r="4989" spans="1:8" hidden="1" x14ac:dyDescent="0.25">
      <c r="A4989" t="s">
        <v>6187</v>
      </c>
      <c r="B4989" s="1" t="str">
        <f>HYPERLINK("https://asmlis.vasa.lt/Dashboard/Served?ServiceDateFrom=2025-11-24&amp;ServiceDateTo=2025-11-24&amp;DumpsterInvNr=13-L-140793", "13-L-140793")</f>
        <v>13-L-140793</v>
      </c>
      <c r="C4989">
        <v>0.24</v>
      </c>
      <c r="D4989" t="s">
        <v>6917</v>
      </c>
      <c r="E4989" t="s">
        <v>11</v>
      </c>
      <c r="G4989" t="s">
        <v>430</v>
      </c>
      <c r="H4989" t="s">
        <v>432</v>
      </c>
    </row>
    <row r="4990" spans="1:8" hidden="1" x14ac:dyDescent="0.25">
      <c r="A4990" t="s">
        <v>6187</v>
      </c>
      <c r="B4990" s="1" t="str">
        <f>HYPERLINK("https://asmlis.vasa.lt/Dashboard/Served?ServiceDateFrom=2025-11-24&amp;ServiceDateTo=2025-11-24&amp;DumpsterInvNr=13-P-205390", "13-P-205390")</f>
        <v>13-P-205390</v>
      </c>
      <c r="C4990">
        <v>0.24</v>
      </c>
      <c r="D4990" t="s">
        <v>6918</v>
      </c>
      <c r="E4990" t="s">
        <v>11</v>
      </c>
      <c r="F4990" t="s">
        <v>1209</v>
      </c>
      <c r="G4990" t="s">
        <v>234</v>
      </c>
      <c r="H4990" t="s">
        <v>14</v>
      </c>
    </row>
    <row r="4991" spans="1:8" hidden="1" x14ac:dyDescent="0.25">
      <c r="A4991" t="s">
        <v>6187</v>
      </c>
      <c r="B4991" s="1" t="str">
        <f>HYPERLINK("https://asmlis.vasa.lt/Dashboard/Served?ServiceDateFrom=2025-11-24&amp;ServiceDateTo=2025-11-24&amp;DumpsterInvNr=13-P-505384", "13-P-505384")</f>
        <v>13-P-505384</v>
      </c>
      <c r="C4991">
        <v>0.24</v>
      </c>
      <c r="D4991" t="s">
        <v>6917</v>
      </c>
      <c r="E4991" t="s">
        <v>11</v>
      </c>
      <c r="G4991" t="s">
        <v>2178</v>
      </c>
      <c r="H4991" t="s">
        <v>432</v>
      </c>
    </row>
    <row r="4992" spans="1:8" hidden="1" x14ac:dyDescent="0.25">
      <c r="A4992" t="s">
        <v>6919</v>
      </c>
      <c r="B4992" s="1" t="str">
        <f>HYPERLINK("https://asmlis.vasa.lt/Dashboard/Served?ServiceDateFrom=2025-11-24&amp;ServiceDateTo=2025-11-24&amp;DumpsterInvNr=13-L-203588", "13-L-203588")</f>
        <v>13-L-203588</v>
      </c>
      <c r="C4992">
        <v>0.24</v>
      </c>
      <c r="D4992" t="s">
        <v>6920</v>
      </c>
      <c r="E4992" t="s">
        <v>11</v>
      </c>
      <c r="G4992" t="s">
        <v>936</v>
      </c>
      <c r="H4992" t="s">
        <v>938</v>
      </c>
    </row>
    <row r="4993" spans="1:8" hidden="1" x14ac:dyDescent="0.25">
      <c r="A4993" t="s">
        <v>6921</v>
      </c>
      <c r="B4993" s="1" t="str">
        <f>HYPERLINK("https://asmlis.vasa.lt/Dashboard/Served?ServiceDateFrom=2025-11-24&amp;ServiceDateTo=2025-11-24&amp;DumpsterInvNr=13-P-301768", "13-P-301768")</f>
        <v>13-P-301768</v>
      </c>
      <c r="C4993">
        <v>1.1000000000000001</v>
      </c>
      <c r="D4993" t="s">
        <v>1333</v>
      </c>
      <c r="E4993" t="s">
        <v>11</v>
      </c>
      <c r="F4993" t="s">
        <v>13</v>
      </c>
      <c r="G4993" t="s">
        <v>412</v>
      </c>
      <c r="H4993" t="s">
        <v>14</v>
      </c>
    </row>
    <row r="4994" spans="1:8" hidden="1" x14ac:dyDescent="0.25">
      <c r="A4994" t="s">
        <v>6127</v>
      </c>
      <c r="B4994" s="1" t="str">
        <f>HYPERLINK("https://asmlis.vasa.lt/Dashboard/Served?ServiceDateFrom=2025-11-24&amp;ServiceDateTo=2025-11-24&amp;DumpsterInvNr=13-L-424049", "13-L-424049")</f>
        <v>13-L-424049</v>
      </c>
      <c r="C4994">
        <v>1.1000000000000001</v>
      </c>
      <c r="D4994" t="s">
        <v>6869</v>
      </c>
      <c r="E4994" t="s">
        <v>11</v>
      </c>
      <c r="G4994" t="s">
        <v>74</v>
      </c>
      <c r="H4994" t="s">
        <v>14</v>
      </c>
    </row>
    <row r="4995" spans="1:8" hidden="1" x14ac:dyDescent="0.25">
      <c r="A4995" t="s">
        <v>6901</v>
      </c>
      <c r="B4995" s="1" t="str">
        <f>HYPERLINK("https://asmlis.vasa.lt/Dashboard/Served?ServiceDateFrom=2025-11-24&amp;ServiceDateTo=2025-11-24&amp;DumpsterInvNr=13-P-414793", "13-P-414793")</f>
        <v>13-P-414793</v>
      </c>
      <c r="C4995">
        <v>0.24</v>
      </c>
      <c r="D4995" t="s">
        <v>6922</v>
      </c>
      <c r="E4995" t="s">
        <v>11</v>
      </c>
      <c r="G4995" t="s">
        <v>264</v>
      </c>
      <c r="H4995" t="s">
        <v>14</v>
      </c>
    </row>
    <row r="4996" spans="1:8" hidden="1" x14ac:dyDescent="0.25">
      <c r="A4996" t="s">
        <v>6901</v>
      </c>
      <c r="B4996" s="1" t="str">
        <f>HYPERLINK("https://asmlis.vasa.lt/Dashboard/Served?ServiceDateFrom=2025-11-24&amp;ServiceDateTo=2025-11-24&amp;DumpsterInvNr=13-P-408911", "13-P-408911")</f>
        <v>13-P-408911</v>
      </c>
      <c r="C4996">
        <v>0.24</v>
      </c>
      <c r="D4996" t="s">
        <v>6923</v>
      </c>
      <c r="E4996" t="s">
        <v>11</v>
      </c>
      <c r="G4996" t="s">
        <v>264</v>
      </c>
      <c r="H4996" t="s">
        <v>14</v>
      </c>
    </row>
    <row r="4997" spans="1:8" hidden="1" x14ac:dyDescent="0.25">
      <c r="A4997" t="s">
        <v>6131</v>
      </c>
      <c r="B4997" s="1" t="str">
        <f>HYPERLINK("https://asmlis.vasa.lt/Dashboard/Served?ServiceDateFrom=2025-11-24&amp;ServiceDateTo=2025-11-24&amp;DumpsterInvNr=13-L-225321", "13-L-225321")</f>
        <v>13-L-225321</v>
      </c>
      <c r="C4997">
        <v>0.24</v>
      </c>
      <c r="D4997" t="s">
        <v>6924</v>
      </c>
      <c r="E4997" t="s">
        <v>11</v>
      </c>
      <c r="F4997" t="s">
        <v>1209</v>
      </c>
      <c r="G4997" t="s">
        <v>936</v>
      </c>
      <c r="H4997" t="s">
        <v>938</v>
      </c>
    </row>
    <row r="4998" spans="1:8" hidden="1" x14ac:dyDescent="0.25">
      <c r="A4998" t="s">
        <v>6149</v>
      </c>
      <c r="B4998" s="1" t="str">
        <f>HYPERLINK("https://asmlis.vasa.lt/Dashboard/Served?ServiceDateFrom=2025-11-24&amp;ServiceDateTo=2025-11-24&amp;DumpsterInvNr=13-L-145857", "13-L-145857")</f>
        <v>13-L-145857</v>
      </c>
      <c r="C4998">
        <v>5</v>
      </c>
      <c r="D4998" t="s">
        <v>6925</v>
      </c>
      <c r="E4998" t="s">
        <v>11</v>
      </c>
      <c r="F4998" t="s">
        <v>13</v>
      </c>
      <c r="G4998" t="s">
        <v>1912</v>
      </c>
      <c r="H4998" t="s">
        <v>432</v>
      </c>
    </row>
    <row r="4999" spans="1:8" hidden="1" x14ac:dyDescent="0.25">
      <c r="A4999" t="s">
        <v>6259</v>
      </c>
      <c r="B4999" s="1" t="str">
        <f>HYPERLINK("https://asmlis.vasa.lt/Dashboard/Served?ServiceDateFrom=2025-11-24&amp;ServiceDateTo=2025-11-24&amp;DumpsterInvNr=13-L-110947", "13-L-110947")</f>
        <v>13-L-110947</v>
      </c>
      <c r="C4999">
        <v>0.24</v>
      </c>
      <c r="D4999" t="s">
        <v>6926</v>
      </c>
      <c r="E4999" t="s">
        <v>11</v>
      </c>
      <c r="G4999" t="s">
        <v>430</v>
      </c>
      <c r="H4999" t="s">
        <v>432</v>
      </c>
    </row>
    <row r="5000" spans="1:8" hidden="1" x14ac:dyDescent="0.25">
      <c r="A5000" t="s">
        <v>6259</v>
      </c>
      <c r="B5000" s="1" t="str">
        <f>HYPERLINK("https://asmlis.vasa.lt/Dashboard/Served?ServiceDateFrom=2025-11-24&amp;ServiceDateTo=2025-11-24&amp;DumpsterInvNr=13-P-505385", "13-P-505385")</f>
        <v>13-P-505385</v>
      </c>
      <c r="C5000">
        <v>0.12</v>
      </c>
      <c r="D5000" t="s">
        <v>6926</v>
      </c>
      <c r="E5000" t="s">
        <v>11</v>
      </c>
      <c r="G5000" t="s">
        <v>2178</v>
      </c>
      <c r="H5000" t="s">
        <v>432</v>
      </c>
    </row>
    <row r="5001" spans="1:8" hidden="1" x14ac:dyDescent="0.25">
      <c r="A5001" t="s">
        <v>6929</v>
      </c>
      <c r="B5001" s="1" t="str">
        <f>HYPERLINK("https://asmlis.vasa.lt/Dashboard/Served?ServiceDateFrom=2025-11-24&amp;ServiceDateTo=2025-11-24&amp;DumpsterInvNr=13-P-213021", "13-P-213021")</f>
        <v>13-P-213021</v>
      </c>
      <c r="C5001">
        <v>1.1000000000000001</v>
      </c>
      <c r="D5001" t="s">
        <v>3541</v>
      </c>
      <c r="E5001" t="s">
        <v>11</v>
      </c>
      <c r="F5001" t="s">
        <v>13</v>
      </c>
      <c r="G5001" t="s">
        <v>234</v>
      </c>
      <c r="H5001" t="s">
        <v>14</v>
      </c>
    </row>
    <row r="5002" spans="1:8" hidden="1" x14ac:dyDescent="0.25">
      <c r="A5002" t="s">
        <v>6217</v>
      </c>
      <c r="B5002" s="1" t="str">
        <f>HYPERLINK("https://asmlis.vasa.lt/Dashboard/Served?ServiceDateFrom=2025-11-24&amp;ServiceDateTo=2025-11-24&amp;DumpsterInvNr=13-L-418949", "13-L-418949")</f>
        <v>13-L-418949</v>
      </c>
      <c r="C5002">
        <v>5</v>
      </c>
      <c r="D5002" t="s">
        <v>6930</v>
      </c>
      <c r="E5002" t="s">
        <v>11</v>
      </c>
      <c r="G5002" t="s">
        <v>74</v>
      </c>
      <c r="H5002" t="s">
        <v>14</v>
      </c>
    </row>
    <row r="5003" spans="1:8" hidden="1" x14ac:dyDescent="0.25">
      <c r="A5003" t="s">
        <v>6275</v>
      </c>
      <c r="B5003" s="1" t="str">
        <f>HYPERLINK("https://asmlis.vasa.lt/Dashboard/Served?ServiceDateFrom=2025-11-24&amp;ServiceDateTo=2025-11-24&amp;DumpsterInvNr=13-L-223441", "13-L-223441")</f>
        <v>13-L-223441</v>
      </c>
      <c r="C5003">
        <v>1.1000000000000001</v>
      </c>
      <c r="D5003" t="s">
        <v>5855</v>
      </c>
      <c r="E5003" t="s">
        <v>11</v>
      </c>
      <c r="G5003" t="s">
        <v>936</v>
      </c>
      <c r="H5003" t="s">
        <v>938</v>
      </c>
    </row>
    <row r="5004" spans="1:8" hidden="1" x14ac:dyDescent="0.25">
      <c r="A5004" t="s">
        <v>6275</v>
      </c>
      <c r="B5004" s="1" t="str">
        <f>HYPERLINK("https://asmlis.vasa.lt/Dashboard/Served?ServiceDateFrom=2025-11-24&amp;ServiceDateTo=2025-11-24&amp;DumpsterInvNr=13-L-425682", "13-L-425682")</f>
        <v>13-L-425682</v>
      </c>
      <c r="C5004">
        <v>1.1000000000000001</v>
      </c>
      <c r="D5004" t="s">
        <v>6869</v>
      </c>
      <c r="E5004" t="s">
        <v>11</v>
      </c>
      <c r="G5004" t="s">
        <v>74</v>
      </c>
      <c r="H5004" t="s">
        <v>14</v>
      </c>
    </row>
    <row r="5005" spans="1:8" hidden="1" x14ac:dyDescent="0.25">
      <c r="A5005" t="s">
        <v>6931</v>
      </c>
      <c r="B5005" s="1" t="str">
        <f>HYPERLINK("https://asmlis.vasa.lt/Dashboard/Served?ServiceDateFrom=2025-11-24&amp;ServiceDateTo=2025-11-24&amp;DumpsterInvNr=13-L-104076", "13-L-104076")</f>
        <v>13-L-104076</v>
      </c>
      <c r="C5005">
        <v>5</v>
      </c>
      <c r="D5005" t="s">
        <v>6932</v>
      </c>
      <c r="E5005" t="s">
        <v>11</v>
      </c>
      <c r="F5005" t="s">
        <v>13</v>
      </c>
      <c r="G5005" t="s">
        <v>430</v>
      </c>
      <c r="H5005" t="s">
        <v>432</v>
      </c>
    </row>
    <row r="5006" spans="1:8" hidden="1" x14ac:dyDescent="0.25">
      <c r="A5006" t="s">
        <v>6934</v>
      </c>
      <c r="B5006" s="1" t="str">
        <f>HYPERLINK("https://asmlis.vasa.lt/Dashboard/Served?ServiceDateFrom=2025-11-24&amp;ServiceDateTo=2025-11-24&amp;DumpsterInvNr=13-L-136706", "13-L-136706")</f>
        <v>13-L-136706</v>
      </c>
      <c r="C5006">
        <v>5</v>
      </c>
      <c r="D5006" t="s">
        <v>6935</v>
      </c>
      <c r="E5006" t="s">
        <v>11</v>
      </c>
      <c r="F5006" t="s">
        <v>13</v>
      </c>
      <c r="G5006" t="s">
        <v>430</v>
      </c>
      <c r="H5006" t="s">
        <v>432</v>
      </c>
    </row>
    <row r="5007" spans="1:8" hidden="1" x14ac:dyDescent="0.25">
      <c r="A5007" t="s">
        <v>6936</v>
      </c>
      <c r="B5007" s="1" t="str">
        <f>HYPERLINK("https://asmlis.vasa.lt/Dashboard/Served?ServiceDateFrom=2025-11-24&amp;ServiceDateTo=2025-11-24&amp;DumpsterInvNr=13-P-211021", "13-P-211021")</f>
        <v>13-P-211021</v>
      </c>
      <c r="C5007">
        <v>0.24</v>
      </c>
      <c r="D5007" t="s">
        <v>6937</v>
      </c>
      <c r="E5007" t="s">
        <v>11</v>
      </c>
      <c r="G5007" t="s">
        <v>234</v>
      </c>
      <c r="H5007" t="s">
        <v>14</v>
      </c>
    </row>
    <row r="5008" spans="1:8" hidden="1" x14ac:dyDescent="0.25">
      <c r="A5008" t="s">
        <v>6390</v>
      </c>
      <c r="B5008" s="1" t="str">
        <f>HYPERLINK("https://asmlis.vasa.lt/Dashboard/Served?ServiceDateFrom=2025-11-24&amp;ServiceDateTo=2025-11-24&amp;DumpsterInvNr=13-L-427061", "13-L-427061")</f>
        <v>13-L-427061</v>
      </c>
      <c r="C5008">
        <v>1.1000000000000001</v>
      </c>
      <c r="D5008" t="s">
        <v>6938</v>
      </c>
      <c r="E5008" t="s">
        <v>11</v>
      </c>
      <c r="F5008" t="s">
        <v>712</v>
      </c>
      <c r="G5008" t="s">
        <v>74</v>
      </c>
      <c r="H5008" t="s">
        <v>14</v>
      </c>
    </row>
    <row r="5009" spans="1:8" hidden="1" x14ac:dyDescent="0.25">
      <c r="A5009" t="s">
        <v>6939</v>
      </c>
      <c r="B5009" s="1" t="str">
        <f>HYPERLINK("https://asmlis.vasa.lt/Dashboard/Served?ServiceDateFrom=2025-11-24&amp;ServiceDateTo=2025-11-24&amp;DumpsterInvNr=13-L-148504", "13-L-148504")</f>
        <v>13-L-148504</v>
      </c>
      <c r="C5009">
        <v>0.24</v>
      </c>
      <c r="D5009" t="s">
        <v>6940</v>
      </c>
      <c r="E5009" t="s">
        <v>11</v>
      </c>
      <c r="G5009" t="s">
        <v>430</v>
      </c>
      <c r="H5009" t="s">
        <v>432</v>
      </c>
    </row>
    <row r="5010" spans="1:8" hidden="1" x14ac:dyDescent="0.25">
      <c r="A5010" t="s">
        <v>6424</v>
      </c>
      <c r="B5010" s="1" t="str">
        <f>HYPERLINK("https://asmlis.vasa.lt/Dashboard/Served?ServiceDateFrom=2025-11-24&amp;ServiceDateTo=2025-11-24&amp;DumpsterInvNr=13-P-415788", "13-P-415788")</f>
        <v>13-P-415788</v>
      </c>
      <c r="C5010">
        <v>2.5</v>
      </c>
      <c r="D5010" t="s">
        <v>6941</v>
      </c>
      <c r="E5010" t="s">
        <v>11</v>
      </c>
      <c r="F5010" t="s">
        <v>13</v>
      </c>
      <c r="G5010" t="s">
        <v>264</v>
      </c>
      <c r="H5010" t="s">
        <v>14</v>
      </c>
    </row>
    <row r="5011" spans="1:8" hidden="1" x14ac:dyDescent="0.25">
      <c r="A5011" t="s">
        <v>6942</v>
      </c>
      <c r="B5011" s="1" t="str">
        <f>HYPERLINK("https://asmlis.vasa.lt/Dashboard/Served?ServiceDateFrom=2025-11-24&amp;ServiceDateTo=2025-11-24&amp;DumpsterInvNr=13-P-412057", "13-P-412057")</f>
        <v>13-P-412057</v>
      </c>
      <c r="C5011">
        <v>2.5</v>
      </c>
      <c r="D5011" t="s">
        <v>6941</v>
      </c>
      <c r="E5011" t="s">
        <v>11</v>
      </c>
      <c r="F5011" t="s">
        <v>13</v>
      </c>
      <c r="G5011" t="s">
        <v>264</v>
      </c>
      <c r="H5011" t="s">
        <v>14</v>
      </c>
    </row>
    <row r="5012" spans="1:8" hidden="1" x14ac:dyDescent="0.25">
      <c r="A5012" t="s">
        <v>6943</v>
      </c>
      <c r="B5012" s="1" t="str">
        <f>HYPERLINK("https://asmlis.vasa.lt/Dashboard/Served?ServiceDateFrom=2025-11-24&amp;ServiceDateTo=2025-11-24&amp;DumpsterInvNr=13-P-509127", "13-P-509127")</f>
        <v>13-P-509127</v>
      </c>
      <c r="C5012">
        <v>0.24</v>
      </c>
      <c r="D5012" t="s">
        <v>6940</v>
      </c>
      <c r="E5012" t="s">
        <v>11</v>
      </c>
      <c r="F5012" t="s">
        <v>1209</v>
      </c>
      <c r="G5012" t="s">
        <v>2178</v>
      </c>
      <c r="H5012" t="s">
        <v>432</v>
      </c>
    </row>
    <row r="5013" spans="1:8" hidden="1" x14ac:dyDescent="0.25">
      <c r="A5013" t="s">
        <v>6453</v>
      </c>
      <c r="B5013" s="1" t="str">
        <f>HYPERLINK("https://asmlis.vasa.lt/Dashboard/Served?ServiceDateFrom=2025-11-24&amp;ServiceDateTo=2025-11-24&amp;DumpsterInvNr=13-L-314301", "13-L-314301")</f>
        <v>13-L-314301</v>
      </c>
      <c r="C5013">
        <v>5</v>
      </c>
      <c r="D5013" t="s">
        <v>6944</v>
      </c>
      <c r="E5013" t="s">
        <v>11</v>
      </c>
      <c r="F5013" t="s">
        <v>13</v>
      </c>
      <c r="G5013" t="s">
        <v>9</v>
      </c>
      <c r="H5013" t="s">
        <v>14</v>
      </c>
    </row>
    <row r="5014" spans="1:8" hidden="1" x14ac:dyDescent="0.25">
      <c r="A5014" t="s">
        <v>6945</v>
      </c>
      <c r="B5014" s="1" t="str">
        <f>HYPERLINK("https://asmlis.vasa.lt/Dashboard/Served?ServiceDateFrom=2025-11-24&amp;ServiceDateTo=2025-11-24&amp;DumpsterInvNr=13-P-412927", "13-P-412927")</f>
        <v>13-P-412927</v>
      </c>
      <c r="C5014">
        <v>0.24</v>
      </c>
      <c r="D5014" t="s">
        <v>6946</v>
      </c>
      <c r="E5014" t="s">
        <v>11</v>
      </c>
      <c r="G5014" t="s">
        <v>264</v>
      </c>
      <c r="H5014" t="s">
        <v>14</v>
      </c>
    </row>
    <row r="5015" spans="1:8" hidden="1" x14ac:dyDescent="0.25">
      <c r="A5015" t="s">
        <v>6947</v>
      </c>
      <c r="B5015" s="1" t="str">
        <f>HYPERLINK("https://asmlis.vasa.lt/Dashboard/Served?ServiceDateFrom=2025-11-24&amp;ServiceDateTo=2025-11-24&amp;DumpsterInvNr=13-L-414788", "13-L-414788")</f>
        <v>13-L-414788</v>
      </c>
      <c r="C5015">
        <v>1.1000000000000001</v>
      </c>
      <c r="D5015" t="s">
        <v>6869</v>
      </c>
      <c r="E5015" t="s">
        <v>11</v>
      </c>
      <c r="G5015" t="s">
        <v>74</v>
      </c>
      <c r="H5015" t="s">
        <v>14</v>
      </c>
    </row>
    <row r="5016" spans="1:8" hidden="1" x14ac:dyDescent="0.25">
      <c r="A5016" t="s">
        <v>6948</v>
      </c>
      <c r="B5016" s="1" t="str">
        <f>HYPERLINK("https://asmlis.vasa.lt/Dashboard/Served?ServiceDateFrom=2025-11-24&amp;ServiceDateTo=2025-11-24&amp;DumpsterInvNr=13-L-223440", "13-L-223440")</f>
        <v>13-L-223440</v>
      </c>
      <c r="C5016">
        <v>1.1000000000000001</v>
      </c>
      <c r="D5016" t="s">
        <v>6949</v>
      </c>
      <c r="E5016" t="s">
        <v>11</v>
      </c>
      <c r="G5016" t="s">
        <v>936</v>
      </c>
      <c r="H5016" t="s">
        <v>938</v>
      </c>
    </row>
    <row r="5017" spans="1:8" hidden="1" x14ac:dyDescent="0.25">
      <c r="A5017" t="s">
        <v>6950</v>
      </c>
      <c r="B5017" s="1" t="str">
        <f>HYPERLINK("https://asmlis.vasa.lt/Dashboard/Served?ServiceDateFrom=2025-11-24&amp;ServiceDateTo=2025-11-24&amp;DumpsterInvNr=13-L-110946", "13-L-110946")</f>
        <v>13-L-110946</v>
      </c>
      <c r="C5017">
        <v>0.12</v>
      </c>
      <c r="D5017" t="s">
        <v>6951</v>
      </c>
      <c r="E5017" t="s">
        <v>11</v>
      </c>
      <c r="G5017" t="s">
        <v>430</v>
      </c>
      <c r="H5017" t="s">
        <v>432</v>
      </c>
    </row>
    <row r="5018" spans="1:8" hidden="1" x14ac:dyDescent="0.25">
      <c r="A5018" t="s">
        <v>6953</v>
      </c>
      <c r="B5018" s="1" t="str">
        <f>HYPERLINK("https://asmlis.vasa.lt/Dashboard/Served?ServiceDateFrom=2025-11-24&amp;ServiceDateTo=2025-11-24&amp;DumpsterInvNr=13-L-422037", "13-L-422037")</f>
        <v>13-L-422037</v>
      </c>
      <c r="C5018">
        <v>5</v>
      </c>
      <c r="D5018" t="s">
        <v>1475</v>
      </c>
      <c r="E5018" t="s">
        <v>11</v>
      </c>
      <c r="F5018" t="s">
        <v>13</v>
      </c>
      <c r="G5018" t="s">
        <v>74</v>
      </c>
      <c r="H5018" t="s">
        <v>14</v>
      </c>
    </row>
    <row r="5019" spans="1:8" hidden="1" x14ac:dyDescent="0.25">
      <c r="A5019" t="s">
        <v>6954</v>
      </c>
      <c r="B5019" s="1" t="str">
        <f>HYPERLINK("https://asmlis.vasa.lt/Dashboard/Served?ServiceDateFrom=2025-11-24&amp;ServiceDateTo=2025-11-24&amp;DumpsterInvNr=13-L-408832", "13-L-408832")</f>
        <v>13-L-408832</v>
      </c>
      <c r="C5019">
        <v>0.12</v>
      </c>
      <c r="D5019" t="s">
        <v>3210</v>
      </c>
      <c r="E5019" t="s">
        <v>11</v>
      </c>
      <c r="G5019" t="s">
        <v>74</v>
      </c>
      <c r="H5019" t="s">
        <v>14</v>
      </c>
    </row>
    <row r="5020" spans="1:8" hidden="1" x14ac:dyDescent="0.25">
      <c r="A5020" t="s">
        <v>6954</v>
      </c>
      <c r="B5020" s="1" t="str">
        <f>HYPERLINK("https://asmlis.vasa.lt/Dashboard/Served?ServiceDateFrom=2025-11-24&amp;ServiceDateTo=2025-11-24&amp;DumpsterInvNr=13-L-408831", "13-L-408831")</f>
        <v>13-L-408831</v>
      </c>
      <c r="C5020">
        <v>0.12</v>
      </c>
      <c r="D5020" t="s">
        <v>3203</v>
      </c>
      <c r="E5020" t="s">
        <v>11</v>
      </c>
      <c r="G5020" t="s">
        <v>74</v>
      </c>
      <c r="H5020" t="s">
        <v>14</v>
      </c>
    </row>
    <row r="5021" spans="1:8" hidden="1" x14ac:dyDescent="0.25">
      <c r="A5021" t="s">
        <v>6955</v>
      </c>
      <c r="B5021" s="1" t="str">
        <f>HYPERLINK("https://asmlis.vasa.lt/Dashboard/Served?ServiceDateFrom=2025-11-24&amp;ServiceDateTo=2025-11-24&amp;DumpsterInvNr=13-L-211001", "13-L-211001")</f>
        <v>13-L-211001</v>
      </c>
      <c r="C5021">
        <v>5</v>
      </c>
      <c r="D5021" t="s">
        <v>5176</v>
      </c>
      <c r="E5021" t="s">
        <v>11</v>
      </c>
      <c r="G5021" t="s">
        <v>936</v>
      </c>
      <c r="H5021" t="s">
        <v>938</v>
      </c>
    </row>
    <row r="5022" spans="1:8" hidden="1" x14ac:dyDescent="0.25">
      <c r="A5022" t="s">
        <v>6955</v>
      </c>
      <c r="B5022" s="1" t="str">
        <f>HYPERLINK("https://asmlis.vasa.lt/Dashboard/Served?ServiceDateFrom=2025-11-24&amp;ServiceDateTo=2025-11-24&amp;DumpsterInvNr=13-P-205148", "13-P-205148")</f>
        <v>13-P-205148</v>
      </c>
      <c r="C5022">
        <v>0.24</v>
      </c>
      <c r="D5022" t="s">
        <v>6956</v>
      </c>
      <c r="E5022" t="s">
        <v>11</v>
      </c>
      <c r="G5022" t="s">
        <v>234</v>
      </c>
      <c r="H5022" t="s">
        <v>14</v>
      </c>
    </row>
    <row r="5023" spans="1:8" hidden="1" x14ac:dyDescent="0.25">
      <c r="A5023" t="s">
        <v>6957</v>
      </c>
      <c r="B5023" s="1" t="str">
        <f>HYPERLINK("https://asmlis.vasa.lt/Dashboard/Served?ServiceDateFrom=2025-11-24&amp;ServiceDateTo=2025-11-24&amp;DumpsterInvNr=13-L-416286", "13-L-416286")</f>
        <v>13-L-416286</v>
      </c>
      <c r="C5023">
        <v>5</v>
      </c>
      <c r="D5023" t="s">
        <v>6958</v>
      </c>
      <c r="E5023" t="s">
        <v>11</v>
      </c>
      <c r="F5023" t="s">
        <v>13</v>
      </c>
      <c r="G5023" t="s">
        <v>74</v>
      </c>
      <c r="H5023" t="s">
        <v>14</v>
      </c>
    </row>
    <row r="5024" spans="1:8" hidden="1" x14ac:dyDescent="0.25">
      <c r="A5024" t="s">
        <v>6959</v>
      </c>
      <c r="B5024" s="1" t="str">
        <f>HYPERLINK("https://asmlis.vasa.lt/Dashboard/Served?ServiceDateFrom=2025-11-24&amp;ServiceDateTo=2025-11-24&amp;DumpsterInvNr=13-P-205277", "13-P-205277")</f>
        <v>13-P-205277</v>
      </c>
      <c r="C5024">
        <v>0.24</v>
      </c>
      <c r="D5024" t="s">
        <v>6960</v>
      </c>
      <c r="E5024" t="s">
        <v>11</v>
      </c>
      <c r="G5024" t="s">
        <v>234</v>
      </c>
      <c r="H5024" t="s">
        <v>14</v>
      </c>
    </row>
    <row r="5025" spans="1:8" hidden="1" x14ac:dyDescent="0.25">
      <c r="A5025" t="s">
        <v>6961</v>
      </c>
      <c r="B5025" s="1" t="str">
        <f>HYPERLINK("https://asmlis.vasa.lt/Dashboard/Served?ServiceDateFrom=2025-11-24&amp;ServiceDateTo=2025-11-24&amp;DumpsterInvNr=13-L-413313", "13-L-413313")</f>
        <v>13-L-413313</v>
      </c>
      <c r="C5025">
        <v>5</v>
      </c>
      <c r="D5025" t="s">
        <v>6602</v>
      </c>
      <c r="E5025" t="s">
        <v>11</v>
      </c>
      <c r="F5025" t="s">
        <v>13</v>
      </c>
      <c r="G5025" t="s">
        <v>74</v>
      </c>
      <c r="H5025" t="s">
        <v>14</v>
      </c>
    </row>
    <row r="5026" spans="1:8" hidden="1" x14ac:dyDescent="0.25">
      <c r="A5026" t="s">
        <v>6962</v>
      </c>
      <c r="B5026" s="1" t="str">
        <f>HYPERLINK("https://asmlis.vasa.lt/Dashboard/Served?ServiceDateFrom=2025-11-24&amp;ServiceDateTo=2025-11-24&amp;DumpsterInvNr=13-P-500532", "13-P-500532")</f>
        <v>13-P-500532</v>
      </c>
      <c r="C5026">
        <v>5</v>
      </c>
      <c r="D5026" t="s">
        <v>6963</v>
      </c>
      <c r="E5026" t="s">
        <v>11</v>
      </c>
      <c r="F5026" t="s">
        <v>13</v>
      </c>
      <c r="G5026" t="s">
        <v>2178</v>
      </c>
      <c r="H5026" t="s">
        <v>432</v>
      </c>
    </row>
    <row r="5027" spans="1:8" hidden="1" x14ac:dyDescent="0.25">
      <c r="A5027" t="s">
        <v>6964</v>
      </c>
      <c r="B5027" s="1" t="str">
        <f>HYPERLINK("https://asmlis.vasa.lt/Dashboard/Served?ServiceDateFrom=2025-11-24&amp;ServiceDateTo=2025-11-24&amp;DumpsterInvNr=13-L-214078", "13-L-214078")</f>
        <v>13-L-214078</v>
      </c>
      <c r="C5027">
        <v>1.1000000000000001</v>
      </c>
      <c r="D5027" t="s">
        <v>6794</v>
      </c>
      <c r="E5027" t="s">
        <v>11</v>
      </c>
      <c r="G5027" t="s">
        <v>936</v>
      </c>
      <c r="H5027" t="s">
        <v>938</v>
      </c>
    </row>
    <row r="5028" spans="1:8" hidden="1" x14ac:dyDescent="0.25">
      <c r="A5028" t="s">
        <v>6965</v>
      </c>
      <c r="B5028" s="1" t="str">
        <f>HYPERLINK("https://asmlis.vasa.lt/Dashboard/Served?ServiceDateFrom=2025-11-24&amp;ServiceDateTo=2025-11-24&amp;DumpsterInvNr=13-L-416285", "13-L-416285")</f>
        <v>13-L-416285</v>
      </c>
      <c r="C5028">
        <v>5</v>
      </c>
      <c r="D5028" t="s">
        <v>6966</v>
      </c>
      <c r="E5028" t="s">
        <v>11</v>
      </c>
      <c r="F5028" t="s">
        <v>13</v>
      </c>
      <c r="G5028" t="s">
        <v>74</v>
      </c>
      <c r="H5028" t="s">
        <v>14</v>
      </c>
    </row>
    <row r="5029" spans="1:8" hidden="1" x14ac:dyDescent="0.25">
      <c r="A5029" t="s">
        <v>6967</v>
      </c>
      <c r="B5029" s="1" t="str">
        <f>HYPERLINK("https://asmlis.vasa.lt/Dashboard/Served?ServiceDateFrom=2025-11-24&amp;ServiceDateTo=2025-11-24&amp;DumpsterInvNr=13-P-300610", "13-P-300610")</f>
        <v>13-P-300610</v>
      </c>
      <c r="C5029">
        <v>1.1000000000000001</v>
      </c>
      <c r="D5029" t="s">
        <v>6968</v>
      </c>
      <c r="E5029" t="s">
        <v>11</v>
      </c>
      <c r="G5029" t="s">
        <v>412</v>
      </c>
      <c r="H5029" t="s">
        <v>14</v>
      </c>
    </row>
    <row r="5030" spans="1:8" hidden="1" x14ac:dyDescent="0.25">
      <c r="A5030" t="s">
        <v>6969</v>
      </c>
      <c r="B5030" s="1" t="str">
        <f>HYPERLINK("https://asmlis.vasa.lt/Dashboard/Served?ServiceDateFrom=2025-11-24&amp;ServiceDateTo=2025-11-24&amp;DumpsterInvNr=13-L-411211", "13-L-411211")</f>
        <v>13-L-411211</v>
      </c>
      <c r="C5030">
        <v>1.1000000000000001</v>
      </c>
      <c r="D5030" t="s">
        <v>6869</v>
      </c>
      <c r="E5030" t="s">
        <v>11</v>
      </c>
      <c r="F5030" t="s">
        <v>13</v>
      </c>
      <c r="G5030" t="s">
        <v>74</v>
      </c>
      <c r="H5030" t="s">
        <v>14</v>
      </c>
    </row>
    <row r="5031" spans="1:8" hidden="1" x14ac:dyDescent="0.25">
      <c r="A5031" t="s">
        <v>6970</v>
      </c>
      <c r="B5031" s="1" t="str">
        <f>HYPERLINK("https://asmlis.vasa.lt/Dashboard/Served?ServiceDateFrom=2025-11-24&amp;ServiceDateTo=2025-11-24&amp;DumpsterInvNr=13-P-112183", "13-P-112183")</f>
        <v>13-P-112183</v>
      </c>
      <c r="C5031">
        <v>0.24</v>
      </c>
      <c r="D5031" t="s">
        <v>6971</v>
      </c>
      <c r="E5031" t="s">
        <v>11</v>
      </c>
      <c r="G5031" t="s">
        <v>1917</v>
      </c>
      <c r="H5031" t="s">
        <v>432</v>
      </c>
    </row>
    <row r="5032" spans="1:8" hidden="1" x14ac:dyDescent="0.25">
      <c r="A5032" t="s">
        <v>6972</v>
      </c>
      <c r="B5032" s="1" t="str">
        <f>HYPERLINK("https://asmlis.vasa.lt/Dashboard/Served?ServiceDateFrom=2025-11-24&amp;ServiceDateTo=2025-11-24&amp;DumpsterInvNr=13-P-300603", "13-P-300603")</f>
        <v>13-P-300603</v>
      </c>
      <c r="C5032">
        <v>1.1000000000000001</v>
      </c>
      <c r="D5032" t="s">
        <v>6968</v>
      </c>
      <c r="E5032" t="s">
        <v>11</v>
      </c>
      <c r="F5032" t="s">
        <v>13</v>
      </c>
      <c r="G5032" t="s">
        <v>412</v>
      </c>
      <c r="H5032" t="s">
        <v>14</v>
      </c>
    </row>
    <row r="5033" spans="1:8" hidden="1" x14ac:dyDescent="0.25">
      <c r="A5033" t="s">
        <v>6973</v>
      </c>
      <c r="B5033" s="1" t="str">
        <f>HYPERLINK("https://asmlis.vasa.lt/Dashboard/Served?ServiceDateFrom=2025-11-24&amp;ServiceDateTo=2025-11-24&amp;DumpsterInvNr=13-L-118180", "13-L-118180")</f>
        <v>13-L-118180</v>
      </c>
      <c r="C5033">
        <v>0.24</v>
      </c>
      <c r="D5033" t="s">
        <v>6971</v>
      </c>
      <c r="E5033" t="s">
        <v>11</v>
      </c>
      <c r="G5033" t="s">
        <v>1912</v>
      </c>
      <c r="H5033" t="s">
        <v>432</v>
      </c>
    </row>
    <row r="5034" spans="1:8" hidden="1" x14ac:dyDescent="0.25">
      <c r="A5034" t="s">
        <v>6975</v>
      </c>
      <c r="B5034" s="1" t="str">
        <f>HYPERLINK("https://asmlis.vasa.lt/Dashboard/Served?ServiceDateFrom=2025-11-24&amp;ServiceDateTo=2025-11-24&amp;DumpsterInvNr=13-L-422888", "13-L-422888")</f>
        <v>13-L-422888</v>
      </c>
      <c r="C5034">
        <v>1.1000000000000001</v>
      </c>
      <c r="D5034" t="s">
        <v>6869</v>
      </c>
      <c r="E5034" t="s">
        <v>11</v>
      </c>
      <c r="F5034" t="s">
        <v>13</v>
      </c>
      <c r="G5034" t="s">
        <v>74</v>
      </c>
      <c r="H5034" t="s">
        <v>14</v>
      </c>
    </row>
    <row r="5035" spans="1:8" hidden="1" x14ac:dyDescent="0.25">
      <c r="A5035" t="s">
        <v>6322</v>
      </c>
      <c r="B5035" s="1" t="str">
        <f>HYPERLINK("https://asmlis.vasa.lt/Dashboard/Served?ServiceDateFrom=2025-11-24&amp;ServiceDateTo=2025-11-24&amp;DumpsterInvNr=13-L-414775", "13-L-414775")</f>
        <v>13-L-414775</v>
      </c>
      <c r="C5035">
        <v>1.1000000000000001</v>
      </c>
      <c r="D5035" t="s">
        <v>6869</v>
      </c>
      <c r="E5035" t="s">
        <v>11</v>
      </c>
      <c r="F5035" t="s">
        <v>13</v>
      </c>
      <c r="G5035" t="s">
        <v>74</v>
      </c>
      <c r="H5035" t="s">
        <v>14</v>
      </c>
    </row>
    <row r="5036" spans="1:8" hidden="1" x14ac:dyDescent="0.25">
      <c r="A5036" t="s">
        <v>6349</v>
      </c>
      <c r="B5036" s="1" t="str">
        <f>HYPERLINK("https://asmlis.vasa.lt/Dashboard/Served?ServiceDateFrom=2025-11-24&amp;ServiceDateTo=2025-11-24&amp;DumpsterInvNr=13-S-206464", "13-S-206464")</f>
        <v>13-S-206464</v>
      </c>
      <c r="C5036">
        <v>0.12</v>
      </c>
      <c r="D5036" t="s">
        <v>6960</v>
      </c>
      <c r="E5036" t="s">
        <v>11</v>
      </c>
      <c r="G5036" t="s">
        <v>234</v>
      </c>
      <c r="H5036" t="s">
        <v>14</v>
      </c>
    </row>
    <row r="5037" spans="1:8" hidden="1" x14ac:dyDescent="0.25">
      <c r="A5037" t="s">
        <v>6976</v>
      </c>
      <c r="B5037" s="1" t="str">
        <f>HYPERLINK("https://asmlis.vasa.lt/Dashboard/Served?ServiceDateFrom=2025-11-24&amp;ServiceDateTo=2025-11-24&amp;DumpsterInvNr=13-L-421182", "13-L-421182")</f>
        <v>13-L-421182</v>
      </c>
      <c r="C5037">
        <v>1.1000000000000001</v>
      </c>
      <c r="D5037" t="s">
        <v>6869</v>
      </c>
      <c r="E5037" t="s">
        <v>11</v>
      </c>
      <c r="F5037" t="s">
        <v>13</v>
      </c>
      <c r="G5037" t="s">
        <v>74</v>
      </c>
      <c r="H5037" t="s">
        <v>14</v>
      </c>
    </row>
    <row r="5038" spans="1:8" hidden="1" x14ac:dyDescent="0.25">
      <c r="A5038" t="s">
        <v>6370</v>
      </c>
      <c r="B5038" s="1" t="str">
        <f>HYPERLINK("https://asmlis.vasa.lt/Dashboard/Served?ServiceDateFrom=2025-11-24&amp;ServiceDateTo=2025-11-24&amp;DumpsterInvNr=13-L-424065", "13-L-424065")</f>
        <v>13-L-424065</v>
      </c>
      <c r="C5038">
        <v>1.1000000000000001</v>
      </c>
      <c r="D5038" t="s">
        <v>6869</v>
      </c>
      <c r="E5038" t="s">
        <v>11</v>
      </c>
      <c r="F5038" t="s">
        <v>13</v>
      </c>
      <c r="G5038" t="s">
        <v>74</v>
      </c>
      <c r="H5038" t="s">
        <v>14</v>
      </c>
    </row>
    <row r="5039" spans="1:8" hidden="1" x14ac:dyDescent="0.25">
      <c r="A5039" t="s">
        <v>6411</v>
      </c>
      <c r="B5039" s="1" t="str">
        <f>HYPERLINK("https://asmlis.vasa.lt/Dashboard/Served?ServiceDateFrom=2025-11-24&amp;ServiceDateTo=2025-11-24&amp;DumpsterInvNr=13-S-206430", "13-S-206430")</f>
        <v>13-S-206430</v>
      </c>
      <c r="C5039">
        <v>0.12</v>
      </c>
      <c r="D5039" t="s">
        <v>6956</v>
      </c>
      <c r="E5039" t="s">
        <v>11</v>
      </c>
      <c r="F5039" t="s">
        <v>1209</v>
      </c>
      <c r="G5039" t="s">
        <v>234</v>
      </c>
      <c r="H5039" t="s">
        <v>14</v>
      </c>
    </row>
    <row r="5040" spans="1:8" hidden="1" x14ac:dyDescent="0.25">
      <c r="A5040" t="s">
        <v>6977</v>
      </c>
      <c r="B5040" s="1" t="str">
        <f>HYPERLINK("https://asmlis.vasa.lt/Dashboard/Served?ServiceDateFrom=2025-11-24&amp;ServiceDateTo=2025-11-24&amp;DumpsterInvNr=13-M-203921", "13-M-203921")</f>
        <v>13-M-203921</v>
      </c>
      <c r="C5040">
        <v>0.12</v>
      </c>
      <c r="D5040" t="s">
        <v>6978</v>
      </c>
      <c r="E5040" t="s">
        <v>11</v>
      </c>
      <c r="F5040" t="s">
        <v>1209</v>
      </c>
      <c r="G5040" t="s">
        <v>4876</v>
      </c>
      <c r="H5040" t="s">
        <v>938</v>
      </c>
    </row>
    <row r="5041" spans="1:10" hidden="1" x14ac:dyDescent="0.25">
      <c r="A5041" t="s">
        <v>6419</v>
      </c>
      <c r="B5041" s="1" t="str">
        <f>HYPERLINK("https://asmlis.vasa.lt/Dashboard/Served?ServiceDateFrom=2025-11-24&amp;ServiceDateTo=2025-11-24&amp;DumpsterInvNr=13-L-214948", "13-L-214948")</f>
        <v>13-L-214948</v>
      </c>
      <c r="C5041">
        <v>0.12</v>
      </c>
      <c r="D5041" t="s">
        <v>6979</v>
      </c>
      <c r="E5041" t="s">
        <v>11</v>
      </c>
      <c r="G5041" t="s">
        <v>936</v>
      </c>
      <c r="H5041" t="s">
        <v>938</v>
      </c>
    </row>
    <row r="5042" spans="1:10" hidden="1" x14ac:dyDescent="0.25">
      <c r="A5042" t="s">
        <v>6980</v>
      </c>
      <c r="B5042" s="1" t="str">
        <f>HYPERLINK("https://asmlis.vasa.lt/Dashboard/Served?ServiceDateFrom=2025-11-24&amp;ServiceDateTo=2025-11-24&amp;DumpsterInvNr=13-L-422022", "13-L-422022")</f>
        <v>13-L-422022</v>
      </c>
      <c r="C5042">
        <v>5</v>
      </c>
      <c r="D5042" t="s">
        <v>1495</v>
      </c>
      <c r="E5042" t="s">
        <v>11</v>
      </c>
      <c r="F5042" t="s">
        <v>13</v>
      </c>
      <c r="G5042" t="s">
        <v>74</v>
      </c>
      <c r="H5042" t="s">
        <v>14</v>
      </c>
    </row>
    <row r="5043" spans="1:10" hidden="1" x14ac:dyDescent="0.25">
      <c r="A5043" t="s">
        <v>6981</v>
      </c>
      <c r="B5043" s="1" t="str">
        <f>HYPERLINK("https://asmlis.vasa.lt/Dashboard/Served?ServiceDateFrom=2025-11-24&amp;ServiceDateTo=2025-11-24&amp;DumpsterInvNr=13-P-112184", "13-P-112184")</f>
        <v>13-P-112184</v>
      </c>
      <c r="C5043">
        <v>0.24</v>
      </c>
      <c r="D5043" t="s">
        <v>6982</v>
      </c>
      <c r="E5043" t="s">
        <v>11</v>
      </c>
      <c r="G5043" t="s">
        <v>1917</v>
      </c>
      <c r="H5043" t="s">
        <v>432</v>
      </c>
    </row>
    <row r="5044" spans="1:10" hidden="1" x14ac:dyDescent="0.25">
      <c r="A5044" t="s">
        <v>6984</v>
      </c>
      <c r="B5044" s="1" t="str">
        <f>HYPERLINK("https://asmlis.vasa.lt/Dashboard/Served?ServiceDateFrom=2025-11-24&amp;ServiceDateTo=2025-11-24&amp;DumpsterInvNr=13-T-000295", "13-T-000295")</f>
        <v>13-T-000295</v>
      </c>
      <c r="C5044">
        <v>2.5</v>
      </c>
      <c r="D5044" t="s">
        <v>6985</v>
      </c>
      <c r="E5044" t="s">
        <v>11</v>
      </c>
      <c r="F5044" t="s">
        <v>13</v>
      </c>
      <c r="G5044" t="s">
        <v>1899</v>
      </c>
      <c r="H5044" t="s">
        <v>432</v>
      </c>
    </row>
    <row r="5045" spans="1:10" hidden="1" x14ac:dyDescent="0.25">
      <c r="A5045" t="s">
        <v>6986</v>
      </c>
      <c r="B5045" s="1" t="str">
        <f>HYPERLINK("https://asmlis.vasa.lt/Dashboard/Served?ServiceDateFrom=2025-11-24&amp;ServiceDateTo=2025-11-24&amp;DumpsterInvNr=13-P-414681", "13-P-414681")</f>
        <v>13-P-414681</v>
      </c>
      <c r="C5045">
        <v>0.24</v>
      </c>
      <c r="D5045" t="s">
        <v>6987</v>
      </c>
      <c r="E5045" t="s">
        <v>11</v>
      </c>
      <c r="G5045" t="s">
        <v>264</v>
      </c>
      <c r="H5045" t="s">
        <v>14</v>
      </c>
    </row>
    <row r="5046" spans="1:10" hidden="1" x14ac:dyDescent="0.25">
      <c r="A5046" t="s">
        <v>6986</v>
      </c>
      <c r="B5046" s="1" t="str">
        <f>HYPERLINK("https://asmlis.vasa.lt/Dashboard/Served?ServiceDateFrom=2025-11-24&amp;ServiceDateTo=2025-11-24&amp;DumpsterInvNr=13-M-203923", "13-M-203923")</f>
        <v>13-M-203923</v>
      </c>
      <c r="C5046">
        <v>0.12</v>
      </c>
      <c r="D5046" t="s">
        <v>6988</v>
      </c>
      <c r="E5046" t="s">
        <v>11</v>
      </c>
      <c r="F5046" t="s">
        <v>1209</v>
      </c>
      <c r="G5046" t="s">
        <v>4876</v>
      </c>
      <c r="H5046" t="s">
        <v>938</v>
      </c>
    </row>
    <row r="5047" spans="1:10" x14ac:dyDescent="0.25">
      <c r="A5047" t="s">
        <v>6989</v>
      </c>
      <c r="B5047" s="1" t="str">
        <f>HYPERLINK("https://asmlis.vasa.lt/Dashboard/Served?ServiceDateFrom=2025-11-24&amp;ServiceDateTo=2025-11-24&amp;DumpsterInvNr=13-L-411849", "13-L-411849")</f>
        <v>13-L-411849</v>
      </c>
      <c r="C5047">
        <v>0.24</v>
      </c>
      <c r="D5047" t="s">
        <v>3164</v>
      </c>
      <c r="E5047" t="s">
        <v>11</v>
      </c>
      <c r="F5047" t="s">
        <v>1215</v>
      </c>
      <c r="G5047" t="s">
        <v>74</v>
      </c>
      <c r="H5047" t="s">
        <v>14</v>
      </c>
      <c r="J5047" t="s">
        <v>17511</v>
      </c>
    </row>
    <row r="5048" spans="1:10" hidden="1" x14ac:dyDescent="0.25">
      <c r="A5048" t="s">
        <v>6990</v>
      </c>
      <c r="B5048" s="1" t="str">
        <f>HYPERLINK("https://asmlis.vasa.lt/Dashboard/Served?ServiceDateFrom=2025-11-24&amp;ServiceDateTo=2025-11-24&amp;DumpsterInvNr=13-M-203915", "13-M-203915")</f>
        <v>13-M-203915</v>
      </c>
      <c r="C5048">
        <v>0.12</v>
      </c>
      <c r="D5048" t="s">
        <v>6991</v>
      </c>
      <c r="E5048" t="s">
        <v>11</v>
      </c>
      <c r="F5048" t="s">
        <v>1209</v>
      </c>
      <c r="G5048" t="s">
        <v>4876</v>
      </c>
      <c r="H5048" t="s">
        <v>938</v>
      </c>
    </row>
    <row r="5049" spans="1:10" hidden="1" x14ac:dyDescent="0.25">
      <c r="A5049" t="s">
        <v>6515</v>
      </c>
      <c r="B5049" s="1" t="str">
        <f>HYPERLINK("https://asmlis.vasa.lt/Dashboard/Served?ServiceDateFrom=2025-11-24&amp;ServiceDateTo=2025-11-24&amp;DumpsterInvNr=13-L-143663", "13-L-143663")</f>
        <v>13-L-143663</v>
      </c>
      <c r="C5049">
        <v>0.24</v>
      </c>
      <c r="D5049" t="s">
        <v>6992</v>
      </c>
      <c r="E5049" t="s">
        <v>11</v>
      </c>
      <c r="G5049" t="s">
        <v>430</v>
      </c>
      <c r="H5049" t="s">
        <v>432</v>
      </c>
    </row>
    <row r="5050" spans="1:10" hidden="1" x14ac:dyDescent="0.25">
      <c r="A5050" t="s">
        <v>6515</v>
      </c>
      <c r="B5050" s="1" t="str">
        <f>HYPERLINK("https://asmlis.vasa.lt/Dashboard/Served?ServiceDateFrom=2025-11-24&amp;ServiceDateTo=2025-11-24&amp;DumpsterInvNr=13-P-505785", "13-P-505785")</f>
        <v>13-P-505785</v>
      </c>
      <c r="C5050">
        <v>0.24</v>
      </c>
      <c r="D5050" t="s">
        <v>6992</v>
      </c>
      <c r="E5050" t="s">
        <v>11</v>
      </c>
      <c r="G5050" t="s">
        <v>2178</v>
      </c>
      <c r="H5050" t="s">
        <v>432</v>
      </c>
    </row>
    <row r="5051" spans="1:10" hidden="1" x14ac:dyDescent="0.25">
      <c r="A5051" t="s">
        <v>6994</v>
      </c>
      <c r="B5051" s="1" t="str">
        <f>HYPERLINK("https://asmlis.vasa.lt/Dashboard/Served?ServiceDateFrom=2025-11-24&amp;ServiceDateTo=2025-11-24&amp;DumpsterInvNr=13-M-204526", "13-M-204526")</f>
        <v>13-M-204526</v>
      </c>
      <c r="C5051">
        <v>0.12</v>
      </c>
      <c r="D5051" t="s">
        <v>6995</v>
      </c>
      <c r="E5051" t="s">
        <v>11</v>
      </c>
      <c r="F5051" t="s">
        <v>1209</v>
      </c>
      <c r="G5051" t="s">
        <v>4876</v>
      </c>
      <c r="H5051" t="s">
        <v>938</v>
      </c>
    </row>
    <row r="5052" spans="1:10" hidden="1" x14ac:dyDescent="0.25">
      <c r="A5052" t="s">
        <v>6577</v>
      </c>
      <c r="B5052" s="1" t="str">
        <f>HYPERLINK("https://asmlis.vasa.lt/Dashboard/Served?ServiceDateFrom=2025-11-24&amp;ServiceDateTo=2025-11-24&amp;DumpsterInvNr=13-L-145000", "13-L-145000")</f>
        <v>13-L-145000</v>
      </c>
      <c r="C5052">
        <v>5</v>
      </c>
      <c r="D5052" t="s">
        <v>6997</v>
      </c>
      <c r="E5052" t="s">
        <v>11</v>
      </c>
      <c r="F5052" t="s">
        <v>13</v>
      </c>
      <c r="G5052" t="s">
        <v>430</v>
      </c>
      <c r="H5052" t="s">
        <v>432</v>
      </c>
    </row>
    <row r="5053" spans="1:10" x14ac:dyDescent="0.25">
      <c r="A5053" t="s">
        <v>6998</v>
      </c>
      <c r="B5053" s="1" t="str">
        <f>HYPERLINK("https://asmlis.vasa.lt/Dashboard/Served?ServiceDateFrom=2025-11-24&amp;ServiceDateTo=2025-11-24&amp;DumpsterInvNr=13-L-405859", "13-L-405859")</f>
        <v>13-L-405859</v>
      </c>
      <c r="C5053">
        <v>0.24</v>
      </c>
      <c r="D5053" t="s">
        <v>3117</v>
      </c>
      <c r="E5053" t="s">
        <v>11</v>
      </c>
      <c r="F5053" t="s">
        <v>1215</v>
      </c>
      <c r="G5053" t="s">
        <v>74</v>
      </c>
      <c r="H5053" t="s">
        <v>14</v>
      </c>
      <c r="J5053" t="s">
        <v>17511</v>
      </c>
    </row>
    <row r="5054" spans="1:10" hidden="1" x14ac:dyDescent="0.25">
      <c r="A5054" t="s">
        <v>6999</v>
      </c>
      <c r="B5054" s="1" t="str">
        <f>HYPERLINK("https://asmlis.vasa.lt/Dashboard/Served?ServiceDateFrom=2025-11-24&amp;ServiceDateTo=2025-11-24&amp;DumpsterInvNr=13-T-000296", "13-T-000296")</f>
        <v>13-T-000296</v>
      </c>
      <c r="C5054">
        <v>2.5</v>
      </c>
      <c r="D5054" t="s">
        <v>6985</v>
      </c>
      <c r="E5054" t="s">
        <v>11</v>
      </c>
      <c r="F5054" t="s">
        <v>13</v>
      </c>
      <c r="G5054" t="s">
        <v>1899</v>
      </c>
      <c r="H5054" t="s">
        <v>432</v>
      </c>
    </row>
    <row r="5055" spans="1:10" hidden="1" x14ac:dyDescent="0.25">
      <c r="A5055" t="s">
        <v>6579</v>
      </c>
      <c r="B5055" s="1" t="str">
        <f>HYPERLINK("https://asmlis.vasa.lt/Dashboard/Served?ServiceDateFrom=2025-11-24&amp;ServiceDateTo=2025-11-24&amp;DumpsterInvNr=13-P-210575", "13-P-210575")</f>
        <v>13-P-210575</v>
      </c>
      <c r="C5055">
        <v>0.24</v>
      </c>
      <c r="D5055" t="s">
        <v>7000</v>
      </c>
      <c r="E5055" t="s">
        <v>11</v>
      </c>
      <c r="G5055" t="s">
        <v>234</v>
      </c>
      <c r="H5055" t="s">
        <v>14</v>
      </c>
    </row>
    <row r="5056" spans="1:10" hidden="1" x14ac:dyDescent="0.25">
      <c r="A5056" t="s">
        <v>7001</v>
      </c>
      <c r="B5056" s="1" t="str">
        <f>HYPERLINK("https://asmlis.vasa.lt/Dashboard/Served?ServiceDateFrom=2025-11-24&amp;ServiceDateTo=2025-11-24&amp;DumpsterInvNr=13-M-206999", "13-M-206999")</f>
        <v>13-M-206999</v>
      </c>
      <c r="C5056">
        <v>0.12</v>
      </c>
      <c r="D5056" t="s">
        <v>7002</v>
      </c>
      <c r="E5056" t="s">
        <v>11</v>
      </c>
      <c r="F5056" t="s">
        <v>1209</v>
      </c>
      <c r="G5056" t="s">
        <v>4876</v>
      </c>
      <c r="H5056" t="s">
        <v>938</v>
      </c>
    </row>
    <row r="5057" spans="1:10" hidden="1" x14ac:dyDescent="0.25">
      <c r="A5057" t="s">
        <v>7003</v>
      </c>
      <c r="B5057" s="1" t="str">
        <f>HYPERLINK("https://asmlis.vasa.lt/Dashboard/Served?ServiceDateFrom=2025-11-24&amp;ServiceDateTo=2025-11-24&amp;DumpsterInvNr=13-L-146035", "13-L-146035")</f>
        <v>13-L-146035</v>
      </c>
      <c r="C5057">
        <v>5</v>
      </c>
      <c r="D5057" t="s">
        <v>7004</v>
      </c>
      <c r="E5057" t="s">
        <v>11</v>
      </c>
      <c r="F5057" t="s">
        <v>13</v>
      </c>
      <c r="G5057" t="s">
        <v>1912</v>
      </c>
      <c r="H5057" t="s">
        <v>432</v>
      </c>
    </row>
    <row r="5058" spans="1:10" hidden="1" x14ac:dyDescent="0.25">
      <c r="A5058" t="s">
        <v>7005</v>
      </c>
      <c r="B5058" s="1" t="str">
        <f>HYPERLINK("https://asmlis.vasa.lt/Dashboard/Served?ServiceDateFrom=2025-11-24&amp;ServiceDateTo=2025-11-24&amp;DumpsterInvNr=13-M-204044", "13-M-204044")</f>
        <v>13-M-204044</v>
      </c>
      <c r="C5058">
        <v>0.12</v>
      </c>
      <c r="D5058" t="s">
        <v>7006</v>
      </c>
      <c r="E5058" t="s">
        <v>11</v>
      </c>
      <c r="F5058" t="s">
        <v>1209</v>
      </c>
      <c r="G5058" t="s">
        <v>4876</v>
      </c>
      <c r="H5058" t="s">
        <v>938</v>
      </c>
    </row>
    <row r="5059" spans="1:10" hidden="1" x14ac:dyDescent="0.25">
      <c r="A5059" t="s">
        <v>7007</v>
      </c>
      <c r="B5059" s="1" t="str">
        <f>HYPERLINK("https://asmlis.vasa.lt/Dashboard/Served?ServiceDateFrom=2025-11-24&amp;ServiceDateTo=2025-11-24&amp;DumpsterInvNr=13-P-412336", "13-P-412336")</f>
        <v>13-P-412336</v>
      </c>
      <c r="C5059">
        <v>0.24</v>
      </c>
      <c r="D5059" t="s">
        <v>7009</v>
      </c>
      <c r="E5059" t="s">
        <v>11</v>
      </c>
      <c r="G5059" t="s">
        <v>264</v>
      </c>
      <c r="H5059" t="s">
        <v>14</v>
      </c>
    </row>
    <row r="5060" spans="1:10" hidden="1" x14ac:dyDescent="0.25">
      <c r="A5060" t="s">
        <v>6605</v>
      </c>
      <c r="B5060" s="1" t="str">
        <f>HYPERLINK("https://asmlis.vasa.lt/Dashboard/Served?ServiceDateFrom=2025-11-24&amp;ServiceDateTo=2025-11-24&amp;DumpsterInvNr=13-L-137897", "13-L-137897")</f>
        <v>13-L-137897</v>
      </c>
      <c r="C5060">
        <v>0.24</v>
      </c>
      <c r="D5060" t="s">
        <v>7010</v>
      </c>
      <c r="E5060" t="s">
        <v>11</v>
      </c>
      <c r="G5060" t="s">
        <v>1912</v>
      </c>
      <c r="H5060" t="s">
        <v>432</v>
      </c>
    </row>
    <row r="5061" spans="1:10" x14ac:dyDescent="0.25">
      <c r="A5061" t="s">
        <v>7011</v>
      </c>
      <c r="B5061" s="1" t="str">
        <f>HYPERLINK("https://asmlis.vasa.lt/Dashboard/Served?ServiceDateFrom=2025-11-24&amp;ServiceDateTo=2025-11-24&amp;DumpsterInvNr=13-L-416500", "13-L-416500")</f>
        <v>13-L-416500</v>
      </c>
      <c r="C5061">
        <v>0.24</v>
      </c>
      <c r="D5061" t="s">
        <v>3178</v>
      </c>
      <c r="E5061" t="s">
        <v>11</v>
      </c>
      <c r="F5061" t="s">
        <v>1215</v>
      </c>
      <c r="G5061" t="s">
        <v>74</v>
      </c>
      <c r="H5061" t="s">
        <v>14</v>
      </c>
      <c r="J5061" t="s">
        <v>17511</v>
      </c>
    </row>
    <row r="5062" spans="1:10" hidden="1" x14ac:dyDescent="0.25">
      <c r="A5062" t="s">
        <v>7012</v>
      </c>
      <c r="B5062" s="1" t="str">
        <f>HYPERLINK("https://asmlis.vasa.lt/Dashboard/Served?ServiceDateFrom=2025-11-24&amp;ServiceDateTo=2025-11-24&amp;DumpsterInvNr=13-L-221497", "13-L-221497")</f>
        <v>13-L-221497</v>
      </c>
      <c r="C5062">
        <v>0.24</v>
      </c>
      <c r="D5062" t="s">
        <v>7013</v>
      </c>
      <c r="E5062" t="s">
        <v>11</v>
      </c>
      <c r="G5062" t="s">
        <v>936</v>
      </c>
      <c r="H5062" t="s">
        <v>938</v>
      </c>
    </row>
    <row r="5063" spans="1:10" hidden="1" x14ac:dyDescent="0.25">
      <c r="A5063" t="s">
        <v>6595</v>
      </c>
      <c r="B5063" s="1" t="str">
        <f>HYPERLINK("https://asmlis.vasa.lt/Dashboard/Served?ServiceDateFrom=2025-11-24&amp;ServiceDateTo=2025-11-24&amp;DumpsterInvNr=13-L-123415", "13-L-123415")</f>
        <v>13-L-123415</v>
      </c>
      <c r="C5063">
        <v>0.24</v>
      </c>
      <c r="D5063" t="s">
        <v>7014</v>
      </c>
      <c r="E5063" t="s">
        <v>11</v>
      </c>
      <c r="G5063" t="s">
        <v>430</v>
      </c>
      <c r="H5063" t="s">
        <v>432</v>
      </c>
    </row>
    <row r="5064" spans="1:10" hidden="1" x14ac:dyDescent="0.25">
      <c r="A5064" t="s">
        <v>6595</v>
      </c>
      <c r="B5064" s="1" t="str">
        <f>HYPERLINK("https://asmlis.vasa.lt/Dashboard/Served?ServiceDateFrom=2025-11-24&amp;ServiceDateTo=2025-11-24&amp;DumpsterInvNr=13-P-505391", "13-P-505391")</f>
        <v>13-P-505391</v>
      </c>
      <c r="C5064">
        <v>0.24</v>
      </c>
      <c r="D5064" t="s">
        <v>7014</v>
      </c>
      <c r="E5064" t="s">
        <v>11</v>
      </c>
      <c r="G5064" t="s">
        <v>2178</v>
      </c>
      <c r="H5064" t="s">
        <v>432</v>
      </c>
    </row>
    <row r="5065" spans="1:10" hidden="1" x14ac:dyDescent="0.25">
      <c r="A5065" t="s">
        <v>7016</v>
      </c>
      <c r="B5065" s="1" t="str">
        <f>HYPERLINK("https://asmlis.vasa.lt/Dashboard/Served?ServiceDateFrom=2025-11-24&amp;ServiceDateTo=2025-11-24&amp;DumpsterInvNr=13-P-414410", "13-P-414410")</f>
        <v>13-P-414410</v>
      </c>
      <c r="C5065">
        <v>0.24</v>
      </c>
      <c r="D5065" t="s">
        <v>7017</v>
      </c>
      <c r="E5065" t="s">
        <v>11</v>
      </c>
      <c r="G5065" t="s">
        <v>264</v>
      </c>
      <c r="H5065" t="s">
        <v>14</v>
      </c>
    </row>
    <row r="5066" spans="1:10" hidden="1" x14ac:dyDescent="0.25">
      <c r="A5066" t="s">
        <v>7016</v>
      </c>
      <c r="B5066" s="1" t="str">
        <f>HYPERLINK("https://asmlis.vasa.lt/Dashboard/Served?ServiceDateFrom=2025-11-24&amp;ServiceDateTo=2025-11-24&amp;DumpsterInvNr=13-P-500461", "13-P-500461")</f>
        <v>13-P-500461</v>
      </c>
      <c r="C5066">
        <v>5</v>
      </c>
      <c r="D5066" t="s">
        <v>7018</v>
      </c>
      <c r="E5066" t="s">
        <v>11</v>
      </c>
      <c r="F5066" t="s">
        <v>13</v>
      </c>
      <c r="G5066" t="s">
        <v>2178</v>
      </c>
      <c r="H5066" t="s">
        <v>432</v>
      </c>
    </row>
    <row r="5067" spans="1:10" hidden="1" x14ac:dyDescent="0.25">
      <c r="A5067" t="s">
        <v>7020</v>
      </c>
      <c r="B5067" s="1" t="str">
        <f>HYPERLINK("https://asmlis.vasa.lt/Dashboard/Served?ServiceDateFrom=2025-11-24&amp;ServiceDateTo=2025-11-24&amp;DumpsterInvNr=13-L-118181", "13-L-118181")</f>
        <v>13-L-118181</v>
      </c>
      <c r="C5067">
        <v>0.12</v>
      </c>
      <c r="D5067" t="s">
        <v>7021</v>
      </c>
      <c r="E5067" t="s">
        <v>11</v>
      </c>
      <c r="F5067" t="s">
        <v>1209</v>
      </c>
      <c r="G5067" t="s">
        <v>1912</v>
      </c>
      <c r="H5067" t="s">
        <v>432</v>
      </c>
    </row>
    <row r="5068" spans="1:10" hidden="1" x14ac:dyDescent="0.25">
      <c r="A5068" t="s">
        <v>6808</v>
      </c>
      <c r="B5068" s="1" t="str">
        <f>HYPERLINK("https://asmlis.vasa.lt/Dashboard/Served?ServiceDateFrom=2025-11-24&amp;ServiceDateTo=2025-11-24&amp;DumpsterInvNr=13-P-211848", "13-P-211848")</f>
        <v>13-P-211848</v>
      </c>
      <c r="C5068">
        <v>0.24</v>
      </c>
      <c r="D5068" t="s">
        <v>7022</v>
      </c>
      <c r="E5068" t="s">
        <v>11</v>
      </c>
      <c r="G5068" t="s">
        <v>234</v>
      </c>
      <c r="H5068" t="s">
        <v>14</v>
      </c>
    </row>
    <row r="5069" spans="1:10" hidden="1" x14ac:dyDescent="0.25">
      <c r="A5069" t="s">
        <v>6808</v>
      </c>
      <c r="B5069" s="1" t="str">
        <f>HYPERLINK("https://asmlis.vasa.lt/Dashboard/Served?ServiceDateFrom=2025-11-24&amp;ServiceDateTo=2025-11-24&amp;DumpsterInvNr=13-P-300328", "13-P-300328")</f>
        <v>13-P-300328</v>
      </c>
      <c r="C5069">
        <v>5</v>
      </c>
      <c r="D5069" t="s">
        <v>996</v>
      </c>
      <c r="E5069" t="s">
        <v>11</v>
      </c>
      <c r="F5069" t="s">
        <v>13</v>
      </c>
      <c r="G5069" t="s">
        <v>412</v>
      </c>
      <c r="H5069" t="s">
        <v>14</v>
      </c>
    </row>
    <row r="5070" spans="1:10" hidden="1" x14ac:dyDescent="0.25">
      <c r="A5070" t="s">
        <v>6773</v>
      </c>
      <c r="B5070" s="1" t="str">
        <f>HYPERLINK("https://asmlis.vasa.lt/Dashboard/Served?ServiceDateFrom=2025-11-24&amp;ServiceDateTo=2025-11-24&amp;DumpsterInvNr=13-P-112390", "13-P-112390")</f>
        <v>13-P-112390</v>
      </c>
      <c r="C5070">
        <v>0.24</v>
      </c>
      <c r="D5070" t="s">
        <v>7023</v>
      </c>
      <c r="E5070" t="s">
        <v>11</v>
      </c>
      <c r="F5070" t="s">
        <v>1209</v>
      </c>
      <c r="G5070" t="s">
        <v>1917</v>
      </c>
      <c r="H5070" t="s">
        <v>432</v>
      </c>
    </row>
    <row r="5071" spans="1:10" hidden="1" x14ac:dyDescent="0.25">
      <c r="A5071" t="s">
        <v>7025</v>
      </c>
      <c r="B5071" s="1" t="str">
        <f>HYPERLINK("https://asmlis.vasa.lt/Dashboard/Served?ServiceDateFrom=2025-11-24&amp;ServiceDateTo=2025-11-24&amp;DumpsterInvNr=13-L-118179", "13-L-118179")</f>
        <v>13-L-118179</v>
      </c>
      <c r="C5071">
        <v>0.24</v>
      </c>
      <c r="D5071" t="s">
        <v>6982</v>
      </c>
      <c r="E5071" t="s">
        <v>11</v>
      </c>
      <c r="F5071" t="s">
        <v>1209</v>
      </c>
      <c r="G5071" t="s">
        <v>1912</v>
      </c>
      <c r="H5071" t="s">
        <v>432</v>
      </c>
    </row>
    <row r="5072" spans="1:10" x14ac:dyDescent="0.25">
      <c r="A5072" t="s">
        <v>6777</v>
      </c>
      <c r="B5072" s="1" t="str">
        <f>HYPERLINK("https://asmlis.vasa.lt/Dashboard/Served?ServiceDateFrom=2025-11-24&amp;ServiceDateTo=2025-11-24&amp;DumpsterInvNr=13-L-408835", "13-L-408835")</f>
        <v>13-L-408835</v>
      </c>
      <c r="C5072">
        <v>0.24</v>
      </c>
      <c r="D5072" t="s">
        <v>3166</v>
      </c>
      <c r="E5072" t="s">
        <v>11</v>
      </c>
      <c r="F5072" t="s">
        <v>1215</v>
      </c>
      <c r="G5072" t="s">
        <v>74</v>
      </c>
      <c r="H5072" t="s">
        <v>14</v>
      </c>
      <c r="J5072" t="s">
        <v>17511</v>
      </c>
    </row>
    <row r="5073" spans="1:10" hidden="1" x14ac:dyDescent="0.25">
      <c r="A5073" t="s">
        <v>7027</v>
      </c>
      <c r="B5073" s="1" t="str">
        <f>HYPERLINK("https://asmlis.vasa.lt/Dashboard/Served?ServiceDateFrom=2025-11-24&amp;ServiceDateTo=2025-11-24&amp;DumpsterInvNr=13-P-208694", "13-P-208694")</f>
        <v>13-P-208694</v>
      </c>
      <c r="C5073">
        <v>0.24</v>
      </c>
      <c r="D5073" t="s">
        <v>7029</v>
      </c>
      <c r="E5073" t="s">
        <v>11</v>
      </c>
      <c r="G5073" t="s">
        <v>234</v>
      </c>
      <c r="H5073" t="s">
        <v>14</v>
      </c>
    </row>
    <row r="5074" spans="1:10" hidden="1" x14ac:dyDescent="0.25">
      <c r="A5074" t="s">
        <v>6797</v>
      </c>
      <c r="B5074" s="1" t="str">
        <f>HYPERLINK("https://asmlis.vasa.lt/Dashboard/Served?ServiceDateFrom=2025-11-24&amp;ServiceDateTo=2025-11-24&amp;DumpsterInvNr=13-M-200971", "13-M-200971")</f>
        <v>13-M-200971</v>
      </c>
      <c r="C5074">
        <v>0.12</v>
      </c>
      <c r="D5074" t="s">
        <v>7030</v>
      </c>
      <c r="E5074" t="s">
        <v>11</v>
      </c>
      <c r="G5074" t="s">
        <v>4876</v>
      </c>
      <c r="H5074" t="s">
        <v>938</v>
      </c>
    </row>
    <row r="5075" spans="1:10" hidden="1" x14ac:dyDescent="0.25">
      <c r="A5075" t="s">
        <v>7031</v>
      </c>
      <c r="B5075" s="1" t="str">
        <f>HYPERLINK("https://asmlis.vasa.lt/Dashboard/Served?ServiceDateFrom=2025-11-24&amp;ServiceDateTo=2025-11-24&amp;DumpsterInvNr=13-P-300611", "13-P-300611")</f>
        <v>13-P-300611</v>
      </c>
      <c r="C5075">
        <v>1.1000000000000001</v>
      </c>
      <c r="D5075" t="s">
        <v>7032</v>
      </c>
      <c r="E5075" t="s">
        <v>11</v>
      </c>
      <c r="G5075" t="s">
        <v>412</v>
      </c>
      <c r="H5075" t="s">
        <v>14</v>
      </c>
    </row>
    <row r="5076" spans="1:10" hidden="1" x14ac:dyDescent="0.25">
      <c r="A5076" t="s">
        <v>7033</v>
      </c>
      <c r="B5076" s="1" t="str">
        <f>HYPERLINK("https://asmlis.vasa.lt/Dashboard/Served?ServiceDateFrom=2025-11-24&amp;ServiceDateTo=2025-11-24&amp;DumpsterInvNr=13-L-123416", "13-L-123416")</f>
        <v>13-L-123416</v>
      </c>
      <c r="C5076">
        <v>0.24</v>
      </c>
      <c r="D5076" t="s">
        <v>7034</v>
      </c>
      <c r="E5076" t="s">
        <v>11</v>
      </c>
      <c r="G5076" t="s">
        <v>430</v>
      </c>
      <c r="H5076" t="s">
        <v>432</v>
      </c>
    </row>
    <row r="5077" spans="1:10" hidden="1" x14ac:dyDescent="0.25">
      <c r="A5077" t="s">
        <v>7033</v>
      </c>
      <c r="B5077" s="1" t="str">
        <f>HYPERLINK("https://asmlis.vasa.lt/Dashboard/Served?ServiceDateFrom=2025-11-24&amp;ServiceDateTo=2025-11-24&amp;DumpsterInvNr=13-P-505389", "13-P-505389")</f>
        <v>13-P-505389</v>
      </c>
      <c r="C5077">
        <v>0.12</v>
      </c>
      <c r="D5077" t="s">
        <v>7034</v>
      </c>
      <c r="E5077" t="s">
        <v>11</v>
      </c>
      <c r="G5077" t="s">
        <v>2178</v>
      </c>
      <c r="H5077" t="s">
        <v>432</v>
      </c>
    </row>
    <row r="5078" spans="1:10" hidden="1" x14ac:dyDescent="0.25">
      <c r="A5078" t="s">
        <v>7026</v>
      </c>
      <c r="B5078" s="1" t="str">
        <f>HYPERLINK("https://asmlis.vasa.lt/Dashboard/Served?ServiceDateFrom=2025-11-24&amp;ServiceDateTo=2025-11-24&amp;DumpsterInvNr=13-M-200954", "13-M-200954")</f>
        <v>13-M-200954</v>
      </c>
      <c r="C5078">
        <v>0.12</v>
      </c>
      <c r="D5078" t="s">
        <v>7036</v>
      </c>
      <c r="E5078" t="s">
        <v>11</v>
      </c>
      <c r="F5078" t="s">
        <v>1209</v>
      </c>
      <c r="G5078" t="s">
        <v>4876</v>
      </c>
      <c r="H5078" t="s">
        <v>938</v>
      </c>
    </row>
    <row r="5079" spans="1:10" hidden="1" x14ac:dyDescent="0.25">
      <c r="A5079" t="s">
        <v>7038</v>
      </c>
      <c r="B5079" s="1" t="str">
        <f>HYPERLINK("https://asmlis.vasa.lt/Dashboard/Served?ServiceDateFrom=2025-11-24&amp;ServiceDateTo=2025-11-24&amp;DumpsterInvNr=13-L-220862", "13-L-220862")</f>
        <v>13-L-220862</v>
      </c>
      <c r="C5079">
        <v>1.1000000000000001</v>
      </c>
      <c r="D5079" t="s">
        <v>7039</v>
      </c>
      <c r="E5079" t="s">
        <v>11</v>
      </c>
      <c r="F5079" t="s">
        <v>13</v>
      </c>
      <c r="G5079" t="s">
        <v>936</v>
      </c>
      <c r="H5079" t="s">
        <v>938</v>
      </c>
    </row>
    <row r="5080" spans="1:10" hidden="1" x14ac:dyDescent="0.25">
      <c r="A5080" t="s">
        <v>7040</v>
      </c>
      <c r="B5080" s="1" t="str">
        <f>HYPERLINK("https://asmlis.vasa.lt/Dashboard/Served?ServiceDateFrom=2025-11-24&amp;ServiceDateTo=2025-11-24&amp;DumpsterInvNr=13-L-135794", "13-L-135794")</f>
        <v>13-L-135794</v>
      </c>
      <c r="C5080">
        <v>5</v>
      </c>
      <c r="D5080" t="s">
        <v>6764</v>
      </c>
      <c r="E5080" t="s">
        <v>11</v>
      </c>
      <c r="F5080" t="s">
        <v>13</v>
      </c>
      <c r="G5080" t="s">
        <v>430</v>
      </c>
      <c r="H5080" t="s">
        <v>432</v>
      </c>
    </row>
    <row r="5081" spans="1:10" hidden="1" x14ac:dyDescent="0.25">
      <c r="A5081" t="s">
        <v>7040</v>
      </c>
      <c r="B5081" s="1" t="str">
        <f>HYPERLINK("https://asmlis.vasa.lt/Dashboard/Served?ServiceDateFrom=2025-11-24&amp;ServiceDateTo=2025-11-24&amp;DumpsterInvNr=13-L-124020", "13-L-124020")</f>
        <v>13-L-124020</v>
      </c>
      <c r="C5081">
        <v>0.66</v>
      </c>
      <c r="D5081" t="s">
        <v>7041</v>
      </c>
      <c r="E5081" t="s">
        <v>11</v>
      </c>
      <c r="G5081" t="s">
        <v>430</v>
      </c>
      <c r="H5081" t="s">
        <v>432</v>
      </c>
    </row>
    <row r="5082" spans="1:10" hidden="1" x14ac:dyDescent="0.25">
      <c r="A5082" t="s">
        <v>7040</v>
      </c>
      <c r="B5082" s="1" t="str">
        <f>HYPERLINK("https://asmlis.vasa.lt/Dashboard/Served?ServiceDateFrom=2025-11-24&amp;ServiceDateTo=2025-11-24&amp;DumpsterInvNr=13-L-139140", "13-L-139140")</f>
        <v>13-L-139140</v>
      </c>
      <c r="C5082">
        <v>5</v>
      </c>
      <c r="D5082" t="s">
        <v>7042</v>
      </c>
      <c r="E5082" t="s">
        <v>11</v>
      </c>
      <c r="F5082" t="s">
        <v>13</v>
      </c>
      <c r="G5082" t="s">
        <v>430</v>
      </c>
      <c r="H5082" t="s">
        <v>432</v>
      </c>
    </row>
    <row r="5083" spans="1:10" x14ac:dyDescent="0.25">
      <c r="A5083" t="s">
        <v>7043</v>
      </c>
      <c r="B5083" s="1" t="str">
        <f>HYPERLINK("https://asmlis.vasa.lt/Dashboard/Served?ServiceDateFrom=2025-11-24&amp;ServiceDateTo=2025-11-24&amp;DumpsterInvNr=13-L-408833", "13-L-408833")</f>
        <v>13-L-408833</v>
      </c>
      <c r="C5083">
        <v>0.24</v>
      </c>
      <c r="D5083" t="s">
        <v>3184</v>
      </c>
      <c r="E5083" t="s">
        <v>11</v>
      </c>
      <c r="F5083" t="s">
        <v>1215</v>
      </c>
      <c r="G5083" t="s">
        <v>74</v>
      </c>
      <c r="H5083" t="s">
        <v>14</v>
      </c>
      <c r="J5083" t="s">
        <v>17511</v>
      </c>
    </row>
    <row r="5084" spans="1:10" x14ac:dyDescent="0.25">
      <c r="A5084" t="s">
        <v>6845</v>
      </c>
      <c r="B5084" s="1" t="str">
        <f>HYPERLINK("https://asmlis.vasa.lt/Dashboard/Served?ServiceDateFrom=2025-11-24&amp;ServiceDateTo=2025-11-24&amp;DumpsterInvNr=13-L-422212", "13-L-422212")</f>
        <v>13-L-422212</v>
      </c>
      <c r="C5084">
        <v>0.24</v>
      </c>
      <c r="D5084" t="s">
        <v>7044</v>
      </c>
      <c r="E5084" t="s">
        <v>11</v>
      </c>
      <c r="F5084" t="s">
        <v>1215</v>
      </c>
      <c r="G5084" t="s">
        <v>74</v>
      </c>
      <c r="H5084" t="s">
        <v>14</v>
      </c>
      <c r="J5084" t="s">
        <v>17511</v>
      </c>
    </row>
    <row r="5085" spans="1:10" hidden="1" x14ac:dyDescent="0.25">
      <c r="A5085" t="s">
        <v>7046</v>
      </c>
      <c r="B5085" s="1" t="str">
        <f>HYPERLINK("https://asmlis.vasa.lt/Dashboard/Served?ServiceDateFrom=2025-11-24&amp;ServiceDateTo=2025-11-24&amp;DumpsterInvNr=13-L-142103", "13-L-142103")</f>
        <v>13-L-142103</v>
      </c>
      <c r="C5085">
        <v>1.1000000000000001</v>
      </c>
      <c r="D5085" t="s">
        <v>7047</v>
      </c>
      <c r="E5085" t="s">
        <v>11</v>
      </c>
      <c r="G5085" t="s">
        <v>430</v>
      </c>
      <c r="H5085" t="s">
        <v>432</v>
      </c>
    </row>
    <row r="5086" spans="1:10" hidden="1" x14ac:dyDescent="0.25">
      <c r="A5086" t="s">
        <v>6915</v>
      </c>
      <c r="B5086" s="1" t="str">
        <f>HYPERLINK("https://asmlis.vasa.lt/Dashboard/Served?ServiceDateFrom=2025-11-24&amp;ServiceDateTo=2025-11-24&amp;DumpsterInvNr=13-L-214924", "13-L-214924")</f>
        <v>13-L-214924</v>
      </c>
      <c r="C5086">
        <v>0.12</v>
      </c>
      <c r="D5086" t="s">
        <v>7048</v>
      </c>
      <c r="E5086" t="s">
        <v>11</v>
      </c>
      <c r="G5086" t="s">
        <v>936</v>
      </c>
      <c r="H5086" t="s">
        <v>938</v>
      </c>
    </row>
    <row r="5087" spans="1:10" hidden="1" x14ac:dyDescent="0.25">
      <c r="A5087" t="s">
        <v>6916</v>
      </c>
      <c r="B5087" s="1" t="str">
        <f>HYPERLINK("https://asmlis.vasa.lt/Dashboard/Served?ServiceDateFrom=2025-11-24&amp;ServiceDateTo=2025-11-24&amp;DumpsterInvNr=13-P-414473", "13-P-414473")</f>
        <v>13-P-414473</v>
      </c>
      <c r="C5087">
        <v>0.24</v>
      </c>
      <c r="D5087" t="s">
        <v>7049</v>
      </c>
      <c r="E5087" t="s">
        <v>11</v>
      </c>
      <c r="G5087" t="s">
        <v>264</v>
      </c>
      <c r="H5087" t="s">
        <v>14</v>
      </c>
    </row>
    <row r="5088" spans="1:10" x14ac:dyDescent="0.25">
      <c r="A5088" t="s">
        <v>7050</v>
      </c>
      <c r="B5088" s="1" t="str">
        <f>HYPERLINK("https://asmlis.vasa.lt/Dashboard/Served?ServiceDateFrom=2025-11-24&amp;ServiceDateTo=2025-11-24&amp;DumpsterInvNr=13-L-426886", "13-L-426886")</f>
        <v>13-L-426886</v>
      </c>
      <c r="C5088">
        <v>0.24</v>
      </c>
      <c r="D5088" t="s">
        <v>3265</v>
      </c>
      <c r="E5088" t="s">
        <v>11</v>
      </c>
      <c r="F5088" t="s">
        <v>1215</v>
      </c>
      <c r="G5088" t="s">
        <v>74</v>
      </c>
      <c r="H5088" t="s">
        <v>14</v>
      </c>
      <c r="J5088" t="s">
        <v>17511</v>
      </c>
    </row>
    <row r="5089" spans="1:10" x14ac:dyDescent="0.25">
      <c r="A5089" t="s">
        <v>7051</v>
      </c>
      <c r="B5089" s="1" t="str">
        <f>HYPERLINK("https://asmlis.vasa.lt/Dashboard/Served?ServiceDateFrom=2025-11-24&amp;ServiceDateTo=2025-11-24&amp;DumpsterInvNr=13-L-407205", "13-L-407205")</f>
        <v>13-L-407205</v>
      </c>
      <c r="C5089">
        <v>0.12</v>
      </c>
      <c r="D5089" t="s">
        <v>3168</v>
      </c>
      <c r="E5089" t="s">
        <v>11</v>
      </c>
      <c r="F5089" t="s">
        <v>1215</v>
      </c>
      <c r="G5089" t="s">
        <v>74</v>
      </c>
      <c r="H5089" t="s">
        <v>14</v>
      </c>
      <c r="J5089" t="s">
        <v>17511</v>
      </c>
    </row>
    <row r="5090" spans="1:10" hidden="1" x14ac:dyDescent="0.25">
      <c r="A5090" t="s">
        <v>7052</v>
      </c>
      <c r="B5090" s="1" t="str">
        <f>HYPERLINK("https://asmlis.vasa.lt/Dashboard/Served?ServiceDateFrom=2025-11-24&amp;ServiceDateTo=2025-11-24&amp;DumpsterInvNr=13-P-306875", "13-P-306875")</f>
        <v>13-P-306875</v>
      </c>
      <c r="C5090">
        <v>1.1000000000000001</v>
      </c>
      <c r="D5090" t="s">
        <v>7032</v>
      </c>
      <c r="E5090" t="s">
        <v>11</v>
      </c>
      <c r="G5090" t="s">
        <v>412</v>
      </c>
      <c r="H5090" t="s">
        <v>14</v>
      </c>
    </row>
    <row r="5091" spans="1:10" hidden="1" x14ac:dyDescent="0.25">
      <c r="A5091" t="s">
        <v>7053</v>
      </c>
      <c r="B5091" s="1" t="str">
        <f>HYPERLINK("https://asmlis.vasa.lt/Dashboard/Served?ServiceDateFrom=2025-11-24&amp;ServiceDateTo=2025-11-24&amp;DumpsterInvNr=13-P-414446", "13-P-414446")</f>
        <v>13-P-414446</v>
      </c>
      <c r="C5091">
        <v>0.24</v>
      </c>
      <c r="D5091" t="s">
        <v>7054</v>
      </c>
      <c r="E5091" t="s">
        <v>11</v>
      </c>
      <c r="F5091" t="s">
        <v>1209</v>
      </c>
      <c r="G5091" t="s">
        <v>264</v>
      </c>
      <c r="H5091" t="s">
        <v>14</v>
      </c>
    </row>
    <row r="5092" spans="1:10" hidden="1" x14ac:dyDescent="0.25">
      <c r="A5092" t="s">
        <v>7053</v>
      </c>
      <c r="B5092" s="1" t="str">
        <f>HYPERLINK("https://asmlis.vasa.lt/Dashboard/Served?ServiceDateFrom=2025-11-24&amp;ServiceDateTo=2025-11-24&amp;DumpsterInvNr=13-M-200983", "13-M-200983")</f>
        <v>13-M-200983</v>
      </c>
      <c r="C5092">
        <v>0.12</v>
      </c>
      <c r="D5092" t="s">
        <v>7055</v>
      </c>
      <c r="E5092" t="s">
        <v>11</v>
      </c>
      <c r="G5092" t="s">
        <v>4876</v>
      </c>
      <c r="H5092" t="s">
        <v>938</v>
      </c>
    </row>
    <row r="5093" spans="1:10" x14ac:dyDescent="0.25">
      <c r="A5093" t="s">
        <v>7056</v>
      </c>
      <c r="B5093" s="1" t="str">
        <f>HYPERLINK("https://asmlis.vasa.lt/Dashboard/Served?ServiceDateFrom=2025-11-24&amp;ServiceDateTo=2025-11-24&amp;DumpsterInvNr=13-L-423254", "13-L-423254")</f>
        <v>13-L-423254</v>
      </c>
      <c r="C5093">
        <v>0.24</v>
      </c>
      <c r="D5093" t="s">
        <v>3271</v>
      </c>
      <c r="E5093" t="s">
        <v>11</v>
      </c>
      <c r="F5093" t="s">
        <v>1215</v>
      </c>
      <c r="G5093" t="s">
        <v>74</v>
      </c>
      <c r="H5093" t="s">
        <v>14</v>
      </c>
      <c r="J5093" t="s">
        <v>17511</v>
      </c>
    </row>
    <row r="5094" spans="1:10" hidden="1" x14ac:dyDescent="0.25">
      <c r="A5094" t="s">
        <v>7057</v>
      </c>
      <c r="B5094" s="1" t="str">
        <f>HYPERLINK("https://asmlis.vasa.lt/Dashboard/Served?ServiceDateFrom=2025-11-24&amp;ServiceDateTo=2025-11-24&amp;DumpsterInvNr=13-L-142102", "13-L-142102")</f>
        <v>13-L-142102</v>
      </c>
      <c r="C5094">
        <v>1.1000000000000001</v>
      </c>
      <c r="D5094" t="s">
        <v>7047</v>
      </c>
      <c r="E5094" t="s">
        <v>11</v>
      </c>
      <c r="G5094" t="s">
        <v>430</v>
      </c>
      <c r="H5094" t="s">
        <v>432</v>
      </c>
    </row>
    <row r="5095" spans="1:10" x14ac:dyDescent="0.25">
      <c r="A5095" t="s">
        <v>7058</v>
      </c>
      <c r="B5095" s="1" t="str">
        <f>HYPERLINK("https://asmlis.vasa.lt/Dashboard/Served?ServiceDateFrom=2025-11-24&amp;ServiceDateTo=2025-11-24&amp;DumpsterInvNr=13-L-408839", "13-L-408839")</f>
        <v>13-L-408839</v>
      </c>
      <c r="C5095">
        <v>0.24</v>
      </c>
      <c r="D5095" t="s">
        <v>3270</v>
      </c>
      <c r="E5095" t="s">
        <v>11</v>
      </c>
      <c r="F5095" t="s">
        <v>1215</v>
      </c>
      <c r="G5095" t="s">
        <v>74</v>
      </c>
      <c r="H5095" t="s">
        <v>14</v>
      </c>
      <c r="J5095" t="s">
        <v>17511</v>
      </c>
    </row>
    <row r="5096" spans="1:10" hidden="1" x14ac:dyDescent="0.25">
      <c r="A5096" t="s">
        <v>7059</v>
      </c>
      <c r="B5096" s="1" t="str">
        <f>HYPERLINK("https://asmlis.vasa.lt/Dashboard/Served?ServiceDateFrom=2025-11-24&amp;ServiceDateTo=2025-11-24&amp;DumpsterInvNr=13-L-137381", "13-L-137381")</f>
        <v>13-L-137381</v>
      </c>
      <c r="C5096">
        <v>0.24</v>
      </c>
      <c r="D5096" t="s">
        <v>7060</v>
      </c>
      <c r="E5096" t="s">
        <v>11</v>
      </c>
      <c r="G5096" t="s">
        <v>430</v>
      </c>
      <c r="H5096" t="s">
        <v>432</v>
      </c>
    </row>
    <row r="5097" spans="1:10" hidden="1" x14ac:dyDescent="0.25">
      <c r="A5097" t="s">
        <v>7059</v>
      </c>
      <c r="B5097" s="1" t="str">
        <f>HYPERLINK("https://asmlis.vasa.lt/Dashboard/Served?ServiceDateFrom=2025-11-24&amp;ServiceDateTo=2025-11-24&amp;DumpsterInvNr=13-P-210642", "13-P-210642")</f>
        <v>13-P-210642</v>
      </c>
      <c r="C5097">
        <v>0.24</v>
      </c>
      <c r="D5097" t="s">
        <v>7061</v>
      </c>
      <c r="E5097" t="s">
        <v>11</v>
      </c>
      <c r="G5097" t="s">
        <v>234</v>
      </c>
      <c r="H5097" t="s">
        <v>14</v>
      </c>
    </row>
    <row r="5098" spans="1:10" hidden="1" x14ac:dyDescent="0.25">
      <c r="A5098" t="s">
        <v>7059</v>
      </c>
      <c r="B5098" s="1" t="str">
        <f>HYPERLINK("https://asmlis.vasa.lt/Dashboard/Served?ServiceDateFrom=2025-11-24&amp;ServiceDateTo=2025-11-24&amp;DumpsterInvNr=13-P-505390", "13-P-505390")</f>
        <v>13-P-505390</v>
      </c>
      <c r="C5098">
        <v>0.24</v>
      </c>
      <c r="D5098" t="s">
        <v>7060</v>
      </c>
      <c r="E5098" t="s">
        <v>11</v>
      </c>
      <c r="G5098" t="s">
        <v>2178</v>
      </c>
      <c r="H5098" t="s">
        <v>432</v>
      </c>
    </row>
    <row r="5099" spans="1:10" hidden="1" x14ac:dyDescent="0.25">
      <c r="A5099" t="s">
        <v>7062</v>
      </c>
      <c r="B5099" s="1" t="str">
        <f>HYPERLINK("https://asmlis.vasa.lt/Dashboard/Served?ServiceDateFrom=2025-11-24&amp;ServiceDateTo=2025-11-24&amp;DumpsterInvNr=13-L-421910", "13-L-421910")</f>
        <v>13-L-421910</v>
      </c>
      <c r="C5099">
        <v>5</v>
      </c>
      <c r="D5099" t="s">
        <v>7063</v>
      </c>
      <c r="E5099" t="s">
        <v>11</v>
      </c>
      <c r="F5099" t="s">
        <v>13</v>
      </c>
      <c r="G5099" t="s">
        <v>74</v>
      </c>
      <c r="H5099" t="s">
        <v>14</v>
      </c>
    </row>
    <row r="5100" spans="1:10" hidden="1" x14ac:dyDescent="0.25">
      <c r="A5100" t="s">
        <v>7064</v>
      </c>
      <c r="B5100" s="1" t="str">
        <f>HYPERLINK("https://asmlis.vasa.lt/Dashboard/Served?ServiceDateFrom=2025-11-24&amp;ServiceDateTo=2025-11-24&amp;DumpsterInvNr=13-P-211800", "13-P-211800")</f>
        <v>13-P-211800</v>
      </c>
      <c r="C5100">
        <v>0.24</v>
      </c>
      <c r="D5100" t="s">
        <v>7065</v>
      </c>
      <c r="E5100" t="s">
        <v>11</v>
      </c>
      <c r="G5100" t="s">
        <v>234</v>
      </c>
      <c r="H5100" t="s">
        <v>14</v>
      </c>
    </row>
    <row r="5101" spans="1:10" hidden="1" x14ac:dyDescent="0.25">
      <c r="A5101" t="s">
        <v>7066</v>
      </c>
      <c r="B5101" s="1" t="str">
        <f>HYPERLINK("https://asmlis.vasa.lt/Dashboard/Served?ServiceDateFrom=2025-11-24&amp;ServiceDateTo=2025-11-24&amp;DumpsterInvNr=13-L-420211", "13-L-420211")</f>
        <v>13-L-420211</v>
      </c>
      <c r="C5101">
        <v>5</v>
      </c>
      <c r="D5101" t="s">
        <v>1546</v>
      </c>
      <c r="E5101" t="s">
        <v>11</v>
      </c>
      <c r="G5101" t="s">
        <v>74</v>
      </c>
      <c r="H5101" t="s">
        <v>14</v>
      </c>
    </row>
    <row r="5102" spans="1:10" hidden="1" x14ac:dyDescent="0.25">
      <c r="A5102" t="s">
        <v>7066</v>
      </c>
      <c r="B5102" s="1" t="str">
        <f>HYPERLINK("https://asmlis.vasa.lt/Dashboard/Served?ServiceDateFrom=2025-11-24&amp;ServiceDateTo=2025-11-24&amp;DumpsterInvNr=13-P-207669", "13-P-207669")</f>
        <v>13-P-207669</v>
      </c>
      <c r="C5102">
        <v>5</v>
      </c>
      <c r="D5102" t="s">
        <v>2190</v>
      </c>
      <c r="E5102" t="s">
        <v>11</v>
      </c>
      <c r="G5102" t="s">
        <v>234</v>
      </c>
      <c r="H5102" t="s">
        <v>14</v>
      </c>
    </row>
    <row r="5103" spans="1:10" hidden="1" x14ac:dyDescent="0.25">
      <c r="A5103" t="s">
        <v>7066</v>
      </c>
      <c r="B5103" s="1" t="str">
        <f>HYPERLINK("https://asmlis.vasa.lt/Dashboard/Served?ServiceDateFrom=2025-11-24&amp;ServiceDateTo=2025-11-24&amp;DumpsterInvNr=13-M-203925", "13-M-203925")</f>
        <v>13-M-203925</v>
      </c>
      <c r="C5103">
        <v>0.12</v>
      </c>
      <c r="D5103" t="s">
        <v>7067</v>
      </c>
      <c r="E5103" t="s">
        <v>11</v>
      </c>
      <c r="F5103" t="s">
        <v>1209</v>
      </c>
      <c r="G5103" t="s">
        <v>4876</v>
      </c>
      <c r="H5103" t="s">
        <v>938</v>
      </c>
    </row>
    <row r="5104" spans="1:10" hidden="1" x14ac:dyDescent="0.25">
      <c r="A5104" t="s">
        <v>7069</v>
      </c>
      <c r="B5104" s="1" t="str">
        <f>HYPERLINK("https://asmlis.vasa.lt/Dashboard/Served?ServiceDateFrom=2025-11-24&amp;ServiceDateTo=2025-11-24&amp;DumpsterInvNr=13-L-317612", "13-L-317612")</f>
        <v>13-L-317612</v>
      </c>
      <c r="C5104">
        <v>1.1000000000000001</v>
      </c>
      <c r="D5104" t="s">
        <v>7070</v>
      </c>
      <c r="E5104" t="s">
        <v>11</v>
      </c>
      <c r="G5104" t="s">
        <v>9</v>
      </c>
      <c r="H5104" t="s">
        <v>14</v>
      </c>
    </row>
    <row r="5105" spans="1:10" hidden="1" x14ac:dyDescent="0.25">
      <c r="A5105" t="s">
        <v>7071</v>
      </c>
      <c r="B5105" s="1" t="str">
        <f>HYPERLINK("https://asmlis.vasa.lt/Dashboard/Served?ServiceDateFrom=2025-11-24&amp;ServiceDateTo=2025-11-24&amp;DumpsterInvNr=13-P-500533", "13-P-500533")</f>
        <v>13-P-500533</v>
      </c>
      <c r="C5105">
        <v>5</v>
      </c>
      <c r="D5105" t="s">
        <v>7072</v>
      </c>
      <c r="E5105" t="s">
        <v>11</v>
      </c>
      <c r="F5105" t="s">
        <v>13</v>
      </c>
      <c r="G5105" t="s">
        <v>2178</v>
      </c>
      <c r="H5105" t="s">
        <v>432</v>
      </c>
    </row>
    <row r="5106" spans="1:10" x14ac:dyDescent="0.25">
      <c r="A5106" t="s">
        <v>7073</v>
      </c>
      <c r="B5106" s="1" t="str">
        <f>HYPERLINK("https://asmlis.vasa.lt/Dashboard/Served?ServiceDateFrom=2025-11-24&amp;ServiceDateTo=2025-11-24&amp;DumpsterInvNr=13-L-413069", "13-L-413069")</f>
        <v>13-L-413069</v>
      </c>
      <c r="C5106">
        <v>0.12</v>
      </c>
      <c r="D5106" t="s">
        <v>7074</v>
      </c>
      <c r="E5106" t="s">
        <v>11</v>
      </c>
      <c r="F5106" t="s">
        <v>1215</v>
      </c>
      <c r="G5106" t="s">
        <v>74</v>
      </c>
      <c r="H5106" t="s">
        <v>14</v>
      </c>
      <c r="J5106" t="s">
        <v>17511</v>
      </c>
    </row>
    <row r="5107" spans="1:10" hidden="1" x14ac:dyDescent="0.25">
      <c r="A5107" t="s">
        <v>7075</v>
      </c>
      <c r="B5107" s="1" t="str">
        <f>HYPERLINK("https://asmlis.vasa.lt/Dashboard/Served?ServiceDateFrom=2025-11-24&amp;ServiceDateTo=2025-11-24&amp;DumpsterInvNr=13-M-204239", "13-M-204239")</f>
        <v>13-M-204239</v>
      </c>
      <c r="C5107">
        <v>0.12</v>
      </c>
      <c r="D5107" t="s">
        <v>7076</v>
      </c>
      <c r="E5107" t="s">
        <v>11</v>
      </c>
      <c r="F5107" t="s">
        <v>1209</v>
      </c>
      <c r="G5107" t="s">
        <v>4876</v>
      </c>
      <c r="H5107" t="s">
        <v>938</v>
      </c>
    </row>
    <row r="5108" spans="1:10" hidden="1" x14ac:dyDescent="0.25">
      <c r="A5108" t="s">
        <v>7078</v>
      </c>
      <c r="B5108" s="1" t="str">
        <f>HYPERLINK("https://asmlis.vasa.lt/Dashboard/Served?ServiceDateFrom=2025-11-24&amp;ServiceDateTo=2025-11-24&amp;DumpsterInvNr=13-L-225473", "13-L-225473")</f>
        <v>13-L-225473</v>
      </c>
      <c r="C5108">
        <v>1.1000000000000001</v>
      </c>
      <c r="D5108" t="s">
        <v>7079</v>
      </c>
      <c r="E5108" t="s">
        <v>11</v>
      </c>
      <c r="G5108" t="s">
        <v>936</v>
      </c>
      <c r="H5108" t="s">
        <v>938</v>
      </c>
    </row>
    <row r="5109" spans="1:10" hidden="1" x14ac:dyDescent="0.25">
      <c r="A5109" t="s">
        <v>7078</v>
      </c>
      <c r="B5109" s="1" t="str">
        <f>HYPERLINK("https://asmlis.vasa.lt/Dashboard/Served?ServiceDateFrom=2025-11-24&amp;ServiceDateTo=2025-11-24&amp;DumpsterInvNr=13-P-302220", "13-P-302220")</f>
        <v>13-P-302220</v>
      </c>
      <c r="C5109">
        <v>1.1000000000000001</v>
      </c>
      <c r="D5109" t="s">
        <v>7032</v>
      </c>
      <c r="E5109" t="s">
        <v>11</v>
      </c>
      <c r="F5109" t="s">
        <v>13</v>
      </c>
      <c r="G5109" t="s">
        <v>412</v>
      </c>
      <c r="H5109" t="s">
        <v>14</v>
      </c>
    </row>
    <row r="5110" spans="1:10" x14ac:dyDescent="0.25">
      <c r="A5110" t="s">
        <v>7080</v>
      </c>
      <c r="B5110" s="1" t="str">
        <f>HYPERLINK("https://asmlis.vasa.lt/Dashboard/Served?ServiceDateFrom=2025-11-24&amp;ServiceDateTo=2025-11-24&amp;DumpsterInvNr=13-L-407274", "13-L-407274")</f>
        <v>13-L-407274</v>
      </c>
      <c r="C5110">
        <v>0.12</v>
      </c>
      <c r="D5110" t="s">
        <v>3267</v>
      </c>
      <c r="E5110" t="s">
        <v>11</v>
      </c>
      <c r="F5110" t="s">
        <v>1215</v>
      </c>
      <c r="G5110" t="s">
        <v>74</v>
      </c>
      <c r="H5110" t="s">
        <v>14</v>
      </c>
      <c r="J5110" t="s">
        <v>17511</v>
      </c>
    </row>
    <row r="5111" spans="1:10" x14ac:dyDescent="0.25">
      <c r="A5111" t="s">
        <v>7081</v>
      </c>
      <c r="B5111" s="1" t="str">
        <f>HYPERLINK("https://asmlis.vasa.lt/Dashboard/Served?ServiceDateFrom=2025-11-24&amp;ServiceDateTo=2025-11-24&amp;DumpsterInvNr=13-L-422172", "13-L-422172")</f>
        <v>13-L-422172</v>
      </c>
      <c r="C5111">
        <v>0.24</v>
      </c>
      <c r="D5111" t="s">
        <v>7082</v>
      </c>
      <c r="E5111" t="s">
        <v>11</v>
      </c>
      <c r="F5111" t="s">
        <v>1215</v>
      </c>
      <c r="G5111" t="s">
        <v>74</v>
      </c>
      <c r="H5111" t="s">
        <v>14</v>
      </c>
      <c r="J5111" t="s">
        <v>17511</v>
      </c>
    </row>
    <row r="5112" spans="1:10" x14ac:dyDescent="0.25">
      <c r="A5112" t="s">
        <v>7083</v>
      </c>
      <c r="B5112" s="1" t="str">
        <f>HYPERLINK("https://asmlis.vasa.lt/Dashboard/Served?ServiceDateFrom=2025-11-24&amp;ServiceDateTo=2025-11-24&amp;DumpsterInvNr=13-L-407203", "13-L-407203")</f>
        <v>13-L-407203</v>
      </c>
      <c r="C5112">
        <v>0.12</v>
      </c>
      <c r="D5112" t="s">
        <v>3268</v>
      </c>
      <c r="E5112" t="s">
        <v>11</v>
      </c>
      <c r="F5112" t="s">
        <v>1215</v>
      </c>
      <c r="G5112" t="s">
        <v>74</v>
      </c>
      <c r="H5112" t="s">
        <v>14</v>
      </c>
      <c r="J5112" t="s">
        <v>17511</v>
      </c>
    </row>
    <row r="5113" spans="1:10" hidden="1" x14ac:dyDescent="0.25">
      <c r="A5113" t="s">
        <v>7083</v>
      </c>
      <c r="B5113" s="1" t="str">
        <f>HYPERLINK("https://asmlis.vasa.lt/Dashboard/Served?ServiceDateFrom=2025-11-24&amp;ServiceDateTo=2025-11-24&amp;DumpsterInvNr=13-M-203934", "13-M-203934")</f>
        <v>13-M-203934</v>
      </c>
      <c r="C5113">
        <v>0.12</v>
      </c>
      <c r="D5113" t="s">
        <v>7084</v>
      </c>
      <c r="E5113" t="s">
        <v>11</v>
      </c>
      <c r="F5113" t="s">
        <v>1209</v>
      </c>
      <c r="G5113" t="s">
        <v>4876</v>
      </c>
      <c r="H5113" t="s">
        <v>938</v>
      </c>
    </row>
    <row r="5114" spans="1:10" hidden="1" x14ac:dyDescent="0.25">
      <c r="A5114" t="s">
        <v>7086</v>
      </c>
      <c r="B5114" s="1" t="str">
        <f>HYPERLINK("https://asmlis.vasa.lt/Dashboard/Served?ServiceDateFrom=2025-11-24&amp;ServiceDateTo=2025-11-24&amp;DumpsterInvNr=13-P-400533", "13-P-400533")</f>
        <v>13-P-400533</v>
      </c>
      <c r="C5114">
        <v>5</v>
      </c>
      <c r="D5114" t="s">
        <v>7087</v>
      </c>
      <c r="E5114" t="s">
        <v>11</v>
      </c>
      <c r="G5114" t="s">
        <v>264</v>
      </c>
      <c r="H5114" t="s">
        <v>14</v>
      </c>
    </row>
    <row r="5115" spans="1:10" hidden="1" x14ac:dyDescent="0.25">
      <c r="A5115" t="s">
        <v>7088</v>
      </c>
      <c r="B5115" s="1" t="str">
        <f>HYPERLINK("https://asmlis.vasa.lt/Dashboard/Served?ServiceDateFrom=2025-11-24&amp;ServiceDateTo=2025-11-24&amp;DumpsterInvNr=13-L-105930", "13-L-105930")</f>
        <v>13-L-105930</v>
      </c>
      <c r="C5115">
        <v>1.1000000000000001</v>
      </c>
      <c r="D5115" t="s">
        <v>7089</v>
      </c>
      <c r="E5115" t="s">
        <v>11</v>
      </c>
      <c r="G5115" t="s">
        <v>1912</v>
      </c>
      <c r="H5115" t="s">
        <v>432</v>
      </c>
    </row>
    <row r="5116" spans="1:10" x14ac:dyDescent="0.25">
      <c r="A5116" t="s">
        <v>7090</v>
      </c>
      <c r="B5116" s="1" t="str">
        <f>HYPERLINK("https://asmlis.vasa.lt/Dashboard/Served?ServiceDateFrom=2025-11-24&amp;ServiceDateTo=2025-11-24&amp;DumpsterInvNr=13-L-407233", "13-L-407233")</f>
        <v>13-L-407233</v>
      </c>
      <c r="C5116">
        <v>0.12</v>
      </c>
      <c r="D5116" t="s">
        <v>3269</v>
      </c>
      <c r="E5116" t="s">
        <v>11</v>
      </c>
      <c r="F5116" t="s">
        <v>1215</v>
      </c>
      <c r="G5116" t="s">
        <v>74</v>
      </c>
      <c r="H5116" t="s">
        <v>14</v>
      </c>
      <c r="J5116" t="s">
        <v>17511</v>
      </c>
    </row>
    <row r="5117" spans="1:10" hidden="1" x14ac:dyDescent="0.25">
      <c r="A5117" t="s">
        <v>7091</v>
      </c>
      <c r="B5117" s="1" t="str">
        <f>HYPERLINK("https://asmlis.vasa.lt/Dashboard/Served?ServiceDateFrom=2025-11-24&amp;ServiceDateTo=2025-11-24&amp;DumpsterInvNr=13-L-225390", "13-L-225390")</f>
        <v>13-L-225390</v>
      </c>
      <c r="C5117">
        <v>1.1000000000000001</v>
      </c>
      <c r="D5117" t="s">
        <v>7092</v>
      </c>
      <c r="E5117" t="s">
        <v>11</v>
      </c>
      <c r="G5117" t="s">
        <v>936</v>
      </c>
      <c r="H5117" t="s">
        <v>938</v>
      </c>
    </row>
    <row r="5118" spans="1:10" hidden="1" x14ac:dyDescent="0.25">
      <c r="A5118" t="s">
        <v>7093</v>
      </c>
      <c r="B5118" s="1" t="str">
        <f>HYPERLINK("https://asmlis.vasa.lt/Dashboard/Served?ServiceDateFrom=2025-11-24&amp;ServiceDateTo=2025-11-24&amp;DumpsterInvNr=13-L-316867", "13-L-316867")</f>
        <v>13-L-316867</v>
      </c>
      <c r="C5118">
        <v>1.1000000000000001</v>
      </c>
      <c r="D5118" t="s">
        <v>7070</v>
      </c>
      <c r="E5118" t="s">
        <v>11</v>
      </c>
      <c r="G5118" t="s">
        <v>9</v>
      </c>
      <c r="H5118" t="s">
        <v>14</v>
      </c>
    </row>
    <row r="5119" spans="1:10" hidden="1" x14ac:dyDescent="0.25">
      <c r="A5119" t="s">
        <v>7093</v>
      </c>
      <c r="B5119" s="1" t="str">
        <f>HYPERLINK("https://asmlis.vasa.lt/Dashboard/Served?ServiceDateFrom=2025-11-24&amp;ServiceDateTo=2025-11-24&amp;DumpsterInvNr=13-P-102372", "13-P-102372")</f>
        <v>13-P-102372</v>
      </c>
      <c r="C5119">
        <v>5</v>
      </c>
      <c r="D5119" t="s">
        <v>5121</v>
      </c>
      <c r="E5119" t="s">
        <v>11</v>
      </c>
      <c r="F5119" t="s">
        <v>13</v>
      </c>
      <c r="G5119" t="s">
        <v>1917</v>
      </c>
      <c r="H5119" t="s">
        <v>432</v>
      </c>
    </row>
    <row r="5120" spans="1:10" hidden="1" x14ac:dyDescent="0.25">
      <c r="A5120" t="s">
        <v>7095</v>
      </c>
      <c r="B5120" s="1" t="str">
        <f>HYPERLINK("https://asmlis.vasa.lt/Dashboard/Served?ServiceDateFrom=2025-11-24&amp;ServiceDateTo=2025-11-24&amp;DumpsterInvNr=13-P-212049", "13-P-212049")</f>
        <v>13-P-212049</v>
      </c>
      <c r="C5120">
        <v>0.24</v>
      </c>
      <c r="D5120" t="s">
        <v>7096</v>
      </c>
      <c r="E5120" t="s">
        <v>11</v>
      </c>
      <c r="G5120" t="s">
        <v>234</v>
      </c>
      <c r="H5120" t="s">
        <v>14</v>
      </c>
    </row>
    <row r="5121" spans="1:10" hidden="1" x14ac:dyDescent="0.25">
      <c r="A5121" t="s">
        <v>7097</v>
      </c>
      <c r="B5121" s="1" t="str">
        <f>HYPERLINK("https://asmlis.vasa.lt/Dashboard/Served?ServiceDateFrom=2025-11-24&amp;ServiceDateTo=2025-11-24&amp;DumpsterInvNr=13-L-221461", "13-L-221461")</f>
        <v>13-L-221461</v>
      </c>
      <c r="C5121">
        <v>1.1000000000000001</v>
      </c>
      <c r="D5121" t="s">
        <v>7079</v>
      </c>
      <c r="E5121" t="s">
        <v>11</v>
      </c>
      <c r="G5121" t="s">
        <v>936</v>
      </c>
      <c r="H5121" t="s">
        <v>938</v>
      </c>
    </row>
    <row r="5122" spans="1:10" hidden="1" x14ac:dyDescent="0.25">
      <c r="A5122" t="s">
        <v>6827</v>
      </c>
      <c r="B5122" s="1" t="str">
        <f>HYPERLINK("https://asmlis.vasa.lt/Dashboard/Served?ServiceDateFrom=2025-11-24&amp;ServiceDateTo=2025-11-24&amp;DumpsterInvNr=13-L-105928", "13-L-105928")</f>
        <v>13-L-105928</v>
      </c>
      <c r="C5122">
        <v>1.1000000000000001</v>
      </c>
      <c r="D5122" t="s">
        <v>7089</v>
      </c>
      <c r="E5122" t="s">
        <v>11</v>
      </c>
      <c r="G5122" t="s">
        <v>1912</v>
      </c>
      <c r="H5122" t="s">
        <v>432</v>
      </c>
    </row>
    <row r="5123" spans="1:10" x14ac:dyDescent="0.25">
      <c r="A5123" t="s">
        <v>6827</v>
      </c>
      <c r="B5123" s="1" t="str">
        <f>HYPERLINK("https://asmlis.vasa.lt/Dashboard/Served?ServiceDateFrom=2025-11-24&amp;ServiceDateTo=2025-11-24&amp;DumpsterInvNr=13-L-417368", "13-L-417368")</f>
        <v>13-L-417368</v>
      </c>
      <c r="C5123">
        <v>0.24</v>
      </c>
      <c r="D5123" t="s">
        <v>3305</v>
      </c>
      <c r="E5123" t="s">
        <v>11</v>
      </c>
      <c r="F5123" t="s">
        <v>1215</v>
      </c>
      <c r="G5123" t="s">
        <v>74</v>
      </c>
      <c r="H5123" t="s">
        <v>14</v>
      </c>
      <c r="J5123" t="s">
        <v>17511</v>
      </c>
    </row>
    <row r="5124" spans="1:10" hidden="1" x14ac:dyDescent="0.25">
      <c r="A5124" t="s">
        <v>6886</v>
      </c>
      <c r="B5124" s="1" t="str">
        <f>HYPERLINK("https://asmlis.vasa.lt/Dashboard/Served?ServiceDateFrom=2025-11-24&amp;ServiceDateTo=2025-11-24&amp;DumpsterInvNr=13-M-206977", "13-M-206977")</f>
        <v>13-M-206977</v>
      </c>
      <c r="C5124">
        <v>0.12</v>
      </c>
      <c r="D5124" t="s">
        <v>7099</v>
      </c>
      <c r="E5124" t="s">
        <v>11</v>
      </c>
      <c r="G5124" t="s">
        <v>4876</v>
      </c>
      <c r="H5124" t="s">
        <v>938</v>
      </c>
    </row>
    <row r="5125" spans="1:10" hidden="1" x14ac:dyDescent="0.25">
      <c r="A5125" t="s">
        <v>7100</v>
      </c>
      <c r="B5125" s="1" t="str">
        <f>HYPERLINK("https://asmlis.vasa.lt/Dashboard/Served?ServiceDateFrom=2025-11-24&amp;ServiceDateTo=2025-11-24&amp;DumpsterInvNr=13-L-209241", "13-L-209241")</f>
        <v>13-L-209241</v>
      </c>
      <c r="C5125">
        <v>0.24</v>
      </c>
      <c r="D5125" t="s">
        <v>5907</v>
      </c>
      <c r="E5125" t="s">
        <v>11</v>
      </c>
      <c r="G5125" t="s">
        <v>936</v>
      </c>
      <c r="H5125" t="s">
        <v>938</v>
      </c>
    </row>
    <row r="5126" spans="1:10" hidden="1" x14ac:dyDescent="0.25">
      <c r="A5126" t="s">
        <v>7101</v>
      </c>
      <c r="B5126" s="1" t="str">
        <f>HYPERLINK("https://asmlis.vasa.lt/Dashboard/Served?ServiceDateFrom=2025-11-24&amp;ServiceDateTo=2025-11-24&amp;DumpsterInvNr=13-T-000285", "13-T-000285")</f>
        <v>13-T-000285</v>
      </c>
      <c r="C5126">
        <v>2.5</v>
      </c>
      <c r="D5126" t="s">
        <v>5383</v>
      </c>
      <c r="E5126" t="s">
        <v>11</v>
      </c>
      <c r="F5126" t="s">
        <v>13</v>
      </c>
      <c r="G5126" t="s">
        <v>1899</v>
      </c>
      <c r="H5126" t="s">
        <v>432</v>
      </c>
    </row>
    <row r="5127" spans="1:10" hidden="1" x14ac:dyDescent="0.25">
      <c r="A5127" t="s">
        <v>6996</v>
      </c>
      <c r="B5127" s="1" t="str">
        <f>HYPERLINK("https://asmlis.vasa.lt/Dashboard/Served?ServiceDateFrom=2025-11-24&amp;ServiceDateTo=2025-11-24&amp;DumpsterInvNr=13-S-208643", "13-S-208643")</f>
        <v>13-S-208643</v>
      </c>
      <c r="C5127">
        <v>0.12</v>
      </c>
      <c r="D5127" t="s">
        <v>7096</v>
      </c>
      <c r="E5127" t="s">
        <v>11</v>
      </c>
      <c r="G5127" t="s">
        <v>234</v>
      </c>
      <c r="H5127" t="s">
        <v>14</v>
      </c>
    </row>
    <row r="5128" spans="1:10" hidden="1" x14ac:dyDescent="0.25">
      <c r="A5128" t="s">
        <v>7098</v>
      </c>
      <c r="B5128" s="1" t="str">
        <f>HYPERLINK("https://asmlis.vasa.lt/Dashboard/Served?ServiceDateFrom=2025-11-24&amp;ServiceDateTo=2025-11-24&amp;DumpsterInvNr=13-M-204271", "13-M-204271")</f>
        <v>13-M-204271</v>
      </c>
      <c r="C5128">
        <v>0.12</v>
      </c>
      <c r="D5128" t="s">
        <v>7102</v>
      </c>
      <c r="E5128" t="s">
        <v>11</v>
      </c>
      <c r="G5128" t="s">
        <v>4876</v>
      </c>
      <c r="H5128" t="s">
        <v>938</v>
      </c>
    </row>
    <row r="5129" spans="1:10" hidden="1" x14ac:dyDescent="0.25">
      <c r="A5129" t="s">
        <v>7037</v>
      </c>
      <c r="B5129" s="1" t="str">
        <f>HYPERLINK("https://asmlis.vasa.lt/Dashboard/Served?ServiceDateFrom=2025-11-24&amp;ServiceDateTo=2025-11-24&amp;DumpsterInvNr=13-T-000286", "13-T-000286")</f>
        <v>13-T-000286</v>
      </c>
      <c r="C5129">
        <v>2.5</v>
      </c>
      <c r="D5129" t="s">
        <v>5383</v>
      </c>
      <c r="E5129" t="s">
        <v>11</v>
      </c>
      <c r="F5129" t="s">
        <v>13</v>
      </c>
      <c r="G5129" t="s">
        <v>1899</v>
      </c>
      <c r="H5129" t="s">
        <v>432</v>
      </c>
    </row>
    <row r="5130" spans="1:10" hidden="1" x14ac:dyDescent="0.25">
      <c r="A5130" t="s">
        <v>7037</v>
      </c>
      <c r="B5130" s="1" t="str">
        <f>HYPERLINK("https://asmlis.vasa.lt/Dashboard/Served?ServiceDateFrom=2025-11-24&amp;ServiceDateTo=2025-11-24&amp;DumpsterInvNr=13-S-207352", "13-S-207352")</f>
        <v>13-S-207352</v>
      </c>
      <c r="C5130">
        <v>3</v>
      </c>
      <c r="D5130" t="s">
        <v>7103</v>
      </c>
      <c r="E5130" t="s">
        <v>11</v>
      </c>
      <c r="G5130" t="s">
        <v>234</v>
      </c>
      <c r="H5130" t="s">
        <v>14</v>
      </c>
    </row>
    <row r="5131" spans="1:10" x14ac:dyDescent="0.25">
      <c r="A5131" t="s">
        <v>7068</v>
      </c>
      <c r="B5131" s="1" t="str">
        <f>HYPERLINK("https://asmlis.vasa.lt/Dashboard/Served?ServiceDateFrom=2025-11-24&amp;ServiceDateTo=2025-11-24&amp;DumpsterInvNr=13-L-417445", "13-L-417445")</f>
        <v>13-L-417445</v>
      </c>
      <c r="C5131">
        <v>0.24</v>
      </c>
      <c r="D5131" t="s">
        <v>7104</v>
      </c>
      <c r="E5131" t="s">
        <v>11</v>
      </c>
      <c r="F5131" t="s">
        <v>1215</v>
      </c>
      <c r="G5131" t="s">
        <v>74</v>
      </c>
      <c r="H5131" t="s">
        <v>14</v>
      </c>
      <c r="J5131" t="s">
        <v>17511</v>
      </c>
    </row>
    <row r="5132" spans="1:10" hidden="1" x14ac:dyDescent="0.25">
      <c r="A5132" t="s">
        <v>7077</v>
      </c>
      <c r="B5132" s="1" t="str">
        <f>HYPERLINK("https://asmlis.vasa.lt/Dashboard/Served?ServiceDateFrom=2025-11-24&amp;ServiceDateTo=2025-11-24&amp;DumpsterInvNr=13-L-134232", "13-L-134232")</f>
        <v>13-L-134232</v>
      </c>
      <c r="C5132">
        <v>5</v>
      </c>
      <c r="D5132" t="s">
        <v>7106</v>
      </c>
      <c r="E5132" t="s">
        <v>11</v>
      </c>
      <c r="F5132" t="s">
        <v>13</v>
      </c>
      <c r="G5132" t="s">
        <v>430</v>
      </c>
      <c r="H5132" t="s">
        <v>432</v>
      </c>
    </row>
    <row r="5133" spans="1:10" hidden="1" x14ac:dyDescent="0.25">
      <c r="A5133" t="s">
        <v>7085</v>
      </c>
      <c r="B5133" s="1" t="str">
        <f>HYPERLINK("https://asmlis.vasa.lt/Dashboard/Served?ServiceDateFrom=2025-11-24&amp;ServiceDateTo=2025-11-24&amp;DumpsterInvNr=13-S-212571", "13-S-212571")</f>
        <v>13-S-212571</v>
      </c>
      <c r="C5133">
        <v>0.12</v>
      </c>
      <c r="D5133" t="s">
        <v>6979</v>
      </c>
      <c r="E5133" t="s">
        <v>11</v>
      </c>
      <c r="F5133" t="s">
        <v>1209</v>
      </c>
      <c r="G5133" t="s">
        <v>234</v>
      </c>
      <c r="H5133" t="s">
        <v>14</v>
      </c>
    </row>
    <row r="5134" spans="1:10" hidden="1" x14ac:dyDescent="0.25">
      <c r="A5134" t="s">
        <v>7109</v>
      </c>
      <c r="B5134" s="1" t="str">
        <f>HYPERLINK("https://asmlis.vasa.lt/Dashboard/Served?ServiceDateFrom=2025-11-24&amp;ServiceDateTo=2025-11-24&amp;DumpsterInvNr=13-L-105929", "13-L-105929")</f>
        <v>13-L-105929</v>
      </c>
      <c r="C5134">
        <v>1.1000000000000001</v>
      </c>
      <c r="D5134" t="s">
        <v>7089</v>
      </c>
      <c r="E5134" t="s">
        <v>11</v>
      </c>
      <c r="G5134" t="s">
        <v>1912</v>
      </c>
      <c r="H5134" t="s">
        <v>432</v>
      </c>
    </row>
    <row r="5135" spans="1:10" hidden="1" x14ac:dyDescent="0.25">
      <c r="A5135" t="s">
        <v>7109</v>
      </c>
      <c r="B5135" s="1" t="str">
        <f>HYPERLINK("https://asmlis.vasa.lt/Dashboard/Served?ServiceDateFrom=2025-11-24&amp;ServiceDateTo=2025-11-24&amp;DumpsterInvNr=13-L-222129", "13-L-222129")</f>
        <v>13-L-222129</v>
      </c>
      <c r="C5135">
        <v>0.77</v>
      </c>
      <c r="D5135" t="s">
        <v>7111</v>
      </c>
      <c r="E5135" t="s">
        <v>11</v>
      </c>
      <c r="G5135" t="s">
        <v>936</v>
      </c>
      <c r="H5135" t="s">
        <v>938</v>
      </c>
    </row>
    <row r="5136" spans="1:10" hidden="1" x14ac:dyDescent="0.25">
      <c r="A5136" t="s">
        <v>7109</v>
      </c>
      <c r="B5136" s="1" t="str">
        <f>HYPERLINK("https://asmlis.vasa.lt/Dashboard/Served?ServiceDateFrom=2025-11-24&amp;ServiceDateTo=2025-11-24&amp;DumpsterInvNr=13-L-224789", "13-L-224789")</f>
        <v>13-L-224789</v>
      </c>
      <c r="C5136">
        <v>1.1000000000000001</v>
      </c>
      <c r="D5136" t="s">
        <v>7079</v>
      </c>
      <c r="E5136" t="s">
        <v>11</v>
      </c>
      <c r="G5136" t="s">
        <v>936</v>
      </c>
      <c r="H5136" t="s">
        <v>938</v>
      </c>
    </row>
    <row r="5137" spans="1:10" hidden="1" x14ac:dyDescent="0.25">
      <c r="A5137" t="s">
        <v>7105</v>
      </c>
      <c r="B5137" s="1" t="str">
        <f>HYPERLINK("https://asmlis.vasa.lt/Dashboard/Served?ServiceDateFrom=2025-11-24&amp;ServiceDateTo=2025-11-24&amp;DumpsterInvNr=13-L-427321", "13-L-427321")</f>
        <v>13-L-427321</v>
      </c>
      <c r="C5137">
        <v>0.24</v>
      </c>
      <c r="D5137" t="s">
        <v>2262</v>
      </c>
      <c r="E5137" t="s">
        <v>11</v>
      </c>
      <c r="F5137" t="s">
        <v>1209</v>
      </c>
      <c r="G5137" t="s">
        <v>74</v>
      </c>
      <c r="H5137" t="s">
        <v>14</v>
      </c>
    </row>
    <row r="5138" spans="1:10" hidden="1" x14ac:dyDescent="0.25">
      <c r="A5138" t="s">
        <v>7113</v>
      </c>
      <c r="B5138" s="1" t="str">
        <f>HYPERLINK("https://asmlis.vasa.lt/Dashboard/Served?ServiceDateFrom=2025-11-24&amp;ServiceDateTo=2025-11-24&amp;DumpsterInvNr=13-M-204528", "13-M-204528")</f>
        <v>13-M-204528</v>
      </c>
      <c r="C5138">
        <v>0.12</v>
      </c>
      <c r="D5138" t="s">
        <v>7114</v>
      </c>
      <c r="E5138" t="s">
        <v>11</v>
      </c>
      <c r="F5138" t="s">
        <v>1209</v>
      </c>
      <c r="G5138" t="s">
        <v>4876</v>
      </c>
      <c r="H5138" t="s">
        <v>938</v>
      </c>
    </row>
    <row r="5139" spans="1:10" hidden="1" x14ac:dyDescent="0.25">
      <c r="A5139" t="s">
        <v>7115</v>
      </c>
      <c r="B5139" s="1" t="str">
        <f>HYPERLINK("https://asmlis.vasa.lt/Dashboard/Served?ServiceDateFrom=2025-11-24&amp;ServiceDateTo=2025-11-24&amp;DumpsterInvNr=13-L-317610", "13-L-317610")</f>
        <v>13-L-317610</v>
      </c>
      <c r="C5139">
        <v>1.1000000000000001</v>
      </c>
      <c r="D5139" t="s">
        <v>7070</v>
      </c>
      <c r="E5139" t="s">
        <v>11</v>
      </c>
      <c r="F5139" t="s">
        <v>13</v>
      </c>
      <c r="G5139" t="s">
        <v>9</v>
      </c>
      <c r="H5139" t="s">
        <v>14</v>
      </c>
    </row>
    <row r="5140" spans="1:10" x14ac:dyDescent="0.25">
      <c r="A5140" t="s">
        <v>7116</v>
      </c>
      <c r="B5140" s="1" t="str">
        <f>HYPERLINK("https://asmlis.vasa.lt/Dashboard/Served?ServiceDateFrom=2025-11-24&amp;ServiceDateTo=2025-11-24&amp;DumpsterInvNr=13-L-421329", "13-L-421329")</f>
        <v>13-L-421329</v>
      </c>
      <c r="C5140">
        <v>0.24</v>
      </c>
      <c r="D5140" t="s">
        <v>3266</v>
      </c>
      <c r="E5140" t="s">
        <v>11</v>
      </c>
      <c r="F5140" t="s">
        <v>1215</v>
      </c>
      <c r="G5140" t="s">
        <v>74</v>
      </c>
      <c r="H5140" t="s">
        <v>14</v>
      </c>
      <c r="J5140" t="s">
        <v>17511</v>
      </c>
    </row>
    <row r="5141" spans="1:10" hidden="1" x14ac:dyDescent="0.25">
      <c r="A5141" t="s">
        <v>7119</v>
      </c>
      <c r="B5141" s="1" t="str">
        <f>HYPERLINK("https://asmlis.vasa.lt/Dashboard/Served?ServiceDateFrom=2025-11-24&amp;ServiceDateTo=2025-11-24&amp;DumpsterInvNr=13-L-209607", "13-L-209607")</f>
        <v>13-L-209607</v>
      </c>
      <c r="C5141">
        <v>0.12</v>
      </c>
      <c r="D5141" t="s">
        <v>7121</v>
      </c>
      <c r="E5141" t="s">
        <v>11</v>
      </c>
      <c r="F5141" t="s">
        <v>1209</v>
      </c>
      <c r="G5141" t="s">
        <v>936</v>
      </c>
      <c r="H5141" t="s">
        <v>938</v>
      </c>
    </row>
    <row r="5142" spans="1:10" hidden="1" x14ac:dyDescent="0.25">
      <c r="A5142" t="s">
        <v>7122</v>
      </c>
      <c r="B5142" s="1" t="str">
        <f>HYPERLINK("https://asmlis.vasa.lt/Dashboard/Served?ServiceDateFrom=2025-11-24&amp;ServiceDateTo=2025-11-24&amp;DumpsterInvNr=13-L-420362", "13-L-420362")</f>
        <v>13-L-420362</v>
      </c>
      <c r="C5142">
        <v>5</v>
      </c>
      <c r="D5142" t="s">
        <v>7123</v>
      </c>
      <c r="E5142" t="s">
        <v>11</v>
      </c>
      <c r="F5142" t="s">
        <v>13</v>
      </c>
      <c r="G5142" t="s">
        <v>74</v>
      </c>
      <c r="H5142" t="s">
        <v>14</v>
      </c>
    </row>
    <row r="5143" spans="1:10" hidden="1" x14ac:dyDescent="0.25">
      <c r="A5143" t="s">
        <v>7124</v>
      </c>
      <c r="B5143" s="1" t="str">
        <f>HYPERLINK("https://asmlis.vasa.lt/Dashboard/Served?ServiceDateFrom=2025-11-24&amp;ServiceDateTo=2025-11-24&amp;DumpsterInvNr=13-P-211898", "13-P-211898")</f>
        <v>13-P-211898</v>
      </c>
      <c r="C5143">
        <v>0.24</v>
      </c>
      <c r="D5143" t="s">
        <v>7126</v>
      </c>
      <c r="E5143" t="s">
        <v>11</v>
      </c>
      <c r="G5143" t="s">
        <v>234</v>
      </c>
      <c r="H5143" t="s">
        <v>14</v>
      </c>
    </row>
    <row r="5144" spans="1:10" hidden="1" x14ac:dyDescent="0.25">
      <c r="A5144" t="s">
        <v>7127</v>
      </c>
      <c r="B5144" s="1" t="str">
        <f>HYPERLINK("https://asmlis.vasa.lt/Dashboard/Served?ServiceDateFrom=2025-11-24&amp;ServiceDateTo=2025-11-24&amp;DumpsterInvNr=13-L-224184", "13-L-224184")</f>
        <v>13-L-224184</v>
      </c>
      <c r="C5144">
        <v>1.1000000000000001</v>
      </c>
      <c r="D5144" t="s">
        <v>7039</v>
      </c>
      <c r="E5144" t="s">
        <v>11</v>
      </c>
      <c r="G5144" t="s">
        <v>936</v>
      </c>
      <c r="H5144" t="s">
        <v>938</v>
      </c>
    </row>
    <row r="5145" spans="1:10" hidden="1" x14ac:dyDescent="0.25">
      <c r="A5145" t="s">
        <v>7128</v>
      </c>
      <c r="B5145" s="1" t="str">
        <f>HYPERLINK("https://asmlis.vasa.lt/Dashboard/Served?ServiceDateFrom=2025-11-24&amp;ServiceDateTo=2025-11-24&amp;DumpsterInvNr=13-L-223175", "13-L-223175")</f>
        <v>13-L-223175</v>
      </c>
      <c r="C5145">
        <v>5</v>
      </c>
      <c r="D5145" t="s">
        <v>6379</v>
      </c>
      <c r="E5145" t="s">
        <v>11</v>
      </c>
      <c r="G5145" t="s">
        <v>936</v>
      </c>
      <c r="H5145" t="s">
        <v>938</v>
      </c>
    </row>
    <row r="5146" spans="1:10" hidden="1" x14ac:dyDescent="0.25">
      <c r="A5146" t="s">
        <v>7118</v>
      </c>
      <c r="B5146" s="1" t="str">
        <f>HYPERLINK("https://asmlis.vasa.lt/Dashboard/Served?ServiceDateFrom=2025-11-24&amp;ServiceDateTo=2025-11-24&amp;DumpsterInvNr=13-M-207478", "13-M-207478")</f>
        <v>13-M-207478</v>
      </c>
      <c r="C5146">
        <v>0.12</v>
      </c>
      <c r="D5146" t="s">
        <v>7129</v>
      </c>
      <c r="E5146" t="s">
        <v>11</v>
      </c>
      <c r="F5146" t="s">
        <v>1209</v>
      </c>
      <c r="G5146" t="s">
        <v>4876</v>
      </c>
      <c r="H5146" t="s">
        <v>938</v>
      </c>
    </row>
    <row r="5147" spans="1:10" hidden="1" x14ac:dyDescent="0.25">
      <c r="A5147" t="s">
        <v>7130</v>
      </c>
      <c r="B5147" s="1" t="str">
        <f>HYPERLINK("https://asmlis.vasa.lt/Dashboard/Served?ServiceDateFrom=2025-11-24&amp;ServiceDateTo=2025-11-24&amp;DumpsterInvNr=13-L-425950", "13-L-425950")</f>
        <v>13-L-425950</v>
      </c>
      <c r="C5147">
        <v>1.1000000000000001</v>
      </c>
      <c r="D5147" t="s">
        <v>3418</v>
      </c>
      <c r="E5147" t="s">
        <v>11</v>
      </c>
      <c r="F5147" t="s">
        <v>13</v>
      </c>
      <c r="G5147" t="s">
        <v>74</v>
      </c>
      <c r="H5147" t="s">
        <v>14</v>
      </c>
    </row>
    <row r="5148" spans="1:10" hidden="1" x14ac:dyDescent="0.25">
      <c r="A5148" t="s">
        <v>6676</v>
      </c>
      <c r="B5148" s="1" t="str">
        <f>HYPERLINK("https://asmlis.vasa.lt/Dashboard/Served?ServiceDateFrom=2025-11-24&amp;ServiceDateTo=2025-11-24&amp;DumpsterInvNr=13-L-214709", "13-L-214709")</f>
        <v>13-L-214709</v>
      </c>
      <c r="C5148">
        <v>1.1000000000000001</v>
      </c>
      <c r="D5148" t="s">
        <v>7079</v>
      </c>
      <c r="E5148" t="s">
        <v>11</v>
      </c>
      <c r="F5148" t="s">
        <v>13</v>
      </c>
      <c r="G5148" t="s">
        <v>936</v>
      </c>
      <c r="H5148" t="s">
        <v>938</v>
      </c>
    </row>
    <row r="5149" spans="1:10" hidden="1" x14ac:dyDescent="0.25">
      <c r="A5149" t="s">
        <v>7131</v>
      </c>
      <c r="B5149" s="1" t="str">
        <f>HYPERLINK("https://asmlis.vasa.lt/Dashboard/Served?ServiceDateFrom=2025-11-24&amp;ServiceDateTo=2025-11-24&amp;DumpsterInvNr=13-L-207067", "13-L-207067")</f>
        <v>13-L-207067</v>
      </c>
      <c r="C5149">
        <v>1.1000000000000001</v>
      </c>
      <c r="D5149" t="s">
        <v>7039</v>
      </c>
      <c r="E5149" t="s">
        <v>11</v>
      </c>
      <c r="F5149" t="s">
        <v>13</v>
      </c>
      <c r="G5149" t="s">
        <v>936</v>
      </c>
      <c r="H5149" t="s">
        <v>938</v>
      </c>
    </row>
    <row r="5150" spans="1:10" hidden="1" x14ac:dyDescent="0.25">
      <c r="A5150" t="s">
        <v>7131</v>
      </c>
      <c r="B5150" s="1" t="str">
        <f>HYPERLINK("https://asmlis.vasa.lt/Dashboard/Served?ServiceDateFrom=2025-11-24&amp;ServiceDateTo=2025-11-24&amp;DumpsterInvNr=13-P-211037", "13-P-211037")</f>
        <v>13-P-211037</v>
      </c>
      <c r="C5150">
        <v>1.1000000000000001</v>
      </c>
      <c r="D5150" t="s">
        <v>7132</v>
      </c>
      <c r="E5150" t="s">
        <v>11</v>
      </c>
      <c r="G5150" t="s">
        <v>234</v>
      </c>
      <c r="H5150" t="s">
        <v>14</v>
      </c>
    </row>
    <row r="5151" spans="1:10" hidden="1" x14ac:dyDescent="0.25">
      <c r="A5151" t="s">
        <v>7133</v>
      </c>
      <c r="B5151" s="1" t="str">
        <f>HYPERLINK("https://asmlis.vasa.lt/Dashboard/Served?ServiceDateFrom=2025-11-24&amp;ServiceDateTo=2025-11-24&amp;DumpsterInvNr=13-L-426771", "13-L-426771")</f>
        <v>13-L-426771</v>
      </c>
      <c r="C5151">
        <v>1.1000000000000001</v>
      </c>
      <c r="D5151" t="s">
        <v>3418</v>
      </c>
      <c r="E5151" t="s">
        <v>11</v>
      </c>
      <c r="F5151" t="s">
        <v>13</v>
      </c>
      <c r="G5151" t="s">
        <v>74</v>
      </c>
      <c r="H5151" t="s">
        <v>14</v>
      </c>
    </row>
    <row r="5152" spans="1:10" hidden="1" x14ac:dyDescent="0.25">
      <c r="A5152" t="s">
        <v>7133</v>
      </c>
      <c r="B5152" s="1" t="str">
        <f>HYPERLINK("https://asmlis.vasa.lt/Dashboard/Served?ServiceDateFrom=2025-11-24&amp;ServiceDateTo=2025-11-24&amp;DumpsterInvNr=13-L-224393", "13-L-224393")</f>
        <v>13-L-224393</v>
      </c>
      <c r="C5152">
        <v>0.12</v>
      </c>
      <c r="D5152" t="s">
        <v>7134</v>
      </c>
      <c r="E5152" t="s">
        <v>11</v>
      </c>
      <c r="G5152" t="s">
        <v>936</v>
      </c>
      <c r="H5152" t="s">
        <v>938</v>
      </c>
    </row>
    <row r="5153" spans="1:8" hidden="1" x14ac:dyDescent="0.25">
      <c r="A5153" t="s">
        <v>7135</v>
      </c>
      <c r="B5153" s="1" t="str">
        <f>HYPERLINK("https://asmlis.vasa.lt/Dashboard/Served?ServiceDateFrom=2025-11-24&amp;ServiceDateTo=2025-11-24&amp;DumpsterInvNr=13-P-205270", "13-P-205270")</f>
        <v>13-P-205270</v>
      </c>
      <c r="C5153">
        <v>0.24</v>
      </c>
      <c r="D5153" t="s">
        <v>7137</v>
      </c>
      <c r="E5153" t="s">
        <v>11</v>
      </c>
      <c r="G5153" t="s">
        <v>234</v>
      </c>
      <c r="H5153" t="s">
        <v>14</v>
      </c>
    </row>
    <row r="5154" spans="1:8" hidden="1" x14ac:dyDescent="0.25">
      <c r="A5154" t="s">
        <v>7138</v>
      </c>
      <c r="B5154" s="1" t="str">
        <f>HYPERLINK("https://asmlis.vasa.lt/Dashboard/Served?ServiceDateFrom=2025-11-24&amp;ServiceDateTo=2025-11-24&amp;DumpsterInvNr=13-L-220909", "13-L-220909")</f>
        <v>13-L-220909</v>
      </c>
      <c r="C5154">
        <v>1.1000000000000001</v>
      </c>
      <c r="D5154" t="s">
        <v>7039</v>
      </c>
      <c r="E5154" t="s">
        <v>11</v>
      </c>
      <c r="F5154" t="s">
        <v>13</v>
      </c>
      <c r="G5154" t="s">
        <v>936</v>
      </c>
      <c r="H5154" t="s">
        <v>938</v>
      </c>
    </row>
    <row r="5155" spans="1:8" hidden="1" x14ac:dyDescent="0.25">
      <c r="A5155" t="s">
        <v>7139</v>
      </c>
      <c r="B5155" s="1" t="str">
        <f>HYPERLINK("https://asmlis.vasa.lt/Dashboard/Served?ServiceDateFrom=2025-11-24&amp;ServiceDateTo=2025-11-24&amp;DumpsterInvNr=13-L-422609", "13-L-422609")</f>
        <v>13-L-422609</v>
      </c>
      <c r="C5155">
        <v>1.1000000000000001</v>
      </c>
      <c r="D5155" t="s">
        <v>3418</v>
      </c>
      <c r="E5155" t="s">
        <v>11</v>
      </c>
      <c r="F5155" t="s">
        <v>13</v>
      </c>
      <c r="G5155" t="s">
        <v>74</v>
      </c>
      <c r="H5155" t="s">
        <v>14</v>
      </c>
    </row>
    <row r="5156" spans="1:8" hidden="1" x14ac:dyDescent="0.25">
      <c r="A5156" t="s">
        <v>7140</v>
      </c>
      <c r="B5156" s="1" t="str">
        <f>HYPERLINK("https://asmlis.vasa.lt/Dashboard/Served?ServiceDateFrom=2025-11-24&amp;ServiceDateTo=2025-11-24&amp;DumpsterInvNr=13-P-302289", "13-P-302289")</f>
        <v>13-P-302289</v>
      </c>
      <c r="C5156">
        <v>2.5</v>
      </c>
      <c r="D5156" t="s">
        <v>4216</v>
      </c>
      <c r="E5156" t="s">
        <v>11</v>
      </c>
      <c r="G5156" t="s">
        <v>412</v>
      </c>
      <c r="H5156" t="s">
        <v>14</v>
      </c>
    </row>
    <row r="5157" spans="1:8" hidden="1" x14ac:dyDescent="0.25">
      <c r="A5157" t="s">
        <v>7140</v>
      </c>
      <c r="B5157" s="1" t="str">
        <f>HYPERLINK("https://asmlis.vasa.lt/Dashboard/Served?ServiceDateFrom=2025-11-24&amp;ServiceDateTo=2025-11-24&amp;DumpsterInvNr=13-P-300401", "13-P-300401")</f>
        <v>13-P-300401</v>
      </c>
      <c r="C5157">
        <v>1.1000000000000001</v>
      </c>
      <c r="D5157" t="s">
        <v>2192</v>
      </c>
      <c r="E5157" t="s">
        <v>11</v>
      </c>
      <c r="G5157" t="s">
        <v>412</v>
      </c>
      <c r="H5157" t="s">
        <v>14</v>
      </c>
    </row>
    <row r="5158" spans="1:8" hidden="1" x14ac:dyDescent="0.25">
      <c r="A5158" t="s">
        <v>7140</v>
      </c>
      <c r="B5158" s="1" t="str">
        <f>HYPERLINK("https://asmlis.vasa.lt/Dashboard/Served?ServiceDateFrom=2025-11-24&amp;ServiceDateTo=2025-11-24&amp;DumpsterInvNr=13-P-208651", "13-P-208651")</f>
        <v>13-P-208651</v>
      </c>
      <c r="C5158">
        <v>0.24</v>
      </c>
      <c r="D5158" t="s">
        <v>6910</v>
      </c>
      <c r="E5158" t="s">
        <v>11</v>
      </c>
      <c r="F5158" t="s">
        <v>1209</v>
      </c>
      <c r="G5158" t="s">
        <v>234</v>
      </c>
      <c r="H5158" t="s">
        <v>14</v>
      </c>
    </row>
    <row r="5159" spans="1:8" hidden="1" x14ac:dyDescent="0.25">
      <c r="A5159" t="s">
        <v>7141</v>
      </c>
      <c r="B5159" s="1" t="str">
        <f>HYPERLINK("https://asmlis.vasa.lt/Dashboard/Served?ServiceDateFrom=2025-11-24&amp;ServiceDateTo=2025-11-24&amp;DumpsterInvNr=13-P-401578", "13-P-401578")</f>
        <v>13-P-401578</v>
      </c>
      <c r="C5159">
        <v>1.1000000000000001</v>
      </c>
      <c r="D5159" t="s">
        <v>7142</v>
      </c>
      <c r="E5159" t="s">
        <v>11</v>
      </c>
      <c r="G5159" t="s">
        <v>264</v>
      </c>
      <c r="H5159" t="s">
        <v>14</v>
      </c>
    </row>
    <row r="5160" spans="1:8" hidden="1" x14ac:dyDescent="0.25">
      <c r="A5160" t="s">
        <v>7143</v>
      </c>
      <c r="B5160" s="1" t="str">
        <f>HYPERLINK("https://asmlis.vasa.lt/Dashboard/Served?ServiceDateFrom=2025-11-24&amp;ServiceDateTo=2025-11-24&amp;DumpsterInvNr=13-L-426049", "13-L-426049")</f>
        <v>13-L-426049</v>
      </c>
      <c r="C5160">
        <v>1.1000000000000001</v>
      </c>
      <c r="D5160" t="s">
        <v>7144</v>
      </c>
      <c r="E5160" t="s">
        <v>11</v>
      </c>
      <c r="G5160" t="s">
        <v>74</v>
      </c>
      <c r="H5160" t="s">
        <v>14</v>
      </c>
    </row>
    <row r="5161" spans="1:8" hidden="1" x14ac:dyDescent="0.25">
      <c r="A5161" t="s">
        <v>7145</v>
      </c>
      <c r="B5161" s="1" t="str">
        <f>HYPERLINK("https://asmlis.vasa.lt/Dashboard/Served?ServiceDateFrom=2025-11-24&amp;ServiceDateTo=2025-11-24&amp;DumpsterInvNr=13-P-115798", "13-P-115798")</f>
        <v>13-P-115798</v>
      </c>
      <c r="C5161">
        <v>1.1000000000000001</v>
      </c>
      <c r="D5161" t="s">
        <v>7146</v>
      </c>
      <c r="E5161" t="s">
        <v>11</v>
      </c>
      <c r="G5161" t="s">
        <v>1917</v>
      </c>
      <c r="H5161" t="s">
        <v>432</v>
      </c>
    </row>
    <row r="5162" spans="1:8" hidden="1" x14ac:dyDescent="0.25">
      <c r="A5162" t="s">
        <v>7147</v>
      </c>
      <c r="B5162" s="1" t="str">
        <f>HYPERLINK("https://asmlis.vasa.lt/Dashboard/Served?ServiceDateFrom=2025-11-24&amp;ServiceDateTo=2025-11-24&amp;DumpsterInvNr=13-S-211394", "13-S-211394")</f>
        <v>13-S-211394</v>
      </c>
      <c r="C5162">
        <v>0.12</v>
      </c>
      <c r="D5162" t="s">
        <v>7148</v>
      </c>
      <c r="E5162" t="s">
        <v>11</v>
      </c>
      <c r="G5162" t="s">
        <v>234</v>
      </c>
      <c r="H5162" t="s">
        <v>14</v>
      </c>
    </row>
    <row r="5163" spans="1:8" hidden="1" x14ac:dyDescent="0.25">
      <c r="A5163" t="s">
        <v>7149</v>
      </c>
      <c r="B5163" s="1" t="str">
        <f>HYPERLINK("https://asmlis.vasa.lt/Dashboard/Served?ServiceDateFrom=2025-11-24&amp;ServiceDateTo=2025-11-24&amp;DumpsterInvNr=13-P-211953", "13-P-211953")</f>
        <v>13-P-211953</v>
      </c>
      <c r="C5163">
        <v>0.24</v>
      </c>
      <c r="D5163" t="s">
        <v>7148</v>
      </c>
      <c r="E5163" t="s">
        <v>11</v>
      </c>
      <c r="G5163" t="s">
        <v>234</v>
      </c>
      <c r="H5163" t="s">
        <v>14</v>
      </c>
    </row>
    <row r="5164" spans="1:8" hidden="1" x14ac:dyDescent="0.25">
      <c r="A5164" t="s">
        <v>7150</v>
      </c>
      <c r="B5164" s="1" t="str">
        <f>HYPERLINK("https://asmlis.vasa.lt/Dashboard/Served?ServiceDateFrom=2025-11-24&amp;ServiceDateTo=2025-11-24&amp;DumpsterInvNr=13-M-204514", "13-M-204514")</f>
        <v>13-M-204514</v>
      </c>
      <c r="C5164">
        <v>0.12</v>
      </c>
      <c r="D5164" t="s">
        <v>7151</v>
      </c>
      <c r="E5164" t="s">
        <v>11</v>
      </c>
      <c r="G5164" t="s">
        <v>4876</v>
      </c>
      <c r="H5164" t="s">
        <v>938</v>
      </c>
    </row>
    <row r="5165" spans="1:8" hidden="1" x14ac:dyDescent="0.25">
      <c r="A5165" t="s">
        <v>7152</v>
      </c>
      <c r="B5165" s="1" t="str">
        <f>HYPERLINK("https://asmlis.vasa.lt/Dashboard/Served?ServiceDateFrom=2025-11-24&amp;ServiceDateTo=2025-11-24&amp;DumpsterInvNr=13-P-404427", "13-P-404427")</f>
        <v>13-P-404427</v>
      </c>
      <c r="C5165">
        <v>0.24</v>
      </c>
      <c r="D5165" t="s">
        <v>7153</v>
      </c>
      <c r="E5165" t="s">
        <v>11</v>
      </c>
      <c r="G5165" t="s">
        <v>264</v>
      </c>
      <c r="H5165" t="s">
        <v>14</v>
      </c>
    </row>
    <row r="5166" spans="1:8" hidden="1" x14ac:dyDescent="0.25">
      <c r="A5166" t="s">
        <v>7154</v>
      </c>
      <c r="B5166" s="1" t="str">
        <f>HYPERLINK("https://asmlis.vasa.lt/Dashboard/Served?ServiceDateFrom=2025-11-24&amp;ServiceDateTo=2025-11-24&amp;DumpsterInvNr=13-L-423858", "13-L-423858")</f>
        <v>13-L-423858</v>
      </c>
      <c r="C5166">
        <v>1.1000000000000001</v>
      </c>
      <c r="D5166" t="s">
        <v>7144</v>
      </c>
      <c r="E5166" t="s">
        <v>11</v>
      </c>
      <c r="G5166" t="s">
        <v>74</v>
      </c>
      <c r="H5166" t="s">
        <v>14</v>
      </c>
    </row>
    <row r="5167" spans="1:8" hidden="1" x14ac:dyDescent="0.25">
      <c r="A5167" t="s">
        <v>7155</v>
      </c>
      <c r="B5167" s="1" t="str">
        <f>HYPERLINK("https://asmlis.vasa.lt/Dashboard/Served?ServiceDateFrom=2025-11-24&amp;ServiceDateTo=2025-11-24&amp;DumpsterInvNr=13-L-203596", "13-L-203596")</f>
        <v>13-L-203596</v>
      </c>
      <c r="C5167">
        <v>0.12</v>
      </c>
      <c r="D5167" t="s">
        <v>6767</v>
      </c>
      <c r="E5167" t="s">
        <v>11</v>
      </c>
      <c r="G5167" t="s">
        <v>936</v>
      </c>
      <c r="H5167" t="s">
        <v>938</v>
      </c>
    </row>
    <row r="5168" spans="1:8" hidden="1" x14ac:dyDescent="0.25">
      <c r="A5168" t="s">
        <v>7156</v>
      </c>
      <c r="B5168" s="1" t="str">
        <f>HYPERLINK("https://asmlis.vasa.lt/Dashboard/Served?ServiceDateFrom=2025-11-24&amp;ServiceDateTo=2025-11-24&amp;DumpsterInvNr=13-L-115208", "13-L-115208")</f>
        <v>13-L-115208</v>
      </c>
      <c r="C5168">
        <v>0.77</v>
      </c>
      <c r="D5168" t="s">
        <v>7157</v>
      </c>
      <c r="E5168" t="s">
        <v>11</v>
      </c>
      <c r="G5168" t="s">
        <v>430</v>
      </c>
      <c r="H5168" t="s">
        <v>432</v>
      </c>
    </row>
    <row r="5169" spans="1:8" hidden="1" x14ac:dyDescent="0.25">
      <c r="A5169" t="s">
        <v>7158</v>
      </c>
      <c r="B5169" s="1" t="str">
        <f>HYPERLINK("https://asmlis.vasa.lt/Dashboard/Served?ServiceDateFrom=2025-11-24&amp;ServiceDateTo=2025-11-24&amp;DumpsterInvNr=13-L-217712", "13-L-217712")</f>
        <v>13-L-217712</v>
      </c>
      <c r="C5169">
        <v>1.1000000000000001</v>
      </c>
      <c r="D5169" t="s">
        <v>7039</v>
      </c>
      <c r="E5169" t="s">
        <v>11</v>
      </c>
      <c r="F5169" t="s">
        <v>13</v>
      </c>
      <c r="G5169" t="s">
        <v>936</v>
      </c>
      <c r="H5169" t="s">
        <v>938</v>
      </c>
    </row>
    <row r="5170" spans="1:8" hidden="1" x14ac:dyDescent="0.25">
      <c r="A5170" t="s">
        <v>7159</v>
      </c>
      <c r="B5170" s="1" t="str">
        <f>HYPERLINK("https://asmlis.vasa.lt/Dashboard/Served?ServiceDateFrom=2025-11-24&amp;ServiceDateTo=2025-11-24&amp;DumpsterInvNr=13-L-141849", "13-L-141849")</f>
        <v>13-L-141849</v>
      </c>
      <c r="C5170">
        <v>5</v>
      </c>
      <c r="D5170" t="s">
        <v>7160</v>
      </c>
      <c r="E5170" t="s">
        <v>11</v>
      </c>
      <c r="F5170" t="s">
        <v>13</v>
      </c>
      <c r="G5170" t="s">
        <v>430</v>
      </c>
      <c r="H5170" t="s">
        <v>432</v>
      </c>
    </row>
    <row r="5171" spans="1:8" hidden="1" x14ac:dyDescent="0.25">
      <c r="A5171" t="s">
        <v>7159</v>
      </c>
      <c r="B5171" s="1" t="str">
        <f>HYPERLINK("https://asmlis.vasa.lt/Dashboard/Served?ServiceDateFrom=2025-11-24&amp;ServiceDateTo=2025-11-24&amp;DumpsterInvNr=13-L-224767", "13-L-224767")</f>
        <v>13-L-224767</v>
      </c>
      <c r="C5171">
        <v>1.1000000000000001</v>
      </c>
      <c r="D5171" t="s">
        <v>338</v>
      </c>
      <c r="E5171" t="s">
        <v>11</v>
      </c>
      <c r="G5171" t="s">
        <v>936</v>
      </c>
      <c r="H5171" t="s">
        <v>938</v>
      </c>
    </row>
    <row r="5172" spans="1:8" hidden="1" x14ac:dyDescent="0.25">
      <c r="A5172" t="s">
        <v>7161</v>
      </c>
      <c r="B5172" s="1" t="str">
        <f>HYPERLINK("https://asmlis.vasa.lt/Dashboard/Served?ServiceDateFrom=2025-11-24&amp;ServiceDateTo=2025-11-24&amp;DumpsterInvNr=13-P-302301", "13-P-302301")</f>
        <v>13-P-302301</v>
      </c>
      <c r="C5172">
        <v>2.5</v>
      </c>
      <c r="D5172" t="s">
        <v>4216</v>
      </c>
      <c r="E5172" t="s">
        <v>11</v>
      </c>
      <c r="F5172" t="s">
        <v>13</v>
      </c>
      <c r="G5172" t="s">
        <v>412</v>
      </c>
      <c r="H5172" t="s">
        <v>14</v>
      </c>
    </row>
    <row r="5173" spans="1:8" hidden="1" x14ac:dyDescent="0.25">
      <c r="A5173" t="s">
        <v>7162</v>
      </c>
      <c r="B5173" s="1" t="str">
        <f>HYPERLINK("https://asmlis.vasa.lt/Dashboard/Served?ServiceDateFrom=2025-11-24&amp;ServiceDateTo=2025-11-24&amp;DumpsterInvNr=13-L-141848", "13-L-141848")</f>
        <v>13-L-141848</v>
      </c>
      <c r="C5173">
        <v>5</v>
      </c>
      <c r="D5173" t="s">
        <v>7160</v>
      </c>
      <c r="E5173" t="s">
        <v>11</v>
      </c>
      <c r="F5173" t="s">
        <v>13</v>
      </c>
      <c r="G5173" t="s">
        <v>430</v>
      </c>
      <c r="H5173" t="s">
        <v>432</v>
      </c>
    </row>
    <row r="5174" spans="1:8" hidden="1" x14ac:dyDescent="0.25">
      <c r="A5174" t="s">
        <v>7163</v>
      </c>
      <c r="B5174" s="1" t="str">
        <f>HYPERLINK("https://asmlis.vasa.lt/Dashboard/Served?ServiceDateFrom=2025-11-24&amp;ServiceDateTo=2025-11-24&amp;DumpsterInvNr=13-L-137811", "13-L-137811")</f>
        <v>13-L-137811</v>
      </c>
      <c r="C5174">
        <v>5</v>
      </c>
      <c r="D5174" t="s">
        <v>7164</v>
      </c>
      <c r="E5174" t="s">
        <v>11</v>
      </c>
      <c r="F5174" t="s">
        <v>13</v>
      </c>
      <c r="G5174" t="s">
        <v>430</v>
      </c>
      <c r="H5174" t="s">
        <v>432</v>
      </c>
    </row>
    <row r="5175" spans="1:8" hidden="1" x14ac:dyDescent="0.25">
      <c r="A5175" t="s">
        <v>7163</v>
      </c>
      <c r="B5175" s="1" t="str">
        <f>HYPERLINK("https://asmlis.vasa.lt/Dashboard/Served?ServiceDateFrom=2025-11-24&amp;ServiceDateTo=2025-11-24&amp;DumpsterInvNr=13-L-139139", "13-L-139139")</f>
        <v>13-L-139139</v>
      </c>
      <c r="C5175">
        <v>5</v>
      </c>
      <c r="D5175" t="s">
        <v>7160</v>
      </c>
      <c r="E5175" t="s">
        <v>11</v>
      </c>
      <c r="F5175" t="s">
        <v>13</v>
      </c>
      <c r="G5175" t="s">
        <v>430</v>
      </c>
      <c r="H5175" t="s">
        <v>432</v>
      </c>
    </row>
    <row r="5176" spans="1:8" hidden="1" x14ac:dyDescent="0.25">
      <c r="A5176" t="s">
        <v>7165</v>
      </c>
      <c r="B5176" s="1" t="str">
        <f>HYPERLINK("https://asmlis.vasa.lt/Dashboard/Served?ServiceDateFrom=2025-11-24&amp;ServiceDateTo=2025-11-24&amp;DumpsterInvNr=13-L-145911", "13-L-145911")</f>
        <v>13-L-145911</v>
      </c>
      <c r="C5176">
        <v>5</v>
      </c>
      <c r="D5176" t="s">
        <v>7166</v>
      </c>
      <c r="E5176" t="s">
        <v>11</v>
      </c>
      <c r="F5176" t="s">
        <v>13</v>
      </c>
      <c r="G5176" t="s">
        <v>1912</v>
      </c>
      <c r="H5176" t="s">
        <v>432</v>
      </c>
    </row>
    <row r="5177" spans="1:8" hidden="1" x14ac:dyDescent="0.25">
      <c r="A5177" t="s">
        <v>7167</v>
      </c>
      <c r="B5177" s="1" t="str">
        <f>HYPERLINK("https://asmlis.vasa.lt/Dashboard/Served?ServiceDateFrom=2025-11-24&amp;ServiceDateTo=2025-11-24&amp;DumpsterInvNr=13-M-205776", "13-M-205776")</f>
        <v>13-M-205776</v>
      </c>
      <c r="C5177">
        <v>0.12</v>
      </c>
      <c r="D5177" t="s">
        <v>7168</v>
      </c>
      <c r="E5177" t="s">
        <v>11</v>
      </c>
      <c r="F5177" t="s">
        <v>1209</v>
      </c>
      <c r="G5177" t="s">
        <v>4876</v>
      </c>
      <c r="H5177" t="s">
        <v>938</v>
      </c>
    </row>
    <row r="5178" spans="1:8" hidden="1" x14ac:dyDescent="0.25">
      <c r="A5178" t="s">
        <v>7170</v>
      </c>
      <c r="B5178" s="1" t="str">
        <f>HYPERLINK("https://asmlis.vasa.lt/Dashboard/Served?ServiceDateFrom=2025-11-24&amp;ServiceDateTo=2025-11-24&amp;DumpsterInvNr=13-L-139141", "13-L-139141")</f>
        <v>13-L-139141</v>
      </c>
      <c r="C5178">
        <v>5</v>
      </c>
      <c r="D5178" t="s">
        <v>7160</v>
      </c>
      <c r="E5178" t="s">
        <v>11</v>
      </c>
      <c r="F5178" t="s">
        <v>13</v>
      </c>
      <c r="G5178" t="s">
        <v>430</v>
      </c>
      <c r="H5178" t="s">
        <v>432</v>
      </c>
    </row>
    <row r="5179" spans="1:8" hidden="1" x14ac:dyDescent="0.25">
      <c r="A5179" t="s">
        <v>7171</v>
      </c>
      <c r="B5179" s="1" t="str">
        <f>HYPERLINK("https://asmlis.vasa.lt/Dashboard/Served?ServiceDateFrom=2025-11-24&amp;ServiceDateTo=2025-11-24&amp;DumpsterInvNr=13-L-143415", "13-L-143415")</f>
        <v>13-L-143415</v>
      </c>
      <c r="C5179">
        <v>0.24</v>
      </c>
      <c r="D5179" t="s">
        <v>7172</v>
      </c>
      <c r="E5179" t="s">
        <v>11</v>
      </c>
      <c r="G5179" t="s">
        <v>430</v>
      </c>
      <c r="H5179" t="s">
        <v>432</v>
      </c>
    </row>
    <row r="5180" spans="1:8" hidden="1" x14ac:dyDescent="0.25">
      <c r="A5180" t="s">
        <v>7174</v>
      </c>
      <c r="B5180" s="1" t="str">
        <f>HYPERLINK("https://asmlis.vasa.lt/Dashboard/Served?ServiceDateFrom=2025-11-24&amp;ServiceDateTo=2025-11-24&amp;DumpsterInvNr=13-L-225802", "13-L-225802")</f>
        <v>13-L-225802</v>
      </c>
      <c r="C5180">
        <v>1.1000000000000001</v>
      </c>
      <c r="D5180" t="s">
        <v>7079</v>
      </c>
      <c r="E5180" t="s">
        <v>11</v>
      </c>
      <c r="G5180" t="s">
        <v>936</v>
      </c>
      <c r="H5180" t="s">
        <v>938</v>
      </c>
    </row>
    <row r="5181" spans="1:8" hidden="1" x14ac:dyDescent="0.25">
      <c r="A5181" t="s">
        <v>7175</v>
      </c>
      <c r="B5181" s="1" t="str">
        <f>HYPERLINK("https://asmlis.vasa.lt/Dashboard/Served?ServiceDateFrom=2025-11-24&amp;ServiceDateTo=2025-11-24&amp;DumpsterInvNr=13-L-137810", "13-L-137810")</f>
        <v>13-L-137810</v>
      </c>
      <c r="C5181">
        <v>5</v>
      </c>
      <c r="D5181" t="s">
        <v>7164</v>
      </c>
      <c r="E5181" t="s">
        <v>11</v>
      </c>
      <c r="F5181" t="s">
        <v>13</v>
      </c>
      <c r="G5181" t="s">
        <v>430</v>
      </c>
      <c r="H5181" t="s">
        <v>432</v>
      </c>
    </row>
    <row r="5182" spans="1:8" hidden="1" x14ac:dyDescent="0.25">
      <c r="A5182" t="s">
        <v>7176</v>
      </c>
      <c r="B5182" s="1" t="str">
        <f>HYPERLINK("https://asmlis.vasa.lt/Dashboard/Served?ServiceDateFrom=2025-11-24&amp;ServiceDateTo=2025-11-24&amp;DumpsterInvNr=13-P-502812", "13-P-502812")</f>
        <v>13-P-502812</v>
      </c>
      <c r="C5182">
        <v>0.24</v>
      </c>
      <c r="D5182" t="s">
        <v>7172</v>
      </c>
      <c r="E5182" t="s">
        <v>11</v>
      </c>
      <c r="G5182" t="s">
        <v>2178</v>
      </c>
      <c r="H5182" t="s">
        <v>432</v>
      </c>
    </row>
    <row r="5183" spans="1:8" hidden="1" x14ac:dyDescent="0.25">
      <c r="A5183" t="s">
        <v>6675</v>
      </c>
      <c r="B5183" s="1" t="str">
        <f>HYPERLINK("https://asmlis.vasa.lt/Dashboard/Served?ServiceDateFrom=2025-11-24&amp;ServiceDateTo=2025-11-24&amp;DumpsterInvNr=13-L-225189", "13-L-225189")</f>
        <v>13-L-225189</v>
      </c>
      <c r="C5183">
        <v>1.1000000000000001</v>
      </c>
      <c r="D5183" t="s">
        <v>338</v>
      </c>
      <c r="E5183" t="s">
        <v>11</v>
      </c>
      <c r="G5183" t="s">
        <v>936</v>
      </c>
      <c r="H5183" t="s">
        <v>938</v>
      </c>
    </row>
    <row r="5184" spans="1:8" hidden="1" x14ac:dyDescent="0.25">
      <c r="A5184" t="s">
        <v>7177</v>
      </c>
      <c r="B5184" s="1" t="str">
        <f>HYPERLINK("https://asmlis.vasa.lt/Dashboard/Served?ServiceDateFrom=2025-11-24&amp;ServiceDateTo=2025-11-24&amp;DumpsterInvNr=13-L-133778", "13-L-133778")</f>
        <v>13-L-133778</v>
      </c>
      <c r="C5184">
        <v>0.12</v>
      </c>
      <c r="D5184" t="s">
        <v>7023</v>
      </c>
      <c r="E5184" t="s">
        <v>11</v>
      </c>
      <c r="G5184" t="s">
        <v>1912</v>
      </c>
      <c r="H5184" t="s">
        <v>432</v>
      </c>
    </row>
    <row r="5185" spans="1:8" hidden="1" x14ac:dyDescent="0.25">
      <c r="A5185" t="s">
        <v>7178</v>
      </c>
      <c r="B5185" s="1" t="str">
        <f>HYPERLINK("https://asmlis.vasa.lt/Dashboard/Served?ServiceDateFrom=2025-11-24&amp;ServiceDateTo=2025-11-24&amp;DumpsterInvNr=13-M-205770", "13-M-205770")</f>
        <v>13-M-205770</v>
      </c>
      <c r="C5185">
        <v>0.12</v>
      </c>
      <c r="D5185" t="s">
        <v>7179</v>
      </c>
      <c r="E5185" t="s">
        <v>11</v>
      </c>
      <c r="G5185" t="s">
        <v>4876</v>
      </c>
      <c r="H5185" t="s">
        <v>938</v>
      </c>
    </row>
    <row r="5186" spans="1:8" hidden="1" x14ac:dyDescent="0.25">
      <c r="A5186" t="s">
        <v>7180</v>
      </c>
      <c r="B5186" s="1" t="str">
        <f>HYPERLINK("https://asmlis.vasa.lt/Dashboard/Served?ServiceDateFrom=2025-11-24&amp;ServiceDateTo=2025-11-24&amp;DumpsterInvNr=13-L-412548", "13-L-412548")</f>
        <v>13-L-412548</v>
      </c>
      <c r="C5186">
        <v>0.24</v>
      </c>
      <c r="D5186" t="s">
        <v>7181</v>
      </c>
      <c r="E5186" t="s">
        <v>11</v>
      </c>
      <c r="G5186" t="s">
        <v>74</v>
      </c>
      <c r="H5186" t="s">
        <v>14</v>
      </c>
    </row>
    <row r="5187" spans="1:8" hidden="1" x14ac:dyDescent="0.25">
      <c r="A5187" t="s">
        <v>7182</v>
      </c>
      <c r="B5187" s="1" t="str">
        <f>HYPERLINK("https://asmlis.vasa.lt/Dashboard/Served?ServiceDateFrom=2025-11-24&amp;ServiceDateTo=2025-11-24&amp;DumpsterInvNr=13-M-203680", "13-M-203680")</f>
        <v>13-M-203680</v>
      </c>
      <c r="C5187">
        <v>0.12</v>
      </c>
      <c r="D5187" t="s">
        <v>7183</v>
      </c>
      <c r="E5187" t="s">
        <v>11</v>
      </c>
      <c r="G5187" t="s">
        <v>4876</v>
      </c>
      <c r="H5187" t="s">
        <v>938</v>
      </c>
    </row>
    <row r="5188" spans="1:8" hidden="1" x14ac:dyDescent="0.25">
      <c r="A5188" t="s">
        <v>7117</v>
      </c>
      <c r="B5188" s="1" t="str">
        <f>HYPERLINK("https://asmlis.vasa.lt/Dashboard/Served?ServiceDateFrom=2025-11-24&amp;ServiceDateTo=2025-11-24&amp;DumpsterInvNr=13-M-200245", "13-M-200245")</f>
        <v>13-M-200245</v>
      </c>
      <c r="C5188">
        <v>0.12</v>
      </c>
      <c r="D5188" t="s">
        <v>7183</v>
      </c>
      <c r="E5188" t="s">
        <v>11</v>
      </c>
      <c r="F5188" t="s">
        <v>1209</v>
      </c>
      <c r="G5188" t="s">
        <v>4876</v>
      </c>
      <c r="H5188" t="s">
        <v>938</v>
      </c>
    </row>
    <row r="5189" spans="1:8" hidden="1" x14ac:dyDescent="0.25">
      <c r="A5189" t="s">
        <v>7184</v>
      </c>
      <c r="B5189" s="1" t="str">
        <f>HYPERLINK("https://asmlis.vasa.lt/Dashboard/Served?ServiceDateFrom=2025-11-24&amp;ServiceDateTo=2025-11-24&amp;DumpsterInvNr=13-L-227501", "13-L-227501")</f>
        <v>13-L-227501</v>
      </c>
      <c r="C5189">
        <v>1.1000000000000001</v>
      </c>
      <c r="D5189" t="s">
        <v>338</v>
      </c>
      <c r="E5189" t="s">
        <v>11</v>
      </c>
      <c r="G5189" t="s">
        <v>936</v>
      </c>
      <c r="H5189" t="s">
        <v>938</v>
      </c>
    </row>
    <row r="5190" spans="1:8" hidden="1" x14ac:dyDescent="0.25">
      <c r="A5190" t="s">
        <v>7185</v>
      </c>
      <c r="B5190" s="1" t="str">
        <f>HYPERLINK("https://asmlis.vasa.lt/Dashboard/Served?ServiceDateFrom=2025-11-24&amp;ServiceDateTo=2025-11-24&amp;DumpsterInvNr=13-L-108259", "13-L-108259")</f>
        <v>13-L-108259</v>
      </c>
      <c r="C5190">
        <v>0.12</v>
      </c>
      <c r="D5190" t="s">
        <v>7186</v>
      </c>
      <c r="E5190" t="s">
        <v>11</v>
      </c>
      <c r="G5190" t="s">
        <v>430</v>
      </c>
      <c r="H5190" t="s">
        <v>432</v>
      </c>
    </row>
    <row r="5191" spans="1:8" hidden="1" x14ac:dyDescent="0.25">
      <c r="A5191" t="s">
        <v>7187</v>
      </c>
      <c r="B5191" s="1" t="str">
        <f>HYPERLINK("https://asmlis.vasa.lt/Dashboard/Served?ServiceDateFrom=2025-11-24&amp;ServiceDateTo=2025-11-24&amp;DumpsterInvNr=13-P-500465", "13-P-500465")</f>
        <v>13-P-500465</v>
      </c>
      <c r="C5191">
        <v>5</v>
      </c>
      <c r="D5191" t="s">
        <v>7188</v>
      </c>
      <c r="E5191" t="s">
        <v>11</v>
      </c>
      <c r="F5191" t="s">
        <v>13</v>
      </c>
      <c r="G5191" t="s">
        <v>2178</v>
      </c>
      <c r="H5191" t="s">
        <v>432</v>
      </c>
    </row>
    <row r="5192" spans="1:8" hidden="1" x14ac:dyDescent="0.25">
      <c r="A5192" t="s">
        <v>5710</v>
      </c>
      <c r="B5192" s="1" t="str">
        <f>HYPERLINK("https://asmlis.vasa.lt/Dashboard/Served?ServiceDateFrom=2025-11-24&amp;ServiceDateTo=2025-11-24&amp;DumpsterInvNr=13-P-209744", "13-P-209744")</f>
        <v>13-P-209744</v>
      </c>
      <c r="C5192">
        <v>0.24</v>
      </c>
      <c r="D5192" t="s">
        <v>7189</v>
      </c>
      <c r="E5192" t="s">
        <v>11</v>
      </c>
      <c r="F5192" t="s">
        <v>1209</v>
      </c>
      <c r="G5192" t="s">
        <v>234</v>
      </c>
      <c r="H5192" t="s">
        <v>14</v>
      </c>
    </row>
    <row r="5193" spans="1:8" hidden="1" x14ac:dyDescent="0.25">
      <c r="A5193" t="s">
        <v>7190</v>
      </c>
      <c r="B5193" s="1" t="str">
        <f>HYPERLINK("https://asmlis.vasa.lt/Dashboard/Served?ServiceDateFrom=2025-11-24&amp;ServiceDateTo=2025-11-24&amp;DumpsterInvNr=13-L-221693", "13-L-221693")</f>
        <v>13-L-221693</v>
      </c>
      <c r="C5193">
        <v>1.1000000000000001</v>
      </c>
      <c r="D5193" t="s">
        <v>338</v>
      </c>
      <c r="E5193" t="s">
        <v>11</v>
      </c>
      <c r="G5193" t="s">
        <v>936</v>
      </c>
      <c r="H5193" t="s">
        <v>938</v>
      </c>
    </row>
    <row r="5194" spans="1:8" hidden="1" x14ac:dyDescent="0.25">
      <c r="A5194" t="s">
        <v>7191</v>
      </c>
      <c r="B5194" s="1" t="str">
        <f>HYPERLINK("https://asmlis.vasa.lt/Dashboard/Served?ServiceDateFrom=2025-11-24&amp;ServiceDateTo=2025-11-24&amp;DumpsterInvNr=13-L-215725", "13-L-215725")</f>
        <v>13-L-215725</v>
      </c>
      <c r="C5194">
        <v>1.1000000000000001</v>
      </c>
      <c r="D5194" t="s">
        <v>7192</v>
      </c>
      <c r="E5194" t="s">
        <v>11</v>
      </c>
      <c r="F5194" t="s">
        <v>13</v>
      </c>
      <c r="G5194" t="s">
        <v>936</v>
      </c>
      <c r="H5194" t="s">
        <v>938</v>
      </c>
    </row>
    <row r="5195" spans="1:8" hidden="1" x14ac:dyDescent="0.25">
      <c r="A5195" t="s">
        <v>7191</v>
      </c>
      <c r="B5195" s="1" t="str">
        <f>HYPERLINK("https://asmlis.vasa.lt/Dashboard/Served?ServiceDateFrom=2025-11-24&amp;ServiceDateTo=2025-11-24&amp;DumpsterInvNr=13-L-419128", "13-L-419128")</f>
        <v>13-L-419128</v>
      </c>
      <c r="C5195">
        <v>1.1000000000000001</v>
      </c>
      <c r="D5195" t="s">
        <v>7193</v>
      </c>
      <c r="E5195" t="s">
        <v>11</v>
      </c>
      <c r="G5195" t="s">
        <v>74</v>
      </c>
      <c r="H5195" t="s">
        <v>14</v>
      </c>
    </row>
    <row r="5196" spans="1:8" hidden="1" x14ac:dyDescent="0.25">
      <c r="A5196" t="s">
        <v>7194</v>
      </c>
      <c r="B5196" s="1" t="str">
        <f>HYPERLINK("https://asmlis.vasa.lt/Dashboard/Served?ServiceDateFrom=2025-11-24&amp;ServiceDateTo=2025-11-24&amp;DumpsterInvNr=13-M-200252", "13-M-200252")</f>
        <v>13-M-200252</v>
      </c>
      <c r="C5196">
        <v>0.12</v>
      </c>
      <c r="D5196" t="s">
        <v>7195</v>
      </c>
      <c r="E5196" t="s">
        <v>11</v>
      </c>
      <c r="G5196" t="s">
        <v>4876</v>
      </c>
      <c r="H5196" t="s">
        <v>938</v>
      </c>
    </row>
    <row r="5197" spans="1:8" hidden="1" x14ac:dyDescent="0.25">
      <c r="A5197" t="s">
        <v>7196</v>
      </c>
      <c r="B5197" s="1" t="str">
        <f>HYPERLINK("https://asmlis.vasa.lt/Dashboard/Served?ServiceDateFrom=2025-11-24&amp;ServiceDateTo=2025-11-24&amp;DumpsterInvNr=13-L-147766", "13-L-147766")</f>
        <v>13-L-147766</v>
      </c>
      <c r="C5197">
        <v>0.24</v>
      </c>
      <c r="D5197" t="s">
        <v>7197</v>
      </c>
      <c r="E5197" t="s">
        <v>11</v>
      </c>
      <c r="G5197" t="s">
        <v>430</v>
      </c>
      <c r="H5197" t="s">
        <v>432</v>
      </c>
    </row>
    <row r="5198" spans="1:8" hidden="1" x14ac:dyDescent="0.25">
      <c r="A5198" t="s">
        <v>7198</v>
      </c>
      <c r="B5198" s="1" t="str">
        <f>HYPERLINK("https://asmlis.vasa.lt/Dashboard/Served?ServiceDateFrom=2025-11-24&amp;ServiceDateTo=2025-11-24&amp;DumpsterInvNr=13-L-214708", "13-L-214708")</f>
        <v>13-L-214708</v>
      </c>
      <c r="C5198">
        <v>1.1000000000000001</v>
      </c>
      <c r="D5198" t="s">
        <v>7079</v>
      </c>
      <c r="E5198" t="s">
        <v>11</v>
      </c>
      <c r="F5198" t="s">
        <v>13</v>
      </c>
      <c r="G5198" t="s">
        <v>936</v>
      </c>
      <c r="H5198" t="s">
        <v>938</v>
      </c>
    </row>
    <row r="5199" spans="1:8" hidden="1" x14ac:dyDescent="0.25">
      <c r="A5199" t="s">
        <v>7199</v>
      </c>
      <c r="B5199" s="1" t="str">
        <f>HYPERLINK("https://asmlis.vasa.lt/Dashboard/Served?ServiceDateFrom=2025-11-24&amp;ServiceDateTo=2025-11-24&amp;DumpsterInvNr=13-L-123432", "13-L-123432")</f>
        <v>13-L-123432</v>
      </c>
      <c r="C5199">
        <v>0.12</v>
      </c>
      <c r="D5199" t="s">
        <v>7200</v>
      </c>
      <c r="E5199" t="s">
        <v>11</v>
      </c>
      <c r="G5199" t="s">
        <v>430</v>
      </c>
      <c r="H5199" t="s">
        <v>432</v>
      </c>
    </row>
    <row r="5200" spans="1:8" hidden="1" x14ac:dyDescent="0.25">
      <c r="A5200" t="s">
        <v>7199</v>
      </c>
      <c r="B5200" s="1" t="str">
        <f>HYPERLINK("https://asmlis.vasa.lt/Dashboard/Served?ServiceDateFrom=2025-11-24&amp;ServiceDateTo=2025-11-24&amp;DumpsterInvNr=13-P-509177", "13-P-509177")</f>
        <v>13-P-509177</v>
      </c>
      <c r="C5200">
        <v>0.24</v>
      </c>
      <c r="D5200" t="s">
        <v>7197</v>
      </c>
      <c r="E5200" t="s">
        <v>11</v>
      </c>
      <c r="G5200" t="s">
        <v>2178</v>
      </c>
      <c r="H5200" t="s">
        <v>432</v>
      </c>
    </row>
    <row r="5201" spans="1:8" hidden="1" x14ac:dyDescent="0.25">
      <c r="A5201" t="s">
        <v>7202</v>
      </c>
      <c r="B5201" s="1" t="str">
        <f>HYPERLINK("https://asmlis.vasa.lt/Dashboard/Served?ServiceDateFrom=2025-11-24&amp;ServiceDateTo=2025-11-24&amp;DumpsterInvNr=13-L-135793", "13-L-135793")</f>
        <v>13-L-135793</v>
      </c>
      <c r="C5201">
        <v>5</v>
      </c>
      <c r="D5201" t="s">
        <v>4808</v>
      </c>
      <c r="E5201" t="s">
        <v>11</v>
      </c>
      <c r="F5201" t="s">
        <v>13</v>
      </c>
      <c r="G5201" t="s">
        <v>430</v>
      </c>
      <c r="H5201" t="s">
        <v>432</v>
      </c>
    </row>
    <row r="5202" spans="1:8" hidden="1" x14ac:dyDescent="0.25">
      <c r="A5202" t="s">
        <v>7202</v>
      </c>
      <c r="B5202" s="1" t="str">
        <f>HYPERLINK("https://asmlis.vasa.lt/Dashboard/Served?ServiceDateFrom=2025-11-24&amp;ServiceDateTo=2025-11-24&amp;DumpsterInvNr=13-M-205757", "13-M-205757")</f>
        <v>13-M-205757</v>
      </c>
      <c r="C5202">
        <v>0.12</v>
      </c>
      <c r="D5202" t="s">
        <v>7203</v>
      </c>
      <c r="E5202" t="s">
        <v>11</v>
      </c>
      <c r="F5202" t="s">
        <v>1209</v>
      </c>
      <c r="G5202" t="s">
        <v>4876</v>
      </c>
      <c r="H5202" t="s">
        <v>938</v>
      </c>
    </row>
    <row r="5203" spans="1:8" hidden="1" x14ac:dyDescent="0.25">
      <c r="A5203" t="s">
        <v>7204</v>
      </c>
      <c r="B5203" s="1" t="str">
        <f>HYPERLINK("https://asmlis.vasa.lt/Dashboard/Served?ServiceDateFrom=2025-11-24&amp;ServiceDateTo=2025-11-24&amp;DumpsterInvNr=13-L-135797", "13-L-135797")</f>
        <v>13-L-135797</v>
      </c>
      <c r="C5203">
        <v>5</v>
      </c>
      <c r="D5203" t="s">
        <v>7205</v>
      </c>
      <c r="E5203" t="s">
        <v>11</v>
      </c>
      <c r="F5203" t="s">
        <v>13</v>
      </c>
      <c r="G5203" t="s">
        <v>430</v>
      </c>
      <c r="H5203" t="s">
        <v>432</v>
      </c>
    </row>
    <row r="5204" spans="1:8" hidden="1" x14ac:dyDescent="0.25">
      <c r="A5204" t="s">
        <v>7204</v>
      </c>
      <c r="B5204" s="1" t="str">
        <f>HYPERLINK("https://asmlis.vasa.lt/Dashboard/Served?ServiceDateFrom=2025-11-24&amp;ServiceDateTo=2025-11-24&amp;DumpsterInvNr=13-L-422021", "13-L-422021")</f>
        <v>13-L-422021</v>
      </c>
      <c r="C5204">
        <v>5</v>
      </c>
      <c r="D5204" t="s">
        <v>1598</v>
      </c>
      <c r="E5204" t="s">
        <v>11</v>
      </c>
      <c r="F5204" t="s">
        <v>13</v>
      </c>
      <c r="G5204" t="s">
        <v>74</v>
      </c>
      <c r="H5204" t="s">
        <v>14</v>
      </c>
    </row>
    <row r="5205" spans="1:8" hidden="1" x14ac:dyDescent="0.25">
      <c r="A5205" t="s">
        <v>7204</v>
      </c>
      <c r="B5205" s="1" t="str">
        <f>HYPERLINK("https://asmlis.vasa.lt/Dashboard/Served?ServiceDateFrom=2025-11-24&amp;ServiceDateTo=2025-11-24&amp;DumpsterInvNr=13-M-205523", "13-M-205523")</f>
        <v>13-M-205523</v>
      </c>
      <c r="C5205">
        <v>0.12</v>
      </c>
      <c r="D5205" t="s">
        <v>7206</v>
      </c>
      <c r="E5205" t="s">
        <v>11</v>
      </c>
      <c r="F5205" t="s">
        <v>1209</v>
      </c>
      <c r="G5205" t="s">
        <v>4876</v>
      </c>
      <c r="H5205" t="s">
        <v>938</v>
      </c>
    </row>
    <row r="5206" spans="1:8" hidden="1" x14ac:dyDescent="0.25">
      <c r="A5206" t="s">
        <v>7045</v>
      </c>
      <c r="B5206" s="1" t="str">
        <f>HYPERLINK("https://asmlis.vasa.lt/Dashboard/Served?ServiceDateFrom=2025-11-24&amp;ServiceDateTo=2025-11-24&amp;DumpsterInvNr=13-L-112643", "13-L-112643")</f>
        <v>13-L-112643</v>
      </c>
      <c r="C5206">
        <v>0.24</v>
      </c>
      <c r="D5206" t="s">
        <v>7207</v>
      </c>
      <c r="E5206" t="s">
        <v>11</v>
      </c>
      <c r="G5206" t="s">
        <v>1912</v>
      </c>
      <c r="H5206" t="s">
        <v>432</v>
      </c>
    </row>
    <row r="5207" spans="1:8" hidden="1" x14ac:dyDescent="0.25">
      <c r="A5207" t="s">
        <v>7045</v>
      </c>
      <c r="B5207" s="1" t="str">
        <f>HYPERLINK("https://asmlis.vasa.lt/Dashboard/Served?ServiceDateFrom=2025-11-24&amp;ServiceDateTo=2025-11-24&amp;DumpsterInvNr=13-L-138924", "13-L-138924")</f>
        <v>13-L-138924</v>
      </c>
      <c r="C5207">
        <v>0.24</v>
      </c>
      <c r="D5207" t="s">
        <v>7207</v>
      </c>
      <c r="E5207" t="s">
        <v>11</v>
      </c>
      <c r="G5207" t="s">
        <v>1912</v>
      </c>
      <c r="H5207" t="s">
        <v>432</v>
      </c>
    </row>
    <row r="5208" spans="1:8" hidden="1" x14ac:dyDescent="0.25">
      <c r="A5208" t="s">
        <v>7045</v>
      </c>
      <c r="B5208" s="1" t="str">
        <f>HYPERLINK("https://asmlis.vasa.lt/Dashboard/Served?ServiceDateFrom=2025-11-24&amp;ServiceDateTo=2025-11-24&amp;DumpsterInvNr=13-P-500534", "13-P-500534")</f>
        <v>13-P-500534</v>
      </c>
      <c r="C5208">
        <v>5</v>
      </c>
      <c r="D5208" t="s">
        <v>7208</v>
      </c>
      <c r="E5208" t="s">
        <v>11</v>
      </c>
      <c r="F5208" t="s">
        <v>13</v>
      </c>
      <c r="G5208" t="s">
        <v>2178</v>
      </c>
      <c r="H5208" t="s">
        <v>432</v>
      </c>
    </row>
    <row r="5209" spans="1:8" hidden="1" x14ac:dyDescent="0.25">
      <c r="A5209" t="s">
        <v>7209</v>
      </c>
      <c r="B5209" s="1" t="str">
        <f>HYPERLINK("https://asmlis.vasa.lt/Dashboard/Served?ServiceDateFrom=2025-11-24&amp;ServiceDateTo=2025-11-24&amp;DumpsterInvNr=13-L-135798", "13-L-135798")</f>
        <v>13-L-135798</v>
      </c>
      <c r="C5209">
        <v>5</v>
      </c>
      <c r="D5209" t="s">
        <v>7210</v>
      </c>
      <c r="E5209" t="s">
        <v>11</v>
      </c>
      <c r="F5209" t="s">
        <v>13</v>
      </c>
      <c r="G5209" t="s">
        <v>430</v>
      </c>
      <c r="H5209" t="s">
        <v>432</v>
      </c>
    </row>
    <row r="5210" spans="1:8" hidden="1" x14ac:dyDescent="0.25">
      <c r="A5210" t="s">
        <v>7212</v>
      </c>
      <c r="B5210" s="1" t="str">
        <f>HYPERLINK("https://asmlis.vasa.lt/Dashboard/Served?ServiceDateFrom=2025-11-24&amp;ServiceDateTo=2025-11-24&amp;DumpsterInvNr=13-L-425277", "13-L-425277")</f>
        <v>13-L-425277</v>
      </c>
      <c r="C5210">
        <v>5</v>
      </c>
      <c r="D5210" t="s">
        <v>7213</v>
      </c>
      <c r="E5210" t="s">
        <v>11</v>
      </c>
      <c r="F5210" t="s">
        <v>13</v>
      </c>
      <c r="G5210" t="s">
        <v>74</v>
      </c>
      <c r="H5210" t="s">
        <v>14</v>
      </c>
    </row>
    <row r="5211" spans="1:8" hidden="1" x14ac:dyDescent="0.25">
      <c r="A5211" t="s">
        <v>5735</v>
      </c>
      <c r="B5211" s="1" t="str">
        <f>HYPERLINK("https://asmlis.vasa.lt/Dashboard/Served?ServiceDateFrom=2025-11-24&amp;ServiceDateTo=2025-11-24&amp;DumpsterInvNr=13-L-424499", "13-L-424499")</f>
        <v>13-L-424499</v>
      </c>
      <c r="C5211">
        <v>0.24</v>
      </c>
      <c r="D5211" t="s">
        <v>3420</v>
      </c>
      <c r="E5211" t="s">
        <v>11</v>
      </c>
      <c r="G5211" t="s">
        <v>74</v>
      </c>
      <c r="H5211" t="s">
        <v>14</v>
      </c>
    </row>
    <row r="5212" spans="1:8" hidden="1" x14ac:dyDescent="0.25">
      <c r="A5212" t="s">
        <v>5735</v>
      </c>
      <c r="B5212" s="1" t="str">
        <f>HYPERLINK("https://asmlis.vasa.lt/Dashboard/Served?ServiceDateFrom=2025-11-24&amp;ServiceDateTo=2025-11-24&amp;DumpsterInvNr=13-L-206704", "13-L-206704")</f>
        <v>13-L-206704</v>
      </c>
      <c r="C5212">
        <v>0.12</v>
      </c>
      <c r="D5212" t="s">
        <v>6708</v>
      </c>
      <c r="E5212" t="s">
        <v>11</v>
      </c>
      <c r="G5212" t="s">
        <v>936</v>
      </c>
      <c r="H5212" t="s">
        <v>938</v>
      </c>
    </row>
    <row r="5213" spans="1:8" hidden="1" x14ac:dyDescent="0.25">
      <c r="A5213" t="s">
        <v>7214</v>
      </c>
      <c r="B5213" s="1" t="str">
        <f>HYPERLINK("https://asmlis.vasa.lt/Dashboard/Served?ServiceDateFrom=2025-11-24&amp;ServiceDateTo=2025-11-24&amp;DumpsterInvNr=13-P-210140", "13-P-210140")</f>
        <v>13-P-210140</v>
      </c>
      <c r="C5213">
        <v>0.24</v>
      </c>
      <c r="D5213" t="s">
        <v>7134</v>
      </c>
      <c r="E5213" t="s">
        <v>11</v>
      </c>
      <c r="G5213" t="s">
        <v>234</v>
      </c>
      <c r="H5213" t="s">
        <v>14</v>
      </c>
    </row>
    <row r="5214" spans="1:8" hidden="1" x14ac:dyDescent="0.25">
      <c r="A5214" t="s">
        <v>7215</v>
      </c>
      <c r="B5214" s="1" t="str">
        <f>HYPERLINK("https://asmlis.vasa.lt/Dashboard/Served?ServiceDateFrom=2025-11-24&amp;ServiceDateTo=2025-11-24&amp;DumpsterInvNr=13-L-418166", "13-L-418166")</f>
        <v>13-L-418166</v>
      </c>
      <c r="C5214">
        <v>1.1000000000000001</v>
      </c>
      <c r="D5214" t="s">
        <v>7193</v>
      </c>
      <c r="E5214" t="s">
        <v>11</v>
      </c>
      <c r="G5214" t="s">
        <v>74</v>
      </c>
      <c r="H5214" t="s">
        <v>14</v>
      </c>
    </row>
    <row r="5215" spans="1:8" hidden="1" x14ac:dyDescent="0.25">
      <c r="A5215" t="s">
        <v>7215</v>
      </c>
      <c r="B5215" s="1" t="str">
        <f>HYPERLINK("https://asmlis.vasa.lt/Dashboard/Served?ServiceDateFrom=2025-11-24&amp;ServiceDateTo=2025-11-24&amp;DumpsterInvNr=13-L-144986", "13-L-144986")</f>
        <v>13-L-144986</v>
      </c>
      <c r="C5215">
        <v>1.1000000000000001</v>
      </c>
      <c r="D5215" t="s">
        <v>7216</v>
      </c>
      <c r="E5215" t="s">
        <v>11</v>
      </c>
      <c r="G5215" t="s">
        <v>430</v>
      </c>
      <c r="H5215" t="s">
        <v>432</v>
      </c>
    </row>
    <row r="5216" spans="1:8" hidden="1" x14ac:dyDescent="0.25">
      <c r="A5216" t="s">
        <v>7217</v>
      </c>
      <c r="B5216" s="1" t="str">
        <f>HYPERLINK("https://asmlis.vasa.lt/Dashboard/Served?ServiceDateFrom=2025-11-24&amp;ServiceDateTo=2025-11-24&amp;DumpsterInvNr=13-L-126687", "13-L-126687")</f>
        <v>13-L-126687</v>
      </c>
      <c r="C5216">
        <v>0.24</v>
      </c>
      <c r="D5216" t="s">
        <v>7218</v>
      </c>
      <c r="E5216" t="s">
        <v>11</v>
      </c>
      <c r="G5216" t="s">
        <v>430</v>
      </c>
      <c r="H5216" t="s">
        <v>432</v>
      </c>
    </row>
    <row r="5217" spans="1:8" hidden="1" x14ac:dyDescent="0.25">
      <c r="A5217" t="s">
        <v>7217</v>
      </c>
      <c r="B5217" s="1" t="str">
        <f>HYPERLINK("https://asmlis.vasa.lt/Dashboard/Served?ServiceDateFrom=2025-11-24&amp;ServiceDateTo=2025-11-24&amp;DumpsterInvNr=13-L-203597", "13-L-203597")</f>
        <v>13-L-203597</v>
      </c>
      <c r="C5217">
        <v>0.24</v>
      </c>
      <c r="D5217" t="s">
        <v>6701</v>
      </c>
      <c r="E5217" t="s">
        <v>11</v>
      </c>
      <c r="F5217" t="s">
        <v>1209</v>
      </c>
      <c r="G5217" t="s">
        <v>936</v>
      </c>
      <c r="H5217" t="s">
        <v>938</v>
      </c>
    </row>
    <row r="5218" spans="1:8" hidden="1" x14ac:dyDescent="0.25">
      <c r="A5218" t="s">
        <v>7217</v>
      </c>
      <c r="B5218" s="1" t="str">
        <f>HYPERLINK("https://asmlis.vasa.lt/Dashboard/Served?ServiceDateFrom=2025-11-24&amp;ServiceDateTo=2025-11-24&amp;DumpsterInvNr=13-L-147768", "13-L-147768")</f>
        <v>13-L-147768</v>
      </c>
      <c r="C5218">
        <v>0.24</v>
      </c>
      <c r="D5218" t="s">
        <v>7219</v>
      </c>
      <c r="E5218" t="s">
        <v>11</v>
      </c>
      <c r="G5218" t="s">
        <v>430</v>
      </c>
      <c r="H5218" t="s">
        <v>432</v>
      </c>
    </row>
    <row r="5219" spans="1:8" hidden="1" x14ac:dyDescent="0.25">
      <c r="A5219" t="s">
        <v>7217</v>
      </c>
      <c r="B5219" s="1" t="str">
        <f>HYPERLINK("https://asmlis.vasa.lt/Dashboard/Served?ServiceDateFrom=2025-11-24&amp;ServiceDateTo=2025-11-24&amp;DumpsterInvNr=13-P-509590", "13-P-509590")</f>
        <v>13-P-509590</v>
      </c>
      <c r="C5219">
        <v>0.24</v>
      </c>
      <c r="D5219" t="s">
        <v>7218</v>
      </c>
      <c r="E5219" t="s">
        <v>11</v>
      </c>
      <c r="G5219" t="s">
        <v>2178</v>
      </c>
      <c r="H5219" t="s">
        <v>432</v>
      </c>
    </row>
    <row r="5220" spans="1:8" hidden="1" x14ac:dyDescent="0.25">
      <c r="A5220" t="s">
        <v>7221</v>
      </c>
      <c r="B5220" s="1" t="str">
        <f>HYPERLINK("https://asmlis.vasa.lt/Dashboard/Served?ServiceDateFrom=2025-11-24&amp;ServiceDateTo=2025-11-24&amp;DumpsterInvNr=13-P-301862", "13-P-301862")</f>
        <v>13-P-301862</v>
      </c>
      <c r="C5220">
        <v>1.1000000000000001</v>
      </c>
      <c r="D5220" t="s">
        <v>7222</v>
      </c>
      <c r="E5220" t="s">
        <v>11</v>
      </c>
      <c r="G5220" t="s">
        <v>412</v>
      </c>
      <c r="H5220" t="s">
        <v>14</v>
      </c>
    </row>
    <row r="5221" spans="1:8" hidden="1" x14ac:dyDescent="0.25">
      <c r="A5221" t="s">
        <v>7223</v>
      </c>
      <c r="B5221" s="1" t="str">
        <f>HYPERLINK("https://asmlis.vasa.lt/Dashboard/Served?ServiceDateFrom=2025-11-24&amp;ServiceDateTo=2025-11-24&amp;DumpsterInvNr=13-P-405409", "13-P-405409")</f>
        <v>13-P-405409</v>
      </c>
      <c r="C5221">
        <v>5</v>
      </c>
      <c r="D5221" t="s">
        <v>7224</v>
      </c>
      <c r="E5221" t="s">
        <v>11</v>
      </c>
      <c r="G5221" t="s">
        <v>264</v>
      </c>
      <c r="H5221" t="s">
        <v>14</v>
      </c>
    </row>
    <row r="5222" spans="1:8" hidden="1" x14ac:dyDescent="0.25">
      <c r="A5222" t="s">
        <v>7225</v>
      </c>
      <c r="B5222" s="1" t="str">
        <f>HYPERLINK("https://asmlis.vasa.lt/Dashboard/Served?ServiceDateFrom=2025-11-24&amp;ServiceDateTo=2025-11-24&amp;DumpsterInvNr=13-P-414656", "13-P-414656")</f>
        <v>13-P-414656</v>
      </c>
      <c r="C5222">
        <v>0.24</v>
      </c>
      <c r="D5222" t="s">
        <v>7226</v>
      </c>
      <c r="E5222" t="s">
        <v>11</v>
      </c>
      <c r="G5222" t="s">
        <v>264</v>
      </c>
      <c r="H5222" t="s">
        <v>14</v>
      </c>
    </row>
    <row r="5223" spans="1:8" hidden="1" x14ac:dyDescent="0.25">
      <c r="A5223" t="s">
        <v>7227</v>
      </c>
      <c r="B5223" s="1" t="str">
        <f>HYPERLINK("https://asmlis.vasa.lt/Dashboard/Served?ServiceDateFrom=2025-11-24&amp;ServiceDateTo=2025-11-24&amp;DumpsterInvNr=13-L-414545", "13-L-414545")</f>
        <v>13-L-414545</v>
      </c>
      <c r="C5223">
        <v>0.24</v>
      </c>
      <c r="D5223" t="s">
        <v>7228</v>
      </c>
      <c r="E5223" t="s">
        <v>11</v>
      </c>
      <c r="F5223" t="s">
        <v>1209</v>
      </c>
      <c r="G5223" t="s">
        <v>74</v>
      </c>
      <c r="H5223" t="s">
        <v>14</v>
      </c>
    </row>
    <row r="5224" spans="1:8" hidden="1" x14ac:dyDescent="0.25">
      <c r="A5224" t="s">
        <v>7229</v>
      </c>
      <c r="B5224" s="1" t="str">
        <f>HYPERLINK("https://asmlis.vasa.lt/Dashboard/Served?ServiceDateFrom=2025-11-24&amp;ServiceDateTo=2025-11-24&amp;DumpsterInvNr=13-L-314453", "13-L-314453")</f>
        <v>13-L-314453</v>
      </c>
      <c r="C5224">
        <v>0.77</v>
      </c>
      <c r="D5224" t="s">
        <v>7230</v>
      </c>
      <c r="E5224" t="s">
        <v>11</v>
      </c>
      <c r="G5224" t="s">
        <v>9</v>
      </c>
      <c r="H5224" t="s">
        <v>14</v>
      </c>
    </row>
    <row r="5225" spans="1:8" hidden="1" x14ac:dyDescent="0.25">
      <c r="A5225" t="s">
        <v>7229</v>
      </c>
      <c r="B5225" s="1" t="str">
        <f>HYPERLINK("https://asmlis.vasa.lt/Dashboard/Served?ServiceDateFrom=2025-11-24&amp;ServiceDateTo=2025-11-24&amp;DumpsterInvNr=13-L-420071", "13-L-420071")</f>
        <v>13-L-420071</v>
      </c>
      <c r="C5225">
        <v>0.24</v>
      </c>
      <c r="D5225" t="s">
        <v>7231</v>
      </c>
      <c r="E5225" t="s">
        <v>11</v>
      </c>
      <c r="F5225" t="s">
        <v>1209</v>
      </c>
      <c r="G5225" t="s">
        <v>74</v>
      </c>
      <c r="H5225" t="s">
        <v>14</v>
      </c>
    </row>
    <row r="5226" spans="1:8" hidden="1" x14ac:dyDescent="0.25">
      <c r="A5226" t="s">
        <v>7232</v>
      </c>
      <c r="B5226" s="1" t="str">
        <f>HYPERLINK("https://asmlis.vasa.lt/Dashboard/Served?ServiceDateFrom=2025-11-24&amp;ServiceDateTo=2025-11-24&amp;DumpsterInvNr=13-M-200236", "13-M-200236")</f>
        <v>13-M-200236</v>
      </c>
      <c r="C5226">
        <v>0.12</v>
      </c>
      <c r="D5226" t="s">
        <v>7233</v>
      </c>
      <c r="E5226" t="s">
        <v>11</v>
      </c>
      <c r="F5226" t="s">
        <v>1209</v>
      </c>
      <c r="G5226" t="s">
        <v>4876</v>
      </c>
      <c r="H5226" t="s">
        <v>938</v>
      </c>
    </row>
    <row r="5227" spans="1:8" hidden="1" x14ac:dyDescent="0.25">
      <c r="A5227" t="s">
        <v>7235</v>
      </c>
      <c r="B5227" s="1" t="str">
        <f>HYPERLINK("https://asmlis.vasa.lt/Dashboard/Served?ServiceDateFrom=2025-11-24&amp;ServiceDateTo=2025-11-24&amp;DumpsterInvNr=13-M-203673", "13-M-203673")</f>
        <v>13-M-203673</v>
      </c>
      <c r="C5227">
        <v>0.12</v>
      </c>
      <c r="D5227" t="s">
        <v>7236</v>
      </c>
      <c r="E5227" t="s">
        <v>11</v>
      </c>
      <c r="F5227" t="s">
        <v>1209</v>
      </c>
      <c r="G5227" t="s">
        <v>4876</v>
      </c>
      <c r="H5227" t="s">
        <v>938</v>
      </c>
    </row>
    <row r="5228" spans="1:8" hidden="1" x14ac:dyDescent="0.25">
      <c r="A5228" t="s">
        <v>7237</v>
      </c>
      <c r="B5228" s="1" t="str">
        <f>HYPERLINK("https://asmlis.vasa.lt/Dashboard/Served?ServiceDateFrom=2025-11-24&amp;ServiceDateTo=2025-11-24&amp;DumpsterInvNr=13-L-141654", "13-L-141654")</f>
        <v>13-L-141654</v>
      </c>
      <c r="C5228">
        <v>0.24</v>
      </c>
      <c r="D5228" t="s">
        <v>7238</v>
      </c>
      <c r="E5228" t="s">
        <v>11</v>
      </c>
      <c r="G5228" t="s">
        <v>430</v>
      </c>
      <c r="H5228" t="s">
        <v>432</v>
      </c>
    </row>
    <row r="5229" spans="1:8" hidden="1" x14ac:dyDescent="0.25">
      <c r="A5229" t="s">
        <v>7237</v>
      </c>
      <c r="B5229" s="1" t="str">
        <f>HYPERLINK("https://asmlis.vasa.lt/Dashboard/Served?ServiceDateFrom=2025-11-24&amp;ServiceDateTo=2025-11-24&amp;DumpsterInvNr=13-L-415054", "13-L-415054")</f>
        <v>13-L-415054</v>
      </c>
      <c r="C5229">
        <v>0.24</v>
      </c>
      <c r="D5229" t="s">
        <v>3486</v>
      </c>
      <c r="E5229" t="s">
        <v>11</v>
      </c>
      <c r="G5229" t="s">
        <v>74</v>
      </c>
      <c r="H5229" t="s">
        <v>14</v>
      </c>
    </row>
    <row r="5230" spans="1:8" hidden="1" x14ac:dyDescent="0.25">
      <c r="A5230" t="s">
        <v>7237</v>
      </c>
      <c r="B5230" s="1" t="str">
        <f>HYPERLINK("https://asmlis.vasa.lt/Dashboard/Served?ServiceDateFrom=2025-11-24&amp;ServiceDateTo=2025-11-24&amp;DumpsterInvNr=13-P-502781", "13-P-502781")</f>
        <v>13-P-502781</v>
      </c>
      <c r="C5230">
        <v>0.24</v>
      </c>
      <c r="D5230" t="s">
        <v>7238</v>
      </c>
      <c r="E5230" t="s">
        <v>11</v>
      </c>
      <c r="G5230" t="s">
        <v>2178</v>
      </c>
      <c r="H5230" t="s">
        <v>432</v>
      </c>
    </row>
    <row r="5231" spans="1:8" hidden="1" x14ac:dyDescent="0.25">
      <c r="A5231" t="s">
        <v>7239</v>
      </c>
      <c r="B5231" s="1" t="str">
        <f>HYPERLINK("https://asmlis.vasa.lt/Dashboard/Served?ServiceDateFrom=2025-11-24&amp;ServiceDateTo=2025-11-24&amp;DumpsterInvNr=13-L-147765", "13-L-147765")</f>
        <v>13-L-147765</v>
      </c>
      <c r="C5231">
        <v>0.24</v>
      </c>
      <c r="D5231" t="s">
        <v>7240</v>
      </c>
      <c r="E5231" t="s">
        <v>11</v>
      </c>
      <c r="F5231" t="s">
        <v>1209</v>
      </c>
      <c r="G5231" t="s">
        <v>430</v>
      </c>
      <c r="H5231" t="s">
        <v>432</v>
      </c>
    </row>
    <row r="5232" spans="1:8" hidden="1" x14ac:dyDescent="0.25">
      <c r="A5232" t="s">
        <v>7241</v>
      </c>
      <c r="B5232" s="1" t="str">
        <f>HYPERLINK("https://asmlis.vasa.lt/Dashboard/Served?ServiceDateFrom=2025-11-24&amp;ServiceDateTo=2025-11-24&amp;DumpsterInvNr=13-L-415755", "13-L-415755")</f>
        <v>13-L-415755</v>
      </c>
      <c r="C5232">
        <v>1.1000000000000001</v>
      </c>
      <c r="D5232" t="s">
        <v>7144</v>
      </c>
      <c r="E5232" t="s">
        <v>11</v>
      </c>
      <c r="G5232" t="s">
        <v>74</v>
      </c>
      <c r="H5232" t="s">
        <v>14</v>
      </c>
    </row>
    <row r="5233" spans="1:8" hidden="1" x14ac:dyDescent="0.25">
      <c r="A5233" t="s">
        <v>7241</v>
      </c>
      <c r="B5233" s="1" t="str">
        <f>HYPERLINK("https://asmlis.vasa.lt/Dashboard/Served?ServiceDateFrom=2025-11-24&amp;ServiceDateTo=2025-11-24&amp;DumpsterInvNr=13-M-205499", "13-M-205499")</f>
        <v>13-M-205499</v>
      </c>
      <c r="C5233">
        <v>0.12</v>
      </c>
      <c r="D5233" t="s">
        <v>7242</v>
      </c>
      <c r="E5233" t="s">
        <v>11</v>
      </c>
      <c r="F5233" t="s">
        <v>1209</v>
      </c>
      <c r="G5233" t="s">
        <v>4876</v>
      </c>
      <c r="H5233" t="s">
        <v>938</v>
      </c>
    </row>
    <row r="5234" spans="1:8" hidden="1" x14ac:dyDescent="0.25">
      <c r="A5234" t="s">
        <v>7244</v>
      </c>
      <c r="B5234" s="1" t="str">
        <f>HYPERLINK("https://asmlis.vasa.lt/Dashboard/Served?ServiceDateFrom=2025-11-24&amp;ServiceDateTo=2025-11-24&amp;DumpsterInvNr=13-P-509176", "13-P-509176")</f>
        <v>13-P-509176</v>
      </c>
      <c r="C5234">
        <v>0.24</v>
      </c>
      <c r="D5234" t="s">
        <v>7240</v>
      </c>
      <c r="E5234" t="s">
        <v>11</v>
      </c>
      <c r="F5234" t="s">
        <v>1209</v>
      </c>
      <c r="G5234" t="s">
        <v>2178</v>
      </c>
      <c r="H5234" t="s">
        <v>432</v>
      </c>
    </row>
    <row r="5235" spans="1:8" hidden="1" x14ac:dyDescent="0.25">
      <c r="A5235" t="s">
        <v>7245</v>
      </c>
      <c r="B5235" s="1" t="str">
        <f>HYPERLINK("https://asmlis.vasa.lt/Dashboard/Served?ServiceDateFrom=2025-11-24&amp;ServiceDateTo=2025-11-24&amp;DumpsterInvNr=13-P-509179", "13-P-509179")</f>
        <v>13-P-509179</v>
      </c>
      <c r="C5235">
        <v>0.24</v>
      </c>
      <c r="D5235" t="s">
        <v>7219</v>
      </c>
      <c r="E5235" t="s">
        <v>11</v>
      </c>
      <c r="F5235" t="s">
        <v>1209</v>
      </c>
      <c r="G5235" t="s">
        <v>2178</v>
      </c>
      <c r="H5235" t="s">
        <v>432</v>
      </c>
    </row>
    <row r="5236" spans="1:8" hidden="1" x14ac:dyDescent="0.25">
      <c r="A5236" t="s">
        <v>7247</v>
      </c>
      <c r="B5236" s="1" t="str">
        <f>HYPERLINK("https://asmlis.vasa.lt/Dashboard/Served?ServiceDateFrom=2025-11-24&amp;ServiceDateTo=2025-11-24&amp;DumpsterInvNr=13-L-318688", "13-L-318688")</f>
        <v>13-L-318688</v>
      </c>
      <c r="C5236">
        <v>0.77</v>
      </c>
      <c r="D5236" t="s">
        <v>7230</v>
      </c>
      <c r="E5236" t="s">
        <v>11</v>
      </c>
      <c r="G5236" t="s">
        <v>9</v>
      </c>
      <c r="H5236" t="s">
        <v>14</v>
      </c>
    </row>
    <row r="5237" spans="1:8" hidden="1" x14ac:dyDescent="0.25">
      <c r="A5237" t="s">
        <v>7247</v>
      </c>
      <c r="B5237" s="1" t="str">
        <f>HYPERLINK("https://asmlis.vasa.lt/Dashboard/Served?ServiceDateFrom=2025-11-24&amp;ServiceDateTo=2025-11-24&amp;DumpsterInvNr=13-L-147767", "13-L-147767")</f>
        <v>13-L-147767</v>
      </c>
      <c r="C5237">
        <v>0.24</v>
      </c>
      <c r="D5237" t="s">
        <v>7249</v>
      </c>
      <c r="E5237" t="s">
        <v>11</v>
      </c>
      <c r="F5237" t="s">
        <v>1209</v>
      </c>
      <c r="G5237" t="s">
        <v>430</v>
      </c>
      <c r="H5237" t="s">
        <v>432</v>
      </c>
    </row>
    <row r="5238" spans="1:8" hidden="1" x14ac:dyDescent="0.25">
      <c r="A5238" t="s">
        <v>7247</v>
      </c>
      <c r="B5238" s="1" t="str">
        <f>HYPERLINK("https://asmlis.vasa.lt/Dashboard/Served?ServiceDateFrom=2025-11-24&amp;ServiceDateTo=2025-11-24&amp;DumpsterInvNr=13-P-509178", "13-P-509178")</f>
        <v>13-P-509178</v>
      </c>
      <c r="C5238">
        <v>0.24</v>
      </c>
      <c r="D5238" t="s">
        <v>7249</v>
      </c>
      <c r="E5238" t="s">
        <v>11</v>
      </c>
      <c r="F5238" t="s">
        <v>1209</v>
      </c>
      <c r="G5238" t="s">
        <v>2178</v>
      </c>
      <c r="H5238" t="s">
        <v>432</v>
      </c>
    </row>
    <row r="5239" spans="1:8" hidden="1" x14ac:dyDescent="0.25">
      <c r="A5239" t="s">
        <v>6769</v>
      </c>
      <c r="B5239" s="1" t="str">
        <f>HYPERLINK("https://asmlis.vasa.lt/Dashboard/Served?ServiceDateFrom=2025-11-24&amp;ServiceDateTo=2025-11-24&amp;DumpsterInvNr=13-M-200211", "13-M-200211")</f>
        <v>13-M-200211</v>
      </c>
      <c r="C5239">
        <v>0.12</v>
      </c>
      <c r="D5239" t="s">
        <v>7250</v>
      </c>
      <c r="E5239" t="s">
        <v>11</v>
      </c>
      <c r="F5239" t="s">
        <v>1209</v>
      </c>
      <c r="G5239" t="s">
        <v>4876</v>
      </c>
      <c r="H5239" t="s">
        <v>938</v>
      </c>
    </row>
    <row r="5240" spans="1:8" hidden="1" x14ac:dyDescent="0.25">
      <c r="A5240" t="s">
        <v>6791</v>
      </c>
      <c r="B5240" s="1" t="str">
        <f>HYPERLINK("https://asmlis.vasa.lt/Dashboard/Served?ServiceDateFrom=2025-11-24&amp;ServiceDateTo=2025-11-24&amp;DumpsterInvNr=13-P-414628", "13-P-414628")</f>
        <v>13-P-414628</v>
      </c>
      <c r="C5240">
        <v>0.24</v>
      </c>
      <c r="D5240" t="s">
        <v>7251</v>
      </c>
      <c r="E5240" t="s">
        <v>11</v>
      </c>
      <c r="G5240" t="s">
        <v>264</v>
      </c>
      <c r="H5240" t="s">
        <v>14</v>
      </c>
    </row>
    <row r="5241" spans="1:8" hidden="1" x14ac:dyDescent="0.25">
      <c r="A5241" t="s">
        <v>6804</v>
      </c>
      <c r="B5241" s="1" t="str">
        <f>HYPERLINK("https://asmlis.vasa.lt/Dashboard/Served?ServiceDateFrom=2025-11-24&amp;ServiceDateTo=2025-11-24&amp;DumpsterInvNr=13-L-222841", "13-L-222841")</f>
        <v>13-L-222841</v>
      </c>
      <c r="C5241">
        <v>0.12</v>
      </c>
      <c r="D5241" t="s">
        <v>6731</v>
      </c>
      <c r="E5241" t="s">
        <v>11</v>
      </c>
      <c r="G5241" t="s">
        <v>936</v>
      </c>
      <c r="H5241" t="s">
        <v>938</v>
      </c>
    </row>
    <row r="5242" spans="1:8" hidden="1" x14ac:dyDescent="0.25">
      <c r="A5242" t="s">
        <v>6804</v>
      </c>
      <c r="B5242" s="1" t="str">
        <f>HYPERLINK("https://asmlis.vasa.lt/Dashboard/Served?ServiceDateFrom=2025-11-24&amp;ServiceDateTo=2025-11-24&amp;DumpsterInvNr=13-P-502033", "13-P-502033")</f>
        <v>13-P-502033</v>
      </c>
      <c r="C5242">
        <v>0.24</v>
      </c>
      <c r="D5242" t="s">
        <v>7252</v>
      </c>
      <c r="E5242" t="s">
        <v>11</v>
      </c>
      <c r="F5242" t="s">
        <v>1209</v>
      </c>
      <c r="G5242" t="s">
        <v>2178</v>
      </c>
      <c r="H5242" t="s">
        <v>432</v>
      </c>
    </row>
    <row r="5243" spans="1:8" hidden="1" x14ac:dyDescent="0.25">
      <c r="A5243" t="s">
        <v>6814</v>
      </c>
      <c r="B5243" s="1" t="str">
        <f>HYPERLINK("https://asmlis.vasa.lt/Dashboard/Served?ServiceDateFrom=2025-11-24&amp;ServiceDateTo=2025-11-24&amp;DumpsterInvNr=13-L-147709", "13-L-147709")</f>
        <v>13-L-147709</v>
      </c>
      <c r="C5243">
        <v>0.24</v>
      </c>
      <c r="D5243" t="s">
        <v>7252</v>
      </c>
      <c r="E5243" t="s">
        <v>11</v>
      </c>
      <c r="F5243" t="s">
        <v>1209</v>
      </c>
      <c r="G5243" t="s">
        <v>430</v>
      </c>
      <c r="H5243" t="s">
        <v>432</v>
      </c>
    </row>
    <row r="5244" spans="1:8" hidden="1" x14ac:dyDescent="0.25">
      <c r="A5244" t="s">
        <v>7254</v>
      </c>
      <c r="B5244" s="1" t="str">
        <f>HYPERLINK("https://asmlis.vasa.lt/Dashboard/Served?ServiceDateFrom=2025-11-24&amp;ServiceDateTo=2025-11-24&amp;DumpsterInvNr=13-L-220802", "13-L-220802")</f>
        <v>13-L-220802</v>
      </c>
      <c r="C5244">
        <v>1.1000000000000001</v>
      </c>
      <c r="D5244" t="s">
        <v>7255</v>
      </c>
      <c r="E5244" t="s">
        <v>11</v>
      </c>
      <c r="F5244" t="s">
        <v>13</v>
      </c>
      <c r="G5244" t="s">
        <v>936</v>
      </c>
      <c r="H5244" t="s">
        <v>938</v>
      </c>
    </row>
    <row r="5245" spans="1:8" hidden="1" x14ac:dyDescent="0.25">
      <c r="A5245" t="s">
        <v>7254</v>
      </c>
      <c r="B5245" s="1" t="str">
        <f>HYPERLINK("https://asmlis.vasa.lt/Dashboard/Served?ServiceDateFrom=2025-11-24&amp;ServiceDateTo=2025-11-24&amp;DumpsterInvNr=13-L-313315", "13-L-313315")</f>
        <v>13-L-313315</v>
      </c>
      <c r="C5245">
        <v>1.1000000000000001</v>
      </c>
      <c r="D5245" t="s">
        <v>1073</v>
      </c>
      <c r="E5245" t="s">
        <v>11</v>
      </c>
      <c r="F5245" t="s">
        <v>13</v>
      </c>
      <c r="G5245" t="s">
        <v>9</v>
      </c>
      <c r="H5245" t="s">
        <v>14</v>
      </c>
    </row>
    <row r="5246" spans="1:8" hidden="1" x14ac:dyDescent="0.25">
      <c r="A5246" t="s">
        <v>6835</v>
      </c>
      <c r="B5246" s="1" t="str">
        <f>HYPERLINK("https://asmlis.vasa.lt/Dashboard/Served?ServiceDateFrom=2025-11-24&amp;ServiceDateTo=2025-11-24&amp;DumpsterInvNr=13-M-205498", "13-M-205498")</f>
        <v>13-M-205498</v>
      </c>
      <c r="C5246">
        <v>0.12</v>
      </c>
      <c r="D5246" t="s">
        <v>7256</v>
      </c>
      <c r="E5246" t="s">
        <v>11</v>
      </c>
      <c r="F5246" t="s">
        <v>1209</v>
      </c>
      <c r="G5246" t="s">
        <v>4876</v>
      </c>
      <c r="H5246" t="s">
        <v>938</v>
      </c>
    </row>
    <row r="5247" spans="1:8" hidden="1" x14ac:dyDescent="0.25">
      <c r="A5247" t="s">
        <v>6863</v>
      </c>
      <c r="B5247" s="1" t="str">
        <f>HYPERLINK("https://asmlis.vasa.lt/Dashboard/Served?ServiceDateFrom=2025-11-24&amp;ServiceDateTo=2025-11-24&amp;DumpsterInvNr=13-L-123917", "13-L-123917")</f>
        <v>13-L-123917</v>
      </c>
      <c r="C5247">
        <v>0.12</v>
      </c>
      <c r="D5247" t="s">
        <v>7257</v>
      </c>
      <c r="E5247" t="s">
        <v>11</v>
      </c>
      <c r="G5247" t="s">
        <v>1912</v>
      </c>
      <c r="H5247" t="s">
        <v>432</v>
      </c>
    </row>
    <row r="5248" spans="1:8" hidden="1" x14ac:dyDescent="0.25">
      <c r="A5248" t="s">
        <v>6863</v>
      </c>
      <c r="B5248" s="1" t="str">
        <f>HYPERLINK("https://asmlis.vasa.lt/Dashboard/Served?ServiceDateFrom=2025-11-24&amp;ServiceDateTo=2025-11-24&amp;DumpsterInvNr=13-L-219847", "13-L-219847")</f>
        <v>13-L-219847</v>
      </c>
      <c r="C5248">
        <v>1.1000000000000001</v>
      </c>
      <c r="D5248" t="s">
        <v>7255</v>
      </c>
      <c r="E5248" t="s">
        <v>11</v>
      </c>
      <c r="F5248" t="s">
        <v>13</v>
      </c>
      <c r="G5248" t="s">
        <v>936</v>
      </c>
      <c r="H5248" t="s">
        <v>938</v>
      </c>
    </row>
    <row r="5249" spans="1:8" hidden="1" x14ac:dyDescent="0.25">
      <c r="A5249" t="s">
        <v>6876</v>
      </c>
      <c r="B5249" s="1" t="str">
        <f>HYPERLINK("https://asmlis.vasa.lt/Dashboard/Served?ServiceDateFrom=2025-11-24&amp;ServiceDateTo=2025-11-24&amp;DumpsterInvNr=13-P-205773", "13-P-205773")</f>
        <v>13-P-205773</v>
      </c>
      <c r="C5249">
        <v>0.24</v>
      </c>
      <c r="D5249" t="s">
        <v>7121</v>
      </c>
      <c r="E5249" t="s">
        <v>11</v>
      </c>
      <c r="G5249" t="s">
        <v>234</v>
      </c>
      <c r="H5249" t="s">
        <v>14</v>
      </c>
    </row>
    <row r="5250" spans="1:8" hidden="1" x14ac:dyDescent="0.25">
      <c r="A5250" t="s">
        <v>6876</v>
      </c>
      <c r="B5250" s="1" t="str">
        <f>HYPERLINK("https://asmlis.vasa.lt/Dashboard/Served?ServiceDateFrom=2025-11-24&amp;ServiceDateTo=2025-11-24&amp;DumpsterInvNr=13-L-144985", "13-L-144985")</f>
        <v>13-L-144985</v>
      </c>
      <c r="C5250">
        <v>1.1000000000000001</v>
      </c>
      <c r="D5250" t="s">
        <v>7216</v>
      </c>
      <c r="E5250" t="s">
        <v>11</v>
      </c>
      <c r="G5250" t="s">
        <v>430</v>
      </c>
      <c r="H5250" t="s">
        <v>432</v>
      </c>
    </row>
    <row r="5251" spans="1:8" hidden="1" x14ac:dyDescent="0.25">
      <c r="A5251" t="s">
        <v>7258</v>
      </c>
      <c r="B5251" s="1" t="str">
        <f>HYPERLINK("https://asmlis.vasa.lt/Dashboard/Served?ServiceDateFrom=2025-11-24&amp;ServiceDateTo=2025-11-24&amp;DumpsterInvNr=13-L-210376", "13-L-210376")</f>
        <v>13-L-210376</v>
      </c>
      <c r="C5251">
        <v>0.24</v>
      </c>
      <c r="D5251" t="s">
        <v>6721</v>
      </c>
      <c r="E5251" t="s">
        <v>11</v>
      </c>
      <c r="F5251" t="s">
        <v>1209</v>
      </c>
      <c r="G5251" t="s">
        <v>936</v>
      </c>
      <c r="H5251" t="s">
        <v>938</v>
      </c>
    </row>
    <row r="5252" spans="1:8" hidden="1" x14ac:dyDescent="0.25">
      <c r="A5252" t="s">
        <v>6880</v>
      </c>
      <c r="B5252" s="1" t="str">
        <f>HYPERLINK("https://asmlis.vasa.lt/Dashboard/Served?ServiceDateFrom=2025-11-24&amp;ServiceDateTo=2025-11-24&amp;DumpsterInvNr=13-P-105371", "13-P-105371")</f>
        <v>13-P-105371</v>
      </c>
      <c r="C5252">
        <v>0.24</v>
      </c>
      <c r="D5252" t="s">
        <v>7257</v>
      </c>
      <c r="E5252" t="s">
        <v>11</v>
      </c>
      <c r="G5252" t="s">
        <v>1917</v>
      </c>
      <c r="H5252" t="s">
        <v>432</v>
      </c>
    </row>
    <row r="5253" spans="1:8" hidden="1" x14ac:dyDescent="0.25">
      <c r="A5253" t="s">
        <v>6890</v>
      </c>
      <c r="B5253" s="1" t="str">
        <f>HYPERLINK("https://asmlis.vasa.lt/Dashboard/Served?ServiceDateFrom=2025-11-24&amp;ServiceDateTo=2025-11-24&amp;DumpsterInvNr=13-L-415737", "13-L-415737")</f>
        <v>13-L-415737</v>
      </c>
      <c r="C5253">
        <v>0.24</v>
      </c>
      <c r="D5253" t="s">
        <v>7259</v>
      </c>
      <c r="E5253" t="s">
        <v>11</v>
      </c>
      <c r="G5253" t="s">
        <v>74</v>
      </c>
      <c r="H5253" t="s">
        <v>14</v>
      </c>
    </row>
    <row r="5254" spans="1:8" hidden="1" x14ac:dyDescent="0.25">
      <c r="A5254" t="s">
        <v>7260</v>
      </c>
      <c r="B5254" s="1" t="str">
        <f>HYPERLINK("https://asmlis.vasa.lt/Dashboard/Served?ServiceDateFrom=2025-11-24&amp;ServiceDateTo=2025-11-24&amp;DumpsterInvNr=13-L-217228", "13-L-217228")</f>
        <v>13-L-217228</v>
      </c>
      <c r="C5254">
        <v>5</v>
      </c>
      <c r="D5254" t="s">
        <v>4945</v>
      </c>
      <c r="E5254" t="s">
        <v>11</v>
      </c>
      <c r="G5254" t="s">
        <v>936</v>
      </c>
      <c r="H5254" t="s">
        <v>938</v>
      </c>
    </row>
    <row r="5255" spans="1:8" hidden="1" x14ac:dyDescent="0.25">
      <c r="A5255" t="s">
        <v>7108</v>
      </c>
      <c r="B5255" s="1" t="str">
        <f>HYPERLINK("https://asmlis.vasa.lt/Dashboard/Served?ServiceDateFrom=2025-11-24&amp;ServiceDateTo=2025-11-24&amp;DumpsterInvNr=13-L-147909", "13-L-147909")</f>
        <v>13-L-147909</v>
      </c>
      <c r="C5255">
        <v>0.24</v>
      </c>
      <c r="D5255" t="s">
        <v>7261</v>
      </c>
      <c r="E5255" t="s">
        <v>11</v>
      </c>
      <c r="F5255" t="s">
        <v>1209</v>
      </c>
      <c r="G5255" t="s">
        <v>430</v>
      </c>
      <c r="H5255" t="s">
        <v>432</v>
      </c>
    </row>
    <row r="5256" spans="1:8" hidden="1" x14ac:dyDescent="0.25">
      <c r="A5256" t="s">
        <v>7112</v>
      </c>
      <c r="B5256" s="1" t="str">
        <f>HYPERLINK("https://asmlis.vasa.lt/Dashboard/Served?ServiceDateFrom=2025-11-24&amp;ServiceDateTo=2025-11-24&amp;DumpsterInvNr=13-P-500464", "13-P-500464")</f>
        <v>13-P-500464</v>
      </c>
      <c r="C5256">
        <v>5</v>
      </c>
      <c r="D5256" t="s">
        <v>7262</v>
      </c>
      <c r="E5256" t="s">
        <v>11</v>
      </c>
      <c r="F5256" t="s">
        <v>13</v>
      </c>
      <c r="G5256" t="s">
        <v>2178</v>
      </c>
      <c r="H5256" t="s">
        <v>432</v>
      </c>
    </row>
    <row r="5257" spans="1:8" hidden="1" x14ac:dyDescent="0.25">
      <c r="A5257" t="s">
        <v>7112</v>
      </c>
      <c r="B5257" s="1" t="str">
        <f>HYPERLINK("https://asmlis.vasa.lt/Dashboard/Served?ServiceDateFrom=2025-11-24&amp;ServiceDateTo=2025-11-24&amp;DumpsterInvNr=13-P-502076", "13-P-502076")</f>
        <v>13-P-502076</v>
      </c>
      <c r="C5257">
        <v>0.24</v>
      </c>
      <c r="D5257" t="s">
        <v>7261</v>
      </c>
      <c r="E5257" t="s">
        <v>11</v>
      </c>
      <c r="F5257" t="s">
        <v>1209</v>
      </c>
      <c r="G5257" t="s">
        <v>2178</v>
      </c>
      <c r="H5257" t="s">
        <v>432</v>
      </c>
    </row>
    <row r="5258" spans="1:8" hidden="1" x14ac:dyDescent="0.25">
      <c r="A5258" t="s">
        <v>7263</v>
      </c>
      <c r="B5258" s="1" t="str">
        <f>HYPERLINK("https://asmlis.vasa.lt/Dashboard/Served?ServiceDateFrom=2025-11-24&amp;ServiceDateTo=2025-11-24&amp;DumpsterInvNr=13-T-000134", "13-T-000134")</f>
        <v>13-T-000134</v>
      </c>
      <c r="C5258">
        <v>2.5</v>
      </c>
      <c r="D5258" t="s">
        <v>3418</v>
      </c>
      <c r="E5258" t="s">
        <v>11</v>
      </c>
      <c r="F5258" t="s">
        <v>13</v>
      </c>
      <c r="G5258" t="s">
        <v>1899</v>
      </c>
      <c r="H5258" t="s">
        <v>432</v>
      </c>
    </row>
    <row r="5259" spans="1:8" hidden="1" x14ac:dyDescent="0.25">
      <c r="A5259" t="s">
        <v>7264</v>
      </c>
      <c r="B5259" s="1" t="str">
        <f>HYPERLINK("https://asmlis.vasa.lt/Dashboard/Served?ServiceDateFrom=2025-11-24&amp;ServiceDateTo=2025-11-24&amp;DumpsterInvNr=13-P-106594", "13-P-106594")</f>
        <v>13-P-106594</v>
      </c>
      <c r="C5259">
        <v>0.66</v>
      </c>
      <c r="D5259" t="s">
        <v>7265</v>
      </c>
      <c r="E5259" t="s">
        <v>11</v>
      </c>
      <c r="G5259" t="s">
        <v>1917</v>
      </c>
      <c r="H5259" t="s">
        <v>432</v>
      </c>
    </row>
    <row r="5260" spans="1:8" hidden="1" x14ac:dyDescent="0.25">
      <c r="A5260" t="s">
        <v>7266</v>
      </c>
      <c r="B5260" s="1" t="str">
        <f>HYPERLINK("https://asmlis.vasa.lt/Dashboard/Served?ServiceDateFrom=2025-11-24&amp;ServiceDateTo=2025-11-24&amp;DumpsterInvNr=13-L-106836", "13-L-106836")</f>
        <v>13-L-106836</v>
      </c>
      <c r="C5260">
        <v>1.1000000000000001</v>
      </c>
      <c r="D5260" t="s">
        <v>7267</v>
      </c>
      <c r="E5260" t="s">
        <v>11</v>
      </c>
      <c r="G5260" t="s">
        <v>1912</v>
      </c>
      <c r="H5260" t="s">
        <v>432</v>
      </c>
    </row>
    <row r="5261" spans="1:8" hidden="1" x14ac:dyDescent="0.25">
      <c r="A5261" t="s">
        <v>7269</v>
      </c>
      <c r="B5261" s="1" t="str">
        <f>HYPERLINK("https://asmlis.vasa.lt/Dashboard/Served?ServiceDateFrom=2025-11-24&amp;ServiceDateTo=2025-11-24&amp;DumpsterInvNr=13-L-422088", "13-L-422088")</f>
        <v>13-L-422088</v>
      </c>
      <c r="C5261">
        <v>5</v>
      </c>
      <c r="D5261" t="s">
        <v>1561</v>
      </c>
      <c r="E5261" t="s">
        <v>11</v>
      </c>
      <c r="G5261" t="s">
        <v>74</v>
      </c>
      <c r="H5261" t="s">
        <v>14</v>
      </c>
    </row>
    <row r="5262" spans="1:8" hidden="1" x14ac:dyDescent="0.25">
      <c r="A5262" t="s">
        <v>7270</v>
      </c>
      <c r="B5262" s="1" t="str">
        <f>HYPERLINK("https://asmlis.vasa.lt/Dashboard/Served?ServiceDateFrom=2025-11-24&amp;ServiceDateTo=2025-11-24&amp;DumpsterInvNr=13-L-418009", "13-L-418009")</f>
        <v>13-L-418009</v>
      </c>
      <c r="C5262">
        <v>5</v>
      </c>
      <c r="D5262" t="s">
        <v>7123</v>
      </c>
      <c r="E5262" t="s">
        <v>11</v>
      </c>
      <c r="F5262" t="s">
        <v>13</v>
      </c>
      <c r="G5262" t="s">
        <v>74</v>
      </c>
      <c r="H5262" t="s">
        <v>14</v>
      </c>
    </row>
    <row r="5263" spans="1:8" hidden="1" x14ac:dyDescent="0.25">
      <c r="A5263" t="s">
        <v>7271</v>
      </c>
      <c r="B5263" s="1" t="str">
        <f>HYPERLINK("https://asmlis.vasa.lt/Dashboard/Served?ServiceDateFrom=2025-11-24&amp;ServiceDateTo=2025-11-24&amp;DumpsterInvNr=13-L-139707", "13-L-139707")</f>
        <v>13-L-139707</v>
      </c>
      <c r="C5263">
        <v>0.24</v>
      </c>
      <c r="D5263" t="s">
        <v>7273</v>
      </c>
      <c r="E5263" t="s">
        <v>11</v>
      </c>
      <c r="F5263" t="s">
        <v>1209</v>
      </c>
      <c r="G5263" t="s">
        <v>430</v>
      </c>
      <c r="H5263" t="s">
        <v>432</v>
      </c>
    </row>
    <row r="5264" spans="1:8" hidden="1" x14ac:dyDescent="0.25">
      <c r="A5264" t="s">
        <v>7274</v>
      </c>
      <c r="B5264" s="1" t="str">
        <f>HYPERLINK("https://asmlis.vasa.lt/Dashboard/Served?ServiceDateFrom=2025-11-24&amp;ServiceDateTo=2025-11-24&amp;DumpsterInvNr=13-T-000154", "13-T-000154")</f>
        <v>13-T-000154</v>
      </c>
      <c r="C5264">
        <v>2.5</v>
      </c>
      <c r="D5264" t="s">
        <v>3418</v>
      </c>
      <c r="E5264" t="s">
        <v>11</v>
      </c>
      <c r="F5264" t="s">
        <v>13</v>
      </c>
      <c r="G5264" t="s">
        <v>1899</v>
      </c>
      <c r="H5264" t="s">
        <v>432</v>
      </c>
    </row>
    <row r="5265" spans="1:8" hidden="1" x14ac:dyDescent="0.25">
      <c r="A5265" t="s">
        <v>7275</v>
      </c>
      <c r="B5265" s="1" t="str">
        <f>HYPERLINK("https://asmlis.vasa.lt/Dashboard/Served?ServiceDateFrom=2025-11-24&amp;ServiceDateTo=2025-11-24&amp;DumpsterInvNr=13-P-502815", "13-P-502815")</f>
        <v>13-P-502815</v>
      </c>
      <c r="C5265">
        <v>0.24</v>
      </c>
      <c r="D5265" t="s">
        <v>7276</v>
      </c>
      <c r="E5265" t="s">
        <v>11</v>
      </c>
      <c r="G5265" t="s">
        <v>2178</v>
      </c>
      <c r="H5265" t="s">
        <v>432</v>
      </c>
    </row>
    <row r="5266" spans="1:8" hidden="1" x14ac:dyDescent="0.25">
      <c r="A5266" t="s">
        <v>7278</v>
      </c>
      <c r="B5266" s="1" t="str">
        <f>HYPERLINK("https://asmlis.vasa.lt/Dashboard/Served?ServiceDateFrom=2025-11-24&amp;ServiceDateTo=2025-11-24&amp;DumpsterInvNr=13-L-143414", "13-L-143414")</f>
        <v>13-L-143414</v>
      </c>
      <c r="C5266">
        <v>0.24</v>
      </c>
      <c r="D5266" t="s">
        <v>7276</v>
      </c>
      <c r="E5266" t="s">
        <v>11</v>
      </c>
      <c r="G5266" t="s">
        <v>430</v>
      </c>
      <c r="H5266" t="s">
        <v>432</v>
      </c>
    </row>
    <row r="5267" spans="1:8" hidden="1" x14ac:dyDescent="0.25">
      <c r="A5267" t="s">
        <v>7278</v>
      </c>
      <c r="B5267" s="1" t="str">
        <f>HYPERLINK("https://asmlis.vasa.lt/Dashboard/Served?ServiceDateFrom=2025-11-24&amp;ServiceDateTo=2025-11-24&amp;DumpsterInvNr=13-L-202188", "13-L-202188")</f>
        <v>13-L-202188</v>
      </c>
      <c r="C5267">
        <v>1.1000000000000001</v>
      </c>
      <c r="D5267" t="s">
        <v>6681</v>
      </c>
      <c r="E5267" t="s">
        <v>11</v>
      </c>
      <c r="G5267" t="s">
        <v>936</v>
      </c>
      <c r="H5267" t="s">
        <v>938</v>
      </c>
    </row>
    <row r="5268" spans="1:8" hidden="1" x14ac:dyDescent="0.25">
      <c r="A5268" t="s">
        <v>7279</v>
      </c>
      <c r="B5268" s="1" t="str">
        <f>HYPERLINK("https://asmlis.vasa.lt/Dashboard/Served?ServiceDateFrom=2025-11-24&amp;ServiceDateTo=2025-11-24&amp;DumpsterInvNr=13-L-145827", "13-L-145827")</f>
        <v>13-L-145827</v>
      </c>
      <c r="C5268">
        <v>1.1000000000000001</v>
      </c>
      <c r="D5268" t="s">
        <v>4560</v>
      </c>
      <c r="E5268" t="s">
        <v>11</v>
      </c>
      <c r="G5268" t="s">
        <v>430</v>
      </c>
      <c r="H5268" t="s">
        <v>432</v>
      </c>
    </row>
    <row r="5269" spans="1:8" hidden="1" x14ac:dyDescent="0.25">
      <c r="A5269" t="s">
        <v>7280</v>
      </c>
      <c r="B5269" s="1" t="str">
        <f>HYPERLINK("https://asmlis.vasa.lt/Dashboard/Served?ServiceDateFrom=2025-11-24&amp;ServiceDateTo=2025-11-24&amp;DumpsterInvNr=13-L-423258", "13-L-423258")</f>
        <v>13-L-423258</v>
      </c>
      <c r="C5269">
        <v>1.1000000000000001</v>
      </c>
      <c r="D5269" t="s">
        <v>7144</v>
      </c>
      <c r="E5269" t="s">
        <v>11</v>
      </c>
      <c r="G5269" t="s">
        <v>74</v>
      </c>
      <c r="H5269" t="s">
        <v>14</v>
      </c>
    </row>
    <row r="5270" spans="1:8" hidden="1" x14ac:dyDescent="0.25">
      <c r="A5270" t="s">
        <v>7281</v>
      </c>
      <c r="B5270" s="1" t="str">
        <f>HYPERLINK("https://asmlis.vasa.lt/Dashboard/Served?ServiceDateFrom=2025-11-24&amp;ServiceDateTo=2025-11-24&amp;DumpsterInvNr=13-L-106837", "13-L-106837")</f>
        <v>13-L-106837</v>
      </c>
      <c r="C5270">
        <v>1.1000000000000001</v>
      </c>
      <c r="D5270" t="s">
        <v>7267</v>
      </c>
      <c r="E5270" t="s">
        <v>11</v>
      </c>
      <c r="G5270" t="s">
        <v>1912</v>
      </c>
      <c r="H5270" t="s">
        <v>432</v>
      </c>
    </row>
    <row r="5271" spans="1:8" hidden="1" x14ac:dyDescent="0.25">
      <c r="A5271" t="s">
        <v>7282</v>
      </c>
      <c r="B5271" s="1" t="str">
        <f>HYPERLINK("https://asmlis.vasa.lt/Dashboard/Served?ServiceDateFrom=2025-11-24&amp;ServiceDateTo=2025-11-24&amp;DumpsterInvNr=13-P-502823", "13-P-502823")</f>
        <v>13-P-502823</v>
      </c>
      <c r="C5271">
        <v>0.24</v>
      </c>
      <c r="D5271" t="s">
        <v>7273</v>
      </c>
      <c r="E5271" t="s">
        <v>11</v>
      </c>
      <c r="F5271" t="s">
        <v>1209</v>
      </c>
      <c r="G5271" t="s">
        <v>2178</v>
      </c>
      <c r="H5271" t="s">
        <v>432</v>
      </c>
    </row>
    <row r="5272" spans="1:8" hidden="1" x14ac:dyDescent="0.25">
      <c r="A5272" t="s">
        <v>7283</v>
      </c>
      <c r="B5272" s="1" t="str">
        <f>HYPERLINK("https://asmlis.vasa.lt/Dashboard/Served?ServiceDateFrom=2025-11-24&amp;ServiceDateTo=2025-11-24&amp;DumpsterInvNr=13-L-401533", "13-L-401533")</f>
        <v>13-L-401533</v>
      </c>
      <c r="C5272">
        <v>0.12</v>
      </c>
      <c r="D5272" t="s">
        <v>7284</v>
      </c>
      <c r="E5272" t="s">
        <v>11</v>
      </c>
      <c r="G5272" t="s">
        <v>74</v>
      </c>
      <c r="H5272" t="s">
        <v>14</v>
      </c>
    </row>
    <row r="5273" spans="1:8" hidden="1" x14ac:dyDescent="0.25">
      <c r="A5273" t="s">
        <v>7285</v>
      </c>
      <c r="B5273" s="1" t="str">
        <f>HYPERLINK("https://asmlis.vasa.lt/Dashboard/Served?ServiceDateFrom=2025-11-24&amp;ServiceDateTo=2025-11-24&amp;DumpsterInvNr=13-L-135245", "13-L-135245")</f>
        <v>13-L-135245</v>
      </c>
      <c r="C5273">
        <v>0.24</v>
      </c>
      <c r="D5273" t="s">
        <v>7257</v>
      </c>
      <c r="E5273" t="s">
        <v>11</v>
      </c>
      <c r="G5273" t="s">
        <v>1912</v>
      </c>
      <c r="H5273" t="s">
        <v>432</v>
      </c>
    </row>
    <row r="5274" spans="1:8" hidden="1" x14ac:dyDescent="0.25">
      <c r="A5274" t="s">
        <v>7286</v>
      </c>
      <c r="B5274" s="1" t="str">
        <f>HYPERLINK("https://asmlis.vasa.lt/Dashboard/Served?ServiceDateFrom=2025-11-24&amp;ServiceDateTo=2025-11-24&amp;DumpsterInvNr=13-P-413834", "13-P-413834")</f>
        <v>13-P-413834</v>
      </c>
      <c r="C5274">
        <v>5</v>
      </c>
      <c r="D5274" t="s">
        <v>7287</v>
      </c>
      <c r="E5274" t="s">
        <v>11</v>
      </c>
      <c r="G5274" t="s">
        <v>264</v>
      </c>
      <c r="H5274" t="s">
        <v>14</v>
      </c>
    </row>
    <row r="5275" spans="1:8" hidden="1" x14ac:dyDescent="0.25">
      <c r="A5275" t="s">
        <v>7286</v>
      </c>
      <c r="B5275" s="1" t="str">
        <f>HYPERLINK("https://asmlis.vasa.lt/Dashboard/Served?ServiceDateFrom=2025-11-24&amp;ServiceDateTo=2025-11-24&amp;DumpsterInvNr=13-P-103663", "13-P-103663")</f>
        <v>13-P-103663</v>
      </c>
      <c r="C5275">
        <v>0.24</v>
      </c>
      <c r="D5275" t="s">
        <v>7257</v>
      </c>
      <c r="E5275" t="s">
        <v>11</v>
      </c>
      <c r="G5275" t="s">
        <v>1917</v>
      </c>
      <c r="H5275" t="s">
        <v>432</v>
      </c>
    </row>
    <row r="5276" spans="1:8" hidden="1" x14ac:dyDescent="0.25">
      <c r="A5276" t="s">
        <v>7289</v>
      </c>
      <c r="B5276" s="1" t="str">
        <f>HYPERLINK("https://asmlis.vasa.lt/Dashboard/Served?ServiceDateFrom=2025-11-24&amp;ServiceDateTo=2025-11-24&amp;DumpsterInvNr=13-L-218379", "13-L-218379")</f>
        <v>13-L-218379</v>
      </c>
      <c r="C5276">
        <v>0.12</v>
      </c>
      <c r="D5276" t="s">
        <v>7290</v>
      </c>
      <c r="E5276" t="s">
        <v>11</v>
      </c>
      <c r="G5276" t="s">
        <v>936</v>
      </c>
      <c r="H5276" t="s">
        <v>938</v>
      </c>
    </row>
    <row r="5277" spans="1:8" hidden="1" x14ac:dyDescent="0.25">
      <c r="A5277" t="s">
        <v>7291</v>
      </c>
      <c r="B5277" s="1" t="str">
        <f>HYPERLINK("https://asmlis.vasa.lt/Dashboard/Served?ServiceDateFrom=2025-11-24&amp;ServiceDateTo=2025-11-24&amp;DumpsterInvNr=13-L-145650", "13-L-145650")</f>
        <v>13-L-145650</v>
      </c>
      <c r="C5277">
        <v>0.24</v>
      </c>
      <c r="D5277" t="s">
        <v>7292</v>
      </c>
      <c r="E5277" t="s">
        <v>11</v>
      </c>
      <c r="G5277" t="s">
        <v>430</v>
      </c>
      <c r="H5277" t="s">
        <v>432</v>
      </c>
    </row>
    <row r="5278" spans="1:8" hidden="1" x14ac:dyDescent="0.25">
      <c r="A5278" t="s">
        <v>7291</v>
      </c>
      <c r="B5278" s="1" t="str">
        <f>HYPERLINK("https://asmlis.vasa.lt/Dashboard/Served?ServiceDateFrom=2025-11-24&amp;ServiceDateTo=2025-11-24&amp;DumpsterInvNr=13-P-502786", "13-P-502786")</f>
        <v>13-P-502786</v>
      </c>
      <c r="C5278">
        <v>0.24</v>
      </c>
      <c r="D5278" t="s">
        <v>7292</v>
      </c>
      <c r="E5278" t="s">
        <v>11</v>
      </c>
      <c r="G5278" t="s">
        <v>2178</v>
      </c>
      <c r="H5278" t="s">
        <v>432</v>
      </c>
    </row>
    <row r="5279" spans="1:8" hidden="1" x14ac:dyDescent="0.25">
      <c r="A5279" t="s">
        <v>7294</v>
      </c>
      <c r="B5279" s="1" t="str">
        <f>HYPERLINK("https://asmlis.vasa.lt/Dashboard/Served?ServiceDateFrom=2025-11-24&amp;ServiceDateTo=2025-11-24&amp;DumpsterInvNr=13-L-208743", "13-L-208743")</f>
        <v>13-L-208743</v>
      </c>
      <c r="C5279">
        <v>0.12</v>
      </c>
      <c r="D5279" t="s">
        <v>7295</v>
      </c>
      <c r="E5279" t="s">
        <v>11</v>
      </c>
      <c r="F5279" t="s">
        <v>13</v>
      </c>
      <c r="G5279" t="s">
        <v>936</v>
      </c>
      <c r="H5279" t="s">
        <v>938</v>
      </c>
    </row>
    <row r="5280" spans="1:8" hidden="1" x14ac:dyDescent="0.25">
      <c r="A5280" t="s">
        <v>7296</v>
      </c>
      <c r="B5280" s="1" t="str">
        <f>HYPERLINK("https://asmlis.vasa.lt/Dashboard/Served?ServiceDateFrom=2025-11-24&amp;ServiceDateTo=2025-11-24&amp;DumpsterInvNr=13-M-200221", "13-M-200221")</f>
        <v>13-M-200221</v>
      </c>
      <c r="C5280">
        <v>0.12</v>
      </c>
      <c r="D5280" t="s">
        <v>7297</v>
      </c>
      <c r="E5280" t="s">
        <v>11</v>
      </c>
      <c r="G5280" t="s">
        <v>4876</v>
      </c>
      <c r="H5280" t="s">
        <v>938</v>
      </c>
    </row>
    <row r="5281" spans="1:8" hidden="1" x14ac:dyDescent="0.25">
      <c r="A5281" t="s">
        <v>7298</v>
      </c>
      <c r="B5281" s="1" t="str">
        <f>HYPERLINK("https://asmlis.vasa.lt/Dashboard/Served?ServiceDateFrom=2025-11-24&amp;ServiceDateTo=2025-11-24&amp;DumpsterInvNr=13-L-227786", "13-L-227786")</f>
        <v>13-L-227786</v>
      </c>
      <c r="C5281">
        <v>0.24</v>
      </c>
      <c r="D5281" t="s">
        <v>7299</v>
      </c>
      <c r="E5281" t="s">
        <v>11</v>
      </c>
      <c r="F5281" t="s">
        <v>1209</v>
      </c>
      <c r="G5281" t="s">
        <v>936</v>
      </c>
      <c r="H5281" t="s">
        <v>938</v>
      </c>
    </row>
    <row r="5282" spans="1:8" hidden="1" x14ac:dyDescent="0.25">
      <c r="A5282" t="s">
        <v>7300</v>
      </c>
      <c r="B5282" s="1" t="str">
        <f>HYPERLINK("https://asmlis.vasa.lt/Dashboard/Served?ServiceDateFrom=2025-11-24&amp;ServiceDateTo=2025-11-24&amp;DumpsterInvNr=13-M-205777", "13-M-205777")</f>
        <v>13-M-205777</v>
      </c>
      <c r="C5282">
        <v>0.12</v>
      </c>
      <c r="D5282" t="s">
        <v>7301</v>
      </c>
      <c r="E5282" t="s">
        <v>11</v>
      </c>
      <c r="F5282" t="s">
        <v>1209</v>
      </c>
      <c r="G5282" t="s">
        <v>4876</v>
      </c>
      <c r="H5282" t="s">
        <v>938</v>
      </c>
    </row>
    <row r="5283" spans="1:8" hidden="1" x14ac:dyDescent="0.25">
      <c r="A5283" t="s">
        <v>7302</v>
      </c>
      <c r="B5283" s="1" t="str">
        <f>HYPERLINK("https://asmlis.vasa.lt/Dashboard/Served?ServiceDateFrom=2025-11-24&amp;ServiceDateTo=2025-11-24&amp;DumpsterInvNr=13-L-420244", "13-L-420244")</f>
        <v>13-L-420244</v>
      </c>
      <c r="C5283">
        <v>5</v>
      </c>
      <c r="D5283" t="s">
        <v>7303</v>
      </c>
      <c r="E5283" t="s">
        <v>11</v>
      </c>
      <c r="F5283" t="s">
        <v>13</v>
      </c>
      <c r="G5283" t="s">
        <v>74</v>
      </c>
      <c r="H5283" t="s">
        <v>14</v>
      </c>
    </row>
    <row r="5284" spans="1:8" hidden="1" x14ac:dyDescent="0.25">
      <c r="A5284" t="s">
        <v>7302</v>
      </c>
      <c r="B5284" s="1" t="str">
        <f>HYPERLINK("https://asmlis.vasa.lt/Dashboard/Served?ServiceDateFrom=2025-11-24&amp;ServiceDateTo=2025-11-24&amp;DumpsterInvNr=13-P-102381", "13-P-102381")</f>
        <v>13-P-102381</v>
      </c>
      <c r="C5284">
        <v>5</v>
      </c>
      <c r="D5284" t="s">
        <v>2973</v>
      </c>
      <c r="E5284" t="s">
        <v>11</v>
      </c>
      <c r="F5284" t="s">
        <v>13</v>
      </c>
      <c r="G5284" t="s">
        <v>1917</v>
      </c>
      <c r="H5284" t="s">
        <v>432</v>
      </c>
    </row>
    <row r="5285" spans="1:8" hidden="1" x14ac:dyDescent="0.25">
      <c r="A5285" t="s">
        <v>7304</v>
      </c>
      <c r="B5285" s="1" t="str">
        <f>HYPERLINK("https://asmlis.vasa.lt/Dashboard/Served?ServiceDateFrom=2025-11-24&amp;ServiceDateTo=2025-11-24&amp;DumpsterInvNr=13-L-120384", "13-L-120384")</f>
        <v>13-L-120384</v>
      </c>
      <c r="C5285">
        <v>0.12</v>
      </c>
      <c r="D5285" t="s">
        <v>7305</v>
      </c>
      <c r="E5285" t="s">
        <v>11</v>
      </c>
      <c r="G5285" t="s">
        <v>1912</v>
      </c>
      <c r="H5285" t="s">
        <v>432</v>
      </c>
    </row>
    <row r="5286" spans="1:8" hidden="1" x14ac:dyDescent="0.25">
      <c r="A5286" t="s">
        <v>7306</v>
      </c>
      <c r="B5286" s="1" t="str">
        <f>HYPERLINK("https://asmlis.vasa.lt/Dashboard/Served?ServiceDateFrom=2025-11-24&amp;ServiceDateTo=2025-11-24&amp;DumpsterInvNr=13-P-103675", "13-P-103675")</f>
        <v>13-P-103675</v>
      </c>
      <c r="C5286">
        <v>0.24</v>
      </c>
      <c r="D5286" t="s">
        <v>7305</v>
      </c>
      <c r="E5286" t="s">
        <v>11</v>
      </c>
      <c r="G5286" t="s">
        <v>1917</v>
      </c>
      <c r="H5286" t="s">
        <v>432</v>
      </c>
    </row>
    <row r="5287" spans="1:8" hidden="1" x14ac:dyDescent="0.25">
      <c r="A5287" t="s">
        <v>7307</v>
      </c>
      <c r="B5287" s="1" t="str">
        <f>HYPERLINK("https://asmlis.vasa.lt/Dashboard/Served?ServiceDateFrom=2025-11-24&amp;ServiceDateTo=2025-11-24&amp;DumpsterInvNr=13-L-401531", "13-L-401531")</f>
        <v>13-L-401531</v>
      </c>
      <c r="C5287">
        <v>0.12</v>
      </c>
      <c r="D5287" t="s">
        <v>7308</v>
      </c>
      <c r="E5287" t="s">
        <v>11</v>
      </c>
      <c r="G5287" t="s">
        <v>74</v>
      </c>
      <c r="H5287" t="s">
        <v>14</v>
      </c>
    </row>
    <row r="5288" spans="1:8" hidden="1" x14ac:dyDescent="0.25">
      <c r="A5288" t="s">
        <v>7307</v>
      </c>
      <c r="B5288" s="1" t="str">
        <f>HYPERLINK("https://asmlis.vasa.lt/Dashboard/Served?ServiceDateFrom=2025-11-24&amp;ServiceDateTo=2025-11-24&amp;DumpsterInvNr=13-L-401532", "13-L-401532")</f>
        <v>13-L-401532</v>
      </c>
      <c r="C5288">
        <v>0.24</v>
      </c>
      <c r="D5288" t="s">
        <v>7309</v>
      </c>
      <c r="E5288" t="s">
        <v>11</v>
      </c>
      <c r="G5288" t="s">
        <v>74</v>
      </c>
      <c r="H5288" t="s">
        <v>14</v>
      </c>
    </row>
    <row r="5289" spans="1:8" hidden="1" x14ac:dyDescent="0.25">
      <c r="A5289" t="s">
        <v>7307</v>
      </c>
      <c r="B5289" s="1" t="str">
        <f>HYPERLINK("https://asmlis.vasa.lt/Dashboard/Served?ServiceDateFrom=2025-11-24&amp;ServiceDateTo=2025-11-24&amp;DumpsterInvNr=13-P-505377", "13-P-505377")</f>
        <v>13-P-505377</v>
      </c>
      <c r="C5289">
        <v>0.24</v>
      </c>
      <c r="D5289" t="s">
        <v>7310</v>
      </c>
      <c r="E5289" t="s">
        <v>11</v>
      </c>
      <c r="G5289" t="s">
        <v>2178</v>
      </c>
      <c r="H5289" t="s">
        <v>432</v>
      </c>
    </row>
    <row r="5290" spans="1:8" hidden="1" x14ac:dyDescent="0.25">
      <c r="A5290" t="s">
        <v>7307</v>
      </c>
      <c r="B5290" s="1" t="str">
        <f>HYPERLINK("https://asmlis.vasa.lt/Dashboard/Served?ServiceDateFrom=2025-11-24&amp;ServiceDateTo=2025-11-24&amp;DumpsterInvNr=13-P-505378", "13-P-505378")</f>
        <v>13-P-505378</v>
      </c>
      <c r="C5290">
        <v>0.24</v>
      </c>
      <c r="D5290" t="s">
        <v>7310</v>
      </c>
      <c r="E5290" t="s">
        <v>11</v>
      </c>
      <c r="G5290" t="s">
        <v>2178</v>
      </c>
      <c r="H5290" t="s">
        <v>432</v>
      </c>
    </row>
    <row r="5291" spans="1:8" hidden="1" x14ac:dyDescent="0.25">
      <c r="A5291" t="s">
        <v>7307</v>
      </c>
      <c r="B5291" s="1" t="str">
        <f>HYPERLINK("https://asmlis.vasa.lt/Dashboard/Served?ServiceDateFrom=2025-11-24&amp;ServiceDateTo=2025-11-24&amp;DumpsterInvNr=13-P-505379", "13-P-505379")</f>
        <v>13-P-505379</v>
      </c>
      <c r="C5291">
        <v>0.24</v>
      </c>
      <c r="D5291" t="s">
        <v>7310</v>
      </c>
      <c r="E5291" t="s">
        <v>11</v>
      </c>
      <c r="G5291" t="s">
        <v>2178</v>
      </c>
      <c r="H5291" t="s">
        <v>432</v>
      </c>
    </row>
    <row r="5292" spans="1:8" hidden="1" x14ac:dyDescent="0.25">
      <c r="A5292" t="s">
        <v>7311</v>
      </c>
      <c r="B5292" s="1" t="str">
        <f>HYPERLINK("https://asmlis.vasa.lt/Dashboard/Served?ServiceDateFrom=2025-11-24&amp;ServiceDateTo=2025-11-24&amp;DumpsterInvNr=13-S-207852", "13-S-207852")</f>
        <v>13-S-207852</v>
      </c>
      <c r="C5292">
        <v>3</v>
      </c>
      <c r="D5292" t="s">
        <v>7312</v>
      </c>
      <c r="E5292" t="s">
        <v>11</v>
      </c>
      <c r="G5292" t="s">
        <v>234</v>
      </c>
      <c r="H5292" t="s">
        <v>14</v>
      </c>
    </row>
    <row r="5293" spans="1:8" hidden="1" x14ac:dyDescent="0.25">
      <c r="A5293" t="s">
        <v>7313</v>
      </c>
      <c r="B5293" s="1" t="str">
        <f>HYPERLINK("https://asmlis.vasa.lt/Dashboard/Served?ServiceDateFrom=2025-11-24&amp;ServiceDateTo=2025-11-24&amp;DumpsterInvNr=13-L-227581", "13-L-227581")</f>
        <v>13-L-227581</v>
      </c>
      <c r="C5293">
        <v>1.1000000000000001</v>
      </c>
      <c r="D5293" t="s">
        <v>7314</v>
      </c>
      <c r="E5293" t="s">
        <v>11</v>
      </c>
      <c r="G5293" t="s">
        <v>936</v>
      </c>
      <c r="H5293" t="s">
        <v>938</v>
      </c>
    </row>
    <row r="5294" spans="1:8" hidden="1" x14ac:dyDescent="0.25">
      <c r="A5294" t="s">
        <v>7315</v>
      </c>
      <c r="B5294" s="1" t="str">
        <f>HYPERLINK("https://asmlis.vasa.lt/Dashboard/Served?ServiceDateFrom=2025-11-24&amp;ServiceDateTo=2025-11-24&amp;DumpsterInvNr=13-L-143219", "13-L-143219")</f>
        <v>13-L-143219</v>
      </c>
      <c r="C5294">
        <v>1.1000000000000001</v>
      </c>
      <c r="D5294" t="s">
        <v>4489</v>
      </c>
      <c r="E5294" t="s">
        <v>11</v>
      </c>
      <c r="G5294" t="s">
        <v>430</v>
      </c>
      <c r="H5294" t="s">
        <v>432</v>
      </c>
    </row>
    <row r="5295" spans="1:8" hidden="1" x14ac:dyDescent="0.25">
      <c r="A5295" t="s">
        <v>7316</v>
      </c>
      <c r="B5295" s="1" t="str">
        <f>HYPERLINK("https://asmlis.vasa.lt/Dashboard/Served?ServiceDateFrom=2025-11-24&amp;ServiceDateTo=2025-11-24&amp;DumpsterInvNr=13-L-136289", "13-L-136289")</f>
        <v>13-L-136289</v>
      </c>
      <c r="C5295">
        <v>5</v>
      </c>
      <c r="D5295" t="s">
        <v>7317</v>
      </c>
      <c r="E5295" t="s">
        <v>11</v>
      </c>
      <c r="F5295" t="s">
        <v>13</v>
      </c>
      <c r="G5295" t="s">
        <v>430</v>
      </c>
      <c r="H5295" t="s">
        <v>432</v>
      </c>
    </row>
    <row r="5296" spans="1:8" hidden="1" x14ac:dyDescent="0.25">
      <c r="A5296" t="s">
        <v>7316</v>
      </c>
      <c r="B5296" s="1" t="str">
        <f>HYPERLINK("https://asmlis.vasa.lt/Dashboard/Served?ServiceDateFrom=2025-11-24&amp;ServiceDateTo=2025-11-24&amp;DumpsterInvNr=13-L-420984", "13-L-420984")</f>
        <v>13-L-420984</v>
      </c>
      <c r="C5296">
        <v>1.1000000000000001</v>
      </c>
      <c r="D5296" t="s">
        <v>7193</v>
      </c>
      <c r="E5296" t="s">
        <v>11</v>
      </c>
      <c r="G5296" t="s">
        <v>74</v>
      </c>
      <c r="H5296" t="s">
        <v>14</v>
      </c>
    </row>
    <row r="5297" spans="1:8" hidden="1" x14ac:dyDescent="0.25">
      <c r="A5297" t="s">
        <v>7318</v>
      </c>
      <c r="B5297" s="1" t="str">
        <f>HYPERLINK("https://asmlis.vasa.lt/Dashboard/Served?ServiceDateFrom=2025-11-24&amp;ServiceDateTo=2025-11-24&amp;DumpsterInvNr=13-P-413949", "13-P-413949")</f>
        <v>13-P-413949</v>
      </c>
      <c r="C5297">
        <v>3</v>
      </c>
      <c r="D5297" t="s">
        <v>7319</v>
      </c>
      <c r="E5297" t="s">
        <v>11</v>
      </c>
      <c r="G5297" t="s">
        <v>264</v>
      </c>
      <c r="H5297" t="s">
        <v>14</v>
      </c>
    </row>
    <row r="5298" spans="1:8" hidden="1" x14ac:dyDescent="0.25">
      <c r="A5298" t="s">
        <v>7320</v>
      </c>
      <c r="B5298" s="1" t="str">
        <f>HYPERLINK("https://asmlis.vasa.lt/Dashboard/Served?ServiceDateFrom=2025-11-24&amp;ServiceDateTo=2025-11-24&amp;DumpsterInvNr=13-L-202181", "13-L-202181")</f>
        <v>13-L-202181</v>
      </c>
      <c r="C5298">
        <v>0.24</v>
      </c>
      <c r="D5298" t="s">
        <v>6571</v>
      </c>
      <c r="E5298" t="s">
        <v>11</v>
      </c>
      <c r="G5298" t="s">
        <v>936</v>
      </c>
      <c r="H5298" t="s">
        <v>938</v>
      </c>
    </row>
    <row r="5299" spans="1:8" hidden="1" x14ac:dyDescent="0.25">
      <c r="A5299" t="s">
        <v>7321</v>
      </c>
      <c r="B5299" s="1" t="str">
        <f>HYPERLINK("https://asmlis.vasa.lt/Dashboard/Served?ServiceDateFrom=2025-11-24&amp;ServiceDateTo=2025-11-24&amp;DumpsterInvNr=13-L-224739", "13-L-224739")</f>
        <v>13-L-224739</v>
      </c>
      <c r="C5299">
        <v>1.1000000000000001</v>
      </c>
      <c r="D5299" t="s">
        <v>7322</v>
      </c>
      <c r="E5299" t="s">
        <v>11</v>
      </c>
      <c r="G5299" t="s">
        <v>936</v>
      </c>
      <c r="H5299" t="s">
        <v>938</v>
      </c>
    </row>
    <row r="5300" spans="1:8" hidden="1" x14ac:dyDescent="0.25">
      <c r="A5300" t="s">
        <v>7169</v>
      </c>
      <c r="B5300" s="1" t="str">
        <f>HYPERLINK("https://asmlis.vasa.lt/Dashboard/Served?ServiceDateFrom=2025-11-24&amp;ServiceDateTo=2025-11-24&amp;DumpsterInvNr=13-M-206404", "13-M-206404")</f>
        <v>13-M-206404</v>
      </c>
      <c r="C5300">
        <v>0.12</v>
      </c>
      <c r="D5300" t="s">
        <v>7323</v>
      </c>
      <c r="E5300" t="s">
        <v>11</v>
      </c>
      <c r="F5300" t="s">
        <v>1209</v>
      </c>
      <c r="G5300" t="s">
        <v>4876</v>
      </c>
      <c r="H5300" t="s">
        <v>938</v>
      </c>
    </row>
    <row r="5301" spans="1:8" hidden="1" x14ac:dyDescent="0.25">
      <c r="A5301" t="s">
        <v>7324</v>
      </c>
      <c r="B5301" s="1" t="str">
        <f>HYPERLINK("https://asmlis.vasa.lt/Dashboard/Served?ServiceDateFrom=2025-11-24&amp;ServiceDateTo=2025-11-24&amp;DumpsterInvNr=13-L-414719", "13-L-414719")</f>
        <v>13-L-414719</v>
      </c>
      <c r="C5301">
        <v>0.24</v>
      </c>
      <c r="D5301" t="s">
        <v>3576</v>
      </c>
      <c r="E5301" t="s">
        <v>11</v>
      </c>
      <c r="G5301" t="s">
        <v>74</v>
      </c>
      <c r="H5301" t="s">
        <v>14</v>
      </c>
    </row>
    <row r="5302" spans="1:8" hidden="1" x14ac:dyDescent="0.25">
      <c r="A5302" t="s">
        <v>7234</v>
      </c>
      <c r="B5302" s="1" t="str">
        <f>HYPERLINK("https://asmlis.vasa.lt/Dashboard/Served?ServiceDateFrom=2025-11-24&amp;ServiceDateTo=2025-11-24&amp;DumpsterInvNr=13-P-505380", "13-P-505380")</f>
        <v>13-P-505380</v>
      </c>
      <c r="C5302">
        <v>0.24</v>
      </c>
      <c r="D5302" t="s">
        <v>7310</v>
      </c>
      <c r="E5302" t="s">
        <v>11</v>
      </c>
      <c r="G5302" t="s">
        <v>2178</v>
      </c>
      <c r="H5302" t="s">
        <v>432</v>
      </c>
    </row>
    <row r="5303" spans="1:8" hidden="1" x14ac:dyDescent="0.25">
      <c r="A5303" t="s">
        <v>7243</v>
      </c>
      <c r="B5303" s="1" t="str">
        <f>HYPERLINK("https://asmlis.vasa.lt/Dashboard/Served?ServiceDateFrom=2025-11-24&amp;ServiceDateTo=2025-11-24&amp;DumpsterInvNr=13-M-205753", "13-M-205753")</f>
        <v>13-M-205753</v>
      </c>
      <c r="C5303">
        <v>0.12</v>
      </c>
      <c r="D5303" t="s">
        <v>7325</v>
      </c>
      <c r="E5303" t="s">
        <v>11</v>
      </c>
      <c r="F5303" t="s">
        <v>1209</v>
      </c>
      <c r="G5303" t="s">
        <v>4876</v>
      </c>
      <c r="H5303" t="s">
        <v>938</v>
      </c>
    </row>
    <row r="5304" spans="1:8" hidden="1" x14ac:dyDescent="0.25">
      <c r="A5304" t="s">
        <v>7243</v>
      </c>
      <c r="B5304" s="1" t="str">
        <f>HYPERLINK("https://asmlis.vasa.lt/Dashboard/Served?ServiceDateFrom=2025-11-24&amp;ServiceDateTo=2025-11-24&amp;DumpsterInvNr=13-L-143213", "13-L-143213")</f>
        <v>13-L-143213</v>
      </c>
      <c r="C5304">
        <v>1.1000000000000001</v>
      </c>
      <c r="D5304" t="s">
        <v>4494</v>
      </c>
      <c r="E5304" t="s">
        <v>11</v>
      </c>
      <c r="G5304" t="s">
        <v>430</v>
      </c>
      <c r="H5304" t="s">
        <v>432</v>
      </c>
    </row>
    <row r="5305" spans="1:8" hidden="1" x14ac:dyDescent="0.25">
      <c r="A5305" t="s">
        <v>7327</v>
      </c>
      <c r="B5305" s="1" t="str">
        <f>HYPERLINK("https://asmlis.vasa.lt/Dashboard/Served?ServiceDateFrom=2025-11-24&amp;ServiceDateTo=2025-11-24&amp;DumpsterInvNr=13-L-424676", "13-L-424676")</f>
        <v>13-L-424676</v>
      </c>
      <c r="C5305">
        <v>0.77</v>
      </c>
      <c r="D5305" t="s">
        <v>7328</v>
      </c>
      <c r="E5305" t="s">
        <v>11</v>
      </c>
      <c r="G5305" t="s">
        <v>74</v>
      </c>
      <c r="H5305" t="s">
        <v>14</v>
      </c>
    </row>
    <row r="5306" spans="1:8" hidden="1" x14ac:dyDescent="0.25">
      <c r="A5306" t="s">
        <v>7329</v>
      </c>
      <c r="B5306" s="1" t="str">
        <f>HYPERLINK("https://asmlis.vasa.lt/Dashboard/Served?ServiceDateFrom=2025-11-24&amp;ServiceDateTo=2025-11-24&amp;DumpsterInvNr=13-P-402436", "13-P-402436")</f>
        <v>13-P-402436</v>
      </c>
      <c r="C5306">
        <v>0.24</v>
      </c>
      <c r="D5306" t="s">
        <v>7330</v>
      </c>
      <c r="E5306" t="s">
        <v>11</v>
      </c>
      <c r="G5306" t="s">
        <v>264</v>
      </c>
      <c r="H5306" t="s">
        <v>14</v>
      </c>
    </row>
    <row r="5307" spans="1:8" hidden="1" x14ac:dyDescent="0.25">
      <c r="A5307" t="s">
        <v>7331</v>
      </c>
      <c r="B5307" s="1" t="str">
        <f>HYPERLINK("https://asmlis.vasa.lt/Dashboard/Served?ServiceDateFrom=2025-11-24&amp;ServiceDateTo=2025-11-24&amp;DumpsterInvNr=13-L-211092", "13-L-211092")</f>
        <v>13-L-211092</v>
      </c>
      <c r="C5307">
        <v>1.1000000000000001</v>
      </c>
      <c r="D5307" t="s">
        <v>7332</v>
      </c>
      <c r="E5307" t="s">
        <v>11</v>
      </c>
      <c r="G5307" t="s">
        <v>936</v>
      </c>
      <c r="H5307" t="s">
        <v>938</v>
      </c>
    </row>
    <row r="5308" spans="1:8" hidden="1" x14ac:dyDescent="0.25">
      <c r="A5308" t="s">
        <v>7333</v>
      </c>
      <c r="B5308" s="1" t="str">
        <f>HYPERLINK("https://asmlis.vasa.lt/Dashboard/Served?ServiceDateFrom=2025-11-24&amp;ServiceDateTo=2025-11-24&amp;DumpsterInvNr=13-P-408794", "13-P-408794")</f>
        <v>13-P-408794</v>
      </c>
      <c r="C5308">
        <v>1.1000000000000001</v>
      </c>
      <c r="D5308" t="s">
        <v>2946</v>
      </c>
      <c r="E5308" t="s">
        <v>11</v>
      </c>
      <c r="G5308" t="s">
        <v>264</v>
      </c>
      <c r="H5308" t="s">
        <v>14</v>
      </c>
    </row>
    <row r="5309" spans="1:8" hidden="1" x14ac:dyDescent="0.25">
      <c r="A5309" t="s">
        <v>7334</v>
      </c>
      <c r="B5309" s="1" t="str">
        <f>HYPERLINK("https://asmlis.vasa.lt/Dashboard/Served?ServiceDateFrom=2025-11-24&amp;ServiceDateTo=2025-11-24&amp;DumpsterInvNr=13-P-414422", "13-P-414422")</f>
        <v>13-P-414422</v>
      </c>
      <c r="C5309">
        <v>0.24</v>
      </c>
      <c r="D5309" t="s">
        <v>7335</v>
      </c>
      <c r="E5309" t="s">
        <v>11</v>
      </c>
      <c r="G5309" t="s">
        <v>264</v>
      </c>
      <c r="H5309" t="s">
        <v>14</v>
      </c>
    </row>
    <row r="5310" spans="1:8" hidden="1" x14ac:dyDescent="0.25">
      <c r="A5310" t="s">
        <v>7336</v>
      </c>
      <c r="B5310" s="1" t="str">
        <f>HYPERLINK("https://asmlis.vasa.lt/Dashboard/Served?ServiceDateFrom=2025-11-24&amp;ServiceDateTo=2025-11-24&amp;DumpsterInvNr=13-L-224796", "13-L-224796")</f>
        <v>13-L-224796</v>
      </c>
      <c r="C5310">
        <v>0.24</v>
      </c>
      <c r="D5310" t="s">
        <v>6559</v>
      </c>
      <c r="E5310" t="s">
        <v>11</v>
      </c>
      <c r="G5310" t="s">
        <v>936</v>
      </c>
      <c r="H5310" t="s">
        <v>938</v>
      </c>
    </row>
    <row r="5311" spans="1:8" hidden="1" x14ac:dyDescent="0.25">
      <c r="A5311" t="s">
        <v>7337</v>
      </c>
      <c r="B5311" s="1" t="str">
        <f>HYPERLINK("https://asmlis.vasa.lt/Dashboard/Served?ServiceDateFrom=2025-11-24&amp;ServiceDateTo=2025-11-24&amp;DumpsterInvNr=13-M-205512", "13-M-205512")</f>
        <v>13-M-205512</v>
      </c>
      <c r="C5311">
        <v>0.12</v>
      </c>
      <c r="D5311" t="s">
        <v>7338</v>
      </c>
      <c r="E5311" t="s">
        <v>11</v>
      </c>
      <c r="F5311" t="s">
        <v>1209</v>
      </c>
      <c r="G5311" t="s">
        <v>4876</v>
      </c>
      <c r="H5311" t="s">
        <v>938</v>
      </c>
    </row>
    <row r="5312" spans="1:8" hidden="1" x14ac:dyDescent="0.25">
      <c r="A5312" t="s">
        <v>7339</v>
      </c>
      <c r="B5312" s="1" t="str">
        <f>HYPERLINK("https://asmlis.vasa.lt/Dashboard/Served?ServiceDateFrom=2025-11-24&amp;ServiceDateTo=2025-11-24&amp;DumpsterInvNr=13-L-211514", "13-L-211514")</f>
        <v>13-L-211514</v>
      </c>
      <c r="C5312">
        <v>5</v>
      </c>
      <c r="D5312" t="s">
        <v>4992</v>
      </c>
      <c r="E5312" t="s">
        <v>11</v>
      </c>
      <c r="G5312" t="s">
        <v>936</v>
      </c>
      <c r="H5312" t="s">
        <v>938</v>
      </c>
    </row>
    <row r="5313" spans="1:8" hidden="1" x14ac:dyDescent="0.25">
      <c r="A5313" t="s">
        <v>7340</v>
      </c>
      <c r="B5313" s="1" t="str">
        <f>HYPERLINK("https://asmlis.vasa.lt/Dashboard/Served?ServiceDateFrom=2025-11-24&amp;ServiceDateTo=2025-11-24&amp;DumpsterInvNr=13-M-206950", "13-M-206950")</f>
        <v>13-M-206950</v>
      </c>
      <c r="C5313">
        <v>0.12</v>
      </c>
      <c r="D5313" t="s">
        <v>7341</v>
      </c>
      <c r="E5313" t="s">
        <v>11</v>
      </c>
      <c r="F5313" t="s">
        <v>1209</v>
      </c>
      <c r="G5313" t="s">
        <v>4876</v>
      </c>
      <c r="H5313" t="s">
        <v>938</v>
      </c>
    </row>
    <row r="5314" spans="1:8" hidden="1" x14ac:dyDescent="0.25">
      <c r="A5314" t="s">
        <v>7340</v>
      </c>
      <c r="B5314" s="1" t="str">
        <f>HYPERLINK("https://asmlis.vasa.lt/Dashboard/Served?ServiceDateFrom=2025-11-24&amp;ServiceDateTo=2025-11-24&amp;DumpsterInvNr=13-L-145980", "13-L-145980")</f>
        <v>13-L-145980</v>
      </c>
      <c r="C5314">
        <v>0.24</v>
      </c>
      <c r="D5314" t="s">
        <v>7342</v>
      </c>
      <c r="E5314" t="s">
        <v>11</v>
      </c>
      <c r="G5314" t="s">
        <v>430</v>
      </c>
      <c r="H5314" t="s">
        <v>432</v>
      </c>
    </row>
    <row r="5315" spans="1:8" hidden="1" x14ac:dyDescent="0.25">
      <c r="A5315" t="s">
        <v>7340</v>
      </c>
      <c r="B5315" s="1" t="str">
        <f>HYPERLINK("https://asmlis.vasa.lt/Dashboard/Served?ServiceDateFrom=2025-11-24&amp;ServiceDateTo=2025-11-24&amp;DumpsterInvNr=13-P-503160", "13-P-503160")</f>
        <v>13-P-503160</v>
      </c>
      <c r="C5315">
        <v>0.24</v>
      </c>
      <c r="D5315" t="s">
        <v>7342</v>
      </c>
      <c r="E5315" t="s">
        <v>11</v>
      </c>
      <c r="G5315" t="s">
        <v>2178</v>
      </c>
      <c r="H5315" t="s">
        <v>432</v>
      </c>
    </row>
    <row r="5316" spans="1:8" hidden="1" x14ac:dyDescent="0.25">
      <c r="A5316" t="s">
        <v>7343</v>
      </c>
      <c r="B5316" s="1" t="str">
        <f>HYPERLINK("https://asmlis.vasa.lt/Dashboard/Served?ServiceDateFrom=2025-11-24&amp;ServiceDateTo=2025-11-24&amp;DumpsterInvNr=13-S-207177", "13-S-207177")</f>
        <v>13-S-207177</v>
      </c>
      <c r="C5316">
        <v>0.12</v>
      </c>
      <c r="D5316" t="s">
        <v>7013</v>
      </c>
      <c r="E5316" t="s">
        <v>11</v>
      </c>
      <c r="G5316" t="s">
        <v>234</v>
      </c>
      <c r="H5316" t="s">
        <v>14</v>
      </c>
    </row>
    <row r="5317" spans="1:8" hidden="1" x14ac:dyDescent="0.25">
      <c r="A5317" t="s">
        <v>7344</v>
      </c>
      <c r="B5317" s="1" t="str">
        <f>HYPERLINK("https://asmlis.vasa.lt/Dashboard/Served?ServiceDateFrom=2025-11-24&amp;ServiceDateTo=2025-11-24&amp;DumpsterInvNr=13-L-424500", "13-L-424500")</f>
        <v>13-L-424500</v>
      </c>
      <c r="C5317">
        <v>0.24</v>
      </c>
      <c r="D5317" t="s">
        <v>7345</v>
      </c>
      <c r="E5317" t="s">
        <v>11</v>
      </c>
      <c r="G5317" t="s">
        <v>74</v>
      </c>
      <c r="H5317" t="s">
        <v>14</v>
      </c>
    </row>
    <row r="5318" spans="1:8" hidden="1" x14ac:dyDescent="0.25">
      <c r="A5318" t="s">
        <v>7346</v>
      </c>
      <c r="B5318" s="1" t="str">
        <f>HYPERLINK("https://asmlis.vasa.lt/Dashboard/Served?ServiceDateFrom=2025-11-24&amp;ServiceDateTo=2025-11-24&amp;DumpsterInvNr=13-L-223862", "13-L-223862")</f>
        <v>13-L-223862</v>
      </c>
      <c r="C5318">
        <v>1.1000000000000001</v>
      </c>
      <c r="D5318" t="s">
        <v>7347</v>
      </c>
      <c r="E5318" t="s">
        <v>11</v>
      </c>
      <c r="G5318" t="s">
        <v>936</v>
      </c>
      <c r="H5318" t="s">
        <v>938</v>
      </c>
    </row>
    <row r="5319" spans="1:8" hidden="1" x14ac:dyDescent="0.25">
      <c r="A5319" t="s">
        <v>7348</v>
      </c>
      <c r="B5319" s="1" t="str">
        <f>HYPERLINK("https://asmlis.vasa.lt/Dashboard/Served?ServiceDateFrom=2025-11-24&amp;ServiceDateTo=2025-11-24&amp;DumpsterInvNr=13-L-110656", "13-L-110656")</f>
        <v>13-L-110656</v>
      </c>
      <c r="C5319">
        <v>0.24</v>
      </c>
      <c r="D5319" t="s">
        <v>7349</v>
      </c>
      <c r="E5319" t="s">
        <v>11</v>
      </c>
      <c r="G5319" t="s">
        <v>1912</v>
      </c>
      <c r="H5319" t="s">
        <v>432</v>
      </c>
    </row>
    <row r="5320" spans="1:8" hidden="1" x14ac:dyDescent="0.25">
      <c r="A5320" t="s">
        <v>7351</v>
      </c>
      <c r="B5320" s="1" t="str">
        <f>HYPERLINK("https://asmlis.vasa.lt/Dashboard/Served?ServiceDateFrom=2025-11-24&amp;ServiceDateTo=2025-11-24&amp;DumpsterInvNr=13-L-138042", "13-L-138042")</f>
        <v>13-L-138042</v>
      </c>
      <c r="C5320">
        <v>1.1000000000000001</v>
      </c>
      <c r="D5320" t="s">
        <v>7352</v>
      </c>
      <c r="E5320" t="s">
        <v>11</v>
      </c>
      <c r="G5320" t="s">
        <v>430</v>
      </c>
      <c r="H5320" t="s">
        <v>432</v>
      </c>
    </row>
    <row r="5321" spans="1:8" hidden="1" x14ac:dyDescent="0.25">
      <c r="A5321" t="s">
        <v>7353</v>
      </c>
      <c r="B5321" s="1" t="str">
        <f>HYPERLINK("https://asmlis.vasa.lt/Dashboard/Served?ServiceDateFrom=2025-11-24&amp;ServiceDateTo=2025-11-24&amp;DumpsterInvNr=13-P-401687", "13-P-401687")</f>
        <v>13-P-401687</v>
      </c>
      <c r="C5321">
        <v>2.5</v>
      </c>
      <c r="D5321" t="s">
        <v>7354</v>
      </c>
      <c r="E5321" t="s">
        <v>11</v>
      </c>
      <c r="G5321" t="s">
        <v>264</v>
      </c>
      <c r="H5321" t="s">
        <v>14</v>
      </c>
    </row>
    <row r="5322" spans="1:8" hidden="1" x14ac:dyDescent="0.25">
      <c r="A5322" t="s">
        <v>7355</v>
      </c>
      <c r="B5322" s="1" t="str">
        <f>HYPERLINK("https://asmlis.vasa.lt/Dashboard/Served?ServiceDateFrom=2025-11-24&amp;ServiceDateTo=2025-11-24&amp;DumpsterInvNr=13-P-408748", "13-P-408748")</f>
        <v>13-P-408748</v>
      </c>
      <c r="C5322">
        <v>1.1000000000000001</v>
      </c>
      <c r="D5322" t="s">
        <v>2946</v>
      </c>
      <c r="E5322" t="s">
        <v>11</v>
      </c>
      <c r="G5322" t="s">
        <v>264</v>
      </c>
      <c r="H5322" t="s">
        <v>14</v>
      </c>
    </row>
    <row r="5323" spans="1:8" hidden="1" x14ac:dyDescent="0.25">
      <c r="A5323" t="s">
        <v>7356</v>
      </c>
      <c r="B5323" s="1" t="str">
        <f>HYPERLINK("https://asmlis.vasa.lt/Dashboard/Served?ServiceDateFrom=2025-11-24&amp;ServiceDateTo=2025-11-24&amp;DumpsterInvNr=13-L-118340", "13-L-118340")</f>
        <v>13-L-118340</v>
      </c>
      <c r="C5323">
        <v>0.24</v>
      </c>
      <c r="D5323" t="s">
        <v>7349</v>
      </c>
      <c r="E5323" t="s">
        <v>11</v>
      </c>
      <c r="F5323" t="s">
        <v>1209</v>
      </c>
      <c r="G5323" t="s">
        <v>1912</v>
      </c>
      <c r="H5323" t="s">
        <v>432</v>
      </c>
    </row>
    <row r="5324" spans="1:8" hidden="1" x14ac:dyDescent="0.25">
      <c r="A5324" t="s">
        <v>7358</v>
      </c>
      <c r="B5324" s="1" t="str">
        <f>HYPERLINK("https://asmlis.vasa.lt/Dashboard/Served?ServiceDateFrom=2025-11-24&amp;ServiceDateTo=2025-11-24&amp;DumpsterInvNr=13-L-146768", "13-L-146768")</f>
        <v>13-L-146768</v>
      </c>
      <c r="C5324">
        <v>5</v>
      </c>
      <c r="D5324" t="s">
        <v>7359</v>
      </c>
      <c r="E5324" t="s">
        <v>11</v>
      </c>
      <c r="F5324" t="s">
        <v>13</v>
      </c>
      <c r="G5324" t="s">
        <v>430</v>
      </c>
      <c r="H5324" t="s">
        <v>432</v>
      </c>
    </row>
    <row r="5325" spans="1:8" hidden="1" x14ac:dyDescent="0.25">
      <c r="A5325" t="s">
        <v>7360</v>
      </c>
      <c r="B5325" s="1" t="str">
        <f>HYPERLINK("https://asmlis.vasa.lt/Dashboard/Served?ServiceDateFrom=2025-11-24&amp;ServiceDateTo=2025-11-24&amp;DumpsterInvNr=13-L-420929", "13-L-420929")</f>
        <v>13-L-420929</v>
      </c>
      <c r="C5325">
        <v>5</v>
      </c>
      <c r="D5325" t="s">
        <v>7361</v>
      </c>
      <c r="E5325" t="s">
        <v>11</v>
      </c>
      <c r="G5325" t="s">
        <v>74</v>
      </c>
      <c r="H5325" t="s">
        <v>14</v>
      </c>
    </row>
    <row r="5326" spans="1:8" hidden="1" x14ac:dyDescent="0.25">
      <c r="A5326" t="s">
        <v>7362</v>
      </c>
      <c r="B5326" s="1" t="str">
        <f>HYPERLINK("https://asmlis.vasa.lt/Dashboard/Served?ServiceDateFrom=2025-11-24&amp;ServiceDateTo=2025-11-24&amp;DumpsterInvNr=13-P-412928", "13-P-412928")</f>
        <v>13-P-412928</v>
      </c>
      <c r="C5326">
        <v>0.24</v>
      </c>
      <c r="D5326" t="s">
        <v>7363</v>
      </c>
      <c r="E5326" t="s">
        <v>11</v>
      </c>
      <c r="G5326" t="s">
        <v>264</v>
      </c>
      <c r="H5326" t="s">
        <v>14</v>
      </c>
    </row>
    <row r="5327" spans="1:8" hidden="1" x14ac:dyDescent="0.25">
      <c r="A5327" t="s">
        <v>7364</v>
      </c>
      <c r="B5327" s="1" t="str">
        <f>HYPERLINK("https://asmlis.vasa.lt/Dashboard/Served?ServiceDateFrom=2025-11-24&amp;ServiceDateTo=2025-11-24&amp;DumpsterInvNr=13-L-149072", "13-L-149072")</f>
        <v>13-L-149072</v>
      </c>
      <c r="C5327">
        <v>0.24</v>
      </c>
      <c r="D5327" t="s">
        <v>7365</v>
      </c>
      <c r="E5327" t="s">
        <v>11</v>
      </c>
      <c r="G5327" t="s">
        <v>430</v>
      </c>
      <c r="H5327" t="s">
        <v>432</v>
      </c>
    </row>
    <row r="5328" spans="1:8" hidden="1" x14ac:dyDescent="0.25">
      <c r="A5328" t="s">
        <v>7366</v>
      </c>
      <c r="B5328" s="1" t="str">
        <f>HYPERLINK("https://asmlis.vasa.lt/Dashboard/Served?ServiceDateFrom=2025-11-24&amp;ServiceDateTo=2025-11-24&amp;DumpsterInvNr=13-P-509627", "13-P-509627")</f>
        <v>13-P-509627</v>
      </c>
      <c r="C5328">
        <v>0.24</v>
      </c>
      <c r="D5328" t="s">
        <v>7365</v>
      </c>
      <c r="E5328" t="s">
        <v>11</v>
      </c>
      <c r="G5328" t="s">
        <v>2178</v>
      </c>
      <c r="H5328" t="s">
        <v>432</v>
      </c>
    </row>
    <row r="5329" spans="1:8" hidden="1" x14ac:dyDescent="0.25">
      <c r="A5329" t="s">
        <v>7367</v>
      </c>
      <c r="B5329" s="1" t="str">
        <f>HYPERLINK("https://asmlis.vasa.lt/Dashboard/Served?ServiceDateFrom=2025-11-24&amp;ServiceDateTo=2025-11-24&amp;DumpsterInvNr=13-P-205413", "13-P-205413")</f>
        <v>13-P-205413</v>
      </c>
      <c r="C5329">
        <v>0.24</v>
      </c>
      <c r="D5329" t="s">
        <v>7013</v>
      </c>
      <c r="E5329" t="s">
        <v>11</v>
      </c>
      <c r="F5329" t="s">
        <v>1209</v>
      </c>
      <c r="G5329" t="s">
        <v>234</v>
      </c>
      <c r="H5329" t="s">
        <v>14</v>
      </c>
    </row>
    <row r="5330" spans="1:8" hidden="1" x14ac:dyDescent="0.25">
      <c r="A5330" t="s">
        <v>7368</v>
      </c>
      <c r="B5330" s="1" t="str">
        <f>HYPERLINK("https://asmlis.vasa.lt/Dashboard/Served?ServiceDateFrom=2025-11-24&amp;ServiceDateTo=2025-11-24&amp;DumpsterInvNr=13-L-408846", "13-L-408846")</f>
        <v>13-L-408846</v>
      </c>
      <c r="C5330">
        <v>0.12</v>
      </c>
      <c r="D5330" t="s">
        <v>7369</v>
      </c>
      <c r="E5330" t="s">
        <v>11</v>
      </c>
      <c r="G5330" t="s">
        <v>74</v>
      </c>
      <c r="H5330" t="s">
        <v>14</v>
      </c>
    </row>
    <row r="5331" spans="1:8" hidden="1" x14ac:dyDescent="0.25">
      <c r="A5331" t="s">
        <v>7370</v>
      </c>
      <c r="B5331" s="1" t="str">
        <f>HYPERLINK("https://asmlis.vasa.lt/Dashboard/Served?ServiceDateFrom=2025-11-24&amp;ServiceDateTo=2025-11-24&amp;DumpsterInvNr=13-P-500636", "13-P-500636")</f>
        <v>13-P-500636</v>
      </c>
      <c r="C5331">
        <v>5</v>
      </c>
      <c r="D5331" t="s">
        <v>7371</v>
      </c>
      <c r="E5331" t="s">
        <v>11</v>
      </c>
      <c r="F5331" t="s">
        <v>13</v>
      </c>
      <c r="G5331" t="s">
        <v>2178</v>
      </c>
      <c r="H5331" t="s">
        <v>432</v>
      </c>
    </row>
    <row r="5332" spans="1:8" hidden="1" x14ac:dyDescent="0.25">
      <c r="A5332" t="s">
        <v>7372</v>
      </c>
      <c r="B5332" s="1" t="str">
        <f>HYPERLINK("https://asmlis.vasa.lt/Dashboard/Served?ServiceDateFrom=2025-11-24&amp;ServiceDateTo=2025-11-24&amp;DumpsterInvNr=13-L-316324", "13-L-316324")</f>
        <v>13-L-316324</v>
      </c>
      <c r="C5332">
        <v>1.1000000000000001</v>
      </c>
      <c r="D5332" t="s">
        <v>7373</v>
      </c>
      <c r="E5332" t="s">
        <v>11</v>
      </c>
      <c r="G5332" t="s">
        <v>9</v>
      </c>
      <c r="H5332" t="s">
        <v>14</v>
      </c>
    </row>
    <row r="5333" spans="1:8" hidden="1" x14ac:dyDescent="0.25">
      <c r="A5333" t="s">
        <v>7372</v>
      </c>
      <c r="B5333" s="1" t="str">
        <f>HYPERLINK("https://asmlis.vasa.lt/Dashboard/Served?ServiceDateFrom=2025-11-24&amp;ServiceDateTo=2025-11-24&amp;DumpsterInvNr=13-L-147126", "13-L-147126")</f>
        <v>13-L-147126</v>
      </c>
      <c r="C5333">
        <v>1.1000000000000001</v>
      </c>
      <c r="D5333" t="s">
        <v>7374</v>
      </c>
      <c r="E5333" t="s">
        <v>11</v>
      </c>
      <c r="G5333" t="s">
        <v>1912</v>
      </c>
      <c r="H5333" t="s">
        <v>432</v>
      </c>
    </row>
    <row r="5334" spans="1:8" hidden="1" x14ac:dyDescent="0.25">
      <c r="A5334" t="s">
        <v>7376</v>
      </c>
      <c r="B5334" s="1" t="str">
        <f>HYPERLINK("https://asmlis.vasa.lt/Dashboard/Served?ServiceDateFrom=2025-11-24&amp;ServiceDateTo=2025-11-24&amp;DumpsterInvNr=13-L-202350", "13-L-202350")</f>
        <v>13-L-202350</v>
      </c>
      <c r="C5334">
        <v>0.12</v>
      </c>
      <c r="D5334" t="s">
        <v>6619</v>
      </c>
      <c r="E5334" t="s">
        <v>11</v>
      </c>
      <c r="F5334" t="s">
        <v>1209</v>
      </c>
      <c r="G5334" t="s">
        <v>936</v>
      </c>
      <c r="H5334" t="s">
        <v>938</v>
      </c>
    </row>
    <row r="5335" spans="1:8" hidden="1" x14ac:dyDescent="0.25">
      <c r="A5335" t="s">
        <v>7378</v>
      </c>
      <c r="B5335" s="1" t="str">
        <f>HYPERLINK("https://asmlis.vasa.lt/Dashboard/Served?ServiceDateFrom=2025-11-24&amp;ServiceDateTo=2025-11-24&amp;DumpsterInvNr=13-P-205136", "13-P-205136")</f>
        <v>13-P-205136</v>
      </c>
      <c r="C5335">
        <v>0.24</v>
      </c>
      <c r="D5335" t="s">
        <v>6979</v>
      </c>
      <c r="E5335" t="s">
        <v>11</v>
      </c>
      <c r="G5335" t="s">
        <v>234</v>
      </c>
      <c r="H5335" t="s">
        <v>14</v>
      </c>
    </row>
    <row r="5336" spans="1:8" hidden="1" x14ac:dyDescent="0.25">
      <c r="A5336" t="s">
        <v>7379</v>
      </c>
      <c r="B5336" s="1" t="str">
        <f>HYPERLINK("https://asmlis.vasa.lt/Dashboard/Served?ServiceDateFrom=2025-11-24&amp;ServiceDateTo=2025-11-24&amp;DumpsterInvNr=13-P-403712", "13-P-403712")</f>
        <v>13-P-403712</v>
      </c>
      <c r="C5336">
        <v>0.24</v>
      </c>
      <c r="D5336" t="s">
        <v>7380</v>
      </c>
      <c r="E5336" t="s">
        <v>11</v>
      </c>
      <c r="F5336" t="s">
        <v>13</v>
      </c>
      <c r="G5336" t="s">
        <v>264</v>
      </c>
      <c r="H5336" t="s">
        <v>14</v>
      </c>
    </row>
    <row r="5337" spans="1:8" hidden="1" x14ac:dyDescent="0.25">
      <c r="A5337" t="s">
        <v>7381</v>
      </c>
      <c r="B5337" s="1" t="str">
        <f>HYPERLINK("https://asmlis.vasa.lt/Dashboard/Served?ServiceDateFrom=2025-11-24&amp;ServiceDateTo=2025-11-24&amp;DumpsterInvNr=13-L-203598", "13-L-203598")</f>
        <v>13-L-203598</v>
      </c>
      <c r="C5337">
        <v>0.24</v>
      </c>
      <c r="D5337" t="s">
        <v>6558</v>
      </c>
      <c r="E5337" t="s">
        <v>11</v>
      </c>
      <c r="F5337" t="s">
        <v>1209</v>
      </c>
      <c r="G5337" t="s">
        <v>936</v>
      </c>
      <c r="H5337" t="s">
        <v>938</v>
      </c>
    </row>
    <row r="5338" spans="1:8" hidden="1" x14ac:dyDescent="0.25">
      <c r="A5338" t="s">
        <v>7382</v>
      </c>
      <c r="B5338" s="1" t="str">
        <f>HYPERLINK("https://asmlis.vasa.lt/Dashboard/Served?ServiceDateFrom=2025-11-24&amp;ServiceDateTo=2025-11-24&amp;DumpsterInvNr=13-M-200210", "13-M-200210")</f>
        <v>13-M-200210</v>
      </c>
      <c r="C5338">
        <v>0.12</v>
      </c>
      <c r="D5338" t="s">
        <v>7383</v>
      </c>
      <c r="E5338" t="s">
        <v>11</v>
      </c>
      <c r="G5338" t="s">
        <v>4876</v>
      </c>
      <c r="H5338" t="s">
        <v>938</v>
      </c>
    </row>
    <row r="5339" spans="1:8" hidden="1" x14ac:dyDescent="0.25">
      <c r="A5339" t="s">
        <v>7384</v>
      </c>
      <c r="B5339" s="1" t="str">
        <f>HYPERLINK("https://asmlis.vasa.lt/Dashboard/Served?ServiceDateFrom=2025-11-24&amp;ServiceDateTo=2025-11-24&amp;DumpsterInvNr=13-L-310069", "13-L-310069")</f>
        <v>13-L-310069</v>
      </c>
      <c r="C5339">
        <v>1.1000000000000001</v>
      </c>
      <c r="D5339" t="s">
        <v>7373</v>
      </c>
      <c r="E5339" t="s">
        <v>11</v>
      </c>
      <c r="G5339" t="s">
        <v>9</v>
      </c>
      <c r="H5339" t="s">
        <v>14</v>
      </c>
    </row>
    <row r="5340" spans="1:8" hidden="1" x14ac:dyDescent="0.25">
      <c r="A5340" t="s">
        <v>7385</v>
      </c>
      <c r="B5340" s="1" t="str">
        <f>HYPERLINK("https://asmlis.vasa.lt/Dashboard/Served?ServiceDateFrom=2025-11-24&amp;ServiceDateTo=2025-11-24&amp;DumpsterInvNr=13-L-223518", "13-L-223518")</f>
        <v>13-L-223518</v>
      </c>
      <c r="C5340">
        <v>1.1000000000000001</v>
      </c>
      <c r="D5340" t="s">
        <v>7386</v>
      </c>
      <c r="E5340" t="s">
        <v>11</v>
      </c>
      <c r="G5340" t="s">
        <v>936</v>
      </c>
      <c r="H5340" t="s">
        <v>938</v>
      </c>
    </row>
    <row r="5341" spans="1:8" hidden="1" x14ac:dyDescent="0.25">
      <c r="A5341" t="s">
        <v>7387</v>
      </c>
      <c r="B5341" s="1" t="str">
        <f>HYPERLINK("https://asmlis.vasa.lt/Dashboard/Served?ServiceDateFrom=2025-11-24&amp;ServiceDateTo=2025-11-24&amp;DumpsterInvNr=13-P-416654", "13-P-416654")</f>
        <v>13-P-416654</v>
      </c>
      <c r="C5341">
        <v>2.5</v>
      </c>
      <c r="D5341" t="s">
        <v>7354</v>
      </c>
      <c r="E5341" t="s">
        <v>11</v>
      </c>
      <c r="G5341" t="s">
        <v>264</v>
      </c>
      <c r="H5341" t="s">
        <v>14</v>
      </c>
    </row>
    <row r="5342" spans="1:8" hidden="1" x14ac:dyDescent="0.25">
      <c r="A5342" t="s">
        <v>7388</v>
      </c>
      <c r="B5342" s="1" t="str">
        <f>HYPERLINK("https://asmlis.vasa.lt/Dashboard/Served?ServiceDateFrom=2025-11-24&amp;ServiceDateTo=2025-11-24&amp;DumpsterInvNr=13-L-134816", "13-L-134816")</f>
        <v>13-L-134816</v>
      </c>
      <c r="C5342">
        <v>0.12</v>
      </c>
      <c r="D5342" t="s">
        <v>7389</v>
      </c>
      <c r="E5342" t="s">
        <v>11</v>
      </c>
      <c r="G5342" t="s">
        <v>1912</v>
      </c>
      <c r="H5342" t="s">
        <v>432</v>
      </c>
    </row>
    <row r="5343" spans="1:8" hidden="1" x14ac:dyDescent="0.25">
      <c r="A5343" t="s">
        <v>7388</v>
      </c>
      <c r="B5343" s="1" t="str">
        <f>HYPERLINK("https://asmlis.vasa.lt/Dashboard/Served?ServiceDateFrom=2025-11-24&amp;ServiceDateTo=2025-11-24&amp;DumpsterInvNr=13-P-505374", "13-P-505374")</f>
        <v>13-P-505374</v>
      </c>
      <c r="C5343">
        <v>0.24</v>
      </c>
      <c r="D5343" t="s">
        <v>7392</v>
      </c>
      <c r="E5343" t="s">
        <v>11</v>
      </c>
      <c r="G5343" t="s">
        <v>2178</v>
      </c>
      <c r="H5343" t="s">
        <v>432</v>
      </c>
    </row>
    <row r="5344" spans="1:8" hidden="1" x14ac:dyDescent="0.25">
      <c r="A5344" t="s">
        <v>7393</v>
      </c>
      <c r="B5344" s="1" t="str">
        <f>HYPERLINK("https://asmlis.vasa.lt/Dashboard/Served?ServiceDateFrom=2025-11-24&amp;ServiceDateTo=2025-11-24&amp;DumpsterInvNr=13-L-139762", "13-L-139762")</f>
        <v>13-L-139762</v>
      </c>
      <c r="C5344">
        <v>5</v>
      </c>
      <c r="D5344" t="s">
        <v>7394</v>
      </c>
      <c r="E5344" t="s">
        <v>11</v>
      </c>
      <c r="F5344" t="s">
        <v>13</v>
      </c>
      <c r="G5344" t="s">
        <v>1912</v>
      </c>
      <c r="H5344" t="s">
        <v>432</v>
      </c>
    </row>
    <row r="5345" spans="1:8" hidden="1" x14ac:dyDescent="0.25">
      <c r="A5345" t="s">
        <v>7395</v>
      </c>
      <c r="B5345" s="1" t="str">
        <f>HYPERLINK("https://asmlis.vasa.lt/Dashboard/Served?ServiceDateFrom=2025-11-24&amp;ServiceDateTo=2025-11-24&amp;DumpsterInvNr=13-L-422089", "13-L-422089")</f>
        <v>13-L-422089</v>
      </c>
      <c r="C5345">
        <v>5</v>
      </c>
      <c r="D5345" t="s">
        <v>7396</v>
      </c>
      <c r="E5345" t="s">
        <v>11</v>
      </c>
      <c r="G5345" t="s">
        <v>74</v>
      </c>
      <c r="H5345" t="s">
        <v>14</v>
      </c>
    </row>
    <row r="5346" spans="1:8" hidden="1" x14ac:dyDescent="0.25">
      <c r="A5346" t="s">
        <v>7395</v>
      </c>
      <c r="B5346" s="1" t="str">
        <f>HYPERLINK("https://asmlis.vasa.lt/Dashboard/Served?ServiceDateFrom=2025-11-24&amp;ServiceDateTo=2025-11-24&amp;DumpsterInvNr=13-P-413919", "13-P-413919")</f>
        <v>13-P-413919</v>
      </c>
      <c r="C5346">
        <v>5</v>
      </c>
      <c r="D5346" t="s">
        <v>7397</v>
      </c>
      <c r="E5346" t="s">
        <v>11</v>
      </c>
      <c r="F5346" t="s">
        <v>13</v>
      </c>
      <c r="G5346" t="s">
        <v>264</v>
      </c>
      <c r="H5346" t="s">
        <v>14</v>
      </c>
    </row>
    <row r="5347" spans="1:8" hidden="1" x14ac:dyDescent="0.25">
      <c r="A5347" t="s">
        <v>7395</v>
      </c>
      <c r="B5347" s="1" t="str">
        <f>HYPERLINK("https://asmlis.vasa.lt/Dashboard/Served?ServiceDateFrom=2025-11-24&amp;ServiceDateTo=2025-11-24&amp;DumpsterInvNr=13-P-505375", "13-P-505375")</f>
        <v>13-P-505375</v>
      </c>
      <c r="C5347">
        <v>0.24</v>
      </c>
      <c r="D5347" t="s">
        <v>7392</v>
      </c>
      <c r="E5347" t="s">
        <v>11</v>
      </c>
      <c r="G5347" t="s">
        <v>2178</v>
      </c>
      <c r="H5347" t="s">
        <v>432</v>
      </c>
    </row>
    <row r="5348" spans="1:8" hidden="1" x14ac:dyDescent="0.25">
      <c r="A5348" t="s">
        <v>7399</v>
      </c>
      <c r="B5348" s="1" t="str">
        <f>HYPERLINK("https://asmlis.vasa.lt/Dashboard/Served?ServiceDateFrom=2025-11-24&amp;ServiceDateTo=2025-11-24&amp;DumpsterInvNr=13-P-505376", "13-P-505376")</f>
        <v>13-P-505376</v>
      </c>
      <c r="C5348">
        <v>0.24</v>
      </c>
      <c r="D5348" t="s">
        <v>7392</v>
      </c>
      <c r="E5348" t="s">
        <v>11</v>
      </c>
      <c r="G5348" t="s">
        <v>2178</v>
      </c>
      <c r="H5348" t="s">
        <v>432</v>
      </c>
    </row>
    <row r="5349" spans="1:8" hidden="1" x14ac:dyDescent="0.25">
      <c r="A5349" t="s">
        <v>7401</v>
      </c>
      <c r="B5349" s="1" t="str">
        <f>HYPERLINK("https://asmlis.vasa.lt/Dashboard/Served?ServiceDateFrom=2025-11-24&amp;ServiceDateTo=2025-11-24&amp;DumpsterInvNr=13-P-503158", "13-P-503158")</f>
        <v>13-P-503158</v>
      </c>
      <c r="C5349">
        <v>0.24</v>
      </c>
      <c r="D5349" t="s">
        <v>7402</v>
      </c>
      <c r="E5349" t="s">
        <v>11</v>
      </c>
      <c r="F5349" t="s">
        <v>1209</v>
      </c>
      <c r="G5349" t="s">
        <v>2178</v>
      </c>
      <c r="H5349" t="s">
        <v>432</v>
      </c>
    </row>
    <row r="5350" spans="1:8" hidden="1" x14ac:dyDescent="0.25">
      <c r="A5350" t="s">
        <v>7401</v>
      </c>
      <c r="B5350" s="1" t="str">
        <f>HYPERLINK("https://asmlis.vasa.lt/Dashboard/Served?ServiceDateFrom=2025-11-24&amp;ServiceDateTo=2025-11-24&amp;DumpsterInvNr=13-L-424037", "13-L-424037")</f>
        <v>13-L-424037</v>
      </c>
      <c r="C5350">
        <v>0.24</v>
      </c>
      <c r="D5350" t="s">
        <v>3660</v>
      </c>
      <c r="E5350" t="s">
        <v>11</v>
      </c>
      <c r="G5350" t="s">
        <v>74</v>
      </c>
      <c r="H5350" t="s">
        <v>14</v>
      </c>
    </row>
    <row r="5351" spans="1:8" hidden="1" x14ac:dyDescent="0.25">
      <c r="A5351" t="s">
        <v>7403</v>
      </c>
      <c r="B5351" s="1" t="str">
        <f>HYPERLINK("https://asmlis.vasa.lt/Dashboard/Served?ServiceDateFrom=2025-11-24&amp;ServiceDateTo=2025-11-24&amp;DumpsterInvNr=13-T-000378", "13-T-000378")</f>
        <v>13-T-000378</v>
      </c>
      <c r="C5351">
        <v>2.5</v>
      </c>
      <c r="D5351" t="s">
        <v>7404</v>
      </c>
      <c r="E5351" t="s">
        <v>11</v>
      </c>
      <c r="F5351" t="s">
        <v>13</v>
      </c>
      <c r="G5351" t="s">
        <v>1899</v>
      </c>
      <c r="H5351" t="s">
        <v>432</v>
      </c>
    </row>
    <row r="5352" spans="1:8" hidden="1" x14ac:dyDescent="0.25">
      <c r="A5352" t="s">
        <v>7405</v>
      </c>
      <c r="B5352" s="1" t="str">
        <f>HYPERLINK("https://asmlis.vasa.lt/Dashboard/Served?ServiceDateFrom=2025-11-24&amp;ServiceDateTo=2025-11-24&amp;DumpsterInvNr=13-L-108257", "13-L-108257")</f>
        <v>13-L-108257</v>
      </c>
      <c r="C5352">
        <v>0.24</v>
      </c>
      <c r="D5352" t="s">
        <v>7402</v>
      </c>
      <c r="E5352" t="s">
        <v>11</v>
      </c>
      <c r="F5352" t="s">
        <v>1209</v>
      </c>
      <c r="G5352" t="s">
        <v>430</v>
      </c>
      <c r="H5352" t="s">
        <v>432</v>
      </c>
    </row>
    <row r="5353" spans="1:8" hidden="1" x14ac:dyDescent="0.25">
      <c r="A5353" t="s">
        <v>7407</v>
      </c>
      <c r="B5353" s="1" t="str">
        <f>HYPERLINK("https://asmlis.vasa.lt/Dashboard/Served?ServiceDateFrom=2025-11-24&amp;ServiceDateTo=2025-11-24&amp;DumpsterInvNr=13-T-000367", "13-T-000367")</f>
        <v>13-T-000367</v>
      </c>
      <c r="C5353">
        <v>2.5</v>
      </c>
      <c r="D5353" t="s">
        <v>7404</v>
      </c>
      <c r="E5353" t="s">
        <v>11</v>
      </c>
      <c r="F5353" t="s">
        <v>13</v>
      </c>
      <c r="G5353" t="s">
        <v>1899</v>
      </c>
      <c r="H5353" t="s">
        <v>432</v>
      </c>
    </row>
    <row r="5354" spans="1:8" hidden="1" x14ac:dyDescent="0.25">
      <c r="A5354" t="s">
        <v>7408</v>
      </c>
      <c r="B5354" s="1" t="str">
        <f>HYPERLINK("https://asmlis.vasa.lt/Dashboard/Served?ServiceDateFrom=2025-11-24&amp;ServiceDateTo=2025-11-24&amp;DumpsterInvNr=13-L-213141", "13-L-213141")</f>
        <v>13-L-213141</v>
      </c>
      <c r="C5354">
        <v>0.24</v>
      </c>
      <c r="D5354" t="s">
        <v>6495</v>
      </c>
      <c r="E5354" t="s">
        <v>11</v>
      </c>
      <c r="G5354" t="s">
        <v>936</v>
      </c>
      <c r="H5354" t="s">
        <v>938</v>
      </c>
    </row>
    <row r="5355" spans="1:8" hidden="1" x14ac:dyDescent="0.25">
      <c r="A5355" t="s">
        <v>7409</v>
      </c>
      <c r="B5355" s="1" t="str">
        <f>HYPERLINK("https://asmlis.vasa.lt/Dashboard/Served?ServiceDateFrom=2025-11-24&amp;ServiceDateTo=2025-11-24&amp;DumpsterInvNr=13-L-223666", "13-L-223666")</f>
        <v>13-L-223666</v>
      </c>
      <c r="C5355">
        <v>1.1000000000000001</v>
      </c>
      <c r="D5355" t="s">
        <v>5402</v>
      </c>
      <c r="E5355" t="s">
        <v>11</v>
      </c>
      <c r="G5355" t="s">
        <v>936</v>
      </c>
      <c r="H5355" t="s">
        <v>938</v>
      </c>
    </row>
    <row r="5356" spans="1:8" hidden="1" x14ac:dyDescent="0.25">
      <c r="A5356" t="s">
        <v>7410</v>
      </c>
      <c r="B5356" s="1" t="str">
        <f>HYPERLINK("https://asmlis.vasa.lt/Dashboard/Served?ServiceDateFrom=2025-11-24&amp;ServiceDateTo=2025-11-24&amp;DumpsterInvNr=13-P-404457", "13-P-404457")</f>
        <v>13-P-404457</v>
      </c>
      <c r="C5356">
        <v>0.24</v>
      </c>
      <c r="D5356" t="s">
        <v>7411</v>
      </c>
      <c r="E5356" t="s">
        <v>11</v>
      </c>
      <c r="G5356" t="s">
        <v>264</v>
      </c>
      <c r="H5356" t="s">
        <v>14</v>
      </c>
    </row>
    <row r="5357" spans="1:8" hidden="1" x14ac:dyDescent="0.25">
      <c r="A5357" t="s">
        <v>7412</v>
      </c>
      <c r="B5357" s="1" t="str">
        <f>HYPERLINK("https://asmlis.vasa.lt/Dashboard/Served?ServiceDateFrom=2025-11-24&amp;ServiceDateTo=2025-11-24&amp;DumpsterInvNr=13-L-228416", "13-L-228416")</f>
        <v>13-L-228416</v>
      </c>
      <c r="C5357">
        <v>1.1000000000000001</v>
      </c>
      <c r="D5357" t="s">
        <v>7413</v>
      </c>
      <c r="E5357" t="s">
        <v>11</v>
      </c>
      <c r="G5357" t="s">
        <v>936</v>
      </c>
      <c r="H5357" t="s">
        <v>938</v>
      </c>
    </row>
    <row r="5358" spans="1:8" hidden="1" x14ac:dyDescent="0.25">
      <c r="A5358" t="s">
        <v>7414</v>
      </c>
      <c r="B5358" s="1" t="str">
        <f>HYPERLINK("https://asmlis.vasa.lt/Dashboard/Served?ServiceDateFrom=2025-11-24&amp;ServiceDateTo=2025-11-24&amp;DumpsterInvNr=13-L-202182", "13-L-202182")</f>
        <v>13-L-202182</v>
      </c>
      <c r="C5358">
        <v>0.24</v>
      </c>
      <c r="D5358" t="s">
        <v>6525</v>
      </c>
      <c r="E5358" t="s">
        <v>11</v>
      </c>
      <c r="F5358" t="s">
        <v>1209</v>
      </c>
      <c r="G5358" t="s">
        <v>936</v>
      </c>
      <c r="H5358" t="s">
        <v>938</v>
      </c>
    </row>
    <row r="5359" spans="1:8" hidden="1" x14ac:dyDescent="0.25">
      <c r="A5359" t="s">
        <v>7415</v>
      </c>
      <c r="B5359" s="1" t="str">
        <f>HYPERLINK("https://asmlis.vasa.lt/Dashboard/Served?ServiceDateFrom=2025-11-24&amp;ServiceDateTo=2025-11-24&amp;DumpsterInvNr=13-P-505373", "13-P-505373")</f>
        <v>13-P-505373</v>
      </c>
      <c r="C5359">
        <v>0.24</v>
      </c>
      <c r="D5359" t="s">
        <v>7392</v>
      </c>
      <c r="E5359" t="s">
        <v>11</v>
      </c>
      <c r="G5359" t="s">
        <v>2178</v>
      </c>
      <c r="H5359" t="s">
        <v>432</v>
      </c>
    </row>
    <row r="5360" spans="1:8" hidden="1" x14ac:dyDescent="0.25">
      <c r="A5360" t="s">
        <v>7416</v>
      </c>
      <c r="B5360" s="1" t="str">
        <f>HYPERLINK("https://asmlis.vasa.lt/Dashboard/Served?ServiceDateFrom=2025-11-24&amp;ServiceDateTo=2025-11-24&amp;DumpsterInvNr=13-L-311099", "13-L-311099")</f>
        <v>13-L-311099</v>
      </c>
      <c r="C5360">
        <v>1.1000000000000001</v>
      </c>
      <c r="D5360" t="s">
        <v>7373</v>
      </c>
      <c r="E5360" t="s">
        <v>11</v>
      </c>
      <c r="G5360" t="s">
        <v>9</v>
      </c>
      <c r="H5360" t="s">
        <v>14</v>
      </c>
    </row>
    <row r="5361" spans="1:8" hidden="1" x14ac:dyDescent="0.25">
      <c r="A5361" t="s">
        <v>7417</v>
      </c>
      <c r="B5361" s="1" t="str">
        <f>HYPERLINK("https://asmlis.vasa.lt/Dashboard/Served?ServiceDateFrom=2025-11-24&amp;ServiceDateTo=2025-11-24&amp;DumpsterInvNr=13-P-205474", "13-P-205474")</f>
        <v>13-P-205474</v>
      </c>
      <c r="C5361">
        <v>0.24</v>
      </c>
      <c r="D5361" t="s">
        <v>7048</v>
      </c>
      <c r="E5361" t="s">
        <v>11</v>
      </c>
      <c r="G5361" t="s">
        <v>234</v>
      </c>
      <c r="H5361" t="s">
        <v>14</v>
      </c>
    </row>
    <row r="5362" spans="1:8" hidden="1" x14ac:dyDescent="0.25">
      <c r="A5362" t="s">
        <v>7417</v>
      </c>
      <c r="B5362" s="1" t="str">
        <f>HYPERLINK("https://asmlis.vasa.lt/Dashboard/Served?ServiceDateFrom=2025-11-24&amp;ServiceDateTo=2025-11-24&amp;DumpsterInvNr=13-S-206533", "13-S-206533")</f>
        <v>13-S-206533</v>
      </c>
      <c r="C5362">
        <v>0.12</v>
      </c>
      <c r="D5362" t="s">
        <v>7048</v>
      </c>
      <c r="E5362" t="s">
        <v>11</v>
      </c>
      <c r="F5362" t="s">
        <v>1209</v>
      </c>
      <c r="G5362" t="s">
        <v>234</v>
      </c>
      <c r="H5362" t="s">
        <v>14</v>
      </c>
    </row>
    <row r="5363" spans="1:8" hidden="1" x14ac:dyDescent="0.25">
      <c r="A5363" t="s">
        <v>7419</v>
      </c>
      <c r="B5363" s="1" t="str">
        <f>HYPERLINK("https://asmlis.vasa.lt/Dashboard/Served?ServiceDateFrom=2025-11-24&amp;ServiceDateTo=2025-11-24&amp;DumpsterInvNr=13-P-302014", "13-P-302014")</f>
        <v>13-P-302014</v>
      </c>
      <c r="C5363">
        <v>5</v>
      </c>
      <c r="D5363" t="s">
        <v>7420</v>
      </c>
      <c r="E5363" t="s">
        <v>11</v>
      </c>
      <c r="F5363" t="s">
        <v>13</v>
      </c>
      <c r="G5363" t="s">
        <v>412</v>
      </c>
      <c r="H5363" t="s">
        <v>14</v>
      </c>
    </row>
    <row r="5364" spans="1:8" hidden="1" x14ac:dyDescent="0.25">
      <c r="A5364" t="s">
        <v>7419</v>
      </c>
      <c r="B5364" s="1" t="str">
        <f>HYPERLINK("https://asmlis.vasa.lt/Dashboard/Served?ServiceDateFrom=2025-11-24&amp;ServiceDateTo=2025-11-24&amp;DumpsterInvNr=DGA-ZALVARIS", "DGA-ZALVARIS")</f>
        <v>DGA-ZALVARIS</v>
      </c>
      <c r="C5364">
        <v>1</v>
      </c>
      <c r="D5364" t="s">
        <v>724</v>
      </c>
      <c r="E5364" t="s">
        <v>12</v>
      </c>
      <c r="F5364" t="s">
        <v>13</v>
      </c>
      <c r="G5364" t="s">
        <v>6763</v>
      </c>
      <c r="H5364" t="s">
        <v>6765</v>
      </c>
    </row>
    <row r="5365" spans="1:8" hidden="1" x14ac:dyDescent="0.25">
      <c r="A5365" t="s">
        <v>7422</v>
      </c>
      <c r="B5365" s="1" t="str">
        <f>HYPERLINK("https://asmlis.vasa.lt/Dashboard/Served?ServiceDateFrom=2025-11-24&amp;ServiceDateTo=2025-11-24&amp;DumpsterInvNr=13-L-316219", "13-L-316219")</f>
        <v>13-L-316219</v>
      </c>
      <c r="C5365">
        <v>1.1000000000000001</v>
      </c>
      <c r="D5365" t="s">
        <v>2242</v>
      </c>
      <c r="E5365" t="s">
        <v>11</v>
      </c>
      <c r="G5365" t="s">
        <v>9</v>
      </c>
      <c r="H5365" t="s">
        <v>14</v>
      </c>
    </row>
    <row r="5366" spans="1:8" hidden="1" x14ac:dyDescent="0.25">
      <c r="A5366" t="s">
        <v>7423</v>
      </c>
      <c r="B5366" s="1" t="str">
        <f>HYPERLINK("https://asmlis.vasa.lt/Dashboard/Served?ServiceDateFrom=2025-11-24&amp;ServiceDateTo=2025-11-24&amp;DumpsterInvNr=13-M-200912", "13-M-200912")</f>
        <v>13-M-200912</v>
      </c>
      <c r="C5366">
        <v>0.12</v>
      </c>
      <c r="D5366" t="s">
        <v>7424</v>
      </c>
      <c r="E5366" t="s">
        <v>11</v>
      </c>
      <c r="G5366" t="s">
        <v>4876</v>
      </c>
      <c r="H5366" t="s">
        <v>938</v>
      </c>
    </row>
    <row r="5367" spans="1:8" hidden="1" x14ac:dyDescent="0.25">
      <c r="A5367" t="s">
        <v>7425</v>
      </c>
      <c r="B5367" s="1" t="str">
        <f>HYPERLINK("https://asmlis.vasa.lt/Dashboard/Served?ServiceDateFrom=2025-11-24&amp;ServiceDateTo=2025-11-24&amp;DumpsterInvNr=13-L-135791", "13-L-135791")</f>
        <v>13-L-135791</v>
      </c>
      <c r="C5367">
        <v>5</v>
      </c>
      <c r="D5367" t="s">
        <v>7427</v>
      </c>
      <c r="E5367" t="s">
        <v>11</v>
      </c>
      <c r="F5367" t="s">
        <v>13</v>
      </c>
      <c r="G5367" t="s">
        <v>430</v>
      </c>
      <c r="H5367" t="s">
        <v>432</v>
      </c>
    </row>
    <row r="5368" spans="1:8" hidden="1" x14ac:dyDescent="0.25">
      <c r="A5368" t="s">
        <v>7425</v>
      </c>
      <c r="B5368" s="1" t="str">
        <f>HYPERLINK("https://asmlis.vasa.lt/Dashboard/Served?ServiceDateFrom=2025-11-24&amp;ServiceDateTo=2025-11-24&amp;DumpsterInvNr=13-L-316218", "13-L-316218")</f>
        <v>13-L-316218</v>
      </c>
      <c r="C5368">
        <v>1.1000000000000001</v>
      </c>
      <c r="D5368" t="s">
        <v>2242</v>
      </c>
      <c r="E5368" t="s">
        <v>11</v>
      </c>
      <c r="G5368" t="s">
        <v>9</v>
      </c>
      <c r="H5368" t="s">
        <v>14</v>
      </c>
    </row>
    <row r="5369" spans="1:8" hidden="1" x14ac:dyDescent="0.25">
      <c r="A5369" t="s">
        <v>7425</v>
      </c>
      <c r="B5369" s="1" t="str">
        <f>HYPERLINK("https://asmlis.vasa.lt/Dashboard/Served?ServiceDateFrom=2025-11-24&amp;ServiceDateTo=2025-11-24&amp;DumpsterInvNr=13-L-316893", "13-L-316893")</f>
        <v>13-L-316893</v>
      </c>
      <c r="C5369">
        <v>1.1000000000000001</v>
      </c>
      <c r="D5369" t="s">
        <v>2242</v>
      </c>
      <c r="E5369" t="s">
        <v>11</v>
      </c>
      <c r="G5369" t="s">
        <v>9</v>
      </c>
      <c r="H5369" t="s">
        <v>14</v>
      </c>
    </row>
    <row r="5370" spans="1:8" hidden="1" x14ac:dyDescent="0.25">
      <c r="A5370" t="s">
        <v>7430</v>
      </c>
      <c r="B5370" s="1" t="str">
        <f>HYPERLINK("https://asmlis.vasa.lt/Dashboard/Served?ServiceDateFrom=2025-11-24&amp;ServiceDateTo=2025-11-24&amp;DumpsterInvNr=13-L-134817", "13-L-134817")</f>
        <v>13-L-134817</v>
      </c>
      <c r="C5370">
        <v>0.12</v>
      </c>
      <c r="D5370" t="s">
        <v>7431</v>
      </c>
      <c r="E5370" t="s">
        <v>11</v>
      </c>
      <c r="G5370" t="s">
        <v>1912</v>
      </c>
      <c r="H5370" t="s">
        <v>432</v>
      </c>
    </row>
    <row r="5371" spans="1:8" hidden="1" x14ac:dyDescent="0.25">
      <c r="A5371" t="s">
        <v>7430</v>
      </c>
      <c r="B5371" s="1" t="str">
        <f>HYPERLINK("https://asmlis.vasa.lt/Dashboard/Served?ServiceDateFrom=2025-11-24&amp;ServiceDateTo=2025-11-24&amp;DumpsterInvNr=13-L-220235", "13-L-220235")</f>
        <v>13-L-220235</v>
      </c>
      <c r="C5371">
        <v>0.24</v>
      </c>
      <c r="D5371" t="s">
        <v>6472</v>
      </c>
      <c r="E5371" t="s">
        <v>11</v>
      </c>
      <c r="G5371" t="s">
        <v>936</v>
      </c>
      <c r="H5371" t="s">
        <v>938</v>
      </c>
    </row>
    <row r="5372" spans="1:8" hidden="1" x14ac:dyDescent="0.25">
      <c r="A5372" t="s">
        <v>7432</v>
      </c>
      <c r="B5372" s="1" t="str">
        <f>HYPERLINK("https://asmlis.vasa.lt/Dashboard/Served?ServiceDateFrom=2025-11-24&amp;ServiceDateTo=2025-11-24&amp;DumpsterInvNr=13-L-316215", "13-L-316215")</f>
        <v>13-L-316215</v>
      </c>
      <c r="C5372">
        <v>1.1000000000000001</v>
      </c>
      <c r="D5372" t="s">
        <v>2242</v>
      </c>
      <c r="E5372" t="s">
        <v>11</v>
      </c>
      <c r="G5372" t="s">
        <v>9</v>
      </c>
      <c r="H5372" t="s">
        <v>14</v>
      </c>
    </row>
    <row r="5373" spans="1:8" hidden="1" x14ac:dyDescent="0.25">
      <c r="A5373" t="s">
        <v>7433</v>
      </c>
      <c r="B5373" s="1" t="str">
        <f>HYPERLINK("https://asmlis.vasa.lt/Dashboard/Served?ServiceDateFrom=2025-11-24&amp;ServiceDateTo=2025-11-24&amp;DumpsterInvNr=13-P-103676", "13-P-103676")</f>
        <v>13-P-103676</v>
      </c>
      <c r="C5373">
        <v>0.24</v>
      </c>
      <c r="D5373" t="s">
        <v>7431</v>
      </c>
      <c r="E5373" t="s">
        <v>11</v>
      </c>
      <c r="F5373" t="s">
        <v>1209</v>
      </c>
      <c r="G5373" t="s">
        <v>1917</v>
      </c>
      <c r="H5373" t="s">
        <v>432</v>
      </c>
    </row>
    <row r="5374" spans="1:8" hidden="1" x14ac:dyDescent="0.25">
      <c r="A5374" t="s">
        <v>7435</v>
      </c>
      <c r="B5374" s="1" t="str">
        <f>HYPERLINK("https://asmlis.vasa.lt/Dashboard/Served?ServiceDateFrom=2025-11-24&amp;ServiceDateTo=2025-11-24&amp;DumpsterInvNr=13-M-205752", "13-M-205752")</f>
        <v>13-M-205752</v>
      </c>
      <c r="C5374">
        <v>0.12</v>
      </c>
      <c r="D5374" t="s">
        <v>7436</v>
      </c>
      <c r="E5374" t="s">
        <v>11</v>
      </c>
      <c r="G5374" t="s">
        <v>4876</v>
      </c>
      <c r="H5374" t="s">
        <v>938</v>
      </c>
    </row>
    <row r="5375" spans="1:8" hidden="1" x14ac:dyDescent="0.25">
      <c r="A5375" t="s">
        <v>7437</v>
      </c>
      <c r="B5375" s="1" t="str">
        <f>HYPERLINK("https://asmlis.vasa.lt/Dashboard/Served?ServiceDateFrom=2025-11-24&amp;ServiceDateTo=2025-11-24&amp;DumpsterInvNr=13-L-225522", "13-L-225522")</f>
        <v>13-L-225522</v>
      </c>
      <c r="C5375">
        <v>1.1000000000000001</v>
      </c>
      <c r="D5375" t="s">
        <v>5402</v>
      </c>
      <c r="E5375" t="s">
        <v>11</v>
      </c>
      <c r="G5375" t="s">
        <v>936</v>
      </c>
      <c r="H5375" t="s">
        <v>938</v>
      </c>
    </row>
    <row r="5376" spans="1:8" hidden="1" x14ac:dyDescent="0.25">
      <c r="A5376" t="s">
        <v>7438</v>
      </c>
      <c r="B5376" s="1" t="str">
        <f>HYPERLINK("https://asmlis.vasa.lt/Dashboard/Served?ServiceDateFrom=2025-11-24&amp;ServiceDateTo=2025-11-24&amp;DumpsterInvNr=13-L-106349", "13-L-106349")</f>
        <v>13-L-106349</v>
      </c>
      <c r="C5376">
        <v>0.12</v>
      </c>
      <c r="D5376" t="s">
        <v>7431</v>
      </c>
      <c r="E5376" t="s">
        <v>11</v>
      </c>
      <c r="F5376" t="s">
        <v>1209</v>
      </c>
      <c r="G5376" t="s">
        <v>1912</v>
      </c>
      <c r="H5376" t="s">
        <v>432</v>
      </c>
    </row>
    <row r="5377" spans="1:8" hidden="1" x14ac:dyDescent="0.25">
      <c r="A5377" t="s">
        <v>7439</v>
      </c>
      <c r="B5377" s="1" t="str">
        <f>HYPERLINK("https://asmlis.vasa.lt/Dashboard/Served?ServiceDateFrom=2025-11-24&amp;ServiceDateTo=2025-11-24&amp;DumpsterInvNr=13-L-413599", "13-L-413599")</f>
        <v>13-L-413599</v>
      </c>
      <c r="C5377">
        <v>0.24</v>
      </c>
      <c r="D5377" t="s">
        <v>3694</v>
      </c>
      <c r="E5377" t="s">
        <v>11</v>
      </c>
      <c r="G5377" t="s">
        <v>74</v>
      </c>
      <c r="H5377" t="s">
        <v>14</v>
      </c>
    </row>
    <row r="5378" spans="1:8" hidden="1" x14ac:dyDescent="0.25">
      <c r="A5378" t="s">
        <v>7440</v>
      </c>
      <c r="B5378" s="1" t="str">
        <f>HYPERLINK("https://asmlis.vasa.lt/Dashboard/Served?ServiceDateFrom=2025-11-24&amp;ServiceDateTo=2025-11-24&amp;DumpsterInvNr=13-L-114999", "13-L-114999")</f>
        <v>13-L-114999</v>
      </c>
      <c r="C5378">
        <v>1.1000000000000001</v>
      </c>
      <c r="D5378" t="s">
        <v>7441</v>
      </c>
      <c r="E5378" t="s">
        <v>11</v>
      </c>
      <c r="G5378" t="s">
        <v>430</v>
      </c>
      <c r="H5378" t="s">
        <v>432</v>
      </c>
    </row>
    <row r="5379" spans="1:8" hidden="1" x14ac:dyDescent="0.25">
      <c r="A5379" t="s">
        <v>7442</v>
      </c>
      <c r="B5379" s="1" t="str">
        <f>HYPERLINK("https://asmlis.vasa.lt/Dashboard/Served?ServiceDateFrom=2025-11-24&amp;ServiceDateTo=2025-11-24&amp;DumpsterInvNr=13-L-142297", "13-L-142297")</f>
        <v>13-L-142297</v>
      </c>
      <c r="C5379">
        <v>0.24</v>
      </c>
      <c r="D5379" t="s">
        <v>7443</v>
      </c>
      <c r="E5379" t="s">
        <v>11</v>
      </c>
      <c r="G5379" t="s">
        <v>430</v>
      </c>
      <c r="H5379" t="s">
        <v>432</v>
      </c>
    </row>
    <row r="5380" spans="1:8" hidden="1" x14ac:dyDescent="0.25">
      <c r="A5380" t="s">
        <v>7442</v>
      </c>
      <c r="B5380" s="1" t="str">
        <f>HYPERLINK("https://asmlis.vasa.lt/Dashboard/Served?ServiceDateFrom=2025-11-24&amp;ServiceDateTo=2025-11-24&amp;DumpsterInvNr=13-P-502800", "13-P-502800")</f>
        <v>13-P-502800</v>
      </c>
      <c r="C5380">
        <v>0.24</v>
      </c>
      <c r="D5380" t="s">
        <v>7443</v>
      </c>
      <c r="E5380" t="s">
        <v>11</v>
      </c>
      <c r="G5380" t="s">
        <v>2178</v>
      </c>
      <c r="H5380" t="s">
        <v>432</v>
      </c>
    </row>
    <row r="5381" spans="1:8" hidden="1" x14ac:dyDescent="0.25">
      <c r="A5381" t="s">
        <v>7446</v>
      </c>
      <c r="B5381" s="1" t="str">
        <f>HYPERLINK("https://asmlis.vasa.lt/Dashboard/Served?ServiceDateFrom=2025-11-24&amp;ServiceDateTo=2025-11-24&amp;DumpsterInvNr=13-L-316008", "13-L-316008")</f>
        <v>13-L-316008</v>
      </c>
      <c r="C5381">
        <v>1.1000000000000001</v>
      </c>
      <c r="D5381" t="s">
        <v>2242</v>
      </c>
      <c r="E5381" t="s">
        <v>11</v>
      </c>
      <c r="G5381" t="s">
        <v>9</v>
      </c>
      <c r="H5381" t="s">
        <v>14</v>
      </c>
    </row>
    <row r="5382" spans="1:8" hidden="1" x14ac:dyDescent="0.25">
      <c r="A5382" t="s">
        <v>7446</v>
      </c>
      <c r="B5382" s="1" t="str">
        <f>HYPERLINK("https://asmlis.vasa.lt/Dashboard/Served?ServiceDateFrom=2025-11-24&amp;ServiceDateTo=2025-11-24&amp;DumpsterInvNr=13-L-316220", "13-L-316220")</f>
        <v>13-L-316220</v>
      </c>
      <c r="C5382">
        <v>1.1000000000000001</v>
      </c>
      <c r="D5382" t="s">
        <v>2242</v>
      </c>
      <c r="E5382" t="s">
        <v>11</v>
      </c>
      <c r="G5382" t="s">
        <v>9</v>
      </c>
      <c r="H5382" t="s">
        <v>14</v>
      </c>
    </row>
    <row r="5383" spans="1:8" hidden="1" x14ac:dyDescent="0.25">
      <c r="A5383" t="s">
        <v>7446</v>
      </c>
      <c r="B5383" s="1" t="str">
        <f>HYPERLINK("https://asmlis.vasa.lt/Dashboard/Served?ServiceDateFrom=2025-11-24&amp;ServiceDateTo=2025-11-24&amp;DumpsterInvNr=13-P-404456", "13-P-404456")</f>
        <v>13-P-404456</v>
      </c>
      <c r="C5383">
        <v>0.24</v>
      </c>
      <c r="D5383" t="s">
        <v>7447</v>
      </c>
      <c r="E5383" t="s">
        <v>11</v>
      </c>
      <c r="G5383" t="s">
        <v>264</v>
      </c>
      <c r="H5383" t="s">
        <v>14</v>
      </c>
    </row>
    <row r="5384" spans="1:8" hidden="1" x14ac:dyDescent="0.25">
      <c r="A5384" t="s">
        <v>7448</v>
      </c>
      <c r="B5384" s="1" t="str">
        <f>HYPERLINK("https://asmlis.vasa.lt/Dashboard/Served?ServiceDateFrom=2025-11-24&amp;ServiceDateTo=2025-11-24&amp;DumpsterInvNr=13-P-205359", "13-P-205359")</f>
        <v>13-P-205359</v>
      </c>
      <c r="C5384">
        <v>0.24</v>
      </c>
      <c r="D5384" t="s">
        <v>7449</v>
      </c>
      <c r="E5384" t="s">
        <v>11</v>
      </c>
      <c r="F5384" t="s">
        <v>1209</v>
      </c>
      <c r="G5384" t="s">
        <v>234</v>
      </c>
      <c r="H5384" t="s">
        <v>14</v>
      </c>
    </row>
    <row r="5385" spans="1:8" hidden="1" x14ac:dyDescent="0.25">
      <c r="A5385" t="s">
        <v>7450</v>
      </c>
      <c r="B5385" s="1" t="str">
        <f>HYPERLINK("https://asmlis.vasa.lt/Dashboard/Served?ServiceDateFrom=2025-11-24&amp;ServiceDateTo=2025-11-24&amp;DumpsterInvNr=13-L-208400", "13-L-208400")</f>
        <v>13-L-208400</v>
      </c>
      <c r="C5385">
        <v>0.24</v>
      </c>
      <c r="D5385" t="s">
        <v>6426</v>
      </c>
      <c r="E5385" t="s">
        <v>11</v>
      </c>
      <c r="F5385" t="s">
        <v>1209</v>
      </c>
      <c r="G5385" t="s">
        <v>936</v>
      </c>
      <c r="H5385" t="s">
        <v>938</v>
      </c>
    </row>
    <row r="5386" spans="1:8" hidden="1" x14ac:dyDescent="0.25">
      <c r="A5386" t="s">
        <v>7450</v>
      </c>
      <c r="B5386" s="1" t="str">
        <f>HYPERLINK("https://asmlis.vasa.lt/Dashboard/Served?ServiceDateFrom=2025-11-24&amp;ServiceDateTo=2025-11-24&amp;DumpsterInvNr=13-L-224214", "13-L-224214")</f>
        <v>13-L-224214</v>
      </c>
      <c r="C5386">
        <v>5</v>
      </c>
      <c r="D5386" t="s">
        <v>1067</v>
      </c>
      <c r="E5386" t="s">
        <v>11</v>
      </c>
      <c r="G5386" t="s">
        <v>936</v>
      </c>
      <c r="H5386" t="s">
        <v>938</v>
      </c>
    </row>
    <row r="5387" spans="1:8" hidden="1" x14ac:dyDescent="0.25">
      <c r="A5387" t="s">
        <v>7107</v>
      </c>
      <c r="B5387" s="1" t="str">
        <f>HYPERLINK("https://asmlis.vasa.lt/Dashboard/Served?ServiceDateFrom=2025-11-24&amp;ServiceDateTo=2025-11-24&amp;DumpsterInvNr=13-L-120382", "13-L-120382")</f>
        <v>13-L-120382</v>
      </c>
      <c r="C5387">
        <v>0.12</v>
      </c>
      <c r="D5387" t="s">
        <v>7452</v>
      </c>
      <c r="E5387" t="s">
        <v>11</v>
      </c>
      <c r="G5387" t="s">
        <v>1912</v>
      </c>
      <c r="H5387" t="s">
        <v>432</v>
      </c>
    </row>
    <row r="5388" spans="1:8" hidden="1" x14ac:dyDescent="0.25">
      <c r="A5388" t="s">
        <v>7453</v>
      </c>
      <c r="B5388" s="1" t="str">
        <f>HYPERLINK("https://asmlis.vasa.lt/Dashboard/Served?ServiceDateFrom=2025-11-24&amp;ServiceDateTo=2025-11-24&amp;DumpsterInvNr=13-L-216290", "13-L-216290")</f>
        <v>13-L-216290</v>
      </c>
      <c r="C5388">
        <v>0.77</v>
      </c>
      <c r="D5388" t="s">
        <v>7454</v>
      </c>
      <c r="E5388" t="s">
        <v>11</v>
      </c>
      <c r="G5388" t="s">
        <v>936</v>
      </c>
      <c r="H5388" t="s">
        <v>938</v>
      </c>
    </row>
    <row r="5389" spans="1:8" hidden="1" x14ac:dyDescent="0.25">
      <c r="A5389" t="s">
        <v>6927</v>
      </c>
      <c r="B5389" s="1" t="str">
        <f>HYPERLINK("https://asmlis.vasa.lt/Dashboard/Served?ServiceDateFrom=2025-11-24&amp;ServiceDateTo=2025-11-24&amp;DumpsterInvNr=13-L-147117", "13-L-147117")</f>
        <v>13-L-147117</v>
      </c>
      <c r="C5389">
        <v>5</v>
      </c>
      <c r="D5389" t="s">
        <v>7455</v>
      </c>
      <c r="E5389" t="s">
        <v>11</v>
      </c>
      <c r="F5389" t="s">
        <v>13</v>
      </c>
      <c r="G5389" t="s">
        <v>430</v>
      </c>
      <c r="H5389" t="s">
        <v>432</v>
      </c>
    </row>
    <row r="5390" spans="1:8" hidden="1" x14ac:dyDescent="0.25">
      <c r="A5390" t="s">
        <v>7456</v>
      </c>
      <c r="B5390" s="1" t="str">
        <f>HYPERLINK("https://asmlis.vasa.lt/Dashboard/Served?ServiceDateFrom=2025-11-24&amp;ServiceDateTo=2025-11-24&amp;DumpsterInvNr=13-L-210603", "13-L-210603")</f>
        <v>13-L-210603</v>
      </c>
      <c r="C5390">
        <v>0.24</v>
      </c>
      <c r="D5390" t="s">
        <v>6438</v>
      </c>
      <c r="E5390" t="s">
        <v>11</v>
      </c>
      <c r="G5390" t="s">
        <v>936</v>
      </c>
      <c r="H5390" t="s">
        <v>938</v>
      </c>
    </row>
    <row r="5391" spans="1:8" hidden="1" x14ac:dyDescent="0.25">
      <c r="A5391" t="s">
        <v>7456</v>
      </c>
      <c r="B5391" s="1" t="str">
        <f>HYPERLINK("https://asmlis.vasa.lt/Dashboard/Served?ServiceDateFrom=2025-11-24&amp;ServiceDateTo=2025-11-24&amp;DumpsterInvNr=13-P-103656", "13-P-103656")</f>
        <v>13-P-103656</v>
      </c>
      <c r="C5391">
        <v>0.24</v>
      </c>
      <c r="D5391" t="s">
        <v>7452</v>
      </c>
      <c r="E5391" t="s">
        <v>11</v>
      </c>
      <c r="G5391" t="s">
        <v>1917</v>
      </c>
      <c r="H5391" t="s">
        <v>432</v>
      </c>
    </row>
    <row r="5392" spans="1:8" hidden="1" x14ac:dyDescent="0.25">
      <c r="A5392" t="s">
        <v>6928</v>
      </c>
      <c r="B5392" s="1" t="str">
        <f>HYPERLINK("https://asmlis.vasa.lt/Dashboard/Served?ServiceDateFrom=2025-11-24&amp;ServiceDateTo=2025-11-24&amp;DumpsterInvNr=13-M-203698", "13-M-203698")</f>
        <v>13-M-203698</v>
      </c>
      <c r="C5392">
        <v>0.12</v>
      </c>
      <c r="D5392" t="s">
        <v>7458</v>
      </c>
      <c r="E5392" t="s">
        <v>11</v>
      </c>
      <c r="G5392" t="s">
        <v>4876</v>
      </c>
      <c r="H5392" t="s">
        <v>938</v>
      </c>
    </row>
    <row r="5393" spans="1:8" hidden="1" x14ac:dyDescent="0.25">
      <c r="A5393" t="s">
        <v>7459</v>
      </c>
      <c r="B5393" s="1" t="str">
        <f>HYPERLINK("https://asmlis.vasa.lt/Dashboard/Served?ServiceDateFrom=2025-11-24&amp;ServiceDateTo=2025-11-24&amp;DumpsterInvNr=13-L-422596", "13-L-422596")</f>
        <v>13-L-422596</v>
      </c>
      <c r="C5393">
        <v>1.1000000000000001</v>
      </c>
      <c r="D5393" t="s">
        <v>7460</v>
      </c>
      <c r="E5393" t="s">
        <v>11</v>
      </c>
      <c r="G5393" t="s">
        <v>74</v>
      </c>
      <c r="H5393" t="s">
        <v>14</v>
      </c>
    </row>
    <row r="5394" spans="1:8" hidden="1" x14ac:dyDescent="0.25">
      <c r="A5394" t="s">
        <v>6933</v>
      </c>
      <c r="B5394" s="1" t="str">
        <f>HYPERLINK("https://asmlis.vasa.lt/Dashboard/Served?ServiceDateFrom=2025-11-24&amp;ServiceDateTo=2025-11-24&amp;DumpsterInvNr=13-P-413898", "13-P-413898")</f>
        <v>13-P-413898</v>
      </c>
      <c r="C5394">
        <v>5</v>
      </c>
      <c r="D5394" t="s">
        <v>7461</v>
      </c>
      <c r="E5394" t="s">
        <v>11</v>
      </c>
      <c r="G5394" t="s">
        <v>264</v>
      </c>
      <c r="H5394" t="s">
        <v>14</v>
      </c>
    </row>
    <row r="5395" spans="1:8" hidden="1" x14ac:dyDescent="0.25">
      <c r="A5395" t="s">
        <v>6933</v>
      </c>
      <c r="B5395" s="1" t="str">
        <f>HYPERLINK("https://asmlis.vasa.lt/Dashboard/Served?ServiceDateFrom=2025-11-24&amp;ServiceDateTo=2025-11-24&amp;DumpsterInvNr=13-P-208634", "13-P-208634")</f>
        <v>13-P-208634</v>
      </c>
      <c r="C5395">
        <v>0.24</v>
      </c>
      <c r="D5395" t="s">
        <v>7462</v>
      </c>
      <c r="E5395" t="s">
        <v>11</v>
      </c>
      <c r="G5395" t="s">
        <v>234</v>
      </c>
      <c r="H5395" t="s">
        <v>14</v>
      </c>
    </row>
    <row r="5396" spans="1:8" hidden="1" x14ac:dyDescent="0.25">
      <c r="A5396" t="s">
        <v>7211</v>
      </c>
      <c r="B5396" s="1" t="str">
        <f>HYPERLINK("https://asmlis.vasa.lt/Dashboard/Served?ServiceDateFrom=2025-11-24&amp;ServiceDateTo=2025-11-24&amp;DumpsterInvNr=13-P-306944", "13-P-306944")</f>
        <v>13-P-306944</v>
      </c>
      <c r="C5396">
        <v>1.1000000000000001</v>
      </c>
      <c r="D5396" t="s">
        <v>7463</v>
      </c>
      <c r="E5396" t="s">
        <v>11</v>
      </c>
      <c r="F5396" t="s">
        <v>13</v>
      </c>
      <c r="G5396" t="s">
        <v>412</v>
      </c>
      <c r="H5396" t="s">
        <v>14</v>
      </c>
    </row>
    <row r="5397" spans="1:8" hidden="1" x14ac:dyDescent="0.25">
      <c r="A5397" t="s">
        <v>7464</v>
      </c>
      <c r="B5397" s="1" t="str">
        <f>HYPERLINK("https://asmlis.vasa.lt/Dashboard/Served?ServiceDateFrom=2025-11-24&amp;ServiceDateTo=2025-11-24&amp;DumpsterInvNr=13-L-417606", "13-L-417606")</f>
        <v>13-L-417606</v>
      </c>
      <c r="C5397">
        <v>0.24</v>
      </c>
      <c r="D5397" t="s">
        <v>3728</v>
      </c>
      <c r="E5397" t="s">
        <v>11</v>
      </c>
      <c r="G5397" t="s">
        <v>74</v>
      </c>
      <c r="H5397" t="s">
        <v>14</v>
      </c>
    </row>
    <row r="5398" spans="1:8" hidden="1" x14ac:dyDescent="0.25">
      <c r="A5398" t="s">
        <v>6952</v>
      </c>
      <c r="B5398" s="1" t="str">
        <f>HYPERLINK("https://asmlis.vasa.lt/Dashboard/Served?ServiceDateFrom=2025-11-24&amp;ServiceDateTo=2025-11-24&amp;DumpsterInvNr=13-M-205764", "13-M-205764")</f>
        <v>13-M-205764</v>
      </c>
      <c r="C5398">
        <v>0.12</v>
      </c>
      <c r="D5398" t="s">
        <v>7465</v>
      </c>
      <c r="E5398" t="s">
        <v>11</v>
      </c>
      <c r="F5398" t="s">
        <v>1209</v>
      </c>
      <c r="G5398" t="s">
        <v>4876</v>
      </c>
      <c r="H5398" t="s">
        <v>938</v>
      </c>
    </row>
    <row r="5399" spans="1:8" hidden="1" x14ac:dyDescent="0.25">
      <c r="A5399" t="s">
        <v>7467</v>
      </c>
      <c r="B5399" s="1" t="str">
        <f>HYPERLINK("https://asmlis.vasa.lt/Dashboard/Served?ServiceDateFrom=2025-11-24&amp;ServiceDateTo=2025-11-24&amp;DumpsterInvNr=13-P-401472", "13-P-401472")</f>
        <v>13-P-401472</v>
      </c>
      <c r="C5399">
        <v>2.5</v>
      </c>
      <c r="D5399" t="s">
        <v>7468</v>
      </c>
      <c r="E5399" t="s">
        <v>11</v>
      </c>
      <c r="G5399" t="s">
        <v>264</v>
      </c>
      <c r="H5399" t="s">
        <v>14</v>
      </c>
    </row>
    <row r="5400" spans="1:8" hidden="1" x14ac:dyDescent="0.25">
      <c r="A5400" t="s">
        <v>7428</v>
      </c>
      <c r="B5400" s="1" t="str">
        <f>HYPERLINK("https://asmlis.vasa.lt/Dashboard/Served?ServiceDateFrom=2025-11-24&amp;ServiceDateTo=2025-11-24&amp;DumpsterInvNr=13-P-404454", "13-P-404454")</f>
        <v>13-P-404454</v>
      </c>
      <c r="C5400">
        <v>0.24</v>
      </c>
      <c r="D5400" t="s">
        <v>7470</v>
      </c>
      <c r="E5400" t="s">
        <v>11</v>
      </c>
      <c r="G5400" t="s">
        <v>264</v>
      </c>
      <c r="H5400" t="s">
        <v>14</v>
      </c>
    </row>
    <row r="5401" spans="1:8" hidden="1" x14ac:dyDescent="0.25">
      <c r="A5401" t="s">
        <v>7094</v>
      </c>
      <c r="B5401" s="1" t="str">
        <f>HYPERLINK("https://asmlis.vasa.lt/Dashboard/Served?ServiceDateFrom=2025-11-24&amp;ServiceDateTo=2025-11-24&amp;DumpsterInvNr=13-L-218492", "13-L-218492")</f>
        <v>13-L-218492</v>
      </c>
      <c r="C5401">
        <v>0.24</v>
      </c>
      <c r="D5401" t="s">
        <v>6457</v>
      </c>
      <c r="E5401" t="s">
        <v>11</v>
      </c>
      <c r="G5401" t="s">
        <v>936</v>
      </c>
      <c r="H5401" t="s">
        <v>938</v>
      </c>
    </row>
    <row r="5402" spans="1:8" hidden="1" x14ac:dyDescent="0.25">
      <c r="A5402" t="s">
        <v>6993</v>
      </c>
      <c r="B5402" s="1" t="str">
        <f>HYPERLINK("https://asmlis.vasa.lt/Dashboard/Served?ServiceDateFrom=2025-11-24&amp;ServiceDateTo=2025-11-24&amp;DumpsterInvNr=13-L-123429", "13-L-123429")</f>
        <v>13-L-123429</v>
      </c>
      <c r="C5402">
        <v>0.24</v>
      </c>
      <c r="D5402" t="s">
        <v>7471</v>
      </c>
      <c r="E5402" t="s">
        <v>11</v>
      </c>
      <c r="G5402" t="s">
        <v>430</v>
      </c>
      <c r="H5402" t="s">
        <v>432</v>
      </c>
    </row>
    <row r="5403" spans="1:8" hidden="1" x14ac:dyDescent="0.25">
      <c r="A5403" t="s">
        <v>6993</v>
      </c>
      <c r="B5403" s="1" t="str">
        <f>HYPERLINK("https://asmlis.vasa.lt/Dashboard/Served?ServiceDateFrom=2025-11-24&amp;ServiceDateTo=2025-11-24&amp;DumpsterInvNr=13-P-502783", "13-P-502783")</f>
        <v>13-P-502783</v>
      </c>
      <c r="C5403">
        <v>0.24</v>
      </c>
      <c r="D5403" t="s">
        <v>7472</v>
      </c>
      <c r="E5403" t="s">
        <v>11</v>
      </c>
      <c r="G5403" t="s">
        <v>2178</v>
      </c>
      <c r="H5403" t="s">
        <v>432</v>
      </c>
    </row>
    <row r="5404" spans="1:8" hidden="1" x14ac:dyDescent="0.25">
      <c r="A5404" t="s">
        <v>7015</v>
      </c>
      <c r="B5404" s="1" t="str">
        <f>HYPERLINK("https://asmlis.vasa.lt/Dashboard/Served?ServiceDateFrom=2025-11-24&amp;ServiceDateTo=2025-11-24&amp;DumpsterInvNr=13-L-202099", "13-L-202099")</f>
        <v>13-L-202099</v>
      </c>
      <c r="C5404">
        <v>1.1000000000000001</v>
      </c>
      <c r="D5404" t="s">
        <v>7454</v>
      </c>
      <c r="E5404" t="s">
        <v>11</v>
      </c>
      <c r="G5404" t="s">
        <v>936</v>
      </c>
      <c r="H5404" t="s">
        <v>938</v>
      </c>
    </row>
    <row r="5405" spans="1:8" hidden="1" x14ac:dyDescent="0.25">
      <c r="A5405" t="s">
        <v>7015</v>
      </c>
      <c r="B5405" s="1" t="str">
        <f>HYPERLINK("https://asmlis.vasa.lt/Dashboard/Served?ServiceDateFrom=2025-11-24&amp;ServiceDateTo=2025-11-24&amp;DumpsterInvNr=13-L-149103", "13-L-149103")</f>
        <v>13-L-149103</v>
      </c>
      <c r="C5405">
        <v>1.1000000000000001</v>
      </c>
      <c r="D5405" t="s">
        <v>7474</v>
      </c>
      <c r="E5405" t="s">
        <v>11</v>
      </c>
      <c r="G5405" t="s">
        <v>1912</v>
      </c>
      <c r="H5405" t="s">
        <v>432</v>
      </c>
    </row>
    <row r="5406" spans="1:8" hidden="1" x14ac:dyDescent="0.25">
      <c r="A5406" t="s">
        <v>7019</v>
      </c>
      <c r="B5406" s="1" t="str">
        <f>HYPERLINK("https://asmlis.vasa.lt/Dashboard/Served?ServiceDateFrom=2025-11-24&amp;ServiceDateTo=2025-11-24&amp;DumpsterInvNr=13-L-209972", "13-L-209972")</f>
        <v>13-L-209972</v>
      </c>
      <c r="C5406">
        <v>0.24</v>
      </c>
      <c r="D5406" t="s">
        <v>6434</v>
      </c>
      <c r="E5406" t="s">
        <v>11</v>
      </c>
      <c r="F5406" t="s">
        <v>1209</v>
      </c>
      <c r="G5406" t="s">
        <v>936</v>
      </c>
      <c r="H5406" t="s">
        <v>938</v>
      </c>
    </row>
    <row r="5407" spans="1:8" hidden="1" x14ac:dyDescent="0.25">
      <c r="A5407" t="s">
        <v>7477</v>
      </c>
      <c r="B5407" s="1" t="str">
        <f>HYPERLINK("https://asmlis.vasa.lt/Dashboard/Served?ServiceDateFrom=2025-11-24&amp;ServiceDateTo=2025-11-24&amp;DumpsterInvNr=13-L-401528", "13-L-401528")</f>
        <v>13-L-401528</v>
      </c>
      <c r="C5407">
        <v>0.24</v>
      </c>
      <c r="D5407" t="s">
        <v>3733</v>
      </c>
      <c r="E5407" t="s">
        <v>11</v>
      </c>
      <c r="F5407" t="s">
        <v>1209</v>
      </c>
      <c r="G5407" t="s">
        <v>74</v>
      </c>
      <c r="H5407" t="s">
        <v>14</v>
      </c>
    </row>
    <row r="5408" spans="1:8" hidden="1" x14ac:dyDescent="0.25">
      <c r="A5408" t="s">
        <v>7035</v>
      </c>
      <c r="B5408" s="1" t="str">
        <f>HYPERLINK("https://asmlis.vasa.lt/Dashboard/Served?ServiceDateFrom=2025-11-24&amp;ServiceDateTo=2025-11-24&amp;DumpsterInvNr=13-L-425677", "13-L-425677")</f>
        <v>13-L-425677</v>
      </c>
      <c r="C5408">
        <v>5</v>
      </c>
      <c r="D5408" t="s">
        <v>1680</v>
      </c>
      <c r="E5408" t="s">
        <v>11</v>
      </c>
      <c r="G5408" t="s">
        <v>74</v>
      </c>
      <c r="H5408" t="s">
        <v>14</v>
      </c>
    </row>
    <row r="5409" spans="1:8" hidden="1" x14ac:dyDescent="0.25">
      <c r="A5409" t="s">
        <v>7035</v>
      </c>
      <c r="B5409" s="1" t="str">
        <f>HYPERLINK("https://asmlis.vasa.lt/Dashboard/Served?ServiceDateFrom=2025-11-24&amp;ServiceDateTo=2025-11-24&amp;DumpsterInvNr=13-M-205761", "13-M-205761")</f>
        <v>13-M-205761</v>
      </c>
      <c r="C5409">
        <v>0.12</v>
      </c>
      <c r="D5409" t="s">
        <v>7479</v>
      </c>
      <c r="E5409" t="s">
        <v>11</v>
      </c>
      <c r="F5409" t="s">
        <v>1209</v>
      </c>
      <c r="G5409" t="s">
        <v>4876</v>
      </c>
      <c r="H5409" t="s">
        <v>938</v>
      </c>
    </row>
    <row r="5410" spans="1:8" hidden="1" x14ac:dyDescent="0.25">
      <c r="A5410" t="s">
        <v>7480</v>
      </c>
      <c r="B5410" s="1" t="str">
        <f>HYPERLINK("https://asmlis.vasa.lt/Dashboard/Served?ServiceDateFrom=2025-11-24&amp;ServiceDateTo=2025-11-24&amp;DumpsterInvNr=13-S-207898", "13-S-207898")</f>
        <v>13-S-207898</v>
      </c>
      <c r="C5410">
        <v>3</v>
      </c>
      <c r="D5410" t="s">
        <v>7481</v>
      </c>
      <c r="E5410" t="s">
        <v>11</v>
      </c>
      <c r="F5410" t="s">
        <v>13</v>
      </c>
      <c r="G5410" t="s">
        <v>234</v>
      </c>
      <c r="H5410" t="s">
        <v>14</v>
      </c>
    </row>
    <row r="5411" spans="1:8" hidden="1" x14ac:dyDescent="0.25">
      <c r="A5411" t="s">
        <v>7482</v>
      </c>
      <c r="B5411" s="1" t="str">
        <f>HYPERLINK("https://asmlis.vasa.lt/Dashboard/Served?ServiceDateFrom=2025-11-24&amp;ServiceDateTo=2025-11-24&amp;DumpsterInvNr=13-L-111228", "13-L-111228")</f>
        <v>13-L-111228</v>
      </c>
      <c r="C5411">
        <v>0.12</v>
      </c>
      <c r="D5411" t="s">
        <v>7483</v>
      </c>
      <c r="E5411" t="s">
        <v>11</v>
      </c>
      <c r="G5411" t="s">
        <v>1912</v>
      </c>
      <c r="H5411" t="s">
        <v>432</v>
      </c>
    </row>
    <row r="5412" spans="1:8" hidden="1" x14ac:dyDescent="0.25">
      <c r="A5412" t="s">
        <v>7482</v>
      </c>
      <c r="B5412" s="1" t="str">
        <f>HYPERLINK("https://asmlis.vasa.lt/Dashboard/Served?ServiceDateFrom=2025-11-24&amp;ServiceDateTo=2025-11-24&amp;DumpsterInvNr=13-P-103661", "13-P-103661")</f>
        <v>13-P-103661</v>
      </c>
      <c r="C5412">
        <v>0.24</v>
      </c>
      <c r="D5412" t="s">
        <v>7483</v>
      </c>
      <c r="E5412" t="s">
        <v>11</v>
      </c>
      <c r="G5412" t="s">
        <v>1917</v>
      </c>
      <c r="H5412" t="s">
        <v>432</v>
      </c>
    </row>
    <row r="5413" spans="1:8" hidden="1" x14ac:dyDescent="0.25">
      <c r="A5413" t="s">
        <v>7484</v>
      </c>
      <c r="B5413" s="1" t="str">
        <f>HYPERLINK("https://asmlis.vasa.lt/Dashboard/Served?ServiceDateFrom=2025-11-24&amp;ServiceDateTo=2025-11-24&amp;DumpsterInvNr=13-L-222252", "13-L-222252")</f>
        <v>13-L-222252</v>
      </c>
      <c r="C5413">
        <v>1.1000000000000001</v>
      </c>
      <c r="D5413" t="s">
        <v>7192</v>
      </c>
      <c r="E5413" t="s">
        <v>11</v>
      </c>
      <c r="F5413" t="s">
        <v>13</v>
      </c>
      <c r="G5413" t="s">
        <v>936</v>
      </c>
      <c r="H5413" t="s">
        <v>938</v>
      </c>
    </row>
    <row r="5414" spans="1:8" hidden="1" x14ac:dyDescent="0.25">
      <c r="A5414" t="s">
        <v>7173</v>
      </c>
      <c r="B5414" s="1" t="str">
        <f>HYPERLINK("https://asmlis.vasa.lt/Dashboard/Served?ServiceDateFrom=2025-11-24&amp;ServiceDateTo=2025-11-24&amp;DumpsterInvNr=13-L-115258", "13-L-115258")</f>
        <v>13-L-115258</v>
      </c>
      <c r="C5414">
        <v>0.77</v>
      </c>
      <c r="D5414" t="s">
        <v>7485</v>
      </c>
      <c r="E5414" t="s">
        <v>11</v>
      </c>
      <c r="G5414" t="s">
        <v>430</v>
      </c>
      <c r="H5414" t="s">
        <v>432</v>
      </c>
    </row>
    <row r="5415" spans="1:8" hidden="1" x14ac:dyDescent="0.25">
      <c r="A5415" t="s">
        <v>7173</v>
      </c>
      <c r="B5415" s="1" t="str">
        <f>HYPERLINK("https://asmlis.vasa.lt/Dashboard/Served?ServiceDateFrom=2025-11-24&amp;ServiceDateTo=2025-11-24&amp;DumpsterInvNr=13-L-421200", "13-L-421200")</f>
        <v>13-L-421200</v>
      </c>
      <c r="C5415">
        <v>5</v>
      </c>
      <c r="D5415" t="s">
        <v>7486</v>
      </c>
      <c r="E5415" t="s">
        <v>11</v>
      </c>
      <c r="F5415" t="s">
        <v>13</v>
      </c>
      <c r="G5415" t="s">
        <v>74</v>
      </c>
      <c r="H5415" t="s">
        <v>14</v>
      </c>
    </row>
    <row r="5416" spans="1:8" hidden="1" x14ac:dyDescent="0.25">
      <c r="A5416" t="s">
        <v>7487</v>
      </c>
      <c r="B5416" s="1" t="str">
        <f>HYPERLINK("https://asmlis.vasa.lt/Dashboard/Served?ServiceDateFrom=2025-11-24&amp;ServiceDateTo=2025-11-24&amp;DumpsterInvNr=13-P-416358", "13-P-416358")</f>
        <v>13-P-416358</v>
      </c>
      <c r="C5416">
        <v>1.1000000000000001</v>
      </c>
      <c r="D5416" t="s">
        <v>7489</v>
      </c>
      <c r="E5416" t="s">
        <v>11</v>
      </c>
      <c r="F5416" t="s">
        <v>13</v>
      </c>
      <c r="G5416" t="s">
        <v>264</v>
      </c>
      <c r="H5416" t="s">
        <v>14</v>
      </c>
    </row>
    <row r="5417" spans="1:8" hidden="1" x14ac:dyDescent="0.25">
      <c r="A5417" t="s">
        <v>7490</v>
      </c>
      <c r="B5417" s="1" t="str">
        <f>HYPERLINK("https://asmlis.vasa.lt/Dashboard/Served?ServiceDateFrom=2025-11-24&amp;ServiceDateTo=2025-11-24&amp;DumpsterInvNr=13-L-219059", "13-L-219059")</f>
        <v>13-L-219059</v>
      </c>
      <c r="C5417">
        <v>1.1000000000000001</v>
      </c>
      <c r="D5417" t="s">
        <v>7413</v>
      </c>
      <c r="E5417" t="s">
        <v>11</v>
      </c>
      <c r="F5417" t="s">
        <v>13</v>
      </c>
      <c r="G5417" t="s">
        <v>936</v>
      </c>
      <c r="H5417" t="s">
        <v>938</v>
      </c>
    </row>
    <row r="5418" spans="1:8" hidden="1" x14ac:dyDescent="0.25">
      <c r="A5418" t="s">
        <v>7491</v>
      </c>
      <c r="B5418" s="1" t="str">
        <f>HYPERLINK("https://asmlis.vasa.lt/Dashboard/Served?ServiceDateFrom=2025-11-24&amp;ServiceDateTo=2025-11-24&amp;DumpsterInvNr=13-L-148968", "13-L-148968")</f>
        <v>13-L-148968</v>
      </c>
      <c r="C5418">
        <v>1.1000000000000001</v>
      </c>
      <c r="D5418" t="s">
        <v>7474</v>
      </c>
      <c r="E5418" t="s">
        <v>11</v>
      </c>
      <c r="G5418" t="s">
        <v>1912</v>
      </c>
      <c r="H5418" t="s">
        <v>432</v>
      </c>
    </row>
    <row r="5419" spans="1:8" hidden="1" x14ac:dyDescent="0.25">
      <c r="A5419" t="s">
        <v>7492</v>
      </c>
      <c r="B5419" s="1" t="str">
        <f>HYPERLINK("https://asmlis.vasa.lt/Dashboard/Served?ServiceDateFrom=2025-11-24&amp;ServiceDateTo=2025-11-24&amp;DumpsterInvNr=13-L-138778", "13-L-138778")</f>
        <v>13-L-138778</v>
      </c>
      <c r="C5419">
        <v>5</v>
      </c>
      <c r="D5419" t="s">
        <v>7493</v>
      </c>
      <c r="E5419" t="s">
        <v>11</v>
      </c>
      <c r="F5419" t="s">
        <v>13</v>
      </c>
      <c r="G5419" t="s">
        <v>430</v>
      </c>
      <c r="H5419" t="s">
        <v>432</v>
      </c>
    </row>
    <row r="5420" spans="1:8" hidden="1" x14ac:dyDescent="0.25">
      <c r="A5420" t="s">
        <v>7494</v>
      </c>
      <c r="B5420" s="1" t="str">
        <f>HYPERLINK("https://asmlis.vasa.lt/Dashboard/Served?ServiceDateFrom=2025-11-24&amp;ServiceDateTo=2025-11-24&amp;DumpsterInvNr=13-L-313551", "13-L-313551")</f>
        <v>13-L-313551</v>
      </c>
      <c r="C5420">
        <v>1.1000000000000001</v>
      </c>
      <c r="D5420" t="s">
        <v>7495</v>
      </c>
      <c r="E5420" t="s">
        <v>11</v>
      </c>
      <c r="G5420" t="s">
        <v>9</v>
      </c>
      <c r="H5420" t="s">
        <v>14</v>
      </c>
    </row>
    <row r="5421" spans="1:8" hidden="1" x14ac:dyDescent="0.25">
      <c r="A5421" t="s">
        <v>7494</v>
      </c>
      <c r="B5421" s="1" t="str">
        <f>HYPERLINK("https://asmlis.vasa.lt/Dashboard/Served?ServiceDateFrom=2025-11-24&amp;ServiceDateTo=2025-11-24&amp;DumpsterInvNr=13-P-416159", "13-P-416159")</f>
        <v>13-P-416159</v>
      </c>
      <c r="C5421">
        <v>1.1000000000000001</v>
      </c>
      <c r="D5421" t="s">
        <v>7489</v>
      </c>
      <c r="E5421" t="s">
        <v>11</v>
      </c>
      <c r="F5421" t="s">
        <v>13</v>
      </c>
      <c r="G5421" t="s">
        <v>264</v>
      </c>
      <c r="H5421" t="s">
        <v>14</v>
      </c>
    </row>
    <row r="5422" spans="1:8" hidden="1" x14ac:dyDescent="0.25">
      <c r="A5422" t="s">
        <v>7496</v>
      </c>
      <c r="B5422" s="1" t="str">
        <f>HYPERLINK("https://asmlis.vasa.lt/Dashboard/Served?ServiceDateFrom=2025-11-24&amp;ServiceDateTo=2025-11-24&amp;DumpsterInvNr=13-P-400807", "13-P-400807")</f>
        <v>13-P-400807</v>
      </c>
      <c r="C5422">
        <v>0.24</v>
      </c>
      <c r="D5422" t="s">
        <v>7497</v>
      </c>
      <c r="E5422" t="s">
        <v>11</v>
      </c>
      <c r="F5422" t="s">
        <v>1209</v>
      </c>
      <c r="G5422" t="s">
        <v>264</v>
      </c>
      <c r="H5422" t="s">
        <v>14</v>
      </c>
    </row>
    <row r="5423" spans="1:8" hidden="1" x14ac:dyDescent="0.25">
      <c r="A5423" t="s">
        <v>7499</v>
      </c>
      <c r="B5423" s="1" t="str">
        <f>HYPERLINK("https://asmlis.vasa.lt/Dashboard/Served?ServiceDateFrom=2025-11-24&amp;ServiceDateTo=2025-11-24&amp;DumpsterInvNr=13-P-404455", "13-P-404455")</f>
        <v>13-P-404455</v>
      </c>
      <c r="C5423">
        <v>0.24</v>
      </c>
      <c r="D5423" t="s">
        <v>7500</v>
      </c>
      <c r="E5423" t="s">
        <v>11</v>
      </c>
      <c r="F5423" t="s">
        <v>1209</v>
      </c>
      <c r="G5423" t="s">
        <v>264</v>
      </c>
      <c r="H5423" t="s">
        <v>14</v>
      </c>
    </row>
    <row r="5424" spans="1:8" hidden="1" x14ac:dyDescent="0.25">
      <c r="A5424" t="s">
        <v>7499</v>
      </c>
      <c r="B5424" s="1" t="str">
        <f>HYPERLINK("https://asmlis.vasa.lt/Dashboard/Served?ServiceDateFrom=2025-11-24&amp;ServiceDateTo=2025-11-24&amp;DumpsterInvNr=13-M-205780", "13-M-205780")</f>
        <v>13-M-205780</v>
      </c>
      <c r="C5424">
        <v>0.12</v>
      </c>
      <c r="D5424" t="s">
        <v>7502</v>
      </c>
      <c r="E5424" t="s">
        <v>11</v>
      </c>
      <c r="G5424" t="s">
        <v>4876</v>
      </c>
      <c r="H5424" t="s">
        <v>938</v>
      </c>
    </row>
    <row r="5425" spans="1:8" hidden="1" x14ac:dyDescent="0.25">
      <c r="A5425" t="s">
        <v>7503</v>
      </c>
      <c r="B5425" s="1" t="str">
        <f>HYPERLINK("https://asmlis.vasa.lt/Dashboard/Served?ServiceDateFrom=2025-11-24&amp;ServiceDateTo=2025-11-24&amp;DumpsterInvNr=13-L-420490", "13-L-420490")</f>
        <v>13-L-420490</v>
      </c>
      <c r="C5425">
        <v>0.24</v>
      </c>
      <c r="D5425" t="s">
        <v>3784</v>
      </c>
      <c r="E5425" t="s">
        <v>11</v>
      </c>
      <c r="G5425" t="s">
        <v>74</v>
      </c>
      <c r="H5425" t="s">
        <v>14</v>
      </c>
    </row>
    <row r="5426" spans="1:8" hidden="1" x14ac:dyDescent="0.25">
      <c r="A5426" t="s">
        <v>7504</v>
      </c>
      <c r="B5426" s="1" t="str">
        <f>HYPERLINK("https://asmlis.vasa.lt/Dashboard/Served?ServiceDateFrom=2025-11-24&amp;ServiceDateTo=2025-11-24&amp;DumpsterInvNr=13-S-208738", "13-S-208738")</f>
        <v>13-S-208738</v>
      </c>
      <c r="C5426">
        <v>0.12</v>
      </c>
      <c r="D5426" t="s">
        <v>7462</v>
      </c>
      <c r="E5426" t="s">
        <v>11</v>
      </c>
      <c r="F5426" t="s">
        <v>1209</v>
      </c>
      <c r="G5426" t="s">
        <v>234</v>
      </c>
      <c r="H5426" t="s">
        <v>14</v>
      </c>
    </row>
    <row r="5427" spans="1:8" hidden="1" x14ac:dyDescent="0.25">
      <c r="A5427" t="s">
        <v>7505</v>
      </c>
      <c r="B5427" s="1" t="str">
        <f>HYPERLINK("https://asmlis.vasa.lt/Dashboard/Served?ServiceDateFrom=2025-11-24&amp;ServiceDateTo=2025-11-24&amp;DumpsterInvNr=13-L-424312", "13-L-424312")</f>
        <v>13-L-424312</v>
      </c>
      <c r="C5427">
        <v>5</v>
      </c>
      <c r="D5427" t="s">
        <v>7506</v>
      </c>
      <c r="E5427" t="s">
        <v>11</v>
      </c>
      <c r="F5427" t="s">
        <v>13</v>
      </c>
      <c r="G5427" t="s">
        <v>74</v>
      </c>
      <c r="H5427" t="s">
        <v>14</v>
      </c>
    </row>
    <row r="5428" spans="1:8" hidden="1" x14ac:dyDescent="0.25">
      <c r="A5428" t="s">
        <v>7507</v>
      </c>
      <c r="B5428" s="1" t="str">
        <f>HYPERLINK("https://asmlis.vasa.lt/Dashboard/Served?ServiceDateFrom=2025-11-24&amp;ServiceDateTo=2025-11-24&amp;DumpsterInvNr=13-P-416619", "13-P-416619")</f>
        <v>13-P-416619</v>
      </c>
      <c r="C5428">
        <v>2.5</v>
      </c>
      <c r="D5428" t="s">
        <v>7468</v>
      </c>
      <c r="E5428" t="s">
        <v>11</v>
      </c>
      <c r="F5428" t="s">
        <v>13</v>
      </c>
      <c r="G5428" t="s">
        <v>264</v>
      </c>
      <c r="H5428" t="s">
        <v>14</v>
      </c>
    </row>
    <row r="5429" spans="1:8" hidden="1" x14ac:dyDescent="0.25">
      <c r="A5429" t="s">
        <v>7508</v>
      </c>
      <c r="B5429" s="1" t="str">
        <f>HYPERLINK("https://asmlis.vasa.lt/Dashboard/Served?ServiceDateFrom=2025-11-24&amp;ServiceDateTo=2025-11-24&amp;DumpsterInvNr=13-P-213036", "13-P-213036")</f>
        <v>13-P-213036</v>
      </c>
      <c r="C5429">
        <v>1.1000000000000001</v>
      </c>
      <c r="D5429" t="s">
        <v>7509</v>
      </c>
      <c r="E5429" t="s">
        <v>11</v>
      </c>
      <c r="G5429" t="s">
        <v>234</v>
      </c>
      <c r="H5429" t="s">
        <v>14</v>
      </c>
    </row>
    <row r="5430" spans="1:8" hidden="1" x14ac:dyDescent="0.25">
      <c r="A5430" t="s">
        <v>7510</v>
      </c>
      <c r="B5430" s="1" t="str">
        <f>HYPERLINK("https://asmlis.vasa.lt/Dashboard/Served?ServiceDateFrom=2025-11-24&amp;ServiceDateTo=2025-11-24&amp;DumpsterInvNr=13-P-408913", "13-P-408913")</f>
        <v>13-P-408913</v>
      </c>
      <c r="C5430">
        <v>0.12</v>
      </c>
      <c r="D5430" t="s">
        <v>7511</v>
      </c>
      <c r="E5430" t="s">
        <v>11</v>
      </c>
      <c r="G5430" t="s">
        <v>264</v>
      </c>
      <c r="H5430" t="s">
        <v>14</v>
      </c>
    </row>
    <row r="5431" spans="1:8" hidden="1" x14ac:dyDescent="0.25">
      <c r="A5431" t="s">
        <v>7512</v>
      </c>
      <c r="B5431" s="1" t="str">
        <f>HYPERLINK("https://asmlis.vasa.lt/Dashboard/Served?ServiceDateFrom=2025-11-24&amp;ServiceDateTo=2025-11-24&amp;DumpsterInvNr=13-L-222587", "13-L-222587")</f>
        <v>13-L-222587</v>
      </c>
      <c r="C5431">
        <v>1.1000000000000001</v>
      </c>
      <c r="D5431" t="s">
        <v>2204</v>
      </c>
      <c r="E5431" t="s">
        <v>11</v>
      </c>
      <c r="G5431" t="s">
        <v>936</v>
      </c>
      <c r="H5431" t="s">
        <v>938</v>
      </c>
    </row>
    <row r="5432" spans="1:8" hidden="1" x14ac:dyDescent="0.25">
      <c r="A5432" t="s">
        <v>7512</v>
      </c>
      <c r="B5432" s="1" t="str">
        <f>HYPERLINK("https://asmlis.vasa.lt/Dashboard/Served?ServiceDateFrom=2025-11-24&amp;ServiceDateTo=2025-11-24&amp;DumpsterInvNr=13-P-505372", "13-P-505372")</f>
        <v>13-P-505372</v>
      </c>
      <c r="C5432">
        <v>0.24</v>
      </c>
      <c r="D5432" t="s">
        <v>7513</v>
      </c>
      <c r="E5432" t="s">
        <v>11</v>
      </c>
      <c r="G5432" t="s">
        <v>2178</v>
      </c>
      <c r="H5432" t="s">
        <v>432</v>
      </c>
    </row>
    <row r="5433" spans="1:8" hidden="1" x14ac:dyDescent="0.25">
      <c r="A5433" t="s">
        <v>7512</v>
      </c>
      <c r="B5433" s="1" t="str">
        <f>HYPERLINK("https://asmlis.vasa.lt/Dashboard/Served?ServiceDateFrom=2025-11-24&amp;ServiceDateTo=2025-11-24&amp;DumpsterInvNr=13-P-502813", "13-P-502813")</f>
        <v>13-P-502813</v>
      </c>
      <c r="C5433">
        <v>0.24</v>
      </c>
      <c r="D5433" t="s">
        <v>7514</v>
      </c>
      <c r="E5433" t="s">
        <v>11</v>
      </c>
      <c r="G5433" t="s">
        <v>2178</v>
      </c>
      <c r="H5433" t="s">
        <v>432</v>
      </c>
    </row>
    <row r="5434" spans="1:8" hidden="1" x14ac:dyDescent="0.25">
      <c r="A5434" t="s">
        <v>7110</v>
      </c>
      <c r="B5434" s="1" t="str">
        <f>HYPERLINK("https://asmlis.vasa.lt/Dashboard/Served?ServiceDateFrom=2025-11-24&amp;ServiceDateTo=2025-11-24&amp;DumpsterInvNr=13-L-217445", "13-L-217445")</f>
        <v>13-L-217445</v>
      </c>
      <c r="C5434">
        <v>1.1000000000000001</v>
      </c>
      <c r="D5434" t="s">
        <v>7515</v>
      </c>
      <c r="E5434" t="s">
        <v>11</v>
      </c>
      <c r="G5434" t="s">
        <v>936</v>
      </c>
      <c r="H5434" t="s">
        <v>938</v>
      </c>
    </row>
    <row r="5435" spans="1:8" hidden="1" x14ac:dyDescent="0.25">
      <c r="A5435" t="s">
        <v>7110</v>
      </c>
      <c r="B5435" s="1" t="str">
        <f>HYPERLINK("https://asmlis.vasa.lt/Dashboard/Served?ServiceDateFrom=2025-11-24&amp;ServiceDateTo=2025-11-24&amp;DumpsterInvNr=13-L-215523", "13-L-215523")</f>
        <v>13-L-215523</v>
      </c>
      <c r="C5435">
        <v>0.24</v>
      </c>
      <c r="D5435" t="s">
        <v>6387</v>
      </c>
      <c r="E5435" t="s">
        <v>11</v>
      </c>
      <c r="F5435" t="s">
        <v>13</v>
      </c>
      <c r="G5435" t="s">
        <v>936</v>
      </c>
      <c r="H5435" t="s">
        <v>938</v>
      </c>
    </row>
    <row r="5436" spans="1:8" hidden="1" x14ac:dyDescent="0.25">
      <c r="A5436" t="s">
        <v>7268</v>
      </c>
      <c r="B5436" s="1" t="str">
        <f>HYPERLINK("https://asmlis.vasa.lt/Dashboard/Served?ServiceDateFrom=2025-11-24&amp;ServiceDateTo=2025-11-24&amp;DumpsterInvNr=13-L-116949", "13-L-116949")</f>
        <v>13-L-116949</v>
      </c>
      <c r="C5436">
        <v>1.1000000000000001</v>
      </c>
      <c r="D5436" t="s">
        <v>7517</v>
      </c>
      <c r="E5436" t="s">
        <v>11</v>
      </c>
      <c r="G5436" t="s">
        <v>430</v>
      </c>
      <c r="H5436" t="s">
        <v>432</v>
      </c>
    </row>
    <row r="5437" spans="1:8" hidden="1" x14ac:dyDescent="0.25">
      <c r="A5437" t="s">
        <v>7518</v>
      </c>
      <c r="B5437" s="1" t="str">
        <f>HYPERLINK("https://asmlis.vasa.lt/Dashboard/Served?ServiceDateFrom=2025-11-24&amp;ServiceDateTo=2025-11-24&amp;DumpsterInvNr=13-L-140261", "13-L-140261")</f>
        <v>13-L-140261</v>
      </c>
      <c r="C5437">
        <v>0.24</v>
      </c>
      <c r="D5437" t="s">
        <v>7513</v>
      </c>
      <c r="E5437" t="s">
        <v>11</v>
      </c>
      <c r="G5437" t="s">
        <v>430</v>
      </c>
      <c r="H5437" t="s">
        <v>432</v>
      </c>
    </row>
    <row r="5438" spans="1:8" hidden="1" x14ac:dyDescent="0.25">
      <c r="A5438" t="s">
        <v>7518</v>
      </c>
      <c r="B5438" s="1" t="str">
        <f>HYPERLINK("https://asmlis.vasa.lt/Dashboard/Served?ServiceDateFrom=2025-11-24&amp;ServiceDateTo=2025-11-24&amp;DumpsterInvNr=13-P-102567", "13-P-102567")</f>
        <v>13-P-102567</v>
      </c>
      <c r="C5438">
        <v>0.24</v>
      </c>
      <c r="D5438" t="s">
        <v>7519</v>
      </c>
      <c r="E5438" t="s">
        <v>11</v>
      </c>
      <c r="G5438" t="s">
        <v>1917</v>
      </c>
      <c r="H5438" t="s">
        <v>432</v>
      </c>
    </row>
    <row r="5439" spans="1:8" hidden="1" x14ac:dyDescent="0.25">
      <c r="A5439" t="s">
        <v>7375</v>
      </c>
      <c r="B5439" s="1" t="str">
        <f>HYPERLINK("https://asmlis.vasa.lt/Dashboard/Served?ServiceDateFrom=2025-11-24&amp;ServiceDateTo=2025-11-24&amp;DumpsterInvNr=13-L-147468", "13-L-147468")</f>
        <v>13-L-147468</v>
      </c>
      <c r="C5439">
        <v>5</v>
      </c>
      <c r="D5439" t="s">
        <v>7520</v>
      </c>
      <c r="E5439" t="s">
        <v>11</v>
      </c>
      <c r="F5439" t="s">
        <v>13</v>
      </c>
      <c r="G5439" t="s">
        <v>430</v>
      </c>
      <c r="H5439" t="s">
        <v>432</v>
      </c>
    </row>
    <row r="5440" spans="1:8" hidden="1" x14ac:dyDescent="0.25">
      <c r="A5440" t="s">
        <v>7522</v>
      </c>
      <c r="B5440" s="1" t="str">
        <f>HYPERLINK("https://asmlis.vasa.lt/Dashboard/Served?ServiceDateFrom=2025-11-24&amp;ServiceDateTo=2025-11-24&amp;DumpsterInvNr=13-L-225810", "13-L-225810")</f>
        <v>13-L-225810</v>
      </c>
      <c r="C5440">
        <v>0.12</v>
      </c>
      <c r="D5440" t="s">
        <v>2204</v>
      </c>
      <c r="E5440" t="s">
        <v>11</v>
      </c>
      <c r="F5440" t="s">
        <v>13</v>
      </c>
      <c r="G5440" t="s">
        <v>936</v>
      </c>
      <c r="H5440" t="s">
        <v>938</v>
      </c>
    </row>
    <row r="5441" spans="1:8" hidden="1" x14ac:dyDescent="0.25">
      <c r="A5441" t="s">
        <v>7523</v>
      </c>
      <c r="B5441" s="1" t="str">
        <f>HYPERLINK("https://asmlis.vasa.lt/Dashboard/Served?ServiceDateFrom=2025-11-24&amp;ServiceDateTo=2025-11-24&amp;DumpsterInvNr=13-L-140119", "13-L-140119")</f>
        <v>13-L-140119</v>
      </c>
      <c r="C5441">
        <v>0.24</v>
      </c>
      <c r="D5441" t="s">
        <v>7519</v>
      </c>
      <c r="E5441" t="s">
        <v>11</v>
      </c>
      <c r="G5441" t="s">
        <v>1912</v>
      </c>
      <c r="H5441" t="s">
        <v>432</v>
      </c>
    </row>
    <row r="5442" spans="1:8" hidden="1" x14ac:dyDescent="0.25">
      <c r="A5442" t="s">
        <v>7524</v>
      </c>
      <c r="B5442" s="1" t="str">
        <f>HYPERLINK("https://asmlis.vasa.lt/Dashboard/Served?ServiceDateFrom=2025-11-24&amp;ServiceDateTo=2025-11-24&amp;DumpsterInvNr=13-M-205778", "13-M-205778")</f>
        <v>13-M-205778</v>
      </c>
      <c r="C5442">
        <v>0.12</v>
      </c>
      <c r="D5442" t="s">
        <v>7525</v>
      </c>
      <c r="E5442" t="s">
        <v>11</v>
      </c>
      <c r="G5442" t="s">
        <v>4876</v>
      </c>
      <c r="H5442" t="s">
        <v>938</v>
      </c>
    </row>
    <row r="5443" spans="1:8" hidden="1" x14ac:dyDescent="0.25">
      <c r="A5443" t="s">
        <v>7526</v>
      </c>
      <c r="B5443" s="1" t="str">
        <f>HYPERLINK("https://asmlis.vasa.lt/Dashboard/Served?ServiceDateFrom=2025-11-24&amp;ServiceDateTo=2025-11-24&amp;DumpsterInvNr=13-L-215702", "13-L-215702")</f>
        <v>13-L-215702</v>
      </c>
      <c r="C5443">
        <v>1.1000000000000001</v>
      </c>
      <c r="D5443" t="s">
        <v>7515</v>
      </c>
      <c r="E5443" t="s">
        <v>11</v>
      </c>
      <c r="G5443" t="s">
        <v>936</v>
      </c>
      <c r="H5443" t="s">
        <v>938</v>
      </c>
    </row>
    <row r="5444" spans="1:8" hidden="1" x14ac:dyDescent="0.25">
      <c r="A5444" t="s">
        <v>7478</v>
      </c>
      <c r="B5444" s="1" t="str">
        <f>HYPERLINK("https://asmlis.vasa.lt/Dashboard/Served?ServiceDateFrom=2025-11-24&amp;ServiceDateTo=2025-11-24&amp;DumpsterInvNr=13-L-135792", "13-L-135792")</f>
        <v>13-L-135792</v>
      </c>
      <c r="C5444">
        <v>5</v>
      </c>
      <c r="D5444" t="s">
        <v>7520</v>
      </c>
      <c r="E5444" t="s">
        <v>11</v>
      </c>
      <c r="F5444" t="s">
        <v>13</v>
      </c>
      <c r="G5444" t="s">
        <v>430</v>
      </c>
      <c r="H5444" t="s">
        <v>432</v>
      </c>
    </row>
    <row r="5445" spans="1:8" hidden="1" x14ac:dyDescent="0.25">
      <c r="A5445" t="s">
        <v>6974</v>
      </c>
      <c r="B5445" s="1" t="str">
        <f>HYPERLINK("https://asmlis.vasa.lt/Dashboard/Served?ServiceDateFrom=2025-11-24&amp;ServiceDateTo=2025-11-24&amp;DumpsterInvNr=13-L-116947", "13-L-116947")</f>
        <v>13-L-116947</v>
      </c>
      <c r="C5445">
        <v>1.1000000000000001</v>
      </c>
      <c r="D5445" t="s">
        <v>7517</v>
      </c>
      <c r="E5445" t="s">
        <v>11</v>
      </c>
      <c r="G5445" t="s">
        <v>430</v>
      </c>
      <c r="H5445" t="s">
        <v>432</v>
      </c>
    </row>
    <row r="5446" spans="1:8" hidden="1" x14ac:dyDescent="0.25">
      <c r="A5446" t="s">
        <v>6974</v>
      </c>
      <c r="B5446" s="1" t="str">
        <f>HYPERLINK("https://asmlis.vasa.lt/Dashboard/Served?ServiceDateFrom=2025-11-24&amp;ServiceDateTo=2025-11-24&amp;DumpsterInvNr=13-P-208608", "13-P-208608")</f>
        <v>13-P-208608</v>
      </c>
      <c r="C5446">
        <v>0.24</v>
      </c>
      <c r="D5446" t="s">
        <v>6920</v>
      </c>
      <c r="E5446" t="s">
        <v>11</v>
      </c>
      <c r="F5446" t="s">
        <v>1209</v>
      </c>
      <c r="G5446" t="s">
        <v>234</v>
      </c>
      <c r="H5446" t="s">
        <v>14</v>
      </c>
    </row>
    <row r="5447" spans="1:8" hidden="1" x14ac:dyDescent="0.25">
      <c r="A5447" t="s">
        <v>7528</v>
      </c>
      <c r="B5447" s="1" t="str">
        <f>HYPERLINK("https://asmlis.vasa.lt/Dashboard/Served?ServiceDateFrom=2025-11-24&amp;ServiceDateTo=2025-11-24&amp;DumpsterInvNr=13-P-404500", "13-P-404500")</f>
        <v>13-P-404500</v>
      </c>
      <c r="C5447">
        <v>0.24</v>
      </c>
      <c r="D5447" t="s">
        <v>7529</v>
      </c>
      <c r="E5447" t="s">
        <v>11</v>
      </c>
      <c r="G5447" t="s">
        <v>264</v>
      </c>
      <c r="H5447" t="s">
        <v>14</v>
      </c>
    </row>
    <row r="5448" spans="1:8" hidden="1" x14ac:dyDescent="0.25">
      <c r="A5448" t="s">
        <v>7528</v>
      </c>
      <c r="B5448" s="1" t="str">
        <f>HYPERLINK("https://asmlis.vasa.lt/Dashboard/Served?ServiceDateFrom=2025-11-24&amp;ServiceDateTo=2025-11-24&amp;DumpsterInvNr=13-P-208687", "13-P-208687")</f>
        <v>13-P-208687</v>
      </c>
      <c r="C5448">
        <v>0.24</v>
      </c>
      <c r="D5448" t="s">
        <v>6924</v>
      </c>
      <c r="E5448" t="s">
        <v>11</v>
      </c>
      <c r="F5448" t="s">
        <v>1209</v>
      </c>
      <c r="G5448" t="s">
        <v>234</v>
      </c>
      <c r="H5448" t="s">
        <v>14</v>
      </c>
    </row>
    <row r="5449" spans="1:8" hidden="1" x14ac:dyDescent="0.25">
      <c r="A5449" t="s">
        <v>7530</v>
      </c>
      <c r="B5449" s="1" t="str">
        <f>HYPERLINK("https://asmlis.vasa.lt/Dashboard/Served?ServiceDateFrom=2025-11-24&amp;ServiceDateTo=2025-11-24&amp;DumpsterInvNr=13-L-120381", "13-L-120381")</f>
        <v>13-L-120381</v>
      </c>
      <c r="C5449">
        <v>0.12</v>
      </c>
      <c r="D5449" t="s">
        <v>7531</v>
      </c>
      <c r="E5449" t="s">
        <v>11</v>
      </c>
      <c r="G5449" t="s">
        <v>1912</v>
      </c>
      <c r="H5449" t="s">
        <v>432</v>
      </c>
    </row>
    <row r="5450" spans="1:8" hidden="1" x14ac:dyDescent="0.25">
      <c r="A5450" t="s">
        <v>7530</v>
      </c>
      <c r="B5450" s="1" t="str">
        <f>HYPERLINK("https://asmlis.vasa.lt/Dashboard/Served?ServiceDateFrom=2025-11-24&amp;ServiceDateTo=2025-11-24&amp;DumpsterInvNr=13-L-141247", "13-L-141247")</f>
        <v>13-L-141247</v>
      </c>
      <c r="C5450">
        <v>0.24</v>
      </c>
      <c r="D5450" t="s">
        <v>7514</v>
      </c>
      <c r="E5450" t="s">
        <v>11</v>
      </c>
      <c r="G5450" t="s">
        <v>430</v>
      </c>
      <c r="H5450" t="s">
        <v>432</v>
      </c>
    </row>
    <row r="5451" spans="1:8" hidden="1" x14ac:dyDescent="0.25">
      <c r="A5451" t="s">
        <v>7530</v>
      </c>
      <c r="B5451" s="1" t="str">
        <f>HYPERLINK("https://asmlis.vasa.lt/Dashboard/Served?ServiceDateFrom=2025-11-24&amp;ServiceDateTo=2025-11-24&amp;DumpsterInvNr=13-L-419141", "13-L-419141")</f>
        <v>13-L-419141</v>
      </c>
      <c r="C5451">
        <v>0.24</v>
      </c>
      <c r="D5451" t="s">
        <v>3747</v>
      </c>
      <c r="E5451" t="s">
        <v>11</v>
      </c>
      <c r="G5451" t="s">
        <v>74</v>
      </c>
      <c r="H5451" t="s">
        <v>14</v>
      </c>
    </row>
    <row r="5452" spans="1:8" hidden="1" x14ac:dyDescent="0.25">
      <c r="A5452" t="s">
        <v>7530</v>
      </c>
      <c r="B5452" s="1" t="str">
        <f>HYPERLINK("https://asmlis.vasa.lt/Dashboard/Served?ServiceDateFrom=2025-11-24&amp;ServiceDateTo=2025-11-24&amp;DumpsterInvNr=13-P-109689", "13-P-109689")</f>
        <v>13-P-109689</v>
      </c>
      <c r="C5452">
        <v>1.1000000000000001</v>
      </c>
      <c r="D5452" t="s">
        <v>7534</v>
      </c>
      <c r="E5452" t="s">
        <v>11</v>
      </c>
      <c r="G5452" t="s">
        <v>1917</v>
      </c>
      <c r="H5452" t="s">
        <v>432</v>
      </c>
    </row>
    <row r="5453" spans="1:8" hidden="1" x14ac:dyDescent="0.25">
      <c r="A5453" t="s">
        <v>7535</v>
      </c>
      <c r="B5453" s="1" t="str">
        <f>HYPERLINK("https://asmlis.vasa.lt/Dashboard/Served?ServiceDateFrom=2025-11-24&amp;ServiceDateTo=2025-11-24&amp;DumpsterInvNr=13-L-142005", "13-L-142005")</f>
        <v>13-L-142005</v>
      </c>
      <c r="C5453">
        <v>0.24</v>
      </c>
      <c r="D5453" t="s">
        <v>7536</v>
      </c>
      <c r="E5453" t="s">
        <v>11</v>
      </c>
      <c r="G5453" t="s">
        <v>430</v>
      </c>
      <c r="H5453" t="s">
        <v>432</v>
      </c>
    </row>
    <row r="5454" spans="1:8" hidden="1" x14ac:dyDescent="0.25">
      <c r="A5454" t="s">
        <v>7535</v>
      </c>
      <c r="B5454" s="1" t="str">
        <f>HYPERLINK("https://asmlis.vasa.lt/Dashboard/Served?ServiceDateFrom=2025-11-24&amp;ServiceDateTo=2025-11-24&amp;DumpsterInvNr=13-P-502776", "13-P-502776")</f>
        <v>13-P-502776</v>
      </c>
      <c r="C5454">
        <v>0.24</v>
      </c>
      <c r="D5454" t="s">
        <v>7537</v>
      </c>
      <c r="E5454" t="s">
        <v>11</v>
      </c>
      <c r="G5454" t="s">
        <v>2178</v>
      </c>
      <c r="H5454" t="s">
        <v>432</v>
      </c>
    </row>
    <row r="5455" spans="1:8" hidden="1" x14ac:dyDescent="0.25">
      <c r="A5455" t="s">
        <v>7538</v>
      </c>
      <c r="B5455" s="1" t="str">
        <f>HYPERLINK("https://asmlis.vasa.lt/Dashboard/Served?ServiceDateFrom=2025-11-24&amp;ServiceDateTo=2025-11-24&amp;DumpsterInvNr=13-L-121516", "13-L-121516")</f>
        <v>13-L-121516</v>
      </c>
      <c r="C5455">
        <v>0.77</v>
      </c>
      <c r="D5455" t="s">
        <v>7539</v>
      </c>
      <c r="E5455" t="s">
        <v>11</v>
      </c>
      <c r="G5455" t="s">
        <v>430</v>
      </c>
      <c r="H5455" t="s">
        <v>432</v>
      </c>
    </row>
    <row r="5456" spans="1:8" hidden="1" x14ac:dyDescent="0.25">
      <c r="A5456" t="s">
        <v>5561</v>
      </c>
      <c r="B5456" s="1" t="str">
        <f>HYPERLINK("https://asmlis.vasa.lt/Dashboard/Served?ServiceDateFrom=2025-11-24&amp;ServiceDateTo=2025-11-24&amp;DumpsterInvNr=13-P-413899", "13-P-413899")</f>
        <v>13-P-413899</v>
      </c>
      <c r="C5456">
        <v>5</v>
      </c>
      <c r="D5456" t="s">
        <v>7540</v>
      </c>
      <c r="E5456" t="s">
        <v>11</v>
      </c>
      <c r="F5456" t="s">
        <v>13</v>
      </c>
      <c r="G5456" t="s">
        <v>264</v>
      </c>
      <c r="H5456" t="s">
        <v>14</v>
      </c>
    </row>
    <row r="5457" spans="1:8" hidden="1" x14ac:dyDescent="0.25">
      <c r="A5457" t="s">
        <v>7541</v>
      </c>
      <c r="B5457" s="1" t="str">
        <f>HYPERLINK("https://asmlis.vasa.lt/Dashboard/Served?ServiceDateFrom=2025-11-24&amp;ServiceDateTo=2025-11-24&amp;DumpsterInvNr=13-L-116948", "13-L-116948")</f>
        <v>13-L-116948</v>
      </c>
      <c r="C5457">
        <v>1.1000000000000001</v>
      </c>
      <c r="D5457" t="s">
        <v>7517</v>
      </c>
      <c r="E5457" t="s">
        <v>11</v>
      </c>
      <c r="G5457" t="s">
        <v>430</v>
      </c>
      <c r="H5457" t="s">
        <v>432</v>
      </c>
    </row>
    <row r="5458" spans="1:8" hidden="1" x14ac:dyDescent="0.25">
      <c r="A5458" t="s">
        <v>7542</v>
      </c>
      <c r="B5458" s="1" t="str">
        <f>HYPERLINK("https://asmlis.vasa.lt/Dashboard/Served?ServiceDateFrom=2025-11-24&amp;ServiceDateTo=2025-11-24&amp;DumpsterInvNr=13-P-209767", "13-P-209767")</f>
        <v>13-P-209767</v>
      </c>
      <c r="C5458">
        <v>0.24</v>
      </c>
      <c r="D5458" t="s">
        <v>7543</v>
      </c>
      <c r="E5458" t="s">
        <v>11</v>
      </c>
      <c r="G5458" t="s">
        <v>234</v>
      </c>
      <c r="H5458" t="s">
        <v>14</v>
      </c>
    </row>
    <row r="5459" spans="1:8" hidden="1" x14ac:dyDescent="0.25">
      <c r="A5459" t="s">
        <v>7120</v>
      </c>
      <c r="B5459" s="1" t="str">
        <f>HYPERLINK("https://asmlis.vasa.lt/Dashboard/Served?ServiceDateFrom=2025-11-24&amp;ServiceDateTo=2025-11-24&amp;DumpsterInvNr=13-L-141955", "13-L-141955")</f>
        <v>13-L-141955</v>
      </c>
      <c r="C5459">
        <v>0.24</v>
      </c>
      <c r="D5459" t="s">
        <v>7537</v>
      </c>
      <c r="E5459" t="s">
        <v>11</v>
      </c>
      <c r="F5459" t="s">
        <v>1209</v>
      </c>
      <c r="G5459" t="s">
        <v>430</v>
      </c>
      <c r="H5459" t="s">
        <v>432</v>
      </c>
    </row>
    <row r="5460" spans="1:8" hidden="1" x14ac:dyDescent="0.25">
      <c r="A5460" t="s">
        <v>7120</v>
      </c>
      <c r="B5460" s="1" t="str">
        <f>HYPERLINK("https://asmlis.vasa.lt/Dashboard/Served?ServiceDateFrom=2025-11-24&amp;ServiceDateTo=2025-11-24&amp;DumpsterInvNr=13-L-226357", "13-L-226357")</f>
        <v>13-L-226357</v>
      </c>
      <c r="C5460">
        <v>1.1000000000000001</v>
      </c>
      <c r="D5460" t="s">
        <v>7515</v>
      </c>
      <c r="E5460" t="s">
        <v>11</v>
      </c>
      <c r="G5460" t="s">
        <v>936</v>
      </c>
      <c r="H5460" t="s">
        <v>938</v>
      </c>
    </row>
    <row r="5461" spans="1:8" hidden="1" x14ac:dyDescent="0.25">
      <c r="A5461" t="s">
        <v>7544</v>
      </c>
      <c r="B5461" s="1" t="str">
        <f>HYPERLINK("https://asmlis.vasa.lt/Dashboard/Served?ServiceDateFrom=2025-11-24&amp;ServiceDateTo=2025-11-24&amp;DumpsterInvNr=13-P-502778", "13-P-502778")</f>
        <v>13-P-502778</v>
      </c>
      <c r="C5461">
        <v>0.24</v>
      </c>
      <c r="D5461" t="s">
        <v>7536</v>
      </c>
      <c r="E5461" t="s">
        <v>11</v>
      </c>
      <c r="F5461" t="s">
        <v>1209</v>
      </c>
      <c r="G5461" t="s">
        <v>2178</v>
      </c>
      <c r="H5461" t="s">
        <v>432</v>
      </c>
    </row>
    <row r="5462" spans="1:8" hidden="1" x14ac:dyDescent="0.25">
      <c r="A5462" t="s">
        <v>7545</v>
      </c>
      <c r="B5462" s="1" t="str">
        <f>HYPERLINK("https://asmlis.vasa.lt/Dashboard/Served?ServiceDateFrom=2025-11-24&amp;ServiceDateTo=2025-11-24&amp;DumpsterInvNr=13-L-214788", "13-L-214788")</f>
        <v>13-L-214788</v>
      </c>
      <c r="C5462">
        <v>0.77</v>
      </c>
      <c r="D5462" t="s">
        <v>6681</v>
      </c>
      <c r="E5462" t="s">
        <v>11</v>
      </c>
      <c r="G5462" t="s">
        <v>936</v>
      </c>
      <c r="H5462" t="s">
        <v>938</v>
      </c>
    </row>
    <row r="5463" spans="1:8" hidden="1" x14ac:dyDescent="0.25">
      <c r="A5463" t="s">
        <v>7545</v>
      </c>
      <c r="B5463" s="1" t="str">
        <f>HYPERLINK("https://asmlis.vasa.lt/Dashboard/Served?ServiceDateFrom=2025-11-24&amp;ServiceDateTo=2025-11-24&amp;DumpsterInvNr=13-P-404453", "13-P-404453")</f>
        <v>13-P-404453</v>
      </c>
      <c r="C5463">
        <v>0.24</v>
      </c>
      <c r="D5463" t="s">
        <v>7546</v>
      </c>
      <c r="E5463" t="s">
        <v>11</v>
      </c>
      <c r="G5463" t="s">
        <v>264</v>
      </c>
      <c r="H5463" t="s">
        <v>14</v>
      </c>
    </row>
    <row r="5464" spans="1:8" hidden="1" x14ac:dyDescent="0.25">
      <c r="A5464" t="s">
        <v>7547</v>
      </c>
      <c r="B5464" s="1" t="str">
        <f>HYPERLINK("https://asmlis.vasa.lt/Dashboard/Served?ServiceDateFrom=2025-11-24&amp;ServiceDateTo=2025-11-24&amp;DumpsterInvNr=13-L-216176", "13-L-216176")</f>
        <v>13-L-216176</v>
      </c>
      <c r="C5464">
        <v>0.12</v>
      </c>
      <c r="D5464" t="s">
        <v>6360</v>
      </c>
      <c r="E5464" t="s">
        <v>11</v>
      </c>
      <c r="G5464" t="s">
        <v>936</v>
      </c>
      <c r="H5464" t="s">
        <v>938</v>
      </c>
    </row>
    <row r="5465" spans="1:8" hidden="1" x14ac:dyDescent="0.25">
      <c r="A5465" t="s">
        <v>7421</v>
      </c>
      <c r="B5465" s="1" t="str">
        <f>HYPERLINK("https://asmlis.vasa.lt/Dashboard/Served?ServiceDateFrom=2025-11-24&amp;ServiceDateTo=2025-11-24&amp;DumpsterInvNr=13-M-202706", "13-M-202706")</f>
        <v>13-M-202706</v>
      </c>
      <c r="C5465">
        <v>0.12</v>
      </c>
      <c r="D5465" t="s">
        <v>7548</v>
      </c>
      <c r="E5465" t="s">
        <v>11</v>
      </c>
      <c r="G5465" t="s">
        <v>4876</v>
      </c>
      <c r="H5465" t="s">
        <v>938</v>
      </c>
    </row>
    <row r="5466" spans="1:8" hidden="1" x14ac:dyDescent="0.25">
      <c r="A5466" t="s">
        <v>7549</v>
      </c>
      <c r="B5466" s="1" t="str">
        <f>HYPERLINK("https://asmlis.vasa.lt/Dashboard/Served?ServiceDateFrom=2025-11-24&amp;ServiceDateTo=2025-11-24&amp;DumpsterInvNr=13-L-137808", "13-L-137808")</f>
        <v>13-L-137808</v>
      </c>
      <c r="C5466">
        <v>5</v>
      </c>
      <c r="D5466" t="s">
        <v>7550</v>
      </c>
      <c r="E5466" t="s">
        <v>11</v>
      </c>
      <c r="F5466" t="s">
        <v>13</v>
      </c>
      <c r="G5466" t="s">
        <v>430</v>
      </c>
      <c r="H5466" t="s">
        <v>432</v>
      </c>
    </row>
    <row r="5467" spans="1:8" hidden="1" x14ac:dyDescent="0.25">
      <c r="A5467" t="s">
        <v>7551</v>
      </c>
      <c r="B5467" s="1" t="str">
        <f>HYPERLINK("https://asmlis.vasa.lt/Dashboard/Served?ServiceDateFrom=2025-11-24&amp;ServiceDateTo=2025-11-24&amp;DumpsterInvNr=13-L-204263", "13-L-204263")</f>
        <v>13-L-204263</v>
      </c>
      <c r="C5467">
        <v>1.1000000000000001</v>
      </c>
      <c r="D5467" t="s">
        <v>2204</v>
      </c>
      <c r="E5467" t="s">
        <v>11</v>
      </c>
      <c r="G5467" t="s">
        <v>936</v>
      </c>
      <c r="H5467" t="s">
        <v>938</v>
      </c>
    </row>
    <row r="5468" spans="1:8" hidden="1" x14ac:dyDescent="0.25">
      <c r="A5468" t="s">
        <v>7552</v>
      </c>
      <c r="B5468" s="1" t="str">
        <f>HYPERLINK("https://asmlis.vasa.lt/Dashboard/Served?ServiceDateFrom=2025-11-24&amp;ServiceDateTo=2025-11-24&amp;DumpsterInvNr=13-S-203416", "13-S-203416")</f>
        <v>13-S-203416</v>
      </c>
      <c r="C5468">
        <v>0.12</v>
      </c>
      <c r="D5468" t="s">
        <v>7543</v>
      </c>
      <c r="E5468" t="s">
        <v>11</v>
      </c>
      <c r="G5468" t="s">
        <v>234</v>
      </c>
      <c r="H5468" t="s">
        <v>14</v>
      </c>
    </row>
    <row r="5469" spans="1:8" hidden="1" x14ac:dyDescent="0.25">
      <c r="A5469" t="s">
        <v>7553</v>
      </c>
      <c r="B5469" s="1" t="str">
        <f>HYPERLINK("https://asmlis.vasa.lt/Dashboard/Served?ServiceDateFrom=2025-11-24&amp;ServiceDateTo=2025-11-24&amp;DumpsterInvNr=13-L-113890", "13-L-113890")</f>
        <v>13-L-113890</v>
      </c>
      <c r="C5469">
        <v>0.24</v>
      </c>
      <c r="D5469" t="s">
        <v>7554</v>
      </c>
      <c r="E5469" t="s">
        <v>11</v>
      </c>
      <c r="G5469" t="s">
        <v>1912</v>
      </c>
      <c r="H5469" t="s">
        <v>432</v>
      </c>
    </row>
    <row r="5470" spans="1:8" hidden="1" x14ac:dyDescent="0.25">
      <c r="A5470" t="s">
        <v>6432</v>
      </c>
      <c r="B5470" s="1" t="str">
        <f>HYPERLINK("https://asmlis.vasa.lt/Dashboard/Served?ServiceDateFrom=2025-11-24&amp;ServiceDateTo=2025-11-24&amp;DumpsterInvNr=13-P-414618", "13-P-414618")</f>
        <v>13-P-414618</v>
      </c>
      <c r="C5470">
        <v>0.24</v>
      </c>
      <c r="D5470" t="s">
        <v>7555</v>
      </c>
      <c r="E5470" t="s">
        <v>11</v>
      </c>
      <c r="F5470" t="s">
        <v>1209</v>
      </c>
      <c r="G5470" t="s">
        <v>264</v>
      </c>
      <c r="H5470" t="s">
        <v>14</v>
      </c>
    </row>
    <row r="5471" spans="1:8" hidden="1" x14ac:dyDescent="0.25">
      <c r="A5471" t="s">
        <v>7556</v>
      </c>
      <c r="B5471" s="1" t="str">
        <f>HYPERLINK("https://asmlis.vasa.lt/Dashboard/Served?ServiceDateFrom=2025-11-24&amp;ServiceDateTo=2025-11-24&amp;DumpsterInvNr=13-P-105372", "13-P-105372")</f>
        <v>13-P-105372</v>
      </c>
      <c r="C5471">
        <v>0.24</v>
      </c>
      <c r="D5471" t="s">
        <v>7554</v>
      </c>
      <c r="E5471" t="s">
        <v>11</v>
      </c>
      <c r="G5471" t="s">
        <v>1917</v>
      </c>
      <c r="H5471" t="s">
        <v>432</v>
      </c>
    </row>
    <row r="5472" spans="1:8" hidden="1" x14ac:dyDescent="0.25">
      <c r="A5472" t="s">
        <v>7557</v>
      </c>
      <c r="B5472" s="1" t="str">
        <f>HYPERLINK("https://asmlis.vasa.lt/Dashboard/Served?ServiceDateFrom=2025-11-24&amp;ServiceDateTo=2025-11-24&amp;DumpsterInvNr=13-S-401444", "13-S-401444")</f>
        <v>13-S-401444</v>
      </c>
      <c r="C5472">
        <v>0.12</v>
      </c>
      <c r="D5472" t="s">
        <v>7511</v>
      </c>
      <c r="E5472" t="s">
        <v>11</v>
      </c>
      <c r="F5472" t="s">
        <v>1209</v>
      </c>
      <c r="G5472" t="s">
        <v>264</v>
      </c>
      <c r="H5472" t="s">
        <v>14</v>
      </c>
    </row>
    <row r="5473" spans="1:8" hidden="1" x14ac:dyDescent="0.25">
      <c r="A5473" t="s">
        <v>7418</v>
      </c>
      <c r="B5473" s="1" t="str">
        <f>HYPERLINK("https://asmlis.vasa.lt/Dashboard/Served?ServiceDateFrom=2025-11-24&amp;ServiceDateTo=2025-11-24&amp;DumpsterInvNr=13-M-200219", "13-M-200219")</f>
        <v>13-M-200219</v>
      </c>
      <c r="C5473">
        <v>0.12</v>
      </c>
      <c r="D5473" t="s">
        <v>7525</v>
      </c>
      <c r="E5473" t="s">
        <v>11</v>
      </c>
      <c r="F5473" t="s">
        <v>1209</v>
      </c>
      <c r="G5473" t="s">
        <v>4876</v>
      </c>
      <c r="H5473" t="s">
        <v>938</v>
      </c>
    </row>
    <row r="5474" spans="1:8" hidden="1" x14ac:dyDescent="0.25">
      <c r="A5474" t="s">
        <v>7558</v>
      </c>
      <c r="B5474" s="1" t="str">
        <f>HYPERLINK("https://asmlis.vasa.lt/Dashboard/Served?ServiceDateFrom=2025-11-24&amp;ServiceDateTo=2025-11-24&amp;DumpsterInvNr=13-L-422033", "13-L-422033")</f>
        <v>13-L-422033</v>
      </c>
      <c r="C5474">
        <v>5</v>
      </c>
      <c r="D5474" t="s">
        <v>1712</v>
      </c>
      <c r="E5474" t="s">
        <v>11</v>
      </c>
      <c r="G5474" t="s">
        <v>74</v>
      </c>
      <c r="H5474" t="s">
        <v>14</v>
      </c>
    </row>
    <row r="5475" spans="1:8" hidden="1" x14ac:dyDescent="0.25">
      <c r="A5475" t="s">
        <v>7558</v>
      </c>
      <c r="B5475" s="1" t="str">
        <f>HYPERLINK("https://asmlis.vasa.lt/Dashboard/Served?ServiceDateFrom=2025-11-24&amp;ServiceDateTo=2025-11-24&amp;DumpsterInvNr=13-P-501829", "13-P-501829")</f>
        <v>13-P-501829</v>
      </c>
      <c r="C5475">
        <v>1.1000000000000001</v>
      </c>
      <c r="D5475" t="s">
        <v>7559</v>
      </c>
      <c r="E5475" t="s">
        <v>11</v>
      </c>
      <c r="G5475" t="s">
        <v>2178</v>
      </c>
      <c r="H5475" t="s">
        <v>432</v>
      </c>
    </row>
    <row r="5476" spans="1:8" hidden="1" x14ac:dyDescent="0.25">
      <c r="A5476" t="s">
        <v>7560</v>
      </c>
      <c r="B5476" s="1" t="str">
        <f>HYPERLINK("https://asmlis.vasa.lt/Dashboard/Served?ServiceDateFrom=2025-11-24&amp;ServiceDateTo=2025-11-24&amp;DumpsterInvNr=13-M-205768", "13-M-205768")</f>
        <v>13-M-205768</v>
      </c>
      <c r="C5476">
        <v>0.12</v>
      </c>
      <c r="D5476" t="s">
        <v>7561</v>
      </c>
      <c r="E5476" t="s">
        <v>11</v>
      </c>
      <c r="F5476" t="s">
        <v>1209</v>
      </c>
      <c r="G5476" t="s">
        <v>4876</v>
      </c>
      <c r="H5476" t="s">
        <v>938</v>
      </c>
    </row>
    <row r="5477" spans="1:8" hidden="1" x14ac:dyDescent="0.25">
      <c r="A5477" t="s">
        <v>7562</v>
      </c>
      <c r="B5477" s="1" t="str">
        <f>HYPERLINK("https://asmlis.vasa.lt/Dashboard/Served?ServiceDateFrom=2025-11-24&amp;ServiceDateTo=2025-11-24&amp;DumpsterInvNr=13-M-200208", "13-M-200208")</f>
        <v>13-M-200208</v>
      </c>
      <c r="C5477">
        <v>0.12</v>
      </c>
      <c r="D5477" t="s">
        <v>7563</v>
      </c>
      <c r="E5477" t="s">
        <v>11</v>
      </c>
      <c r="F5477" t="s">
        <v>1209</v>
      </c>
      <c r="G5477" t="s">
        <v>4876</v>
      </c>
      <c r="H5477" t="s">
        <v>938</v>
      </c>
    </row>
    <row r="5478" spans="1:8" hidden="1" x14ac:dyDescent="0.25">
      <c r="A5478" t="s">
        <v>7564</v>
      </c>
      <c r="B5478" s="1" t="str">
        <f>HYPERLINK("https://asmlis.vasa.lt/Dashboard/Served?ServiceDateFrom=2025-11-24&amp;ServiceDateTo=2025-11-24&amp;DumpsterInvNr=13-L-401523", "13-L-401523")</f>
        <v>13-L-401523</v>
      </c>
      <c r="C5478">
        <v>0.24</v>
      </c>
      <c r="D5478" t="s">
        <v>3845</v>
      </c>
      <c r="E5478" t="s">
        <v>11</v>
      </c>
      <c r="G5478" t="s">
        <v>74</v>
      </c>
      <c r="H5478" t="s">
        <v>14</v>
      </c>
    </row>
    <row r="5479" spans="1:8" hidden="1" x14ac:dyDescent="0.25">
      <c r="A5479" t="s">
        <v>7564</v>
      </c>
      <c r="B5479" s="1" t="str">
        <f>HYPERLINK("https://asmlis.vasa.lt/Dashboard/Served?ServiceDateFrom=2025-11-24&amp;ServiceDateTo=2025-11-24&amp;DumpsterInvNr=13-L-423411", "13-L-423411")</f>
        <v>13-L-423411</v>
      </c>
      <c r="C5479">
        <v>0.24</v>
      </c>
      <c r="D5479" t="s">
        <v>3842</v>
      </c>
      <c r="E5479" t="s">
        <v>11</v>
      </c>
      <c r="G5479" t="s">
        <v>74</v>
      </c>
      <c r="H5479" t="s">
        <v>14</v>
      </c>
    </row>
    <row r="5480" spans="1:8" hidden="1" x14ac:dyDescent="0.25">
      <c r="A5480" t="s">
        <v>7565</v>
      </c>
      <c r="B5480" s="1" t="str">
        <f>HYPERLINK("https://asmlis.vasa.lt/Dashboard/Served?ServiceDateFrom=2025-11-24&amp;ServiceDateTo=2025-11-24&amp;DumpsterInvNr=13-P-211062", "13-P-211062")</f>
        <v>13-P-211062</v>
      </c>
      <c r="C5480">
        <v>0.24</v>
      </c>
      <c r="D5480" t="s">
        <v>7566</v>
      </c>
      <c r="E5480" t="s">
        <v>11</v>
      </c>
      <c r="G5480" t="s">
        <v>234</v>
      </c>
      <c r="H5480" t="s">
        <v>14</v>
      </c>
    </row>
    <row r="5481" spans="1:8" hidden="1" x14ac:dyDescent="0.25">
      <c r="A5481" t="s">
        <v>5994</v>
      </c>
      <c r="B5481" s="1" t="str">
        <f>HYPERLINK("https://asmlis.vasa.lt/Dashboard/Served?ServiceDateFrom=2025-11-24&amp;ServiceDateTo=2025-11-24&amp;DumpsterInvNr=13-L-123426", "13-L-123426")</f>
        <v>13-L-123426</v>
      </c>
      <c r="C5481">
        <v>0.24</v>
      </c>
      <c r="D5481" t="s">
        <v>7567</v>
      </c>
      <c r="E5481" t="s">
        <v>11</v>
      </c>
      <c r="G5481" t="s">
        <v>430</v>
      </c>
      <c r="H5481" t="s">
        <v>432</v>
      </c>
    </row>
    <row r="5482" spans="1:8" hidden="1" x14ac:dyDescent="0.25">
      <c r="A5482" t="s">
        <v>5994</v>
      </c>
      <c r="B5482" s="1" t="str">
        <f>HYPERLINK("https://asmlis.vasa.lt/Dashboard/Served?ServiceDateFrom=2025-11-24&amp;ServiceDateTo=2025-11-24&amp;DumpsterInvNr=13-P-404452", "13-P-404452")</f>
        <v>13-P-404452</v>
      </c>
      <c r="C5482">
        <v>0.24</v>
      </c>
      <c r="D5482" t="s">
        <v>7569</v>
      </c>
      <c r="E5482" t="s">
        <v>11</v>
      </c>
      <c r="G5482" t="s">
        <v>264</v>
      </c>
      <c r="H5482" t="s">
        <v>14</v>
      </c>
    </row>
    <row r="5483" spans="1:8" hidden="1" x14ac:dyDescent="0.25">
      <c r="A5483" t="s">
        <v>6829</v>
      </c>
      <c r="B5483" s="1" t="str">
        <f>HYPERLINK("https://asmlis.vasa.lt/Dashboard/Served?ServiceDateFrom=2025-11-24&amp;ServiceDateTo=2025-11-24&amp;DumpsterInvNr=13-L-211510", "13-L-211510")</f>
        <v>13-L-211510</v>
      </c>
      <c r="C5483">
        <v>1.1000000000000001</v>
      </c>
      <c r="D5483" t="s">
        <v>6681</v>
      </c>
      <c r="E5483" t="s">
        <v>11</v>
      </c>
      <c r="G5483" t="s">
        <v>936</v>
      </c>
      <c r="H5483" t="s">
        <v>938</v>
      </c>
    </row>
    <row r="5484" spans="1:8" hidden="1" x14ac:dyDescent="0.25">
      <c r="A5484" t="s">
        <v>7570</v>
      </c>
      <c r="B5484" s="1" t="str">
        <f>HYPERLINK("https://asmlis.vasa.lt/Dashboard/Served?ServiceDateFrom=2025-11-24&amp;ServiceDateTo=2025-11-24&amp;DumpsterInvNr=13-P-505371", "13-P-505371")</f>
        <v>13-P-505371</v>
      </c>
      <c r="C5484">
        <v>0.24</v>
      </c>
      <c r="D5484" t="s">
        <v>7571</v>
      </c>
      <c r="E5484" t="s">
        <v>11</v>
      </c>
      <c r="G5484" t="s">
        <v>2178</v>
      </c>
      <c r="H5484" t="s">
        <v>432</v>
      </c>
    </row>
    <row r="5485" spans="1:8" hidden="1" x14ac:dyDescent="0.25">
      <c r="A5485" t="s">
        <v>7572</v>
      </c>
      <c r="B5485" s="1" t="str">
        <f>HYPERLINK("https://asmlis.vasa.lt/Dashboard/Served?ServiceDateFrom=2025-11-24&amp;ServiceDateTo=2025-11-24&amp;DumpsterInvNr=13-M-205502", "13-M-205502")</f>
        <v>13-M-205502</v>
      </c>
      <c r="C5485">
        <v>0.12</v>
      </c>
      <c r="D5485" t="s">
        <v>7573</v>
      </c>
      <c r="E5485" t="s">
        <v>11</v>
      </c>
      <c r="F5485" t="s">
        <v>1209</v>
      </c>
      <c r="G5485" t="s">
        <v>4876</v>
      </c>
      <c r="H5485" t="s">
        <v>938</v>
      </c>
    </row>
    <row r="5486" spans="1:8" hidden="1" x14ac:dyDescent="0.25">
      <c r="A5486" t="s">
        <v>7574</v>
      </c>
      <c r="B5486" s="1" t="str">
        <f>HYPERLINK("https://asmlis.vasa.lt/Dashboard/Served?ServiceDateFrom=2025-11-24&amp;ServiceDateTo=2025-11-24&amp;DumpsterInvNr=13-L-106350", "13-L-106350")</f>
        <v>13-L-106350</v>
      </c>
      <c r="C5486">
        <v>0.12</v>
      </c>
      <c r="D5486" t="s">
        <v>7575</v>
      </c>
      <c r="E5486" t="s">
        <v>11</v>
      </c>
      <c r="G5486" t="s">
        <v>1912</v>
      </c>
      <c r="H5486" t="s">
        <v>432</v>
      </c>
    </row>
    <row r="5487" spans="1:8" hidden="1" x14ac:dyDescent="0.25">
      <c r="A5487" t="s">
        <v>7574</v>
      </c>
      <c r="B5487" s="1" t="str">
        <f>HYPERLINK("https://asmlis.vasa.lt/Dashboard/Served?ServiceDateFrom=2025-11-24&amp;ServiceDateTo=2025-11-24&amp;DumpsterInvNr=13-P-101207", "13-P-101207")</f>
        <v>13-P-101207</v>
      </c>
      <c r="C5487">
        <v>0.24</v>
      </c>
      <c r="D5487" t="s">
        <v>7575</v>
      </c>
      <c r="E5487" t="s">
        <v>11</v>
      </c>
      <c r="G5487" t="s">
        <v>1917</v>
      </c>
      <c r="H5487" t="s">
        <v>432</v>
      </c>
    </row>
    <row r="5488" spans="1:8" hidden="1" x14ac:dyDescent="0.25">
      <c r="A5488" t="s">
        <v>7577</v>
      </c>
      <c r="B5488" s="1" t="str">
        <f>HYPERLINK("https://asmlis.vasa.lt/Dashboard/Served?ServiceDateFrom=2025-11-24&amp;ServiceDateTo=2025-11-24&amp;DumpsterInvNr=13-L-145855", "13-L-145855")</f>
        <v>13-L-145855</v>
      </c>
      <c r="C5488">
        <v>5</v>
      </c>
      <c r="D5488" t="s">
        <v>7578</v>
      </c>
      <c r="E5488" t="s">
        <v>11</v>
      </c>
      <c r="F5488" t="s">
        <v>13</v>
      </c>
      <c r="G5488" t="s">
        <v>1912</v>
      </c>
      <c r="H5488" t="s">
        <v>432</v>
      </c>
    </row>
    <row r="5489" spans="1:8" hidden="1" x14ac:dyDescent="0.25">
      <c r="A5489" t="s">
        <v>7579</v>
      </c>
      <c r="B5489" s="1" t="str">
        <f>HYPERLINK("https://asmlis.vasa.lt/Dashboard/Served?ServiceDateFrom=2025-11-24&amp;ServiceDateTo=2025-11-24&amp;DumpsterInvNr=13-L-214964", "13-L-214964")</f>
        <v>13-L-214964</v>
      </c>
      <c r="C5489">
        <v>0.12</v>
      </c>
      <c r="D5489" t="s">
        <v>6300</v>
      </c>
      <c r="E5489" t="s">
        <v>11</v>
      </c>
      <c r="G5489" t="s">
        <v>936</v>
      </c>
      <c r="H5489" t="s">
        <v>938</v>
      </c>
    </row>
    <row r="5490" spans="1:8" hidden="1" x14ac:dyDescent="0.25">
      <c r="A5490" t="s">
        <v>7579</v>
      </c>
      <c r="B5490" s="1" t="str">
        <f>HYPERLINK("https://asmlis.vasa.lt/Dashboard/Served?ServiceDateFrom=2025-11-24&amp;ServiceDateTo=2025-11-24&amp;DumpsterInvNr=13-P-102373", "13-P-102373")</f>
        <v>13-P-102373</v>
      </c>
      <c r="C5490">
        <v>5</v>
      </c>
      <c r="D5490" t="s">
        <v>2194</v>
      </c>
      <c r="E5490" t="s">
        <v>11</v>
      </c>
      <c r="F5490" t="s">
        <v>13</v>
      </c>
      <c r="G5490" t="s">
        <v>1917</v>
      </c>
      <c r="H5490" t="s">
        <v>432</v>
      </c>
    </row>
    <row r="5491" spans="1:8" hidden="1" x14ac:dyDescent="0.25">
      <c r="A5491" t="s">
        <v>7580</v>
      </c>
      <c r="B5491" s="1" t="str">
        <f>HYPERLINK("https://asmlis.vasa.lt/Dashboard/Served?ServiceDateFrom=2025-11-24&amp;ServiceDateTo=2025-11-24&amp;DumpsterInvNr=13-L-210963", "13-L-210963")</f>
        <v>13-L-210963</v>
      </c>
      <c r="C5491">
        <v>0.24</v>
      </c>
      <c r="D5491" t="s">
        <v>6681</v>
      </c>
      <c r="E5491" t="s">
        <v>11</v>
      </c>
      <c r="G5491" t="s">
        <v>936</v>
      </c>
      <c r="H5491" t="s">
        <v>938</v>
      </c>
    </row>
    <row r="5492" spans="1:8" hidden="1" x14ac:dyDescent="0.25">
      <c r="A5492" t="s">
        <v>7581</v>
      </c>
      <c r="B5492" s="1" t="str">
        <f>HYPERLINK("https://asmlis.vasa.lt/Dashboard/Served?ServiceDateFrom=2025-11-24&amp;ServiceDateTo=2025-11-24&amp;DumpsterInvNr=13-P-416315", "13-P-416315")</f>
        <v>13-P-416315</v>
      </c>
      <c r="C5492">
        <v>1.1000000000000001</v>
      </c>
      <c r="D5492" t="s">
        <v>7582</v>
      </c>
      <c r="E5492" t="s">
        <v>11</v>
      </c>
      <c r="F5492" t="s">
        <v>13</v>
      </c>
      <c r="G5492" t="s">
        <v>264</v>
      </c>
      <c r="H5492" t="s">
        <v>14</v>
      </c>
    </row>
    <row r="5493" spans="1:8" hidden="1" x14ac:dyDescent="0.25">
      <c r="A5493" t="s">
        <v>7377</v>
      </c>
      <c r="B5493" s="1" t="str">
        <f>HYPERLINK("https://asmlis.vasa.lt/Dashboard/Served?ServiceDateFrom=2025-11-24&amp;ServiceDateTo=2025-11-24&amp;DumpsterInvNr=13-L-143253", "13-L-143253")</f>
        <v>13-L-143253</v>
      </c>
      <c r="C5493">
        <v>1.1000000000000001</v>
      </c>
      <c r="D5493" t="s">
        <v>7583</v>
      </c>
      <c r="E5493" t="s">
        <v>11</v>
      </c>
      <c r="G5493" t="s">
        <v>1912</v>
      </c>
      <c r="H5493" t="s">
        <v>432</v>
      </c>
    </row>
    <row r="5494" spans="1:8" hidden="1" x14ac:dyDescent="0.25">
      <c r="A5494" t="s">
        <v>7584</v>
      </c>
      <c r="B5494" s="1" t="str">
        <f>HYPERLINK("https://asmlis.vasa.lt/Dashboard/Served?ServiceDateFrom=2025-11-24&amp;ServiceDateTo=2025-11-24&amp;DumpsterInvNr=13-L-221186", "13-L-221186")</f>
        <v>13-L-221186</v>
      </c>
      <c r="C5494">
        <v>1.1000000000000001</v>
      </c>
      <c r="D5494" t="s">
        <v>2204</v>
      </c>
      <c r="E5494" t="s">
        <v>11</v>
      </c>
      <c r="G5494" t="s">
        <v>936</v>
      </c>
      <c r="H5494" t="s">
        <v>938</v>
      </c>
    </row>
    <row r="5495" spans="1:8" hidden="1" x14ac:dyDescent="0.25">
      <c r="A5495" t="s">
        <v>7585</v>
      </c>
      <c r="B5495" s="1" t="str">
        <f>HYPERLINK("https://asmlis.vasa.lt/Dashboard/Served?ServiceDateFrom=2025-11-24&amp;ServiceDateTo=2025-11-24&amp;DumpsterInvNr=13-P-306890", "13-P-306890")</f>
        <v>13-P-306890</v>
      </c>
      <c r="C5495">
        <v>1.1000000000000001</v>
      </c>
      <c r="D5495" t="s">
        <v>7586</v>
      </c>
      <c r="E5495" t="s">
        <v>11</v>
      </c>
      <c r="G5495" t="s">
        <v>412</v>
      </c>
      <c r="H5495" t="s">
        <v>14</v>
      </c>
    </row>
    <row r="5496" spans="1:8" hidden="1" x14ac:dyDescent="0.25">
      <c r="A5496" t="s">
        <v>7587</v>
      </c>
      <c r="B5496" s="1" t="str">
        <f>HYPERLINK("https://asmlis.vasa.lt/Dashboard/Served?ServiceDateFrom=2025-11-24&amp;ServiceDateTo=2025-11-24&amp;DumpsterInvNr=13-L-137216", "13-L-137216")</f>
        <v>13-L-137216</v>
      </c>
      <c r="C5496">
        <v>5</v>
      </c>
      <c r="D5496" t="s">
        <v>7588</v>
      </c>
      <c r="E5496" t="s">
        <v>11</v>
      </c>
      <c r="F5496" t="s">
        <v>13</v>
      </c>
      <c r="G5496" t="s">
        <v>430</v>
      </c>
      <c r="H5496" t="s">
        <v>432</v>
      </c>
    </row>
    <row r="5497" spans="1:8" hidden="1" x14ac:dyDescent="0.25">
      <c r="A5497" t="s">
        <v>7589</v>
      </c>
      <c r="B5497" s="1" t="str">
        <f>HYPERLINK("https://asmlis.vasa.lt/Dashboard/Served?ServiceDateFrom=2025-11-24&amp;ServiceDateTo=2025-11-24&amp;DumpsterInvNr=13-L-136072", "13-L-136072")</f>
        <v>13-L-136072</v>
      </c>
      <c r="C5497">
        <v>1.1000000000000001</v>
      </c>
      <c r="D5497" t="s">
        <v>7590</v>
      </c>
      <c r="E5497" t="s">
        <v>11</v>
      </c>
      <c r="G5497" t="s">
        <v>430</v>
      </c>
      <c r="H5497" t="s">
        <v>432</v>
      </c>
    </row>
    <row r="5498" spans="1:8" hidden="1" x14ac:dyDescent="0.25">
      <c r="A5498" t="s">
        <v>7589</v>
      </c>
      <c r="B5498" s="1" t="str">
        <f>HYPERLINK("https://asmlis.vasa.lt/Dashboard/Served?ServiceDateFrom=2025-11-24&amp;ServiceDateTo=2025-11-24&amp;DumpsterInvNr=13-P-401322", "13-P-401322")</f>
        <v>13-P-401322</v>
      </c>
      <c r="C5498">
        <v>5</v>
      </c>
      <c r="D5498" t="s">
        <v>7591</v>
      </c>
      <c r="E5498" t="s">
        <v>11</v>
      </c>
      <c r="G5498" t="s">
        <v>264</v>
      </c>
      <c r="H5498" t="s">
        <v>14</v>
      </c>
    </row>
    <row r="5499" spans="1:8" hidden="1" x14ac:dyDescent="0.25">
      <c r="A5499" t="s">
        <v>7326</v>
      </c>
      <c r="B5499" s="1" t="str">
        <f>HYPERLINK("https://asmlis.vasa.lt/Dashboard/Served?ServiceDateFrom=2025-11-24&amp;ServiceDateTo=2025-11-24&amp;DumpsterInvNr=13-P-400547", "13-P-400547")</f>
        <v>13-P-400547</v>
      </c>
      <c r="C5499">
        <v>5</v>
      </c>
      <c r="D5499" t="s">
        <v>7592</v>
      </c>
      <c r="E5499" t="s">
        <v>11</v>
      </c>
      <c r="F5499" t="s">
        <v>13</v>
      </c>
      <c r="G5499" t="s">
        <v>264</v>
      </c>
      <c r="H5499" t="s">
        <v>14</v>
      </c>
    </row>
    <row r="5500" spans="1:8" hidden="1" x14ac:dyDescent="0.25">
      <c r="A5500" t="s">
        <v>7451</v>
      </c>
      <c r="B5500" s="1" t="str">
        <f>HYPERLINK("https://asmlis.vasa.lt/Dashboard/Served?ServiceDateFrom=2025-11-24&amp;ServiceDateTo=2025-11-24&amp;DumpsterInvNr=13-P-404450", "13-P-404450")</f>
        <v>13-P-404450</v>
      </c>
      <c r="C5500">
        <v>0.24</v>
      </c>
      <c r="D5500" t="s">
        <v>7593</v>
      </c>
      <c r="E5500" t="s">
        <v>11</v>
      </c>
      <c r="G5500" t="s">
        <v>264</v>
      </c>
      <c r="H5500" t="s">
        <v>14</v>
      </c>
    </row>
    <row r="5501" spans="1:8" hidden="1" x14ac:dyDescent="0.25">
      <c r="A5501" t="s">
        <v>7476</v>
      </c>
      <c r="B5501" s="1" t="str">
        <f>HYPERLINK("https://asmlis.vasa.lt/Dashboard/Served?ServiceDateFrom=2025-11-24&amp;ServiceDateTo=2025-11-24&amp;DumpsterInvNr=13-P-301867", "13-P-301867")</f>
        <v>13-P-301867</v>
      </c>
      <c r="C5501">
        <v>2.5</v>
      </c>
      <c r="D5501" t="s">
        <v>7594</v>
      </c>
      <c r="E5501" t="s">
        <v>11</v>
      </c>
      <c r="F5501" t="s">
        <v>13</v>
      </c>
      <c r="G5501" t="s">
        <v>412</v>
      </c>
      <c r="H5501" t="s">
        <v>14</v>
      </c>
    </row>
    <row r="5502" spans="1:8" hidden="1" x14ac:dyDescent="0.25">
      <c r="A5502" t="s">
        <v>6983</v>
      </c>
      <c r="B5502" s="1" t="str">
        <f>HYPERLINK("https://asmlis.vasa.lt/Dashboard/Served?ServiceDateFrom=2025-11-24&amp;ServiceDateTo=2025-11-24&amp;DumpsterInvNr=13-L-411711", "13-L-411711")</f>
        <v>13-L-411711</v>
      </c>
      <c r="C5502">
        <v>0.12</v>
      </c>
      <c r="D5502" t="s">
        <v>3827</v>
      </c>
      <c r="E5502" t="s">
        <v>11</v>
      </c>
      <c r="G5502" t="s">
        <v>74</v>
      </c>
      <c r="H5502" t="s">
        <v>14</v>
      </c>
    </row>
    <row r="5503" spans="1:8" hidden="1" x14ac:dyDescent="0.25">
      <c r="A5503" t="s">
        <v>7466</v>
      </c>
      <c r="B5503" s="1" t="str">
        <f>HYPERLINK("https://asmlis.vasa.lt/Dashboard/Served?ServiceDateFrom=2025-11-24&amp;ServiceDateTo=2025-11-24&amp;DumpsterInvNr=13-P-301870", "13-P-301870")</f>
        <v>13-P-301870</v>
      </c>
      <c r="C5503">
        <v>2.5</v>
      </c>
      <c r="D5503" t="s">
        <v>7594</v>
      </c>
      <c r="E5503" t="s">
        <v>11</v>
      </c>
      <c r="F5503" t="s">
        <v>13</v>
      </c>
      <c r="G5503" t="s">
        <v>412</v>
      </c>
      <c r="H5503" t="s">
        <v>14</v>
      </c>
    </row>
    <row r="5504" spans="1:8" hidden="1" x14ac:dyDescent="0.25">
      <c r="A5504" t="s">
        <v>7201</v>
      </c>
      <c r="B5504" s="1" t="str">
        <f>HYPERLINK("https://asmlis.vasa.lt/Dashboard/Served?ServiceDateFrom=2025-11-24&amp;ServiceDateTo=2025-11-24&amp;DumpsterInvNr=13-L-136815", "13-L-136815")</f>
        <v>13-L-136815</v>
      </c>
      <c r="C5504">
        <v>1.1000000000000001</v>
      </c>
      <c r="D5504" t="s">
        <v>7590</v>
      </c>
      <c r="E5504" t="s">
        <v>11</v>
      </c>
      <c r="G5504" t="s">
        <v>430</v>
      </c>
      <c r="H5504" t="s">
        <v>432</v>
      </c>
    </row>
    <row r="5505" spans="1:10" hidden="1" x14ac:dyDescent="0.25">
      <c r="A5505" t="s">
        <v>7201</v>
      </c>
      <c r="B5505" s="1" t="str">
        <f>HYPERLINK("https://asmlis.vasa.lt/Dashboard/Served?ServiceDateFrom=2025-11-24&amp;ServiceDateTo=2025-11-24&amp;DumpsterInvNr=13-P-415761", "13-P-415761")</f>
        <v>13-P-415761</v>
      </c>
      <c r="C5505">
        <v>1.1000000000000001</v>
      </c>
      <c r="D5505" t="s">
        <v>7582</v>
      </c>
      <c r="E5505" t="s">
        <v>11</v>
      </c>
      <c r="F5505" t="s">
        <v>13</v>
      </c>
      <c r="G5505" t="s">
        <v>264</v>
      </c>
      <c r="H5505" t="s">
        <v>14</v>
      </c>
    </row>
    <row r="5506" spans="1:10" hidden="1" x14ac:dyDescent="0.25">
      <c r="A5506" t="s">
        <v>7220</v>
      </c>
      <c r="B5506" s="1" t="str">
        <f>HYPERLINK("https://asmlis.vasa.lt/Dashboard/Served?ServiceDateFrom=2025-11-24&amp;ServiceDateTo=2025-11-24&amp;DumpsterInvNr=13-P-416351", "13-P-416351")</f>
        <v>13-P-416351</v>
      </c>
      <c r="C5506">
        <v>1.1000000000000001</v>
      </c>
      <c r="D5506" t="s">
        <v>7582</v>
      </c>
      <c r="E5506" t="s">
        <v>11</v>
      </c>
      <c r="F5506" t="s">
        <v>13</v>
      </c>
      <c r="G5506" t="s">
        <v>264</v>
      </c>
      <c r="H5506" t="s">
        <v>14</v>
      </c>
    </row>
    <row r="5507" spans="1:10" x14ac:dyDescent="0.25">
      <c r="A5507" t="s">
        <v>7024</v>
      </c>
      <c r="B5507" s="1" t="str">
        <f>HYPERLINK("https://asmlis.vasa.lt/Dashboard/Served?ServiceDateFrom=2025-11-24&amp;ServiceDateTo=2025-11-24&amp;DumpsterInvNr=13-L-424603", "13-L-424603")</f>
        <v>13-L-424603</v>
      </c>
      <c r="C5507">
        <v>0.24</v>
      </c>
      <c r="D5507" t="s">
        <v>3846</v>
      </c>
      <c r="E5507" t="s">
        <v>11</v>
      </c>
      <c r="F5507" t="s">
        <v>1215</v>
      </c>
      <c r="G5507" t="s">
        <v>74</v>
      </c>
      <c r="H5507" t="s">
        <v>14</v>
      </c>
      <c r="J5507" t="s">
        <v>17511</v>
      </c>
    </row>
    <row r="5508" spans="1:10" hidden="1" x14ac:dyDescent="0.25">
      <c r="A5508" t="s">
        <v>7596</v>
      </c>
      <c r="B5508" s="1" t="str">
        <f>HYPERLINK("https://asmlis.vasa.lt/Dashboard/Served?ServiceDateFrom=2025-11-24&amp;ServiceDateTo=2025-11-24&amp;DumpsterInvNr=13-P-415657", "13-P-415657")</f>
        <v>13-P-415657</v>
      </c>
      <c r="C5508">
        <v>1.1000000000000001</v>
      </c>
      <c r="D5508" t="s">
        <v>7582</v>
      </c>
      <c r="E5508" t="s">
        <v>11</v>
      </c>
      <c r="F5508" t="s">
        <v>13</v>
      </c>
      <c r="G5508" t="s">
        <v>264</v>
      </c>
      <c r="H5508" t="s">
        <v>14</v>
      </c>
    </row>
    <row r="5509" spans="1:10" hidden="1" x14ac:dyDescent="0.25">
      <c r="A5509" t="s">
        <v>7597</v>
      </c>
      <c r="B5509" s="1" t="str">
        <f>HYPERLINK("https://asmlis.vasa.lt/Dashboard/Served?ServiceDateFrom=2025-11-24&amp;ServiceDateTo=2025-11-24&amp;DumpsterInvNr=13-L-125957", "13-L-125957")</f>
        <v>13-L-125957</v>
      </c>
      <c r="C5509">
        <v>0.24</v>
      </c>
      <c r="D5509" t="s">
        <v>7598</v>
      </c>
      <c r="E5509" t="s">
        <v>11</v>
      </c>
      <c r="F5509" t="s">
        <v>1209</v>
      </c>
      <c r="G5509" t="s">
        <v>430</v>
      </c>
      <c r="H5509" t="s">
        <v>432</v>
      </c>
    </row>
    <row r="5510" spans="1:10" hidden="1" x14ac:dyDescent="0.25">
      <c r="A5510" t="s">
        <v>7597</v>
      </c>
      <c r="B5510" s="1" t="str">
        <f>HYPERLINK("https://asmlis.vasa.lt/Dashboard/Served?ServiceDateFrom=2025-11-24&amp;ServiceDateTo=2025-11-24&amp;DumpsterInvNr=13-L-215992", "13-L-215992")</f>
        <v>13-L-215992</v>
      </c>
      <c r="C5510">
        <v>0.24</v>
      </c>
      <c r="D5510" t="s">
        <v>6272</v>
      </c>
      <c r="E5510" t="s">
        <v>11</v>
      </c>
      <c r="G5510" t="s">
        <v>936</v>
      </c>
      <c r="H5510" t="s">
        <v>938</v>
      </c>
    </row>
    <row r="5511" spans="1:10" hidden="1" x14ac:dyDescent="0.25">
      <c r="A5511" t="s">
        <v>7599</v>
      </c>
      <c r="B5511" s="1" t="str">
        <f>HYPERLINK("https://asmlis.vasa.lt/Dashboard/Served?ServiceDateFrom=2025-11-24&amp;ServiceDateTo=2025-11-24&amp;DumpsterInvNr=13-L-136377", "13-L-136377")</f>
        <v>13-L-136377</v>
      </c>
      <c r="C5511">
        <v>1.1000000000000001</v>
      </c>
      <c r="D5511" t="s">
        <v>7590</v>
      </c>
      <c r="E5511" t="s">
        <v>11</v>
      </c>
      <c r="G5511" t="s">
        <v>430</v>
      </c>
      <c r="H5511" t="s">
        <v>432</v>
      </c>
    </row>
    <row r="5512" spans="1:10" hidden="1" x14ac:dyDescent="0.25">
      <c r="A5512" t="s">
        <v>7600</v>
      </c>
      <c r="B5512" s="1" t="str">
        <f>HYPERLINK("https://asmlis.vasa.lt/Dashboard/Served?ServiceDateFrom=2025-11-24&amp;ServiceDateTo=2025-11-24&amp;DumpsterInvNr=13-P-415874", "13-P-415874")</f>
        <v>13-P-415874</v>
      </c>
      <c r="C5512">
        <v>0.24</v>
      </c>
      <c r="D5512" t="s">
        <v>6290</v>
      </c>
      <c r="E5512" t="s">
        <v>11</v>
      </c>
      <c r="G5512" t="s">
        <v>264</v>
      </c>
      <c r="H5512" t="s">
        <v>14</v>
      </c>
    </row>
    <row r="5513" spans="1:10" x14ac:dyDescent="0.25">
      <c r="A5513" t="s">
        <v>7601</v>
      </c>
      <c r="B5513" s="1" t="str">
        <f>HYPERLINK("https://asmlis.vasa.lt/Dashboard/Served?ServiceDateFrom=2025-11-24&amp;ServiceDateTo=2025-11-24&amp;DumpsterInvNr=13-L-425068", "13-L-425068")</f>
        <v>13-L-425068</v>
      </c>
      <c r="C5513">
        <v>0.24</v>
      </c>
      <c r="D5513" t="s">
        <v>3877</v>
      </c>
      <c r="E5513" t="s">
        <v>11</v>
      </c>
      <c r="F5513" t="s">
        <v>1215</v>
      </c>
      <c r="G5513" t="s">
        <v>74</v>
      </c>
      <c r="H5513" t="s">
        <v>14</v>
      </c>
      <c r="J5513" t="s">
        <v>17511</v>
      </c>
    </row>
    <row r="5514" spans="1:10" hidden="1" x14ac:dyDescent="0.25">
      <c r="A5514" t="s">
        <v>7602</v>
      </c>
      <c r="B5514" s="1" t="str">
        <f>HYPERLINK("https://asmlis.vasa.lt/Dashboard/Served?ServiceDateFrom=2025-11-24&amp;ServiceDateTo=2025-11-24&amp;DumpsterInvNr=13-P-212916", "13-P-212916")</f>
        <v>13-P-212916</v>
      </c>
      <c r="C5514">
        <v>1.1000000000000001</v>
      </c>
      <c r="D5514" t="s">
        <v>7603</v>
      </c>
      <c r="E5514" t="s">
        <v>11</v>
      </c>
      <c r="F5514" t="s">
        <v>13</v>
      </c>
      <c r="G5514" t="s">
        <v>234</v>
      </c>
      <c r="H5514" t="s">
        <v>14</v>
      </c>
    </row>
    <row r="5515" spans="1:10" hidden="1" x14ac:dyDescent="0.25">
      <c r="A5515" t="s">
        <v>7246</v>
      </c>
      <c r="B5515" s="1" t="str">
        <f>HYPERLINK("https://asmlis.vasa.lt/Dashboard/Served?ServiceDateFrom=2025-11-24&amp;ServiceDateTo=2025-11-24&amp;DumpsterInvNr=DGA-ZALVARIS", "DGA-ZALVARIS")</f>
        <v>DGA-ZALVARIS</v>
      </c>
      <c r="C5515">
        <v>1</v>
      </c>
      <c r="D5515" t="s">
        <v>7605</v>
      </c>
      <c r="E5515" t="s">
        <v>12</v>
      </c>
      <c r="F5515" t="s">
        <v>13</v>
      </c>
      <c r="G5515" t="s">
        <v>6763</v>
      </c>
      <c r="H5515" t="s">
        <v>6765</v>
      </c>
    </row>
    <row r="5516" spans="1:10" hidden="1" x14ac:dyDescent="0.25">
      <c r="A5516" t="s">
        <v>7606</v>
      </c>
      <c r="B5516" s="1" t="str">
        <f>HYPERLINK("https://asmlis.vasa.lt/Dashboard/Served?ServiceDateFrom=2025-11-24&amp;ServiceDateTo=2025-11-24&amp;DumpsterInvNr=13-P-404451", "13-P-404451")</f>
        <v>13-P-404451</v>
      </c>
      <c r="C5516">
        <v>0.24</v>
      </c>
      <c r="D5516" t="s">
        <v>7607</v>
      </c>
      <c r="E5516" t="s">
        <v>11</v>
      </c>
      <c r="F5516" t="s">
        <v>1209</v>
      </c>
      <c r="G5516" t="s">
        <v>264</v>
      </c>
      <c r="H5516" t="s">
        <v>14</v>
      </c>
    </row>
    <row r="5517" spans="1:10" hidden="1" x14ac:dyDescent="0.25">
      <c r="A5517" t="s">
        <v>7609</v>
      </c>
      <c r="B5517" s="1" t="str">
        <f>HYPERLINK("https://asmlis.vasa.lt/Dashboard/Served?ServiceDateFrom=2025-11-24&amp;ServiceDateTo=2025-11-24&amp;DumpsterInvNr=13-L-143101", "13-L-143101")</f>
        <v>13-L-143101</v>
      </c>
      <c r="C5517">
        <v>1.1000000000000001</v>
      </c>
      <c r="D5517" t="s">
        <v>7583</v>
      </c>
      <c r="E5517" t="s">
        <v>11</v>
      </c>
      <c r="G5517" t="s">
        <v>1912</v>
      </c>
      <c r="H5517" t="s">
        <v>432</v>
      </c>
    </row>
    <row r="5518" spans="1:10" hidden="1" x14ac:dyDescent="0.25">
      <c r="A5518" t="s">
        <v>7610</v>
      </c>
      <c r="B5518" s="1" t="str">
        <f>HYPERLINK("https://asmlis.vasa.lt/Dashboard/Served?ServiceDateFrom=2025-11-24&amp;ServiceDateTo=2025-11-24&amp;DumpsterInvNr=13-L-220973", "13-L-220973")</f>
        <v>13-L-220973</v>
      </c>
      <c r="C5518">
        <v>1.1000000000000001</v>
      </c>
      <c r="D5518" t="s">
        <v>2204</v>
      </c>
      <c r="E5518" t="s">
        <v>11</v>
      </c>
      <c r="G5518" t="s">
        <v>936</v>
      </c>
      <c r="H5518" t="s">
        <v>938</v>
      </c>
    </row>
    <row r="5519" spans="1:10" hidden="1" x14ac:dyDescent="0.25">
      <c r="A5519" t="s">
        <v>7610</v>
      </c>
      <c r="B5519" s="1" t="str">
        <f>HYPERLINK("https://asmlis.vasa.lt/Dashboard/Served?ServiceDateFrom=2025-11-24&amp;ServiceDateTo=2025-11-24&amp;DumpsterInvNr=13-S-207892", "13-S-207892")</f>
        <v>13-S-207892</v>
      </c>
      <c r="C5519">
        <v>3</v>
      </c>
      <c r="D5519" t="s">
        <v>7611</v>
      </c>
      <c r="E5519" t="s">
        <v>11</v>
      </c>
      <c r="G5519" t="s">
        <v>234</v>
      </c>
      <c r="H5519" t="s">
        <v>14</v>
      </c>
    </row>
    <row r="5520" spans="1:10" hidden="1" x14ac:dyDescent="0.25">
      <c r="A5520" t="s">
        <v>7612</v>
      </c>
      <c r="B5520" s="1" t="str">
        <f>HYPERLINK("https://asmlis.vasa.lt/Dashboard/Served?ServiceDateFrom=2025-11-24&amp;ServiceDateTo=2025-11-24&amp;DumpsterInvNr=13-P-205125", "13-P-205125")</f>
        <v>13-P-205125</v>
      </c>
      <c r="C5520">
        <v>0.24</v>
      </c>
      <c r="D5520" t="s">
        <v>7613</v>
      </c>
      <c r="E5520" t="s">
        <v>11</v>
      </c>
      <c r="F5520" t="s">
        <v>1209</v>
      </c>
      <c r="G5520" t="s">
        <v>234</v>
      </c>
      <c r="H5520" t="s">
        <v>14</v>
      </c>
    </row>
    <row r="5521" spans="1:8" hidden="1" x14ac:dyDescent="0.25">
      <c r="A5521" t="s">
        <v>7614</v>
      </c>
      <c r="B5521" s="1" t="str">
        <f>HYPERLINK("https://asmlis.vasa.lt/Dashboard/Served?ServiceDateFrom=2025-11-24&amp;ServiceDateTo=2025-11-24&amp;DumpsterInvNr=13-L-123425", "13-L-123425")</f>
        <v>13-L-123425</v>
      </c>
      <c r="C5521">
        <v>0.24</v>
      </c>
      <c r="D5521" t="s">
        <v>7615</v>
      </c>
      <c r="E5521" t="s">
        <v>11</v>
      </c>
      <c r="G5521" t="s">
        <v>430</v>
      </c>
      <c r="H5521" t="s">
        <v>432</v>
      </c>
    </row>
    <row r="5522" spans="1:8" hidden="1" x14ac:dyDescent="0.25">
      <c r="A5522" t="s">
        <v>7614</v>
      </c>
      <c r="B5522" s="1" t="str">
        <f>HYPERLINK("https://asmlis.vasa.lt/Dashboard/Served?ServiceDateFrom=2025-11-24&amp;ServiceDateTo=2025-11-24&amp;DumpsterInvNr=13-P-507231", "13-P-507231")</f>
        <v>13-P-507231</v>
      </c>
      <c r="C5522">
        <v>0.12</v>
      </c>
      <c r="D5522" t="s">
        <v>7615</v>
      </c>
      <c r="E5522" t="s">
        <v>11</v>
      </c>
      <c r="G5522" t="s">
        <v>2178</v>
      </c>
      <c r="H5522" t="s">
        <v>432</v>
      </c>
    </row>
    <row r="5523" spans="1:8" hidden="1" x14ac:dyDescent="0.25">
      <c r="A5523" t="s">
        <v>7614</v>
      </c>
      <c r="B5523" s="1" t="str">
        <f>HYPERLINK("https://asmlis.vasa.lt/Dashboard/Served?ServiceDateFrom=2025-11-24&amp;ServiceDateTo=2025-11-24&amp;DumpsterInvNr=13-L-227633", "13-L-227633")</f>
        <v>13-L-227633</v>
      </c>
      <c r="C5523">
        <v>0.24</v>
      </c>
      <c r="D5523" t="s">
        <v>6239</v>
      </c>
      <c r="E5523" t="s">
        <v>11</v>
      </c>
      <c r="G5523" t="s">
        <v>936</v>
      </c>
      <c r="H5523" t="s">
        <v>938</v>
      </c>
    </row>
    <row r="5524" spans="1:8" hidden="1" x14ac:dyDescent="0.25">
      <c r="A5524" t="s">
        <v>7616</v>
      </c>
      <c r="B5524" s="1" t="str">
        <f>HYPERLINK("https://asmlis.vasa.lt/Dashboard/Served?ServiceDateFrom=2025-11-24&amp;ServiceDateTo=2025-11-24&amp;DumpsterInvNr=13-L-217421", "13-L-217421")</f>
        <v>13-L-217421</v>
      </c>
      <c r="C5524">
        <v>1.1000000000000001</v>
      </c>
      <c r="D5524" t="s">
        <v>6681</v>
      </c>
      <c r="E5524" t="s">
        <v>11</v>
      </c>
      <c r="F5524" t="s">
        <v>1209</v>
      </c>
      <c r="G5524" t="s">
        <v>936</v>
      </c>
      <c r="H5524" t="s">
        <v>938</v>
      </c>
    </row>
    <row r="5525" spans="1:8" hidden="1" x14ac:dyDescent="0.25">
      <c r="A5525" t="s">
        <v>7253</v>
      </c>
      <c r="B5525" s="1" t="str">
        <f>HYPERLINK("https://asmlis.vasa.lt/Dashboard/Served?ServiceDateFrom=2025-11-24&amp;ServiceDateTo=2025-11-24&amp;DumpsterInvNr=13-P-205111", "13-P-205111")</f>
        <v>13-P-205111</v>
      </c>
      <c r="C5525">
        <v>0.24</v>
      </c>
      <c r="D5525" t="s">
        <v>7618</v>
      </c>
      <c r="E5525" t="s">
        <v>11</v>
      </c>
      <c r="G5525" t="s">
        <v>234</v>
      </c>
      <c r="H5525" t="s">
        <v>14</v>
      </c>
    </row>
    <row r="5526" spans="1:8" hidden="1" x14ac:dyDescent="0.25">
      <c r="A5526" t="s">
        <v>7253</v>
      </c>
      <c r="B5526" s="1" t="str">
        <f>HYPERLINK("https://asmlis.vasa.lt/Dashboard/Served?ServiceDateFrom=2025-11-24&amp;ServiceDateTo=2025-11-24&amp;DumpsterInvNr=13-P-205350", "13-P-205350")</f>
        <v>13-P-205350</v>
      </c>
      <c r="C5526">
        <v>0.24</v>
      </c>
      <c r="D5526" t="s">
        <v>7619</v>
      </c>
      <c r="E5526" t="s">
        <v>11</v>
      </c>
      <c r="F5526" t="s">
        <v>1209</v>
      </c>
      <c r="G5526" t="s">
        <v>234</v>
      </c>
      <c r="H5526" t="s">
        <v>14</v>
      </c>
    </row>
    <row r="5527" spans="1:8" hidden="1" x14ac:dyDescent="0.25">
      <c r="A5527" t="s">
        <v>7620</v>
      </c>
      <c r="B5527" s="1" t="str">
        <f>HYPERLINK("https://asmlis.vasa.lt/Dashboard/Served?ServiceDateFrom=2025-11-24&amp;ServiceDateTo=2025-11-24&amp;DumpsterInvNr=13-L-115244", "13-L-115244")</f>
        <v>13-L-115244</v>
      </c>
      <c r="C5527">
        <v>1.1000000000000001</v>
      </c>
      <c r="D5527" t="s">
        <v>7621</v>
      </c>
      <c r="E5527" t="s">
        <v>11</v>
      </c>
      <c r="G5527" t="s">
        <v>430</v>
      </c>
      <c r="H5527" t="s">
        <v>432</v>
      </c>
    </row>
    <row r="5528" spans="1:8" hidden="1" x14ac:dyDescent="0.25">
      <c r="A5528" t="s">
        <v>7620</v>
      </c>
      <c r="B5528" s="1" t="str">
        <f>HYPERLINK("https://asmlis.vasa.lt/Dashboard/Served?ServiceDateFrom=2025-11-24&amp;ServiceDateTo=2025-11-24&amp;DumpsterInvNr=13-L-401521", "13-L-401521")</f>
        <v>13-L-401521</v>
      </c>
      <c r="C5528">
        <v>0.12</v>
      </c>
      <c r="D5528" t="s">
        <v>3864</v>
      </c>
      <c r="E5528" t="s">
        <v>11</v>
      </c>
      <c r="G5528" t="s">
        <v>74</v>
      </c>
      <c r="H5528" t="s">
        <v>14</v>
      </c>
    </row>
    <row r="5529" spans="1:8" hidden="1" x14ac:dyDescent="0.25">
      <c r="A5529" t="s">
        <v>7622</v>
      </c>
      <c r="B5529" s="1" t="str">
        <f>HYPERLINK("https://asmlis.vasa.lt/Dashboard/Served?ServiceDateFrom=2025-11-24&amp;ServiceDateTo=2025-11-24&amp;DumpsterInvNr=13-S-206481", "13-S-206481")</f>
        <v>13-S-206481</v>
      </c>
      <c r="C5529">
        <v>0.12</v>
      </c>
      <c r="D5529" t="s">
        <v>7618</v>
      </c>
      <c r="E5529" t="s">
        <v>11</v>
      </c>
      <c r="G5529" t="s">
        <v>234</v>
      </c>
      <c r="H5529" t="s">
        <v>14</v>
      </c>
    </row>
    <row r="5530" spans="1:8" hidden="1" x14ac:dyDescent="0.25">
      <c r="A5530" t="s">
        <v>7623</v>
      </c>
      <c r="B5530" s="1" t="str">
        <f>HYPERLINK("https://asmlis.vasa.lt/Dashboard/Served?ServiceDateFrom=2025-11-24&amp;ServiceDateTo=2025-11-24&amp;DumpsterInvNr=13-L-421827", "13-L-421827")</f>
        <v>13-L-421827</v>
      </c>
      <c r="C5530">
        <v>5</v>
      </c>
      <c r="D5530" t="s">
        <v>7624</v>
      </c>
      <c r="E5530" t="s">
        <v>11</v>
      </c>
      <c r="F5530" t="s">
        <v>13</v>
      </c>
      <c r="G5530" t="s">
        <v>74</v>
      </c>
      <c r="H5530" t="s">
        <v>14</v>
      </c>
    </row>
    <row r="5531" spans="1:8" hidden="1" x14ac:dyDescent="0.25">
      <c r="A5531" t="s">
        <v>7625</v>
      </c>
      <c r="B5531" s="1" t="str">
        <f>HYPERLINK("https://asmlis.vasa.lt/Dashboard/Served?ServiceDateFrom=2025-11-24&amp;ServiceDateTo=2025-11-24&amp;DumpsterInvNr=13-P-301995", "13-P-301995")</f>
        <v>13-P-301995</v>
      </c>
      <c r="C5531">
        <v>1.1000000000000001</v>
      </c>
      <c r="D5531" t="s">
        <v>7626</v>
      </c>
      <c r="E5531" t="s">
        <v>11</v>
      </c>
      <c r="G5531" t="s">
        <v>412</v>
      </c>
      <c r="H5531" t="s">
        <v>432</v>
      </c>
    </row>
    <row r="5532" spans="1:8" hidden="1" x14ac:dyDescent="0.25">
      <c r="A5532" t="s">
        <v>7277</v>
      </c>
      <c r="B5532" s="1" t="str">
        <f>HYPERLINK("https://asmlis.vasa.lt/Dashboard/Served?ServiceDateFrom=2025-11-24&amp;ServiceDateTo=2025-11-24&amp;DumpsterInvNr=13-L-223587", "13-L-223587")</f>
        <v>13-L-223587</v>
      </c>
      <c r="C5532">
        <v>1.1000000000000001</v>
      </c>
      <c r="D5532" t="s">
        <v>2204</v>
      </c>
      <c r="E5532" t="s">
        <v>11</v>
      </c>
      <c r="G5532" t="s">
        <v>936</v>
      </c>
      <c r="H5532" t="s">
        <v>938</v>
      </c>
    </row>
    <row r="5533" spans="1:8" hidden="1" x14ac:dyDescent="0.25">
      <c r="A5533" t="s">
        <v>7627</v>
      </c>
      <c r="B5533" s="1" t="str">
        <f>HYPERLINK("https://asmlis.vasa.lt/Dashboard/Served?ServiceDateFrom=2025-11-24&amp;ServiceDateTo=2025-11-24&amp;DumpsterInvNr=13-L-115245", "13-L-115245")</f>
        <v>13-L-115245</v>
      </c>
      <c r="C5533">
        <v>1.1000000000000001</v>
      </c>
      <c r="D5533" t="s">
        <v>7621</v>
      </c>
      <c r="E5533" t="s">
        <v>11</v>
      </c>
      <c r="G5533" t="s">
        <v>430</v>
      </c>
      <c r="H5533" t="s">
        <v>432</v>
      </c>
    </row>
    <row r="5534" spans="1:8" hidden="1" x14ac:dyDescent="0.25">
      <c r="A5534" t="s">
        <v>7627</v>
      </c>
      <c r="B5534" s="1" t="str">
        <f>HYPERLINK("https://asmlis.vasa.lt/Dashboard/Served?ServiceDateFrom=2025-11-24&amp;ServiceDateTo=2025-11-24&amp;DumpsterInvNr=13-L-405713", "13-L-405713")</f>
        <v>13-L-405713</v>
      </c>
      <c r="C5534">
        <v>5</v>
      </c>
      <c r="D5534" t="s">
        <v>6966</v>
      </c>
      <c r="E5534" t="s">
        <v>11</v>
      </c>
      <c r="F5534" t="s">
        <v>13</v>
      </c>
      <c r="G5534" t="s">
        <v>74</v>
      </c>
      <c r="H5534" t="s">
        <v>14</v>
      </c>
    </row>
    <row r="5535" spans="1:8" hidden="1" x14ac:dyDescent="0.25">
      <c r="A5535" t="s">
        <v>7628</v>
      </c>
      <c r="B5535" s="1" t="str">
        <f>HYPERLINK("https://asmlis.vasa.lt/Dashboard/Served?ServiceDateFrom=2025-11-24&amp;ServiceDateTo=2025-11-24&amp;DumpsterInvNr=13-L-423253", "13-L-423253")</f>
        <v>13-L-423253</v>
      </c>
      <c r="C5535">
        <v>5</v>
      </c>
      <c r="D5535" t="s">
        <v>7629</v>
      </c>
      <c r="E5535" t="s">
        <v>11</v>
      </c>
      <c r="G5535" t="s">
        <v>74</v>
      </c>
      <c r="H5535" t="s">
        <v>14</v>
      </c>
    </row>
    <row r="5536" spans="1:8" hidden="1" x14ac:dyDescent="0.25">
      <c r="A5536" t="s">
        <v>7630</v>
      </c>
      <c r="B5536" s="1" t="str">
        <f>HYPERLINK("https://asmlis.vasa.lt/Dashboard/Served?ServiceDateFrom=2025-11-24&amp;ServiceDateTo=2025-11-24&amp;DumpsterInvNr=13-P-404425", "13-P-404425")</f>
        <v>13-P-404425</v>
      </c>
      <c r="C5536">
        <v>0.24</v>
      </c>
      <c r="D5536" t="s">
        <v>7631</v>
      </c>
      <c r="E5536" t="s">
        <v>11</v>
      </c>
      <c r="G5536" t="s">
        <v>264</v>
      </c>
      <c r="H5536" t="s">
        <v>14</v>
      </c>
    </row>
    <row r="5537" spans="1:8" hidden="1" x14ac:dyDescent="0.25">
      <c r="A5537" t="s">
        <v>7293</v>
      </c>
      <c r="B5537" s="1" t="str">
        <f>HYPERLINK("https://asmlis.vasa.lt/Dashboard/Served?ServiceDateFrom=2025-11-24&amp;ServiceDateTo=2025-11-24&amp;DumpsterInvNr=13-M-206067", "13-M-206067")</f>
        <v>13-M-206067</v>
      </c>
      <c r="C5537">
        <v>0.12</v>
      </c>
      <c r="D5537" t="s">
        <v>7632</v>
      </c>
      <c r="E5537" t="s">
        <v>11</v>
      </c>
      <c r="F5537" t="s">
        <v>1209</v>
      </c>
      <c r="G5537" t="s">
        <v>4876</v>
      </c>
      <c r="H5537" t="s">
        <v>938</v>
      </c>
    </row>
    <row r="5538" spans="1:8" hidden="1" x14ac:dyDescent="0.25">
      <c r="A5538" t="s">
        <v>7633</v>
      </c>
      <c r="B5538" s="1" t="str">
        <f>HYPERLINK("https://asmlis.vasa.lt/Dashboard/Served?ServiceDateFrom=2025-11-24&amp;ServiceDateTo=2025-11-24&amp;DumpsterInvNr=13-P-404463", "13-P-404463")</f>
        <v>13-P-404463</v>
      </c>
      <c r="C5538">
        <v>5</v>
      </c>
      <c r="D5538" t="s">
        <v>7634</v>
      </c>
      <c r="E5538" t="s">
        <v>11</v>
      </c>
      <c r="G5538" t="s">
        <v>264</v>
      </c>
      <c r="H5538" t="s">
        <v>14</v>
      </c>
    </row>
    <row r="5539" spans="1:8" hidden="1" x14ac:dyDescent="0.25">
      <c r="A5539" t="s">
        <v>7635</v>
      </c>
      <c r="B5539" s="1" t="str">
        <f>HYPERLINK("https://asmlis.vasa.lt/Dashboard/Served?ServiceDateFrom=2025-11-24&amp;ServiceDateTo=2025-11-24&amp;DumpsterInvNr=13-L-307723", "13-L-307723")</f>
        <v>13-L-307723</v>
      </c>
      <c r="C5539">
        <v>1.1000000000000001</v>
      </c>
      <c r="D5539" t="s">
        <v>7636</v>
      </c>
      <c r="E5539" t="s">
        <v>11</v>
      </c>
      <c r="G5539" t="s">
        <v>9</v>
      </c>
      <c r="H5539" t="s">
        <v>14</v>
      </c>
    </row>
    <row r="5540" spans="1:8" hidden="1" x14ac:dyDescent="0.25">
      <c r="A5540" t="s">
        <v>7635</v>
      </c>
      <c r="B5540" s="1" t="str">
        <f>HYPERLINK("https://asmlis.vasa.lt/Dashboard/Served?ServiceDateFrom=2025-11-24&amp;ServiceDateTo=2025-11-24&amp;DumpsterInvNr=13-P-416519", "13-P-416519")</f>
        <v>13-P-416519</v>
      </c>
      <c r="C5540">
        <v>1.1000000000000001</v>
      </c>
      <c r="D5540" t="s">
        <v>7582</v>
      </c>
      <c r="E5540" t="s">
        <v>11</v>
      </c>
      <c r="F5540" t="s">
        <v>13</v>
      </c>
      <c r="G5540" t="s">
        <v>264</v>
      </c>
      <c r="H5540" t="s">
        <v>14</v>
      </c>
    </row>
    <row r="5541" spans="1:8" hidden="1" x14ac:dyDescent="0.25">
      <c r="A5541" t="s">
        <v>7637</v>
      </c>
      <c r="B5541" s="1" t="str">
        <f>HYPERLINK("https://asmlis.vasa.lt/Dashboard/Served?ServiceDateFrom=2025-11-24&amp;ServiceDateTo=2025-11-24&amp;DumpsterInvNr=13-L-136006", "13-L-136006")</f>
        <v>13-L-136006</v>
      </c>
      <c r="C5541">
        <v>5</v>
      </c>
      <c r="D5541" t="s">
        <v>7638</v>
      </c>
      <c r="E5541" t="s">
        <v>11</v>
      </c>
      <c r="F5541" t="s">
        <v>13</v>
      </c>
      <c r="G5541" t="s">
        <v>430</v>
      </c>
      <c r="H5541" t="s">
        <v>432</v>
      </c>
    </row>
    <row r="5542" spans="1:8" hidden="1" x14ac:dyDescent="0.25">
      <c r="A5542" t="s">
        <v>7640</v>
      </c>
      <c r="B5542" s="1" t="str">
        <f>HYPERLINK("https://asmlis.vasa.lt/Dashboard/Served?ServiceDateFrom=2025-11-24&amp;ServiceDateTo=2025-11-24&amp;DumpsterInvNr=13-P-416314", "13-P-416314")</f>
        <v>13-P-416314</v>
      </c>
      <c r="C5542">
        <v>1.1000000000000001</v>
      </c>
      <c r="D5542" t="s">
        <v>7582</v>
      </c>
      <c r="E5542" t="s">
        <v>11</v>
      </c>
      <c r="F5542" t="s">
        <v>13</v>
      </c>
      <c r="G5542" t="s">
        <v>264</v>
      </c>
      <c r="H5542" t="s">
        <v>14</v>
      </c>
    </row>
    <row r="5543" spans="1:8" hidden="1" x14ac:dyDescent="0.25">
      <c r="A5543" t="s">
        <v>7398</v>
      </c>
      <c r="B5543" s="1" t="str">
        <f>HYPERLINK("https://asmlis.vasa.lt/Dashboard/Served?ServiceDateFrom=2025-11-24&amp;ServiceDateTo=2025-11-24&amp;DumpsterInvNr=13-L-120380", "13-L-120380")</f>
        <v>13-L-120380</v>
      </c>
      <c r="C5543">
        <v>0.24</v>
      </c>
      <c r="D5543" t="s">
        <v>7641</v>
      </c>
      <c r="E5543" t="s">
        <v>11</v>
      </c>
      <c r="G5543" t="s">
        <v>1912</v>
      </c>
      <c r="H5543" t="s">
        <v>432</v>
      </c>
    </row>
    <row r="5544" spans="1:8" hidden="1" x14ac:dyDescent="0.25">
      <c r="A5544" t="s">
        <v>7398</v>
      </c>
      <c r="B5544" s="1" t="str">
        <f>HYPERLINK("https://asmlis.vasa.lt/Dashboard/Served?ServiceDateFrom=2025-11-24&amp;ServiceDateTo=2025-11-24&amp;DumpsterInvNr=13-L-214943", "13-L-214943")</f>
        <v>13-L-214943</v>
      </c>
      <c r="C5544">
        <v>0.12</v>
      </c>
      <c r="D5544" t="s">
        <v>6213</v>
      </c>
      <c r="E5544" t="s">
        <v>11</v>
      </c>
      <c r="G5544" t="s">
        <v>936</v>
      </c>
      <c r="H5544" t="s">
        <v>938</v>
      </c>
    </row>
    <row r="5545" spans="1:8" hidden="1" x14ac:dyDescent="0.25">
      <c r="A5545" t="s">
        <v>7398</v>
      </c>
      <c r="B5545" s="1" t="str">
        <f>HYPERLINK("https://asmlis.vasa.lt/Dashboard/Served?ServiceDateFrom=2025-11-24&amp;ServiceDateTo=2025-11-24&amp;DumpsterInvNr=13-L-145343", "13-L-145343")</f>
        <v>13-L-145343</v>
      </c>
      <c r="C5545">
        <v>5</v>
      </c>
      <c r="D5545" t="s">
        <v>7642</v>
      </c>
      <c r="E5545" t="s">
        <v>11</v>
      </c>
      <c r="F5545" t="s">
        <v>13</v>
      </c>
      <c r="G5545" t="s">
        <v>430</v>
      </c>
      <c r="H5545" t="s">
        <v>432</v>
      </c>
    </row>
    <row r="5546" spans="1:8" hidden="1" x14ac:dyDescent="0.25">
      <c r="A5546" t="s">
        <v>7398</v>
      </c>
      <c r="B5546" s="1" t="str">
        <f>HYPERLINK("https://asmlis.vasa.lt/Dashboard/Served?ServiceDateFrom=2025-11-24&amp;ServiceDateTo=2025-11-24&amp;DumpsterInvNr=13-P-416304", "13-P-416304")</f>
        <v>13-P-416304</v>
      </c>
      <c r="C5546">
        <v>0.24</v>
      </c>
      <c r="D5546" t="s">
        <v>7643</v>
      </c>
      <c r="E5546" t="s">
        <v>11</v>
      </c>
      <c r="G5546" t="s">
        <v>264</v>
      </c>
      <c r="H5546" t="s">
        <v>14</v>
      </c>
    </row>
    <row r="5547" spans="1:8" hidden="1" x14ac:dyDescent="0.25">
      <c r="A5547" t="s">
        <v>7400</v>
      </c>
      <c r="B5547" s="1" t="str">
        <f>HYPERLINK("https://asmlis.vasa.lt/Dashboard/Served?ServiceDateFrom=2025-11-24&amp;ServiceDateTo=2025-11-24&amp;DumpsterInvNr=13-M-202291", "13-M-202291")</f>
        <v>13-M-202291</v>
      </c>
      <c r="C5547">
        <v>0.12</v>
      </c>
      <c r="D5547" t="s">
        <v>7644</v>
      </c>
      <c r="E5547" t="s">
        <v>11</v>
      </c>
      <c r="F5547" t="s">
        <v>1209</v>
      </c>
      <c r="G5547" t="s">
        <v>4876</v>
      </c>
      <c r="H5547" t="s">
        <v>938</v>
      </c>
    </row>
    <row r="5548" spans="1:8" hidden="1" x14ac:dyDescent="0.25">
      <c r="A5548" t="s">
        <v>7406</v>
      </c>
      <c r="B5548" s="1" t="str">
        <f>HYPERLINK("https://asmlis.vasa.lt/Dashboard/Served?ServiceDateFrom=2025-11-24&amp;ServiceDateTo=2025-11-24&amp;DumpsterInvNr=13-L-307420", "13-L-307420")</f>
        <v>13-L-307420</v>
      </c>
      <c r="C5548">
        <v>1.1000000000000001</v>
      </c>
      <c r="D5548" t="s">
        <v>7636</v>
      </c>
      <c r="E5548" t="s">
        <v>11</v>
      </c>
      <c r="G5548" t="s">
        <v>9</v>
      </c>
      <c r="H5548" t="s">
        <v>14</v>
      </c>
    </row>
    <row r="5549" spans="1:8" hidden="1" x14ac:dyDescent="0.25">
      <c r="A5549" t="s">
        <v>7406</v>
      </c>
      <c r="B5549" s="1" t="str">
        <f>HYPERLINK("https://asmlis.vasa.lt/Dashboard/Served?ServiceDateFrom=2025-11-24&amp;ServiceDateTo=2025-11-24&amp;DumpsterInvNr=13-M-202281", "13-M-202281")</f>
        <v>13-M-202281</v>
      </c>
      <c r="C5549">
        <v>0.12</v>
      </c>
      <c r="D5549" t="s">
        <v>7645</v>
      </c>
      <c r="E5549" t="s">
        <v>11</v>
      </c>
      <c r="F5549" t="s">
        <v>1209</v>
      </c>
      <c r="G5549" t="s">
        <v>4876</v>
      </c>
      <c r="H5549" t="s">
        <v>938</v>
      </c>
    </row>
    <row r="5550" spans="1:8" hidden="1" x14ac:dyDescent="0.25">
      <c r="A5550" t="s">
        <v>7444</v>
      </c>
      <c r="B5550" s="1" t="str">
        <f>HYPERLINK("https://asmlis.vasa.lt/Dashboard/Served?ServiceDateFrom=2025-11-24&amp;ServiceDateTo=2025-11-24&amp;DumpsterInvNr=13-L-135703", "13-L-135703")</f>
        <v>13-L-135703</v>
      </c>
      <c r="C5550">
        <v>0.24</v>
      </c>
      <c r="D5550" t="s">
        <v>7646</v>
      </c>
      <c r="E5550" t="s">
        <v>11</v>
      </c>
      <c r="G5550" t="s">
        <v>430</v>
      </c>
      <c r="H5550" t="s">
        <v>432</v>
      </c>
    </row>
    <row r="5551" spans="1:8" hidden="1" x14ac:dyDescent="0.25">
      <c r="A5551" t="s">
        <v>7444</v>
      </c>
      <c r="B5551" s="1" t="str">
        <f>HYPERLINK("https://asmlis.vasa.lt/Dashboard/Served?ServiceDateFrom=2025-11-24&amp;ServiceDateTo=2025-11-24&amp;DumpsterInvNr=13-L-123420", "13-L-123420")</f>
        <v>13-L-123420</v>
      </c>
      <c r="C5551">
        <v>0.24</v>
      </c>
      <c r="D5551" t="s">
        <v>7647</v>
      </c>
      <c r="E5551" t="s">
        <v>11</v>
      </c>
      <c r="G5551" t="s">
        <v>430</v>
      </c>
      <c r="H5551" t="s">
        <v>432</v>
      </c>
    </row>
    <row r="5552" spans="1:8" hidden="1" x14ac:dyDescent="0.25">
      <c r="A5552" t="s">
        <v>7445</v>
      </c>
      <c r="B5552" s="1" t="str">
        <f>HYPERLINK("https://asmlis.vasa.lt/Dashboard/Served?ServiceDateFrom=2025-11-24&amp;ServiceDateTo=2025-11-24&amp;DumpsterInvNr=13-P-500537", "13-P-500537")</f>
        <v>13-P-500537</v>
      </c>
      <c r="C5552">
        <v>5</v>
      </c>
      <c r="D5552" t="s">
        <v>7648</v>
      </c>
      <c r="E5552" t="s">
        <v>11</v>
      </c>
      <c r="F5552" t="s">
        <v>13</v>
      </c>
      <c r="G5552" t="s">
        <v>2178</v>
      </c>
      <c r="H5552" t="s">
        <v>432</v>
      </c>
    </row>
    <row r="5553" spans="1:8" hidden="1" x14ac:dyDescent="0.25">
      <c r="A5553" t="s">
        <v>7650</v>
      </c>
      <c r="B5553" s="1" t="str">
        <f>HYPERLINK("https://asmlis.vasa.lt/Dashboard/Served?ServiceDateFrom=2025-11-24&amp;ServiceDateTo=2025-11-24&amp;DumpsterInvNr=13-P-500635", "13-P-500635")</f>
        <v>13-P-500635</v>
      </c>
      <c r="C5553">
        <v>5</v>
      </c>
      <c r="D5553" t="s">
        <v>7651</v>
      </c>
      <c r="E5553" t="s">
        <v>11</v>
      </c>
      <c r="F5553" t="s">
        <v>13</v>
      </c>
      <c r="G5553" t="s">
        <v>2178</v>
      </c>
      <c r="H5553" t="s">
        <v>432</v>
      </c>
    </row>
    <row r="5554" spans="1:8" hidden="1" x14ac:dyDescent="0.25">
      <c r="A5554" t="s">
        <v>7652</v>
      </c>
      <c r="B5554" s="1" t="str">
        <f>HYPERLINK("https://asmlis.vasa.lt/Dashboard/Served?ServiceDateFrom=2025-11-24&amp;ServiceDateTo=2025-11-24&amp;DumpsterInvNr=13-L-401509", "13-L-401509")</f>
        <v>13-L-401509</v>
      </c>
      <c r="C5554">
        <v>0.24</v>
      </c>
      <c r="D5554" t="s">
        <v>3905</v>
      </c>
      <c r="E5554" t="s">
        <v>11</v>
      </c>
      <c r="G5554" t="s">
        <v>74</v>
      </c>
      <c r="H5554" t="s">
        <v>14</v>
      </c>
    </row>
    <row r="5555" spans="1:8" hidden="1" x14ac:dyDescent="0.25">
      <c r="A5555" t="s">
        <v>7653</v>
      </c>
      <c r="B5555" s="1" t="str">
        <f>HYPERLINK("https://asmlis.vasa.lt/Dashboard/Served?ServiceDateFrom=2025-11-24&amp;ServiceDateTo=2025-11-24&amp;DumpsterInvNr=13-L-208249", "13-L-208249")</f>
        <v>13-L-208249</v>
      </c>
      <c r="C5555">
        <v>0.77</v>
      </c>
      <c r="D5555" t="s">
        <v>6681</v>
      </c>
      <c r="E5555" t="s">
        <v>11</v>
      </c>
      <c r="G5555" t="s">
        <v>936</v>
      </c>
      <c r="H5555" t="s">
        <v>938</v>
      </c>
    </row>
    <row r="5556" spans="1:8" hidden="1" x14ac:dyDescent="0.25">
      <c r="A5556" t="s">
        <v>7654</v>
      </c>
      <c r="B5556" s="1" t="str">
        <f>HYPERLINK("https://asmlis.vasa.lt/Dashboard/Served?ServiceDateFrom=2025-11-24&amp;ServiceDateTo=2025-11-24&amp;DumpsterInvNr=13-L-412833", "13-L-412833")</f>
        <v>13-L-412833</v>
      </c>
      <c r="C5556">
        <v>0.66</v>
      </c>
      <c r="D5556" t="s">
        <v>7655</v>
      </c>
      <c r="E5556" t="s">
        <v>11</v>
      </c>
      <c r="G5556" t="s">
        <v>74</v>
      </c>
      <c r="H5556" t="s">
        <v>14</v>
      </c>
    </row>
    <row r="5557" spans="1:8" hidden="1" x14ac:dyDescent="0.25">
      <c r="A5557" t="s">
        <v>7656</v>
      </c>
      <c r="B5557" s="1" t="str">
        <f>HYPERLINK("https://asmlis.vasa.lt/Dashboard/Served?ServiceDateFrom=2025-11-24&amp;ServiceDateTo=2025-11-24&amp;DumpsterInvNr=13-P-211776", "13-P-211776")</f>
        <v>13-P-211776</v>
      </c>
      <c r="C5557">
        <v>0.24</v>
      </c>
      <c r="D5557" t="s">
        <v>7657</v>
      </c>
      <c r="E5557" t="s">
        <v>11</v>
      </c>
      <c r="G5557" t="s">
        <v>234</v>
      </c>
      <c r="H5557" t="s">
        <v>14</v>
      </c>
    </row>
    <row r="5558" spans="1:8" hidden="1" x14ac:dyDescent="0.25">
      <c r="A5558" t="s">
        <v>7658</v>
      </c>
      <c r="B5558" s="1" t="str">
        <f>HYPERLINK("https://asmlis.vasa.lt/Dashboard/Served?ServiceDateFrom=2025-11-24&amp;ServiceDateTo=2025-11-24&amp;DumpsterInvNr=13-P-505367", "13-P-505367")</f>
        <v>13-P-505367</v>
      </c>
      <c r="C5558">
        <v>0.24</v>
      </c>
      <c r="D5558" t="s">
        <v>7647</v>
      </c>
      <c r="E5558" t="s">
        <v>11</v>
      </c>
      <c r="G5558" t="s">
        <v>2178</v>
      </c>
      <c r="H5558" t="s">
        <v>432</v>
      </c>
    </row>
    <row r="5559" spans="1:8" hidden="1" x14ac:dyDescent="0.25">
      <c r="A5559" t="s">
        <v>7659</v>
      </c>
      <c r="B5559" s="1" t="str">
        <f>HYPERLINK("https://asmlis.vasa.lt/Dashboard/Served?ServiceDateFrom=2025-11-24&amp;ServiceDateTo=2025-11-24&amp;DumpsterInvNr=13-S-211230", "13-S-211230")</f>
        <v>13-S-211230</v>
      </c>
      <c r="C5559">
        <v>3</v>
      </c>
      <c r="D5559" t="s">
        <v>7660</v>
      </c>
      <c r="E5559" t="s">
        <v>11</v>
      </c>
      <c r="G5559" t="s">
        <v>234</v>
      </c>
      <c r="H5559" t="s">
        <v>14</v>
      </c>
    </row>
    <row r="5560" spans="1:8" hidden="1" x14ac:dyDescent="0.25">
      <c r="A5560" t="s">
        <v>7661</v>
      </c>
      <c r="B5560" s="1" t="str">
        <f>HYPERLINK("https://asmlis.vasa.lt/Dashboard/Served?ServiceDateFrom=2025-11-24&amp;ServiceDateTo=2025-11-24&amp;DumpsterInvNr=13-L-221474", "13-L-221474")</f>
        <v>13-L-221474</v>
      </c>
      <c r="C5560">
        <v>1.1000000000000001</v>
      </c>
      <c r="D5560" t="s">
        <v>2204</v>
      </c>
      <c r="E5560" t="s">
        <v>11</v>
      </c>
      <c r="G5560" t="s">
        <v>936</v>
      </c>
      <c r="H5560" t="s">
        <v>938</v>
      </c>
    </row>
    <row r="5561" spans="1:8" hidden="1" x14ac:dyDescent="0.25">
      <c r="A5561" t="s">
        <v>7662</v>
      </c>
      <c r="B5561" s="1" t="str">
        <f>HYPERLINK("https://asmlis.vasa.lt/Dashboard/Served?ServiceDateFrom=2025-11-24&amp;ServiceDateTo=2025-11-24&amp;DumpsterInvNr=13-L-144491", "13-L-144491")</f>
        <v>13-L-144491</v>
      </c>
      <c r="C5561">
        <v>5</v>
      </c>
      <c r="D5561" t="s">
        <v>7663</v>
      </c>
      <c r="E5561" t="s">
        <v>11</v>
      </c>
      <c r="F5561" t="s">
        <v>13</v>
      </c>
      <c r="G5561" t="s">
        <v>430</v>
      </c>
      <c r="H5561" t="s">
        <v>432</v>
      </c>
    </row>
    <row r="5562" spans="1:8" hidden="1" x14ac:dyDescent="0.25">
      <c r="A5562" t="s">
        <v>7664</v>
      </c>
      <c r="B5562" s="1" t="str">
        <f>HYPERLINK("https://asmlis.vasa.lt/Dashboard/Served?ServiceDateFrom=2025-11-24&amp;ServiceDateTo=2025-11-24&amp;DumpsterInvNr=13-L-137217", "13-L-137217")</f>
        <v>13-L-137217</v>
      </c>
      <c r="C5562">
        <v>5</v>
      </c>
      <c r="D5562" t="s">
        <v>7665</v>
      </c>
      <c r="E5562" t="s">
        <v>11</v>
      </c>
      <c r="F5562" t="s">
        <v>13</v>
      </c>
      <c r="G5562" t="s">
        <v>430</v>
      </c>
      <c r="H5562" t="s">
        <v>432</v>
      </c>
    </row>
    <row r="5563" spans="1:8" hidden="1" x14ac:dyDescent="0.25">
      <c r="A5563" t="s">
        <v>7664</v>
      </c>
      <c r="B5563" s="1" t="str">
        <f>HYPERLINK("https://asmlis.vasa.lt/Dashboard/Served?ServiceDateFrom=2025-11-24&amp;ServiceDateTo=2025-11-24&amp;DumpsterInvNr=13-M-202144", "13-M-202144")</f>
        <v>13-M-202144</v>
      </c>
      <c r="C5563">
        <v>0.12</v>
      </c>
      <c r="D5563" t="s">
        <v>7667</v>
      </c>
      <c r="E5563" t="s">
        <v>11</v>
      </c>
      <c r="F5563" t="s">
        <v>1209</v>
      </c>
      <c r="G5563" t="s">
        <v>4876</v>
      </c>
      <c r="H5563" t="s">
        <v>938</v>
      </c>
    </row>
    <row r="5564" spans="1:8" hidden="1" x14ac:dyDescent="0.25">
      <c r="A5564" t="s">
        <v>7669</v>
      </c>
      <c r="B5564" s="1" t="str">
        <f>HYPERLINK("https://asmlis.vasa.lt/Dashboard/Served?ServiceDateFrom=2025-11-24&amp;ServiceDateTo=2025-11-24&amp;DumpsterInvNr=13-L-138030", "13-L-138030")</f>
        <v>13-L-138030</v>
      </c>
      <c r="C5564">
        <v>5</v>
      </c>
      <c r="D5564" t="s">
        <v>7670</v>
      </c>
      <c r="E5564" t="s">
        <v>11</v>
      </c>
      <c r="F5564" t="s">
        <v>13</v>
      </c>
      <c r="G5564" t="s">
        <v>430</v>
      </c>
      <c r="H5564" t="s">
        <v>432</v>
      </c>
    </row>
    <row r="5565" spans="1:8" hidden="1" x14ac:dyDescent="0.25">
      <c r="A5565" t="s">
        <v>7671</v>
      </c>
      <c r="B5565" s="1" t="str">
        <f>HYPERLINK("https://asmlis.vasa.lt/Dashboard/Served?ServiceDateFrom=2025-11-24&amp;ServiceDateTo=2025-11-24&amp;DumpsterInvNr=13-L-305378", "13-L-305378")</f>
        <v>13-L-305378</v>
      </c>
      <c r="C5565">
        <v>1.1000000000000001</v>
      </c>
      <c r="D5565" t="s">
        <v>7672</v>
      </c>
      <c r="E5565" t="s">
        <v>11</v>
      </c>
      <c r="G5565" t="s">
        <v>9</v>
      </c>
      <c r="H5565" t="s">
        <v>14</v>
      </c>
    </row>
    <row r="5566" spans="1:8" hidden="1" x14ac:dyDescent="0.25">
      <c r="A5566" t="s">
        <v>7673</v>
      </c>
      <c r="B5566" s="1" t="str">
        <f>HYPERLINK("https://asmlis.vasa.lt/Dashboard/Served?ServiceDateFrom=2025-11-24&amp;ServiceDateTo=2025-11-24&amp;DumpsterInvNr=13-P-402069", "13-P-402069")</f>
        <v>13-P-402069</v>
      </c>
      <c r="C5566">
        <v>0.24</v>
      </c>
      <c r="D5566" t="s">
        <v>7674</v>
      </c>
      <c r="E5566" t="s">
        <v>11</v>
      </c>
      <c r="G5566" t="s">
        <v>264</v>
      </c>
      <c r="H5566" t="s">
        <v>14</v>
      </c>
    </row>
    <row r="5567" spans="1:8" hidden="1" x14ac:dyDescent="0.25">
      <c r="A5567" t="s">
        <v>7675</v>
      </c>
      <c r="B5567" s="1" t="str">
        <f>HYPERLINK("https://asmlis.vasa.lt/Dashboard/Served?ServiceDateFrom=2025-11-24&amp;ServiceDateTo=2025-11-24&amp;DumpsterInvNr=13-L-414223", "13-L-414223")</f>
        <v>13-L-414223</v>
      </c>
      <c r="C5567">
        <v>0.77</v>
      </c>
      <c r="D5567" t="s">
        <v>7655</v>
      </c>
      <c r="E5567" t="s">
        <v>11</v>
      </c>
      <c r="G5567" t="s">
        <v>74</v>
      </c>
      <c r="H5567" t="s">
        <v>14</v>
      </c>
    </row>
    <row r="5568" spans="1:8" hidden="1" x14ac:dyDescent="0.25">
      <c r="A5568" t="s">
        <v>7676</v>
      </c>
      <c r="B5568" s="1" t="str">
        <f>HYPERLINK("https://asmlis.vasa.lt/Dashboard/Served?ServiceDateFrom=2025-11-24&amp;ServiceDateTo=2025-11-24&amp;DumpsterInvNr=13-L-140378", "13-L-140378")</f>
        <v>13-L-140378</v>
      </c>
      <c r="C5568">
        <v>0.24</v>
      </c>
      <c r="D5568" t="s">
        <v>7677</v>
      </c>
      <c r="E5568" t="s">
        <v>11</v>
      </c>
      <c r="G5568" t="s">
        <v>1912</v>
      </c>
      <c r="H5568" t="s">
        <v>432</v>
      </c>
    </row>
    <row r="5569" spans="1:8" hidden="1" x14ac:dyDescent="0.25">
      <c r="A5569" t="s">
        <v>7678</v>
      </c>
      <c r="B5569" s="1" t="str">
        <f>HYPERLINK("https://asmlis.vasa.lt/Dashboard/Served?ServiceDateFrom=2025-11-24&amp;ServiceDateTo=2025-11-24&amp;DumpsterInvNr=13-M-204412", "13-M-204412")</f>
        <v>13-M-204412</v>
      </c>
      <c r="C5569">
        <v>0.12</v>
      </c>
      <c r="D5569" t="s">
        <v>7679</v>
      </c>
      <c r="E5569" t="s">
        <v>11</v>
      </c>
      <c r="F5569" t="s">
        <v>1209</v>
      </c>
      <c r="G5569" t="s">
        <v>4876</v>
      </c>
      <c r="H5569" t="s">
        <v>938</v>
      </c>
    </row>
    <row r="5570" spans="1:8" hidden="1" x14ac:dyDescent="0.25">
      <c r="A5570" t="s">
        <v>7680</v>
      </c>
      <c r="B5570" s="1" t="str">
        <f>HYPERLINK("https://asmlis.vasa.lt/Dashboard/Served?ServiceDateFrom=2025-11-24&amp;ServiceDateTo=2025-11-24&amp;DumpsterInvNr=13-P-203780", "13-P-203780")</f>
        <v>13-P-203780</v>
      </c>
      <c r="C5570">
        <v>0.24</v>
      </c>
      <c r="D5570" t="s">
        <v>7681</v>
      </c>
      <c r="E5570" t="s">
        <v>11</v>
      </c>
      <c r="G5570" t="s">
        <v>234</v>
      </c>
      <c r="H5570" t="s">
        <v>14</v>
      </c>
    </row>
    <row r="5571" spans="1:8" hidden="1" x14ac:dyDescent="0.25">
      <c r="A5571" t="s">
        <v>7682</v>
      </c>
      <c r="B5571" s="1" t="str">
        <f>HYPERLINK("https://asmlis.vasa.lt/Dashboard/Served?ServiceDateFrom=2025-11-24&amp;ServiceDateTo=2025-11-24&amp;DumpsterInvNr=13-L-123421", "13-L-123421")</f>
        <v>13-L-123421</v>
      </c>
      <c r="C5571">
        <v>0.24</v>
      </c>
      <c r="D5571" t="s">
        <v>7683</v>
      </c>
      <c r="E5571" t="s">
        <v>11</v>
      </c>
      <c r="G5571" t="s">
        <v>430</v>
      </c>
      <c r="H5571" t="s">
        <v>432</v>
      </c>
    </row>
    <row r="5572" spans="1:8" hidden="1" x14ac:dyDescent="0.25">
      <c r="A5572" t="s">
        <v>7682</v>
      </c>
      <c r="B5572" s="1" t="str">
        <f>HYPERLINK("https://asmlis.vasa.lt/Dashboard/Served?ServiceDateFrom=2025-11-24&amp;ServiceDateTo=2025-11-24&amp;DumpsterInvNr=13-L-123422", "13-L-123422")</f>
        <v>13-L-123422</v>
      </c>
      <c r="C5572">
        <v>0.24</v>
      </c>
      <c r="D5572" t="s">
        <v>7685</v>
      </c>
      <c r="E5572" t="s">
        <v>11</v>
      </c>
      <c r="G5572" t="s">
        <v>430</v>
      </c>
      <c r="H5572" t="s">
        <v>432</v>
      </c>
    </row>
    <row r="5573" spans="1:8" hidden="1" x14ac:dyDescent="0.25">
      <c r="A5573" t="s">
        <v>7682</v>
      </c>
      <c r="B5573" s="1" t="str">
        <f>HYPERLINK("https://asmlis.vasa.lt/Dashboard/Served?ServiceDateFrom=2025-11-24&amp;ServiceDateTo=2025-11-24&amp;DumpsterInvNr=13-P-102375", "13-P-102375")</f>
        <v>13-P-102375</v>
      </c>
      <c r="C5573">
        <v>5</v>
      </c>
      <c r="D5573" t="s">
        <v>2257</v>
      </c>
      <c r="E5573" t="s">
        <v>11</v>
      </c>
      <c r="F5573" t="s">
        <v>13</v>
      </c>
      <c r="G5573" t="s">
        <v>1917</v>
      </c>
      <c r="H5573" t="s">
        <v>432</v>
      </c>
    </row>
    <row r="5574" spans="1:8" hidden="1" x14ac:dyDescent="0.25">
      <c r="A5574" t="s">
        <v>7682</v>
      </c>
      <c r="B5574" s="1" t="str">
        <f>HYPERLINK("https://asmlis.vasa.lt/Dashboard/Served?ServiceDateFrom=2025-11-24&amp;ServiceDateTo=2025-11-24&amp;DumpsterInvNr=13-P-506986", "13-P-506986")</f>
        <v>13-P-506986</v>
      </c>
      <c r="C5574">
        <v>0.24</v>
      </c>
      <c r="D5574" t="s">
        <v>7683</v>
      </c>
      <c r="E5574" t="s">
        <v>11</v>
      </c>
      <c r="G5574" t="s">
        <v>2178</v>
      </c>
      <c r="H5574" t="s">
        <v>432</v>
      </c>
    </row>
    <row r="5575" spans="1:8" hidden="1" x14ac:dyDescent="0.25">
      <c r="A5575" t="s">
        <v>7686</v>
      </c>
      <c r="B5575" s="1" t="str">
        <f>HYPERLINK("https://asmlis.vasa.lt/Dashboard/Served?ServiceDateFrom=2025-11-24&amp;ServiceDateTo=2025-11-24&amp;DumpsterInvNr=13-L-104801", "13-L-104801")</f>
        <v>13-L-104801</v>
      </c>
      <c r="C5575">
        <v>0.77</v>
      </c>
      <c r="D5575" t="s">
        <v>7687</v>
      </c>
      <c r="E5575" t="s">
        <v>11</v>
      </c>
      <c r="G5575" t="s">
        <v>430</v>
      </c>
      <c r="H5575" t="s">
        <v>432</v>
      </c>
    </row>
    <row r="5576" spans="1:8" hidden="1" x14ac:dyDescent="0.25">
      <c r="A5576" t="s">
        <v>7689</v>
      </c>
      <c r="B5576" s="1" t="str">
        <f>HYPERLINK("https://asmlis.vasa.lt/Dashboard/Served?ServiceDateFrom=2025-11-24&amp;ServiceDateTo=2025-11-24&amp;DumpsterInvNr=13-L-305351", "13-L-305351")</f>
        <v>13-L-305351</v>
      </c>
      <c r="C5576">
        <v>1.1000000000000001</v>
      </c>
      <c r="D5576" t="s">
        <v>7672</v>
      </c>
      <c r="E5576" t="s">
        <v>11</v>
      </c>
      <c r="G5576" t="s">
        <v>9</v>
      </c>
      <c r="H5576" t="s">
        <v>14</v>
      </c>
    </row>
    <row r="5577" spans="1:8" hidden="1" x14ac:dyDescent="0.25">
      <c r="A5577" t="s">
        <v>7690</v>
      </c>
      <c r="B5577" s="1" t="str">
        <f>HYPERLINK("https://asmlis.vasa.lt/Dashboard/Served?ServiceDateFrom=2025-11-24&amp;ServiceDateTo=2025-11-24&amp;DumpsterInvNr=13-L-423298", "13-L-423298")</f>
        <v>13-L-423298</v>
      </c>
      <c r="C5577">
        <v>5</v>
      </c>
      <c r="D5577" t="s">
        <v>7691</v>
      </c>
      <c r="E5577" t="s">
        <v>11</v>
      </c>
      <c r="G5577" t="s">
        <v>74</v>
      </c>
      <c r="H5577" t="s">
        <v>14</v>
      </c>
    </row>
    <row r="5578" spans="1:8" hidden="1" x14ac:dyDescent="0.25">
      <c r="A5578" t="s">
        <v>7690</v>
      </c>
      <c r="B5578" s="1" t="str">
        <f>HYPERLINK("https://asmlis.vasa.lt/Dashboard/Served?ServiceDateFrom=2025-11-24&amp;ServiceDateTo=2025-11-24&amp;DumpsterInvNr=13-M-204034", "13-M-204034")</f>
        <v>13-M-204034</v>
      </c>
      <c r="C5578">
        <v>0.12</v>
      </c>
      <c r="D5578" t="s">
        <v>7692</v>
      </c>
      <c r="E5578" t="s">
        <v>11</v>
      </c>
      <c r="F5578" t="s">
        <v>1209</v>
      </c>
      <c r="G5578" t="s">
        <v>4876</v>
      </c>
      <c r="H5578" t="s">
        <v>938</v>
      </c>
    </row>
    <row r="5579" spans="1:8" hidden="1" x14ac:dyDescent="0.25">
      <c r="A5579" t="s">
        <v>7694</v>
      </c>
      <c r="B5579" s="1" t="str">
        <f>HYPERLINK("https://asmlis.vasa.lt/Dashboard/Served?ServiceDateFrom=2025-11-24&amp;ServiceDateTo=2025-11-24&amp;DumpsterInvNr=13-L-224367", "13-L-224367")</f>
        <v>13-L-224367</v>
      </c>
      <c r="C5579">
        <v>0.24</v>
      </c>
      <c r="D5579" t="s">
        <v>6195</v>
      </c>
      <c r="E5579" t="s">
        <v>11</v>
      </c>
      <c r="G5579" t="s">
        <v>936</v>
      </c>
      <c r="H5579" t="s">
        <v>938</v>
      </c>
    </row>
    <row r="5580" spans="1:8" hidden="1" x14ac:dyDescent="0.25">
      <c r="A5580" t="s">
        <v>7695</v>
      </c>
      <c r="B5580" s="1" t="str">
        <f>HYPERLINK("https://asmlis.vasa.lt/Dashboard/Served?ServiceDateFrom=2025-11-24&amp;ServiceDateTo=2025-11-24&amp;DumpsterInvNr=13-P-413888", "13-P-413888")</f>
        <v>13-P-413888</v>
      </c>
      <c r="C5580">
        <v>2.5</v>
      </c>
      <c r="D5580" t="s">
        <v>7696</v>
      </c>
      <c r="E5580" t="s">
        <v>11</v>
      </c>
      <c r="G5580" t="s">
        <v>264</v>
      </c>
      <c r="H5580" t="s">
        <v>14</v>
      </c>
    </row>
    <row r="5581" spans="1:8" hidden="1" x14ac:dyDescent="0.25">
      <c r="A5581" t="s">
        <v>7697</v>
      </c>
      <c r="B5581" s="1" t="str">
        <f>HYPERLINK("https://asmlis.vasa.lt/Dashboard/Served?ServiceDateFrom=2025-11-24&amp;ServiceDateTo=2025-11-24&amp;DumpsterInvNr=13-L-205763", "13-L-205763")</f>
        <v>13-L-205763</v>
      </c>
      <c r="C5581">
        <v>0.12</v>
      </c>
      <c r="D5581" t="s">
        <v>6212</v>
      </c>
      <c r="E5581" t="s">
        <v>11</v>
      </c>
      <c r="F5581" t="s">
        <v>1209</v>
      </c>
      <c r="G5581" t="s">
        <v>936</v>
      </c>
      <c r="H5581" t="s">
        <v>938</v>
      </c>
    </row>
    <row r="5582" spans="1:8" hidden="1" x14ac:dyDescent="0.25">
      <c r="A5582" t="s">
        <v>7699</v>
      </c>
      <c r="B5582" s="1" t="str">
        <f>HYPERLINK("https://asmlis.vasa.lt/Dashboard/Served?ServiceDateFrom=2025-11-24&amp;ServiceDateTo=2025-11-24&amp;DumpsterInvNr=13-L-137219", "13-L-137219")</f>
        <v>13-L-137219</v>
      </c>
      <c r="C5582">
        <v>1.1000000000000001</v>
      </c>
      <c r="D5582" t="s">
        <v>7700</v>
      </c>
      <c r="E5582" t="s">
        <v>11</v>
      </c>
      <c r="G5582" t="s">
        <v>1912</v>
      </c>
      <c r="H5582" t="s">
        <v>432</v>
      </c>
    </row>
    <row r="5583" spans="1:8" hidden="1" x14ac:dyDescent="0.25">
      <c r="A5583" t="s">
        <v>7702</v>
      </c>
      <c r="B5583" s="1" t="str">
        <f>HYPERLINK("https://asmlis.vasa.lt/Dashboard/Served?ServiceDateFrom=2025-11-24&amp;ServiceDateTo=2025-11-24&amp;DumpsterInvNr=13-P-404100", "13-P-404100")</f>
        <v>13-P-404100</v>
      </c>
      <c r="C5583">
        <v>0.24</v>
      </c>
      <c r="D5583" t="s">
        <v>7703</v>
      </c>
      <c r="E5583" t="s">
        <v>11</v>
      </c>
      <c r="G5583" t="s">
        <v>264</v>
      </c>
      <c r="H5583" t="s">
        <v>14</v>
      </c>
    </row>
    <row r="5584" spans="1:8" hidden="1" x14ac:dyDescent="0.25">
      <c r="A5584" t="s">
        <v>7704</v>
      </c>
      <c r="B5584" s="1" t="str">
        <f>HYPERLINK("https://asmlis.vasa.lt/Dashboard/Served?ServiceDateFrom=2025-11-24&amp;ServiceDateTo=2025-11-24&amp;DumpsterInvNr=13-L-219814", "13-L-219814")</f>
        <v>13-L-219814</v>
      </c>
      <c r="C5584">
        <v>1.1000000000000001</v>
      </c>
      <c r="D5584" t="s">
        <v>5778</v>
      </c>
      <c r="E5584" t="s">
        <v>11</v>
      </c>
      <c r="G5584" t="s">
        <v>936</v>
      </c>
      <c r="H5584" t="s">
        <v>938</v>
      </c>
    </row>
    <row r="5585" spans="1:8" hidden="1" x14ac:dyDescent="0.25">
      <c r="A5585" t="s">
        <v>7288</v>
      </c>
      <c r="B5585" s="1" t="str">
        <f>HYPERLINK("https://asmlis.vasa.lt/Dashboard/Served?ServiceDateFrom=2025-11-24&amp;ServiceDateTo=2025-11-24&amp;DumpsterInvNr=13-L-423074", "13-L-423074")</f>
        <v>13-L-423074</v>
      </c>
      <c r="C5585">
        <v>1.1000000000000001</v>
      </c>
      <c r="D5585" t="s">
        <v>7705</v>
      </c>
      <c r="E5585" t="s">
        <v>11</v>
      </c>
      <c r="G5585" t="s">
        <v>74</v>
      </c>
      <c r="H5585" t="s">
        <v>14</v>
      </c>
    </row>
    <row r="5586" spans="1:8" hidden="1" x14ac:dyDescent="0.25">
      <c r="A5586" t="s">
        <v>7288</v>
      </c>
      <c r="B5586" s="1" t="str">
        <f>HYPERLINK("https://asmlis.vasa.lt/Dashboard/Served?ServiceDateFrom=2025-11-24&amp;ServiceDateTo=2025-11-24&amp;DumpsterInvNr=13-L-205766", "13-L-205766")</f>
        <v>13-L-205766</v>
      </c>
      <c r="C5586">
        <v>0.12</v>
      </c>
      <c r="D5586" t="s">
        <v>7706</v>
      </c>
      <c r="E5586" t="s">
        <v>11</v>
      </c>
      <c r="F5586" t="s">
        <v>1209</v>
      </c>
      <c r="G5586" t="s">
        <v>936</v>
      </c>
      <c r="H5586" t="s">
        <v>938</v>
      </c>
    </row>
    <row r="5587" spans="1:8" hidden="1" x14ac:dyDescent="0.25">
      <c r="A5587" t="s">
        <v>7707</v>
      </c>
      <c r="B5587" s="1" t="str">
        <f>HYPERLINK("https://asmlis.vasa.lt/Dashboard/Served?ServiceDateFrom=2025-11-24&amp;ServiceDateTo=2025-11-24&amp;DumpsterInvNr=13-L-140769", "13-L-140769")</f>
        <v>13-L-140769</v>
      </c>
      <c r="C5587">
        <v>1.1000000000000001</v>
      </c>
      <c r="D5587" t="s">
        <v>7708</v>
      </c>
      <c r="E5587" t="s">
        <v>11</v>
      </c>
      <c r="G5587" t="s">
        <v>430</v>
      </c>
      <c r="H5587" t="s">
        <v>432</v>
      </c>
    </row>
    <row r="5588" spans="1:8" hidden="1" x14ac:dyDescent="0.25">
      <c r="A5588" t="s">
        <v>7350</v>
      </c>
      <c r="B5588" s="1" t="str">
        <f>HYPERLINK("https://asmlis.vasa.lt/Dashboard/Served?ServiceDateFrom=2025-11-24&amp;ServiceDateTo=2025-11-24&amp;DumpsterInvNr=13-L-221665", "13-L-221665")</f>
        <v>13-L-221665</v>
      </c>
      <c r="C5588">
        <v>1.1000000000000001</v>
      </c>
      <c r="D5588" t="s">
        <v>2204</v>
      </c>
      <c r="E5588" t="s">
        <v>11</v>
      </c>
      <c r="G5588" t="s">
        <v>936</v>
      </c>
      <c r="H5588" t="s">
        <v>938</v>
      </c>
    </row>
    <row r="5589" spans="1:8" hidden="1" x14ac:dyDescent="0.25">
      <c r="A5589" t="s">
        <v>7350</v>
      </c>
      <c r="B5589" s="1" t="str">
        <f>HYPERLINK("https://asmlis.vasa.lt/Dashboard/Served?ServiceDateFrom=2025-11-24&amp;ServiceDateTo=2025-11-24&amp;DumpsterInvNr=13-L-415510", "13-L-415510")</f>
        <v>13-L-415510</v>
      </c>
      <c r="C5589">
        <v>0.24</v>
      </c>
      <c r="D5589" t="s">
        <v>3929</v>
      </c>
      <c r="E5589" t="s">
        <v>11</v>
      </c>
      <c r="G5589" t="s">
        <v>74</v>
      </c>
      <c r="H5589" t="s">
        <v>14</v>
      </c>
    </row>
    <row r="5590" spans="1:8" hidden="1" x14ac:dyDescent="0.25">
      <c r="A5590" t="s">
        <v>7710</v>
      </c>
      <c r="B5590" s="1" t="str">
        <f>HYPERLINK("https://asmlis.vasa.lt/Dashboard/Served?ServiceDateFrom=2025-11-24&amp;ServiceDateTo=2025-11-24&amp;DumpsterInvNr=13-L-140389", "13-L-140389")</f>
        <v>13-L-140389</v>
      </c>
      <c r="C5590">
        <v>0.24</v>
      </c>
      <c r="D5590" t="s">
        <v>7711</v>
      </c>
      <c r="E5590" t="s">
        <v>11</v>
      </c>
      <c r="G5590" t="s">
        <v>1912</v>
      </c>
      <c r="H5590" t="s">
        <v>432</v>
      </c>
    </row>
    <row r="5591" spans="1:8" hidden="1" x14ac:dyDescent="0.25">
      <c r="A5591" t="s">
        <v>7357</v>
      </c>
      <c r="B5591" s="1" t="str">
        <f>HYPERLINK("https://asmlis.vasa.lt/Dashboard/Served?ServiceDateFrom=2025-11-24&amp;ServiceDateTo=2025-11-24&amp;DumpsterInvNr=13-P-211116", "13-P-211116")</f>
        <v>13-P-211116</v>
      </c>
      <c r="C5591">
        <v>0.24</v>
      </c>
      <c r="D5591" t="s">
        <v>7712</v>
      </c>
      <c r="E5591" t="s">
        <v>11</v>
      </c>
      <c r="G5591" t="s">
        <v>234</v>
      </c>
      <c r="H5591" t="s">
        <v>14</v>
      </c>
    </row>
    <row r="5592" spans="1:8" hidden="1" x14ac:dyDescent="0.25">
      <c r="A5592" t="s">
        <v>7357</v>
      </c>
      <c r="B5592" s="1" t="str">
        <f>HYPERLINK("https://asmlis.vasa.lt/Dashboard/Served?ServiceDateFrom=2025-11-24&amp;ServiceDateTo=2025-11-24&amp;DumpsterInvNr=13-M-202138", "13-M-202138")</f>
        <v>13-M-202138</v>
      </c>
      <c r="C5592">
        <v>0.12</v>
      </c>
      <c r="D5592" t="s">
        <v>7713</v>
      </c>
      <c r="E5592" t="s">
        <v>11</v>
      </c>
      <c r="F5592" t="s">
        <v>1209</v>
      </c>
      <c r="G5592" t="s">
        <v>4876</v>
      </c>
      <c r="H5592" t="s">
        <v>938</v>
      </c>
    </row>
    <row r="5593" spans="1:8" hidden="1" x14ac:dyDescent="0.25">
      <c r="A5593" t="s">
        <v>7390</v>
      </c>
      <c r="B5593" s="1" t="str">
        <f>HYPERLINK("https://asmlis.vasa.lt/Dashboard/Served?ServiceDateFrom=2025-11-24&amp;ServiceDateTo=2025-11-24&amp;DumpsterInvNr=13-L-123423", "13-L-123423")</f>
        <v>13-L-123423</v>
      </c>
      <c r="C5593">
        <v>0.24</v>
      </c>
      <c r="D5593" t="s">
        <v>7714</v>
      </c>
      <c r="E5593" t="s">
        <v>11</v>
      </c>
      <c r="G5593" t="s">
        <v>430</v>
      </c>
      <c r="H5593" t="s">
        <v>432</v>
      </c>
    </row>
    <row r="5594" spans="1:8" hidden="1" x14ac:dyDescent="0.25">
      <c r="A5594" t="s">
        <v>7390</v>
      </c>
      <c r="B5594" s="1" t="str">
        <f>HYPERLINK("https://asmlis.vasa.lt/Dashboard/Served?ServiceDateFrom=2025-11-24&amp;ServiceDateTo=2025-11-24&amp;DumpsterInvNr=13-P-506859", "13-P-506859")</f>
        <v>13-P-506859</v>
      </c>
      <c r="C5594">
        <v>0.24</v>
      </c>
      <c r="D5594" t="s">
        <v>7714</v>
      </c>
      <c r="E5594" t="s">
        <v>11</v>
      </c>
      <c r="G5594" t="s">
        <v>2178</v>
      </c>
      <c r="H5594" t="s">
        <v>432</v>
      </c>
    </row>
    <row r="5595" spans="1:8" hidden="1" x14ac:dyDescent="0.25">
      <c r="A5595" t="s">
        <v>7715</v>
      </c>
      <c r="B5595" s="1" t="str">
        <f>HYPERLINK("https://asmlis.vasa.lt/Dashboard/Served?ServiceDateFrom=2025-11-24&amp;ServiceDateTo=2025-11-24&amp;DumpsterInvNr=13-P-211118", "13-P-211118")</f>
        <v>13-P-211118</v>
      </c>
      <c r="C5595">
        <v>0.24</v>
      </c>
      <c r="D5595" t="s">
        <v>7716</v>
      </c>
      <c r="E5595" t="s">
        <v>11</v>
      </c>
      <c r="F5595" t="s">
        <v>1209</v>
      </c>
      <c r="G5595" t="s">
        <v>234</v>
      </c>
      <c r="H5595" t="s">
        <v>14</v>
      </c>
    </row>
    <row r="5596" spans="1:8" hidden="1" x14ac:dyDescent="0.25">
      <c r="A5596" t="s">
        <v>7434</v>
      </c>
      <c r="B5596" s="1" t="str">
        <f>HYPERLINK("https://asmlis.vasa.lt/Dashboard/Served?ServiceDateFrom=2025-11-24&amp;ServiceDateTo=2025-11-24&amp;DumpsterInvNr=13-P-415394", "13-P-415394")</f>
        <v>13-P-415394</v>
      </c>
      <c r="C5596">
        <v>5</v>
      </c>
      <c r="D5596" t="s">
        <v>7717</v>
      </c>
      <c r="E5596" t="s">
        <v>11</v>
      </c>
      <c r="F5596" t="s">
        <v>13</v>
      </c>
      <c r="G5596" t="s">
        <v>264</v>
      </c>
      <c r="H5596" t="s">
        <v>14</v>
      </c>
    </row>
    <row r="5597" spans="1:8" hidden="1" x14ac:dyDescent="0.25">
      <c r="A5597" t="s">
        <v>7718</v>
      </c>
      <c r="B5597" s="1" t="str">
        <f>HYPERLINK("https://asmlis.vasa.lt/Dashboard/Served?ServiceDateFrom=2025-11-24&amp;ServiceDateTo=2025-11-24&amp;DumpsterInvNr=13-P-211117", "13-P-211117")</f>
        <v>13-P-211117</v>
      </c>
      <c r="C5597">
        <v>0.24</v>
      </c>
      <c r="D5597" t="s">
        <v>7712</v>
      </c>
      <c r="E5597" t="s">
        <v>11</v>
      </c>
      <c r="F5597" t="s">
        <v>1209</v>
      </c>
      <c r="G5597" t="s">
        <v>234</v>
      </c>
      <c r="H5597" t="s">
        <v>14</v>
      </c>
    </row>
    <row r="5598" spans="1:8" hidden="1" x14ac:dyDescent="0.25">
      <c r="A5598" t="s">
        <v>7719</v>
      </c>
      <c r="B5598" s="1" t="str">
        <f>HYPERLINK("https://asmlis.vasa.lt/Dashboard/Served?ServiceDateFrom=2025-11-24&amp;ServiceDateTo=2025-11-24&amp;DumpsterInvNr=13-L-401520", "13-L-401520")</f>
        <v>13-L-401520</v>
      </c>
      <c r="C5598">
        <v>0.24</v>
      </c>
      <c r="D5598" t="s">
        <v>3940</v>
      </c>
      <c r="E5598" t="s">
        <v>11</v>
      </c>
      <c r="F5598" t="s">
        <v>1209</v>
      </c>
      <c r="G5598" t="s">
        <v>74</v>
      </c>
      <c r="H5598" t="s">
        <v>14</v>
      </c>
    </row>
    <row r="5599" spans="1:8" hidden="1" x14ac:dyDescent="0.25">
      <c r="A5599" t="s">
        <v>7720</v>
      </c>
      <c r="B5599" s="1" t="str">
        <f>HYPERLINK("https://asmlis.vasa.lt/Dashboard/Served?ServiceDateFrom=2025-11-24&amp;ServiceDateTo=2025-11-24&amp;DumpsterInvNr=13-L-137057", "13-L-137057")</f>
        <v>13-L-137057</v>
      </c>
      <c r="C5599">
        <v>1.1000000000000001</v>
      </c>
      <c r="D5599" t="s">
        <v>7708</v>
      </c>
      <c r="E5599" t="s">
        <v>11</v>
      </c>
      <c r="G5599" t="s">
        <v>430</v>
      </c>
      <c r="H5599" t="s">
        <v>432</v>
      </c>
    </row>
    <row r="5600" spans="1:8" hidden="1" x14ac:dyDescent="0.25">
      <c r="A5600" t="s">
        <v>7721</v>
      </c>
      <c r="B5600" s="1" t="str">
        <f>HYPERLINK("https://asmlis.vasa.lt/Dashboard/Served?ServiceDateFrom=2025-11-24&amp;ServiceDateTo=2025-11-24&amp;DumpsterInvNr=13-M-200202", "13-M-200202")</f>
        <v>13-M-200202</v>
      </c>
      <c r="C5600">
        <v>0.12</v>
      </c>
      <c r="D5600" t="s">
        <v>7722</v>
      </c>
      <c r="E5600" t="s">
        <v>11</v>
      </c>
      <c r="F5600" t="s">
        <v>1209</v>
      </c>
      <c r="G5600" t="s">
        <v>4876</v>
      </c>
      <c r="H5600" t="s">
        <v>938</v>
      </c>
    </row>
    <row r="5601" spans="1:8" hidden="1" x14ac:dyDescent="0.25">
      <c r="A5601" t="s">
        <v>7723</v>
      </c>
      <c r="B5601" s="1" t="str">
        <f>HYPERLINK("https://asmlis.vasa.lt/Dashboard/Served?ServiceDateFrom=2025-11-24&amp;ServiceDateTo=2025-11-24&amp;DumpsterInvNr=13-L-416271", "13-L-416271")</f>
        <v>13-L-416271</v>
      </c>
      <c r="C5601">
        <v>5</v>
      </c>
      <c r="D5601" t="s">
        <v>7724</v>
      </c>
      <c r="E5601" t="s">
        <v>11</v>
      </c>
      <c r="F5601" t="s">
        <v>13</v>
      </c>
      <c r="G5601" t="s">
        <v>74</v>
      </c>
      <c r="H5601" t="s">
        <v>14</v>
      </c>
    </row>
    <row r="5602" spans="1:8" hidden="1" x14ac:dyDescent="0.25">
      <c r="A5602" t="s">
        <v>7725</v>
      </c>
      <c r="B5602" s="1" t="str">
        <f>HYPERLINK("https://asmlis.vasa.lt/Dashboard/Served?ServiceDateFrom=2025-11-24&amp;ServiceDateTo=2025-11-24&amp;DumpsterInvNr=13-L-416270", "13-L-416270")</f>
        <v>13-L-416270</v>
      </c>
      <c r="C5602">
        <v>5</v>
      </c>
      <c r="D5602" t="s">
        <v>7726</v>
      </c>
      <c r="E5602" t="s">
        <v>11</v>
      </c>
      <c r="F5602" t="s">
        <v>13</v>
      </c>
      <c r="G5602" t="s">
        <v>74</v>
      </c>
      <c r="H5602" t="s">
        <v>14</v>
      </c>
    </row>
    <row r="5603" spans="1:8" hidden="1" x14ac:dyDescent="0.25">
      <c r="A5603" t="s">
        <v>7727</v>
      </c>
      <c r="B5603" s="1" t="str">
        <f>HYPERLINK("https://asmlis.vasa.lt/Dashboard/Served?ServiceDateFrom=2025-11-24&amp;ServiceDateTo=2025-11-24&amp;DumpsterInvNr=13-P-415512", "13-P-415512")</f>
        <v>13-P-415512</v>
      </c>
      <c r="C5603">
        <v>0.24</v>
      </c>
      <c r="D5603" t="s">
        <v>7728</v>
      </c>
      <c r="E5603" t="s">
        <v>11</v>
      </c>
      <c r="G5603" t="s">
        <v>264</v>
      </c>
      <c r="H5603" t="s">
        <v>14</v>
      </c>
    </row>
    <row r="5604" spans="1:8" hidden="1" x14ac:dyDescent="0.25">
      <c r="A5604" t="s">
        <v>7729</v>
      </c>
      <c r="B5604" s="1" t="str">
        <f>HYPERLINK("https://asmlis.vasa.lt/Dashboard/Served?ServiceDateFrom=2025-11-24&amp;ServiceDateTo=2025-11-24&amp;DumpsterInvNr=13-T-000299", "13-T-000299")</f>
        <v>13-T-000299</v>
      </c>
      <c r="C5604">
        <v>2.5</v>
      </c>
      <c r="D5604" t="s">
        <v>7730</v>
      </c>
      <c r="E5604" t="s">
        <v>11</v>
      </c>
      <c r="F5604" t="s">
        <v>13</v>
      </c>
      <c r="G5604" t="s">
        <v>1899</v>
      </c>
      <c r="H5604" t="s">
        <v>432</v>
      </c>
    </row>
    <row r="5605" spans="1:8" hidden="1" x14ac:dyDescent="0.25">
      <c r="A5605" t="s">
        <v>7729</v>
      </c>
      <c r="B5605" s="1" t="str">
        <f>HYPERLINK("https://asmlis.vasa.lt/Dashboard/Served?ServiceDateFrom=2025-11-24&amp;ServiceDateTo=2025-11-24&amp;DumpsterInvNr=13-P-413912", "13-P-413912")</f>
        <v>13-P-413912</v>
      </c>
      <c r="C5605">
        <v>2.5</v>
      </c>
      <c r="D5605" t="s">
        <v>7696</v>
      </c>
      <c r="E5605" t="s">
        <v>11</v>
      </c>
      <c r="F5605" t="s">
        <v>13</v>
      </c>
      <c r="G5605" t="s">
        <v>264</v>
      </c>
      <c r="H5605" t="s">
        <v>14</v>
      </c>
    </row>
    <row r="5606" spans="1:8" hidden="1" x14ac:dyDescent="0.25">
      <c r="A5606" t="s">
        <v>7732</v>
      </c>
      <c r="B5606" s="1" t="str">
        <f>HYPERLINK("https://asmlis.vasa.lt/Dashboard/Served?ServiceDateFrom=2025-11-24&amp;ServiceDateTo=2025-11-24&amp;DumpsterInvNr=13-L-117618", "13-L-117618")</f>
        <v>13-L-117618</v>
      </c>
      <c r="C5606">
        <v>0.12</v>
      </c>
      <c r="D5606" t="s">
        <v>7711</v>
      </c>
      <c r="E5606" t="s">
        <v>11</v>
      </c>
      <c r="G5606" t="s">
        <v>1912</v>
      </c>
      <c r="H5606" t="s">
        <v>432</v>
      </c>
    </row>
    <row r="5607" spans="1:8" hidden="1" x14ac:dyDescent="0.25">
      <c r="A5607" t="s">
        <v>7733</v>
      </c>
      <c r="B5607" s="1" t="str">
        <f>HYPERLINK("https://asmlis.vasa.lt/Dashboard/Served?ServiceDateFrom=2025-11-24&amp;ServiceDateTo=2025-11-24&amp;DumpsterInvNr=13-L-104800", "13-L-104800")</f>
        <v>13-L-104800</v>
      </c>
      <c r="C5607">
        <v>0.77</v>
      </c>
      <c r="D5607" t="s">
        <v>7687</v>
      </c>
      <c r="E5607" t="s">
        <v>11</v>
      </c>
      <c r="G5607" t="s">
        <v>430</v>
      </c>
      <c r="H5607" t="s">
        <v>432</v>
      </c>
    </row>
    <row r="5608" spans="1:8" hidden="1" x14ac:dyDescent="0.25">
      <c r="A5608" t="s">
        <v>7733</v>
      </c>
      <c r="B5608" s="1" t="str">
        <f>HYPERLINK("https://asmlis.vasa.lt/Dashboard/Served?ServiceDateFrom=2025-11-24&amp;ServiceDateTo=2025-11-24&amp;DumpsterInvNr=13-T-000300", "13-T-000300")</f>
        <v>13-T-000300</v>
      </c>
      <c r="C5608">
        <v>2.5</v>
      </c>
      <c r="D5608" t="s">
        <v>7730</v>
      </c>
      <c r="E5608" t="s">
        <v>11</v>
      </c>
      <c r="F5608" t="s">
        <v>13</v>
      </c>
      <c r="G5608" t="s">
        <v>1899</v>
      </c>
      <c r="H5608" t="s">
        <v>432</v>
      </c>
    </row>
    <row r="5609" spans="1:8" hidden="1" x14ac:dyDescent="0.25">
      <c r="A5609" t="s">
        <v>7734</v>
      </c>
      <c r="B5609" s="1" t="str">
        <f>HYPERLINK("https://asmlis.vasa.lt/Dashboard/Served?ServiceDateFrom=2025-11-24&amp;ServiceDateTo=2025-11-24&amp;DumpsterInvNr=13-P-203781", "13-P-203781")</f>
        <v>13-P-203781</v>
      </c>
      <c r="C5609">
        <v>0.24</v>
      </c>
      <c r="D5609" t="s">
        <v>7735</v>
      </c>
      <c r="E5609" t="s">
        <v>11</v>
      </c>
      <c r="F5609" t="s">
        <v>1209</v>
      </c>
      <c r="G5609" t="s">
        <v>234</v>
      </c>
      <c r="H5609" t="s">
        <v>14</v>
      </c>
    </row>
    <row r="5610" spans="1:8" hidden="1" x14ac:dyDescent="0.25">
      <c r="A5610" t="s">
        <v>7736</v>
      </c>
      <c r="B5610" s="1" t="str">
        <f>HYPERLINK("https://asmlis.vasa.lt/Dashboard/Served?ServiceDateFrom=2025-11-24&amp;ServiceDateTo=2025-11-24&amp;DumpsterInvNr=13-P-112078", "13-P-112078")</f>
        <v>13-P-112078</v>
      </c>
      <c r="C5610">
        <v>0.24</v>
      </c>
      <c r="D5610" t="s">
        <v>7737</v>
      </c>
      <c r="E5610" t="s">
        <v>11</v>
      </c>
      <c r="G5610" t="s">
        <v>1917</v>
      </c>
      <c r="H5610" t="s">
        <v>432</v>
      </c>
    </row>
    <row r="5611" spans="1:8" hidden="1" x14ac:dyDescent="0.25">
      <c r="A5611" t="s">
        <v>7738</v>
      </c>
      <c r="B5611" s="1" t="str">
        <f>HYPERLINK("https://asmlis.vasa.lt/Dashboard/Served?ServiceDateFrom=2025-11-24&amp;ServiceDateTo=2025-11-24&amp;DumpsterInvNr=13-L-106155", "13-L-106155")</f>
        <v>13-L-106155</v>
      </c>
      <c r="C5611">
        <v>0.66</v>
      </c>
      <c r="D5611" t="s">
        <v>7739</v>
      </c>
      <c r="E5611" t="s">
        <v>11</v>
      </c>
      <c r="F5611" t="s">
        <v>7740</v>
      </c>
      <c r="G5611" t="s">
        <v>1912</v>
      </c>
      <c r="H5611" t="s">
        <v>432</v>
      </c>
    </row>
    <row r="5612" spans="1:8" hidden="1" x14ac:dyDescent="0.25">
      <c r="A5612" t="s">
        <v>7741</v>
      </c>
      <c r="B5612" s="1" t="str">
        <f>HYPERLINK("https://asmlis.vasa.lt/Dashboard/Served?ServiceDateFrom=2025-11-24&amp;ServiceDateTo=2025-11-24&amp;DumpsterInvNr=13-L-426745", "13-L-426745")</f>
        <v>13-L-426745</v>
      </c>
      <c r="C5612">
        <v>0.24</v>
      </c>
      <c r="D5612" t="s">
        <v>3967</v>
      </c>
      <c r="E5612" t="s">
        <v>11</v>
      </c>
      <c r="G5612" t="s">
        <v>74</v>
      </c>
      <c r="H5612" t="s">
        <v>14</v>
      </c>
    </row>
    <row r="5613" spans="1:8" hidden="1" x14ac:dyDescent="0.25">
      <c r="A5613" t="s">
        <v>7742</v>
      </c>
      <c r="B5613" s="1" t="str">
        <f>HYPERLINK("https://asmlis.vasa.lt/Dashboard/Served?ServiceDateFrom=2025-11-24&amp;ServiceDateTo=2025-11-24&amp;DumpsterInvNr=13-P-205153", "13-P-205153")</f>
        <v>13-P-205153</v>
      </c>
      <c r="C5613">
        <v>0.24</v>
      </c>
      <c r="D5613" t="s">
        <v>7743</v>
      </c>
      <c r="E5613" t="s">
        <v>11</v>
      </c>
      <c r="G5613" t="s">
        <v>234</v>
      </c>
      <c r="H5613" t="s">
        <v>14</v>
      </c>
    </row>
    <row r="5614" spans="1:8" hidden="1" x14ac:dyDescent="0.25">
      <c r="A5614" t="s">
        <v>7744</v>
      </c>
      <c r="B5614" s="1" t="str">
        <f>HYPERLINK("https://asmlis.vasa.lt/Dashboard/Served?ServiceDateFrom=2025-11-24&amp;ServiceDateTo=2025-11-24&amp;DumpsterInvNr=13-L-220316", "13-L-220316")</f>
        <v>13-L-220316</v>
      </c>
      <c r="C5614">
        <v>0.24</v>
      </c>
      <c r="D5614" t="s">
        <v>5829</v>
      </c>
      <c r="E5614" t="s">
        <v>11</v>
      </c>
      <c r="G5614" t="s">
        <v>936</v>
      </c>
      <c r="H5614" t="s">
        <v>938</v>
      </c>
    </row>
    <row r="5615" spans="1:8" hidden="1" x14ac:dyDescent="0.25">
      <c r="A5615" t="s">
        <v>7745</v>
      </c>
      <c r="B5615" s="1" t="str">
        <f>HYPERLINK("https://asmlis.vasa.lt/Dashboard/Served?ServiceDateFrom=2025-11-24&amp;ServiceDateTo=2025-11-24&amp;DumpsterInvNr=13-L-311276", "13-L-311276")</f>
        <v>13-L-311276</v>
      </c>
      <c r="C5615">
        <v>0.77</v>
      </c>
      <c r="D5615" t="s">
        <v>7747</v>
      </c>
      <c r="E5615" t="s">
        <v>11</v>
      </c>
      <c r="G5615" t="s">
        <v>9</v>
      </c>
      <c r="H5615" t="s">
        <v>14</v>
      </c>
    </row>
    <row r="5616" spans="1:8" hidden="1" x14ac:dyDescent="0.25">
      <c r="A5616" t="s">
        <v>7748</v>
      </c>
      <c r="B5616" s="1" t="str">
        <f>HYPERLINK("https://asmlis.vasa.lt/Dashboard/Served?ServiceDateFrom=2025-11-24&amp;ServiceDateTo=2025-11-24&amp;DumpsterInvNr=13-L-413803", "13-L-413803")</f>
        <v>13-L-413803</v>
      </c>
      <c r="C5616">
        <v>0.24</v>
      </c>
      <c r="D5616" t="s">
        <v>3971</v>
      </c>
      <c r="E5616" t="s">
        <v>11</v>
      </c>
      <c r="G5616" t="s">
        <v>74</v>
      </c>
      <c r="H5616" t="s">
        <v>14</v>
      </c>
    </row>
    <row r="5617" spans="1:8" hidden="1" x14ac:dyDescent="0.25">
      <c r="A5617" t="s">
        <v>7749</v>
      </c>
      <c r="B5617" s="1" t="str">
        <f>HYPERLINK("https://asmlis.vasa.lt/Dashboard/Served?ServiceDateFrom=2025-11-24&amp;ServiceDateTo=2025-11-24&amp;DumpsterInvNr=13-L-216726", "13-L-216726")</f>
        <v>13-L-216726</v>
      </c>
      <c r="C5617">
        <v>1.1000000000000001</v>
      </c>
      <c r="D5617" t="s">
        <v>2204</v>
      </c>
      <c r="E5617" t="s">
        <v>11</v>
      </c>
      <c r="G5617" t="s">
        <v>936</v>
      </c>
      <c r="H5617" t="s">
        <v>938</v>
      </c>
    </row>
    <row r="5618" spans="1:8" hidden="1" x14ac:dyDescent="0.25">
      <c r="A5618" t="s">
        <v>7750</v>
      </c>
      <c r="B5618" s="1" t="str">
        <f>HYPERLINK("https://asmlis.vasa.lt/Dashboard/Served?ServiceDateFrom=2025-11-24&amp;ServiceDateTo=2025-11-24&amp;DumpsterInvNr=13-L-117617", "13-L-117617")</f>
        <v>13-L-117617</v>
      </c>
      <c r="C5618">
        <v>0.12</v>
      </c>
      <c r="D5618" t="s">
        <v>7711</v>
      </c>
      <c r="E5618" t="s">
        <v>11</v>
      </c>
      <c r="G5618" t="s">
        <v>1912</v>
      </c>
      <c r="H5618" t="s">
        <v>432</v>
      </c>
    </row>
    <row r="5619" spans="1:8" hidden="1" x14ac:dyDescent="0.25">
      <c r="A5619" t="s">
        <v>7751</v>
      </c>
      <c r="B5619" s="1" t="str">
        <f>HYPERLINK("https://asmlis.vasa.lt/Dashboard/Served?ServiceDateFrom=2025-11-24&amp;ServiceDateTo=2025-11-24&amp;DumpsterInvNr=13-P-401124", "13-P-401124")</f>
        <v>13-P-401124</v>
      </c>
      <c r="C5619">
        <v>0.24</v>
      </c>
      <c r="D5619" t="s">
        <v>7752</v>
      </c>
      <c r="E5619" t="s">
        <v>11</v>
      </c>
      <c r="G5619" t="s">
        <v>264</v>
      </c>
      <c r="H5619" t="s">
        <v>14</v>
      </c>
    </row>
    <row r="5620" spans="1:8" hidden="1" x14ac:dyDescent="0.25">
      <c r="A5620" t="s">
        <v>7753</v>
      </c>
      <c r="B5620" s="1" t="str">
        <f>HYPERLINK("https://asmlis.vasa.lt/Dashboard/Served?ServiceDateFrom=2025-11-24&amp;ServiceDateTo=2025-11-24&amp;DumpsterInvNr=13-P-107831", "13-P-107831")</f>
        <v>13-P-107831</v>
      </c>
      <c r="C5620">
        <v>0.12</v>
      </c>
      <c r="D5620" t="s">
        <v>7754</v>
      </c>
      <c r="E5620" t="s">
        <v>11</v>
      </c>
      <c r="G5620" t="s">
        <v>1917</v>
      </c>
      <c r="H5620" t="s">
        <v>432</v>
      </c>
    </row>
    <row r="5621" spans="1:8" hidden="1" x14ac:dyDescent="0.25">
      <c r="A5621" t="s">
        <v>7756</v>
      </c>
      <c r="B5621" s="1" t="str">
        <f>HYPERLINK("https://asmlis.vasa.lt/Dashboard/Served?ServiceDateFrom=2025-11-24&amp;ServiceDateTo=2025-11-24&amp;DumpsterInvNr=13-L-202371", "13-L-202371")</f>
        <v>13-L-202371</v>
      </c>
      <c r="C5621">
        <v>0.12</v>
      </c>
      <c r="D5621" t="s">
        <v>5848</v>
      </c>
      <c r="E5621" t="s">
        <v>11</v>
      </c>
      <c r="F5621" t="s">
        <v>1209</v>
      </c>
      <c r="G5621" t="s">
        <v>936</v>
      </c>
      <c r="H5621" t="s">
        <v>938</v>
      </c>
    </row>
    <row r="5622" spans="1:8" hidden="1" x14ac:dyDescent="0.25">
      <c r="A5622" t="s">
        <v>7757</v>
      </c>
      <c r="B5622" s="1" t="str">
        <f>HYPERLINK("https://asmlis.vasa.lt/Dashboard/Served?ServiceDateFrom=2025-11-24&amp;ServiceDateTo=2025-11-24&amp;DumpsterInvNr=13-L-145924", "13-L-145924")</f>
        <v>13-L-145924</v>
      </c>
      <c r="C5622">
        <v>5</v>
      </c>
      <c r="D5622" t="s">
        <v>7758</v>
      </c>
      <c r="E5622" t="s">
        <v>11</v>
      </c>
      <c r="F5622" t="s">
        <v>13</v>
      </c>
      <c r="G5622" t="s">
        <v>430</v>
      </c>
      <c r="H5622" t="s">
        <v>432</v>
      </c>
    </row>
    <row r="5623" spans="1:8" hidden="1" x14ac:dyDescent="0.25">
      <c r="A5623" t="s">
        <v>7757</v>
      </c>
      <c r="B5623" s="1" t="str">
        <f>HYPERLINK("https://asmlis.vasa.lt/Dashboard/Served?ServiceDateFrom=2025-11-24&amp;ServiceDateTo=2025-11-24&amp;DumpsterInvNr=13-L-115243", "13-L-115243")</f>
        <v>13-L-115243</v>
      </c>
      <c r="C5623">
        <v>1.1000000000000001</v>
      </c>
      <c r="D5623" t="s">
        <v>7759</v>
      </c>
      <c r="E5623" t="s">
        <v>11</v>
      </c>
      <c r="G5623" t="s">
        <v>430</v>
      </c>
      <c r="H5623" t="s">
        <v>432</v>
      </c>
    </row>
    <row r="5624" spans="1:8" hidden="1" x14ac:dyDescent="0.25">
      <c r="A5624" t="s">
        <v>7760</v>
      </c>
      <c r="B5624" s="1" t="str">
        <f>HYPERLINK("https://asmlis.vasa.lt/Dashboard/Served?ServiceDateFrom=2025-11-24&amp;ServiceDateTo=2025-11-24&amp;DumpsterInvNr=13-L-117616", "13-L-117616")</f>
        <v>13-L-117616</v>
      </c>
      <c r="C5624">
        <v>0.12</v>
      </c>
      <c r="D5624" t="s">
        <v>7754</v>
      </c>
      <c r="E5624" t="s">
        <v>11</v>
      </c>
      <c r="G5624" t="s">
        <v>1912</v>
      </c>
      <c r="H5624" t="s">
        <v>432</v>
      </c>
    </row>
    <row r="5625" spans="1:8" hidden="1" x14ac:dyDescent="0.25">
      <c r="A5625" t="s">
        <v>7762</v>
      </c>
      <c r="B5625" s="1" t="str">
        <f>HYPERLINK("https://asmlis.vasa.lt/Dashboard/Served?ServiceDateFrom=2025-11-24&amp;ServiceDateTo=2025-11-24&amp;DumpsterInvNr=13-L-143948", "13-L-143948")</f>
        <v>13-L-143948</v>
      </c>
      <c r="C5625">
        <v>0.24</v>
      </c>
      <c r="D5625" t="s">
        <v>7754</v>
      </c>
      <c r="E5625" t="s">
        <v>11</v>
      </c>
      <c r="G5625" t="s">
        <v>1912</v>
      </c>
      <c r="H5625" t="s">
        <v>432</v>
      </c>
    </row>
    <row r="5626" spans="1:8" hidden="1" x14ac:dyDescent="0.25">
      <c r="A5626" t="s">
        <v>7763</v>
      </c>
      <c r="B5626" s="1" t="str">
        <f>HYPERLINK("https://asmlis.vasa.lt/Dashboard/Served?ServiceDateFrom=2025-11-24&amp;ServiceDateTo=2025-11-24&amp;DumpsterInvNr=13-L-146192", "13-L-146192")</f>
        <v>13-L-146192</v>
      </c>
      <c r="C5626">
        <v>5</v>
      </c>
      <c r="D5626" t="s">
        <v>7764</v>
      </c>
      <c r="E5626" t="s">
        <v>11</v>
      </c>
      <c r="F5626" t="s">
        <v>13</v>
      </c>
      <c r="G5626" t="s">
        <v>1912</v>
      </c>
      <c r="H5626" t="s">
        <v>432</v>
      </c>
    </row>
    <row r="5627" spans="1:8" hidden="1" x14ac:dyDescent="0.25">
      <c r="A5627" t="s">
        <v>7765</v>
      </c>
      <c r="B5627" s="1" t="str">
        <f>HYPERLINK("https://asmlis.vasa.lt/Dashboard/Served?ServiceDateFrom=2025-11-24&amp;ServiceDateTo=2025-11-24&amp;DumpsterInvNr=13-L-227405", "13-L-227405")</f>
        <v>13-L-227405</v>
      </c>
      <c r="C5627">
        <v>1.1000000000000001</v>
      </c>
      <c r="D5627" t="s">
        <v>7766</v>
      </c>
      <c r="E5627" t="s">
        <v>11</v>
      </c>
      <c r="F5627" t="s">
        <v>13</v>
      </c>
      <c r="G5627" t="s">
        <v>936</v>
      </c>
      <c r="H5627" t="s">
        <v>938</v>
      </c>
    </row>
    <row r="5628" spans="1:8" hidden="1" x14ac:dyDescent="0.25">
      <c r="A5628" t="s">
        <v>7765</v>
      </c>
      <c r="B5628" s="1" t="str">
        <f>HYPERLINK("https://asmlis.vasa.lt/Dashboard/Served?ServiceDateFrom=2025-11-24&amp;ServiceDateTo=2025-11-24&amp;DumpsterInvNr=13-P-211071", "13-P-211071")</f>
        <v>13-P-211071</v>
      </c>
      <c r="C5628">
        <v>0.24</v>
      </c>
      <c r="D5628" t="s">
        <v>7767</v>
      </c>
      <c r="E5628" t="s">
        <v>11</v>
      </c>
      <c r="G5628" t="s">
        <v>234</v>
      </c>
      <c r="H5628" t="s">
        <v>14</v>
      </c>
    </row>
    <row r="5629" spans="1:8" hidden="1" x14ac:dyDescent="0.25">
      <c r="A5629" t="s">
        <v>7768</v>
      </c>
      <c r="B5629" s="1" t="str">
        <f>HYPERLINK("https://asmlis.vasa.lt/Dashboard/Served?ServiceDateFrom=2025-11-24&amp;ServiceDateTo=2025-11-24&amp;DumpsterInvNr=13-P-414502", "13-P-414502")</f>
        <v>13-P-414502</v>
      </c>
      <c r="C5629">
        <v>0.24</v>
      </c>
      <c r="D5629" t="s">
        <v>7769</v>
      </c>
      <c r="E5629" t="s">
        <v>11</v>
      </c>
      <c r="G5629" t="s">
        <v>264</v>
      </c>
      <c r="H5629" t="s">
        <v>14</v>
      </c>
    </row>
    <row r="5630" spans="1:8" hidden="1" x14ac:dyDescent="0.25">
      <c r="A5630" t="s">
        <v>7770</v>
      </c>
      <c r="B5630" s="1" t="str">
        <f>HYPERLINK("https://asmlis.vasa.lt/Dashboard/Served?ServiceDateFrom=2025-11-24&amp;ServiceDateTo=2025-11-24&amp;DumpsterInvNr=13-P-207750", "13-P-207750")</f>
        <v>13-P-207750</v>
      </c>
      <c r="C5630">
        <v>5</v>
      </c>
      <c r="D5630" t="s">
        <v>3044</v>
      </c>
      <c r="E5630" t="s">
        <v>11</v>
      </c>
      <c r="F5630" t="s">
        <v>13</v>
      </c>
      <c r="G5630" t="s">
        <v>234</v>
      </c>
      <c r="H5630" t="s">
        <v>14</v>
      </c>
    </row>
    <row r="5631" spans="1:8" hidden="1" x14ac:dyDescent="0.25">
      <c r="A5631" t="s">
        <v>7771</v>
      </c>
      <c r="B5631" s="1" t="str">
        <f>HYPERLINK("https://asmlis.vasa.lt/Dashboard/Served?ServiceDateFrom=2025-11-24&amp;ServiceDateTo=2025-11-24&amp;DumpsterInvNr=13-L-104808", "13-L-104808")</f>
        <v>13-L-104808</v>
      </c>
      <c r="C5631">
        <v>0.77</v>
      </c>
      <c r="D5631" t="s">
        <v>7687</v>
      </c>
      <c r="E5631" t="s">
        <v>11</v>
      </c>
      <c r="G5631" t="s">
        <v>430</v>
      </c>
      <c r="H5631" t="s">
        <v>432</v>
      </c>
    </row>
    <row r="5632" spans="1:8" hidden="1" x14ac:dyDescent="0.25">
      <c r="A5632" t="s">
        <v>7773</v>
      </c>
      <c r="B5632" s="1" t="str">
        <f>HYPERLINK("https://asmlis.vasa.lt/Dashboard/Served?ServiceDateFrom=2025-11-24&amp;ServiceDateTo=2025-11-24&amp;DumpsterInvNr=13-P-500538", "13-P-500538")</f>
        <v>13-P-500538</v>
      </c>
      <c r="C5632">
        <v>5</v>
      </c>
      <c r="D5632" t="s">
        <v>7774</v>
      </c>
      <c r="E5632" t="s">
        <v>11</v>
      </c>
      <c r="F5632" t="s">
        <v>13</v>
      </c>
      <c r="G5632" t="s">
        <v>2178</v>
      </c>
      <c r="H5632" t="s">
        <v>432</v>
      </c>
    </row>
    <row r="5633" spans="1:8" hidden="1" x14ac:dyDescent="0.25">
      <c r="A5633" t="s">
        <v>7775</v>
      </c>
      <c r="B5633" s="1" t="str">
        <f>HYPERLINK("https://asmlis.vasa.lt/Dashboard/Served?ServiceDateFrom=2025-11-24&amp;ServiceDateTo=2025-11-24&amp;DumpsterInvNr=13-P-205103", "13-P-205103")</f>
        <v>13-P-205103</v>
      </c>
      <c r="C5633">
        <v>0.24</v>
      </c>
      <c r="D5633" t="s">
        <v>7776</v>
      </c>
      <c r="E5633" t="s">
        <v>11</v>
      </c>
      <c r="F5633" t="s">
        <v>1209</v>
      </c>
      <c r="G5633" t="s">
        <v>234</v>
      </c>
      <c r="H5633" t="s">
        <v>14</v>
      </c>
    </row>
    <row r="5634" spans="1:8" hidden="1" x14ac:dyDescent="0.25">
      <c r="A5634" t="s">
        <v>7777</v>
      </c>
      <c r="B5634" s="1" t="str">
        <f>HYPERLINK("https://asmlis.vasa.lt/Dashboard/Served?ServiceDateFrom=2025-11-24&amp;ServiceDateTo=2025-11-24&amp;DumpsterInvNr=13-L-136007", "13-L-136007")</f>
        <v>13-L-136007</v>
      </c>
      <c r="C5634">
        <v>5</v>
      </c>
      <c r="D5634" t="s">
        <v>7778</v>
      </c>
      <c r="E5634" t="s">
        <v>11</v>
      </c>
      <c r="F5634" t="s">
        <v>13</v>
      </c>
      <c r="G5634" t="s">
        <v>430</v>
      </c>
      <c r="H5634" t="s">
        <v>432</v>
      </c>
    </row>
    <row r="5635" spans="1:8" hidden="1" x14ac:dyDescent="0.25">
      <c r="A5635" t="s">
        <v>7779</v>
      </c>
      <c r="B5635" s="1" t="str">
        <f>HYPERLINK("https://asmlis.vasa.lt/Dashboard/Served?ServiceDateFrom=2025-11-24&amp;ServiceDateTo=2025-11-24&amp;DumpsterInvNr=13-L-424021", "13-L-424021")</f>
        <v>13-L-424021</v>
      </c>
      <c r="C5635">
        <v>0.24</v>
      </c>
      <c r="D5635" t="s">
        <v>3986</v>
      </c>
      <c r="E5635" t="s">
        <v>11</v>
      </c>
      <c r="G5635" t="s">
        <v>74</v>
      </c>
      <c r="H5635" t="s">
        <v>14</v>
      </c>
    </row>
    <row r="5636" spans="1:8" hidden="1" x14ac:dyDescent="0.25">
      <c r="A5636" t="s">
        <v>7780</v>
      </c>
      <c r="B5636" s="1" t="str">
        <f>HYPERLINK("https://asmlis.vasa.lt/Dashboard/Served?ServiceDateFrom=2025-11-24&amp;ServiceDateTo=2025-11-24&amp;DumpsterInvNr=13-L-115242", "13-L-115242")</f>
        <v>13-L-115242</v>
      </c>
      <c r="C5636">
        <v>1.1000000000000001</v>
      </c>
      <c r="D5636" t="s">
        <v>7759</v>
      </c>
      <c r="E5636" t="s">
        <v>11</v>
      </c>
      <c r="G5636" t="s">
        <v>430</v>
      </c>
      <c r="H5636" t="s">
        <v>432</v>
      </c>
    </row>
    <row r="5637" spans="1:8" hidden="1" x14ac:dyDescent="0.25">
      <c r="A5637" t="s">
        <v>7781</v>
      </c>
      <c r="B5637" s="1" t="str">
        <f>HYPERLINK("https://asmlis.vasa.lt/Dashboard/Served?ServiceDateFrom=2025-11-24&amp;ServiceDateTo=2025-11-24&amp;DumpsterInvNr=13-S-206607", "13-S-206607")</f>
        <v>13-S-206607</v>
      </c>
      <c r="C5637">
        <v>0.12</v>
      </c>
      <c r="D5637" t="s">
        <v>7776</v>
      </c>
      <c r="E5637" t="s">
        <v>11</v>
      </c>
      <c r="F5637" t="s">
        <v>1209</v>
      </c>
      <c r="G5637" t="s">
        <v>234</v>
      </c>
      <c r="H5637" t="s">
        <v>14</v>
      </c>
    </row>
    <row r="5638" spans="1:8" hidden="1" x14ac:dyDescent="0.25">
      <c r="A5638" t="s">
        <v>7782</v>
      </c>
      <c r="B5638" s="1" t="str">
        <f>HYPERLINK("https://asmlis.vasa.lt/Dashboard/Served?ServiceDateFrom=2025-11-24&amp;ServiceDateTo=2025-11-24&amp;DumpsterInvNr=13-M-202128", "13-M-202128")</f>
        <v>13-M-202128</v>
      </c>
      <c r="C5638">
        <v>0.12</v>
      </c>
      <c r="D5638" t="s">
        <v>7783</v>
      </c>
      <c r="E5638" t="s">
        <v>11</v>
      </c>
      <c r="F5638" t="s">
        <v>1209</v>
      </c>
      <c r="G5638" t="s">
        <v>4876</v>
      </c>
      <c r="H5638" t="s">
        <v>938</v>
      </c>
    </row>
    <row r="5639" spans="1:8" hidden="1" x14ac:dyDescent="0.25">
      <c r="A5639" t="s">
        <v>7784</v>
      </c>
      <c r="B5639" s="1" t="str">
        <f>HYPERLINK("https://asmlis.vasa.lt/Dashboard/Served?ServiceDateFrom=2025-11-24&amp;ServiceDateTo=2025-11-24&amp;DumpsterInvNr=13-P-413950", "13-P-413950")</f>
        <v>13-P-413950</v>
      </c>
      <c r="C5639">
        <v>5</v>
      </c>
      <c r="D5639" t="s">
        <v>7785</v>
      </c>
      <c r="E5639" t="s">
        <v>11</v>
      </c>
      <c r="G5639" t="s">
        <v>264</v>
      </c>
      <c r="H5639" t="s">
        <v>14</v>
      </c>
    </row>
    <row r="5640" spans="1:8" hidden="1" x14ac:dyDescent="0.25">
      <c r="A5640" t="s">
        <v>7786</v>
      </c>
      <c r="B5640" s="1" t="str">
        <f>HYPERLINK("https://asmlis.vasa.lt/Dashboard/Served?ServiceDateFrom=2025-11-24&amp;ServiceDateTo=2025-11-24&amp;DumpsterInvNr=13-L-212432", "13-L-212432")</f>
        <v>13-L-212432</v>
      </c>
      <c r="C5640">
        <v>1.1000000000000001</v>
      </c>
      <c r="D5640" t="s">
        <v>7787</v>
      </c>
      <c r="E5640" t="s">
        <v>11</v>
      </c>
      <c r="G5640" t="s">
        <v>936</v>
      </c>
      <c r="H5640" t="s">
        <v>938</v>
      </c>
    </row>
    <row r="5641" spans="1:8" hidden="1" x14ac:dyDescent="0.25">
      <c r="A5641" t="s">
        <v>7788</v>
      </c>
      <c r="B5641" s="1" t="str">
        <f>HYPERLINK("https://asmlis.vasa.lt/Dashboard/Served?ServiceDateFrom=2025-11-24&amp;ServiceDateTo=2025-11-24&amp;DumpsterInvNr=13-L-317366", "13-L-317366")</f>
        <v>13-L-317366</v>
      </c>
      <c r="C5641">
        <v>1.1000000000000001</v>
      </c>
      <c r="D5641" t="s">
        <v>7789</v>
      </c>
      <c r="E5641" t="s">
        <v>11</v>
      </c>
      <c r="G5641" t="s">
        <v>9</v>
      </c>
      <c r="H5641" t="s">
        <v>14</v>
      </c>
    </row>
    <row r="5642" spans="1:8" hidden="1" x14ac:dyDescent="0.25">
      <c r="A5642" t="s">
        <v>7788</v>
      </c>
      <c r="B5642" s="1" t="str">
        <f>HYPERLINK("https://asmlis.vasa.lt/Dashboard/Served?ServiceDateFrom=2025-11-24&amp;ServiceDateTo=2025-11-24&amp;DumpsterInvNr=13-L-105679", "13-L-105679")</f>
        <v>13-L-105679</v>
      </c>
      <c r="C5642">
        <v>1.1000000000000001</v>
      </c>
      <c r="D5642" t="s">
        <v>7790</v>
      </c>
      <c r="E5642" t="s">
        <v>11</v>
      </c>
      <c r="G5642" t="s">
        <v>1912</v>
      </c>
      <c r="H5642" t="s">
        <v>432</v>
      </c>
    </row>
    <row r="5643" spans="1:8" hidden="1" x14ac:dyDescent="0.25">
      <c r="A5643" t="s">
        <v>7791</v>
      </c>
      <c r="B5643" s="1" t="str">
        <f>HYPERLINK("https://asmlis.vasa.lt/Dashboard/Served?ServiceDateFrom=2025-11-24&amp;ServiceDateTo=2025-11-24&amp;DumpsterInvNr=13-P-401362", "13-P-401362")</f>
        <v>13-P-401362</v>
      </c>
      <c r="C5643">
        <v>1.1000000000000001</v>
      </c>
      <c r="D5643" t="s">
        <v>348</v>
      </c>
      <c r="E5643" t="s">
        <v>11</v>
      </c>
      <c r="G5643" t="s">
        <v>264</v>
      </c>
      <c r="H5643" t="s">
        <v>14</v>
      </c>
    </row>
    <row r="5644" spans="1:8" hidden="1" x14ac:dyDescent="0.25">
      <c r="A5644" t="s">
        <v>7792</v>
      </c>
      <c r="B5644" s="1" t="str">
        <f>HYPERLINK("https://asmlis.vasa.lt/Dashboard/Served?ServiceDateFrom=2025-11-24&amp;ServiceDateTo=2025-11-24&amp;DumpsterInvNr=13-P-102371", "13-P-102371")</f>
        <v>13-P-102371</v>
      </c>
      <c r="C5644">
        <v>5</v>
      </c>
      <c r="D5644" t="s">
        <v>2298</v>
      </c>
      <c r="E5644" t="s">
        <v>11</v>
      </c>
      <c r="F5644" t="s">
        <v>13</v>
      </c>
      <c r="G5644" t="s">
        <v>1917</v>
      </c>
      <c r="H5644" t="s">
        <v>432</v>
      </c>
    </row>
    <row r="5645" spans="1:8" hidden="1" x14ac:dyDescent="0.25">
      <c r="A5645" t="s">
        <v>7793</v>
      </c>
      <c r="B5645" s="1" t="str">
        <f>HYPERLINK("https://asmlis.vasa.lt/Dashboard/Served?ServiceDateFrom=2025-11-24&amp;ServiceDateTo=2025-11-24&amp;DumpsterInvNr=13-P-500634", "13-P-500634")</f>
        <v>13-P-500634</v>
      </c>
      <c r="C5645">
        <v>5</v>
      </c>
      <c r="D5645" t="s">
        <v>7794</v>
      </c>
      <c r="E5645" t="s">
        <v>11</v>
      </c>
      <c r="F5645" t="s">
        <v>13</v>
      </c>
      <c r="G5645" t="s">
        <v>2178</v>
      </c>
      <c r="H5645" t="s">
        <v>432</v>
      </c>
    </row>
    <row r="5646" spans="1:8" hidden="1" x14ac:dyDescent="0.25">
      <c r="A5646" t="s">
        <v>7795</v>
      </c>
      <c r="B5646" s="1" t="str">
        <f>HYPERLINK("https://asmlis.vasa.lt/Dashboard/Served?ServiceDateFrom=2025-11-24&amp;ServiceDateTo=2025-11-24&amp;DumpsterInvNr=13-S-207891", "13-S-207891")</f>
        <v>13-S-207891</v>
      </c>
      <c r="C5646">
        <v>3</v>
      </c>
      <c r="D5646" t="s">
        <v>7796</v>
      </c>
      <c r="E5646" t="s">
        <v>11</v>
      </c>
      <c r="G5646" t="s">
        <v>234</v>
      </c>
      <c r="H5646" t="s">
        <v>14</v>
      </c>
    </row>
    <row r="5647" spans="1:8" hidden="1" x14ac:dyDescent="0.25">
      <c r="A5647" t="s">
        <v>7797</v>
      </c>
      <c r="B5647" s="1" t="str">
        <f>HYPERLINK("https://asmlis.vasa.lt/Dashboard/Served?ServiceDateFrom=2025-11-24&amp;ServiceDateTo=2025-11-24&amp;DumpsterInvNr=13-P-416956", "13-P-416956")</f>
        <v>13-P-416956</v>
      </c>
      <c r="C5647">
        <v>0.24</v>
      </c>
      <c r="D5647" t="s">
        <v>7799</v>
      </c>
      <c r="E5647" t="s">
        <v>11</v>
      </c>
      <c r="G5647" t="s">
        <v>264</v>
      </c>
      <c r="H5647" t="s">
        <v>14</v>
      </c>
    </row>
    <row r="5648" spans="1:8" hidden="1" x14ac:dyDescent="0.25">
      <c r="A5648" t="s">
        <v>7800</v>
      </c>
      <c r="B5648" s="1" t="str">
        <f>HYPERLINK("https://asmlis.vasa.lt/Dashboard/Served?ServiceDateFrom=2025-11-24&amp;ServiceDateTo=2025-11-24&amp;DumpsterInvNr=13-L-105680", "13-L-105680")</f>
        <v>13-L-105680</v>
      </c>
      <c r="C5648">
        <v>1.1000000000000001</v>
      </c>
      <c r="D5648" t="s">
        <v>7790</v>
      </c>
      <c r="E5648" t="s">
        <v>11</v>
      </c>
      <c r="G5648" t="s">
        <v>1912</v>
      </c>
      <c r="H5648" t="s">
        <v>432</v>
      </c>
    </row>
    <row r="5649" spans="1:8" hidden="1" x14ac:dyDescent="0.25">
      <c r="A5649" t="s">
        <v>7801</v>
      </c>
      <c r="B5649" s="1" t="str">
        <f>HYPERLINK("https://asmlis.vasa.lt/Dashboard/Served?ServiceDateFrom=2025-11-24&amp;ServiceDateTo=2025-11-24&amp;DumpsterInvNr=13-L-401517", "13-L-401517")</f>
        <v>13-L-401517</v>
      </c>
      <c r="C5649">
        <v>0.24</v>
      </c>
      <c r="D5649" t="s">
        <v>4008</v>
      </c>
      <c r="E5649" t="s">
        <v>11</v>
      </c>
      <c r="G5649" t="s">
        <v>74</v>
      </c>
      <c r="H5649" t="s">
        <v>14</v>
      </c>
    </row>
    <row r="5650" spans="1:8" hidden="1" x14ac:dyDescent="0.25">
      <c r="A5650" t="s">
        <v>7803</v>
      </c>
      <c r="B5650" s="1" t="str">
        <f>HYPERLINK("https://asmlis.vasa.lt/Dashboard/Served?ServiceDateFrom=2025-11-24&amp;ServiceDateTo=2025-11-24&amp;DumpsterInvNr=13-L-224216", "13-L-224216")</f>
        <v>13-L-224216</v>
      </c>
      <c r="C5650">
        <v>5</v>
      </c>
      <c r="D5650" t="s">
        <v>7804</v>
      </c>
      <c r="E5650" t="s">
        <v>11</v>
      </c>
      <c r="F5650" t="s">
        <v>13</v>
      </c>
      <c r="G5650" t="s">
        <v>936</v>
      </c>
      <c r="H5650" t="s">
        <v>938</v>
      </c>
    </row>
    <row r="5651" spans="1:8" hidden="1" x14ac:dyDescent="0.25">
      <c r="A5651" t="s">
        <v>7805</v>
      </c>
      <c r="B5651" s="1" t="str">
        <f>HYPERLINK("https://asmlis.vasa.lt/Dashboard/Served?ServiceDateFrom=2025-11-24&amp;ServiceDateTo=2025-11-24&amp;DumpsterInvNr=13-P-408766", "13-P-408766")</f>
        <v>13-P-408766</v>
      </c>
      <c r="C5651">
        <v>0.66</v>
      </c>
      <c r="D5651" t="s">
        <v>7806</v>
      </c>
      <c r="E5651" t="s">
        <v>11</v>
      </c>
      <c r="G5651" t="s">
        <v>264</v>
      </c>
      <c r="H5651" t="s">
        <v>14</v>
      </c>
    </row>
    <row r="5652" spans="1:8" hidden="1" x14ac:dyDescent="0.25">
      <c r="A5652" t="s">
        <v>7807</v>
      </c>
      <c r="B5652" s="1" t="str">
        <f>HYPERLINK("https://asmlis.vasa.lt/Dashboard/Served?ServiceDateFrom=2025-11-24&amp;ServiceDateTo=2025-11-24&amp;DumpsterInvNr=13-L-421912", "13-L-421912")</f>
        <v>13-L-421912</v>
      </c>
      <c r="C5652">
        <v>0.24</v>
      </c>
      <c r="D5652" t="s">
        <v>4033</v>
      </c>
      <c r="E5652" t="s">
        <v>11</v>
      </c>
      <c r="F5652" t="s">
        <v>1209</v>
      </c>
      <c r="G5652" t="s">
        <v>74</v>
      </c>
      <c r="H5652" t="s">
        <v>14</v>
      </c>
    </row>
    <row r="5653" spans="1:8" hidden="1" x14ac:dyDescent="0.25">
      <c r="A5653" t="s">
        <v>7808</v>
      </c>
      <c r="B5653" s="1" t="str">
        <f>HYPERLINK("https://asmlis.vasa.lt/Dashboard/Served?ServiceDateFrom=2025-11-24&amp;ServiceDateTo=2025-11-24&amp;DumpsterInvNr=13-L-210412", "13-L-210412")</f>
        <v>13-L-210412</v>
      </c>
      <c r="C5653">
        <v>1.1000000000000001</v>
      </c>
      <c r="D5653" t="s">
        <v>7809</v>
      </c>
      <c r="E5653" t="s">
        <v>11</v>
      </c>
      <c r="G5653" t="s">
        <v>936</v>
      </c>
      <c r="H5653" t="s">
        <v>938</v>
      </c>
    </row>
    <row r="5654" spans="1:8" hidden="1" x14ac:dyDescent="0.25">
      <c r="A5654" t="s">
        <v>7810</v>
      </c>
      <c r="B5654" s="1" t="str">
        <f>HYPERLINK("https://asmlis.vasa.lt/Dashboard/Served?ServiceDateFrom=2025-11-24&amp;ServiceDateTo=2025-11-24&amp;DumpsterInvNr=13-L-313672", "13-L-313672")</f>
        <v>13-L-313672</v>
      </c>
      <c r="C5654">
        <v>1.1000000000000001</v>
      </c>
      <c r="D5654" t="s">
        <v>2138</v>
      </c>
      <c r="E5654" t="s">
        <v>11</v>
      </c>
      <c r="F5654" t="s">
        <v>13</v>
      </c>
      <c r="G5654" t="s">
        <v>9</v>
      </c>
      <c r="H5654" t="s">
        <v>14</v>
      </c>
    </row>
    <row r="5655" spans="1:8" hidden="1" x14ac:dyDescent="0.25">
      <c r="A5655" t="s">
        <v>7810</v>
      </c>
      <c r="B5655" s="1" t="str">
        <f>HYPERLINK("https://asmlis.vasa.lt/Dashboard/Served?ServiceDateFrom=2025-11-24&amp;ServiceDateTo=2025-11-24&amp;DumpsterInvNr=13-L-211994", "13-L-211994")</f>
        <v>13-L-211994</v>
      </c>
      <c r="C5655">
        <v>1.1000000000000001</v>
      </c>
      <c r="D5655" t="s">
        <v>2204</v>
      </c>
      <c r="E5655" t="s">
        <v>11</v>
      </c>
      <c r="G5655" t="s">
        <v>936</v>
      </c>
      <c r="H5655" t="s">
        <v>938</v>
      </c>
    </row>
    <row r="5656" spans="1:8" hidden="1" x14ac:dyDescent="0.25">
      <c r="A5656" t="s">
        <v>7811</v>
      </c>
      <c r="B5656" s="1" t="str">
        <f>HYPERLINK("https://asmlis.vasa.lt/Dashboard/Served?ServiceDateFrom=2025-11-24&amp;ServiceDateTo=2025-11-24&amp;DumpsterInvNr=13-L-104807", "13-L-104807")</f>
        <v>13-L-104807</v>
      </c>
      <c r="C5656">
        <v>0.77</v>
      </c>
      <c r="D5656" t="s">
        <v>7687</v>
      </c>
      <c r="E5656" t="s">
        <v>11</v>
      </c>
      <c r="G5656" t="s">
        <v>430</v>
      </c>
      <c r="H5656" t="s">
        <v>432</v>
      </c>
    </row>
    <row r="5657" spans="1:8" hidden="1" x14ac:dyDescent="0.25">
      <c r="A5657" t="s">
        <v>7812</v>
      </c>
      <c r="B5657" s="1" t="str">
        <f>HYPERLINK("https://asmlis.vasa.lt/Dashboard/Served?ServiceDateFrom=2025-11-24&amp;ServiceDateTo=2025-11-24&amp;DumpsterInvNr=13-L-416738", "13-L-416738")</f>
        <v>13-L-416738</v>
      </c>
      <c r="C5657">
        <v>0.77</v>
      </c>
      <c r="D5657" t="s">
        <v>7813</v>
      </c>
      <c r="E5657" t="s">
        <v>11</v>
      </c>
      <c r="G5657" t="s">
        <v>74</v>
      </c>
      <c r="H5657" t="s">
        <v>14</v>
      </c>
    </row>
    <row r="5658" spans="1:8" hidden="1" x14ac:dyDescent="0.25">
      <c r="A5658" t="s">
        <v>7812</v>
      </c>
      <c r="B5658" s="1" t="str">
        <f>HYPERLINK("https://asmlis.vasa.lt/Dashboard/Served?ServiceDateFrom=2025-11-24&amp;ServiceDateTo=2025-11-24&amp;DumpsterInvNr=13-P-400604", "13-P-400604")</f>
        <v>13-P-400604</v>
      </c>
      <c r="C5658">
        <v>5</v>
      </c>
      <c r="D5658" t="s">
        <v>1124</v>
      </c>
      <c r="E5658" t="s">
        <v>11</v>
      </c>
      <c r="F5658" t="s">
        <v>13</v>
      </c>
      <c r="G5658" t="s">
        <v>264</v>
      </c>
      <c r="H5658" t="s">
        <v>14</v>
      </c>
    </row>
    <row r="5659" spans="1:8" hidden="1" x14ac:dyDescent="0.25">
      <c r="A5659" t="s">
        <v>7814</v>
      </c>
      <c r="B5659" s="1" t="str">
        <f>HYPERLINK("https://asmlis.vasa.lt/Dashboard/Served?ServiceDateFrom=2025-11-24&amp;ServiceDateTo=2025-11-24&amp;DumpsterInvNr=13-P-401108", "13-P-401108")</f>
        <v>13-P-401108</v>
      </c>
      <c r="C5659">
        <v>1.1000000000000001</v>
      </c>
      <c r="D5659" t="s">
        <v>348</v>
      </c>
      <c r="E5659" t="s">
        <v>11</v>
      </c>
      <c r="G5659" t="s">
        <v>264</v>
      </c>
      <c r="H5659" t="s">
        <v>14</v>
      </c>
    </row>
    <row r="5660" spans="1:8" hidden="1" x14ac:dyDescent="0.25">
      <c r="A5660" t="s">
        <v>7815</v>
      </c>
      <c r="B5660" s="1" t="str">
        <f>HYPERLINK("https://asmlis.vasa.lt/Dashboard/Served?ServiceDateFrom=2025-11-24&amp;ServiceDateTo=2025-11-24&amp;DumpsterInvNr=13-P-301904", "13-P-301904")</f>
        <v>13-P-301904</v>
      </c>
      <c r="C5660">
        <v>1.1000000000000001</v>
      </c>
      <c r="D5660" t="s">
        <v>7816</v>
      </c>
      <c r="E5660" t="s">
        <v>11</v>
      </c>
      <c r="G5660" t="s">
        <v>412</v>
      </c>
      <c r="H5660" t="s">
        <v>14</v>
      </c>
    </row>
    <row r="5661" spans="1:8" hidden="1" x14ac:dyDescent="0.25">
      <c r="A5661" t="s">
        <v>7817</v>
      </c>
      <c r="B5661" s="1" t="str">
        <f>HYPERLINK("https://asmlis.vasa.lt/Dashboard/Served?ServiceDateFrom=2025-11-24&amp;ServiceDateTo=2025-11-24&amp;DumpsterInvNr=13-L-416737", "13-L-416737")</f>
        <v>13-L-416737</v>
      </c>
      <c r="C5661">
        <v>0.77</v>
      </c>
      <c r="D5661" t="s">
        <v>7813</v>
      </c>
      <c r="E5661" t="s">
        <v>11</v>
      </c>
      <c r="G5661" t="s">
        <v>74</v>
      </c>
      <c r="H5661" t="s">
        <v>14</v>
      </c>
    </row>
    <row r="5662" spans="1:8" hidden="1" x14ac:dyDescent="0.25">
      <c r="A5662" t="s">
        <v>6450</v>
      </c>
      <c r="B5662" s="1" t="str">
        <f>HYPERLINK("https://asmlis.vasa.lt/Dashboard/Served?ServiceDateFrom=2025-11-24&amp;ServiceDateTo=2025-11-24&amp;DumpsterInvNr=13-L-222296", "13-L-222296")</f>
        <v>13-L-222296</v>
      </c>
      <c r="C5662">
        <v>0.24</v>
      </c>
      <c r="D5662" t="s">
        <v>6126</v>
      </c>
      <c r="E5662" t="s">
        <v>11</v>
      </c>
      <c r="G5662" t="s">
        <v>936</v>
      </c>
      <c r="H5662" t="s">
        <v>938</v>
      </c>
    </row>
    <row r="5663" spans="1:8" hidden="1" x14ac:dyDescent="0.25">
      <c r="A5663" t="s">
        <v>7818</v>
      </c>
      <c r="B5663" s="1" t="str">
        <f>HYPERLINK("https://asmlis.vasa.lt/Dashboard/Served?ServiceDateFrom=2025-11-24&amp;ServiceDateTo=2025-11-24&amp;DumpsterInvNr=13-L-401514", "13-L-401514")</f>
        <v>13-L-401514</v>
      </c>
      <c r="C5663">
        <v>0.24</v>
      </c>
      <c r="D5663" t="s">
        <v>4081</v>
      </c>
      <c r="E5663" t="s">
        <v>11</v>
      </c>
      <c r="G5663" t="s">
        <v>74</v>
      </c>
      <c r="H5663" t="s">
        <v>14</v>
      </c>
    </row>
    <row r="5664" spans="1:8" hidden="1" x14ac:dyDescent="0.25">
      <c r="A5664" t="s">
        <v>7819</v>
      </c>
      <c r="B5664" s="1" t="str">
        <f>HYPERLINK("https://asmlis.vasa.lt/Dashboard/Served?ServiceDateFrom=2025-11-24&amp;ServiceDateTo=2025-11-24&amp;DumpsterInvNr=13-L-420930", "13-L-420930")</f>
        <v>13-L-420930</v>
      </c>
      <c r="C5664">
        <v>5</v>
      </c>
      <c r="D5664" t="s">
        <v>7087</v>
      </c>
      <c r="E5664" t="s">
        <v>11</v>
      </c>
      <c r="G5664" t="s">
        <v>74</v>
      </c>
      <c r="H5664" t="s">
        <v>14</v>
      </c>
    </row>
    <row r="5665" spans="1:8" hidden="1" x14ac:dyDescent="0.25">
      <c r="A5665" t="s">
        <v>7820</v>
      </c>
      <c r="B5665" s="1" t="str">
        <f>HYPERLINK("https://asmlis.vasa.lt/Dashboard/Served?ServiceDateFrom=2025-11-24&amp;ServiceDateTo=2025-11-24&amp;DumpsterInvNr=13-P-211069", "13-P-211069")</f>
        <v>13-P-211069</v>
      </c>
      <c r="C5665">
        <v>0.24</v>
      </c>
      <c r="D5665" t="s">
        <v>7821</v>
      </c>
      <c r="E5665" t="s">
        <v>11</v>
      </c>
      <c r="G5665" t="s">
        <v>234</v>
      </c>
      <c r="H5665" t="s">
        <v>14</v>
      </c>
    </row>
    <row r="5666" spans="1:8" hidden="1" x14ac:dyDescent="0.25">
      <c r="A5666" t="s">
        <v>7820</v>
      </c>
      <c r="B5666" s="1" t="str">
        <f>HYPERLINK("https://asmlis.vasa.lt/Dashboard/Served?ServiceDateFrom=2025-11-24&amp;ServiceDateTo=2025-11-24&amp;DumpsterInvNr=13-S-207622", "13-S-207622")</f>
        <v>13-S-207622</v>
      </c>
      <c r="C5666">
        <v>0.12</v>
      </c>
      <c r="D5666" t="s">
        <v>7821</v>
      </c>
      <c r="E5666" t="s">
        <v>11</v>
      </c>
      <c r="G5666" t="s">
        <v>234</v>
      </c>
      <c r="H5666" t="s">
        <v>14</v>
      </c>
    </row>
    <row r="5667" spans="1:8" hidden="1" x14ac:dyDescent="0.25">
      <c r="A5667" t="s">
        <v>7820</v>
      </c>
      <c r="B5667" s="1" t="str">
        <f>HYPERLINK("https://asmlis.vasa.lt/Dashboard/Served?ServiceDateFrom=2025-11-24&amp;ServiceDateTo=2025-11-24&amp;DumpsterInvNr=13-P-408737", "13-P-408737")</f>
        <v>13-P-408737</v>
      </c>
      <c r="C5667">
        <v>1.1000000000000001</v>
      </c>
      <c r="D5667" t="s">
        <v>348</v>
      </c>
      <c r="E5667" t="s">
        <v>11</v>
      </c>
      <c r="F5667" t="s">
        <v>13</v>
      </c>
      <c r="G5667" t="s">
        <v>264</v>
      </c>
      <c r="H5667" t="s">
        <v>14</v>
      </c>
    </row>
    <row r="5668" spans="1:8" hidden="1" x14ac:dyDescent="0.25">
      <c r="A5668" t="s">
        <v>6133</v>
      </c>
      <c r="B5668" s="1" t="str">
        <f>HYPERLINK("https://asmlis.vasa.lt/Dashboard/Served?ServiceDateFrom=2025-11-24&amp;ServiceDateTo=2025-11-24&amp;DumpsterInvNr=13-P-408993", "13-P-408993")</f>
        <v>13-P-408993</v>
      </c>
      <c r="C5668">
        <v>1.1000000000000001</v>
      </c>
      <c r="D5668" t="s">
        <v>348</v>
      </c>
      <c r="E5668" t="s">
        <v>11</v>
      </c>
      <c r="F5668" t="s">
        <v>13</v>
      </c>
      <c r="G5668" t="s">
        <v>264</v>
      </c>
      <c r="H5668" t="s">
        <v>14</v>
      </c>
    </row>
    <row r="5669" spans="1:8" hidden="1" x14ac:dyDescent="0.25">
      <c r="A5669" t="s">
        <v>6785</v>
      </c>
      <c r="B5669" s="1" t="str">
        <f>HYPERLINK("https://asmlis.vasa.lt/Dashboard/Served?ServiceDateFrom=2025-11-24&amp;ServiceDateTo=2025-11-24&amp;DumpsterInvNr=13-P-300592", "13-P-300592")</f>
        <v>13-P-300592</v>
      </c>
      <c r="C5669">
        <v>1.1000000000000001</v>
      </c>
      <c r="D5669" t="s">
        <v>7816</v>
      </c>
      <c r="E5669" t="s">
        <v>11</v>
      </c>
      <c r="G5669" t="s">
        <v>412</v>
      </c>
      <c r="H5669" t="s">
        <v>14</v>
      </c>
    </row>
    <row r="5670" spans="1:8" hidden="1" x14ac:dyDescent="0.25">
      <c r="A5670" t="s">
        <v>6785</v>
      </c>
      <c r="B5670" s="1" t="str">
        <f>HYPERLINK("https://asmlis.vasa.lt/Dashboard/Served?ServiceDateFrom=2025-11-24&amp;ServiceDateTo=2025-11-24&amp;DumpsterInvNr=13-P-205933", "13-P-205933")</f>
        <v>13-P-205933</v>
      </c>
      <c r="C5670">
        <v>0.24</v>
      </c>
      <c r="D5670" t="s">
        <v>6681</v>
      </c>
      <c r="E5670" t="s">
        <v>11</v>
      </c>
      <c r="G5670" t="s">
        <v>234</v>
      </c>
      <c r="H5670" t="s">
        <v>14</v>
      </c>
    </row>
    <row r="5671" spans="1:8" hidden="1" x14ac:dyDescent="0.25">
      <c r="A5671" t="s">
        <v>7008</v>
      </c>
      <c r="B5671" s="1" t="str">
        <f>HYPERLINK("https://asmlis.vasa.lt/Dashboard/Served?ServiceDateFrom=2025-11-24&amp;ServiceDateTo=2025-11-24&amp;DumpsterInvNr=13-L-317128", "13-L-317128")</f>
        <v>13-L-317128</v>
      </c>
      <c r="C5671">
        <v>1.1000000000000001</v>
      </c>
      <c r="D5671" t="s">
        <v>7822</v>
      </c>
      <c r="E5671" t="s">
        <v>11</v>
      </c>
      <c r="G5671" t="s">
        <v>9</v>
      </c>
      <c r="H5671" t="s">
        <v>14</v>
      </c>
    </row>
    <row r="5672" spans="1:8" hidden="1" x14ac:dyDescent="0.25">
      <c r="A5672" t="s">
        <v>7469</v>
      </c>
      <c r="B5672" s="1" t="str">
        <f>HYPERLINK("https://asmlis.vasa.lt/Dashboard/Served?ServiceDateFrom=2025-11-24&amp;ServiceDateTo=2025-11-24&amp;DumpsterInvNr=13-M-204037", "13-M-204037")</f>
        <v>13-M-204037</v>
      </c>
      <c r="C5672">
        <v>0.12</v>
      </c>
      <c r="D5672" t="s">
        <v>7823</v>
      </c>
      <c r="E5672" t="s">
        <v>11</v>
      </c>
      <c r="F5672" t="s">
        <v>1209</v>
      </c>
      <c r="G5672" t="s">
        <v>4876</v>
      </c>
      <c r="H5672" t="s">
        <v>938</v>
      </c>
    </row>
    <row r="5673" spans="1:8" hidden="1" x14ac:dyDescent="0.25">
      <c r="A5673" t="s">
        <v>7568</v>
      </c>
      <c r="B5673" s="1" t="str">
        <f>HYPERLINK("https://asmlis.vasa.lt/Dashboard/Served?ServiceDateFrom=2025-11-24&amp;ServiceDateTo=2025-11-24&amp;DumpsterInvNr=13-L-422096", "13-L-422096")</f>
        <v>13-L-422096</v>
      </c>
      <c r="C5673">
        <v>5</v>
      </c>
      <c r="D5673" t="s">
        <v>7825</v>
      </c>
      <c r="E5673" t="s">
        <v>11</v>
      </c>
      <c r="F5673" t="s">
        <v>13</v>
      </c>
      <c r="G5673" t="s">
        <v>74</v>
      </c>
      <c r="H5673" t="s">
        <v>14</v>
      </c>
    </row>
    <row r="5674" spans="1:8" hidden="1" x14ac:dyDescent="0.25">
      <c r="A5674" t="s">
        <v>7826</v>
      </c>
      <c r="B5674" s="1" t="str">
        <f>HYPERLINK("https://asmlis.vasa.lt/Dashboard/Served?ServiceDateFrom=2025-11-24&amp;ServiceDateTo=2025-11-24&amp;DumpsterInvNr=13-L-221302", "13-L-221302")</f>
        <v>13-L-221302</v>
      </c>
      <c r="C5674">
        <v>5</v>
      </c>
      <c r="D5674" t="s">
        <v>7827</v>
      </c>
      <c r="E5674" t="s">
        <v>11</v>
      </c>
      <c r="G5674" t="s">
        <v>936</v>
      </c>
      <c r="H5674" t="s">
        <v>938</v>
      </c>
    </row>
    <row r="5675" spans="1:8" hidden="1" x14ac:dyDescent="0.25">
      <c r="A5675" t="s">
        <v>7828</v>
      </c>
      <c r="B5675" s="1" t="str">
        <f>HYPERLINK("https://asmlis.vasa.lt/Dashboard/Served?ServiceDateFrom=2025-11-24&amp;ServiceDateTo=2025-11-24&amp;DumpsterInvNr=13-L-104806", "13-L-104806")</f>
        <v>13-L-104806</v>
      </c>
      <c r="C5675">
        <v>0.77</v>
      </c>
      <c r="D5675" t="s">
        <v>7687</v>
      </c>
      <c r="E5675" t="s">
        <v>11</v>
      </c>
      <c r="G5675" t="s">
        <v>430</v>
      </c>
      <c r="H5675" t="s">
        <v>432</v>
      </c>
    </row>
    <row r="5676" spans="1:8" hidden="1" x14ac:dyDescent="0.25">
      <c r="A5676" t="s">
        <v>7829</v>
      </c>
      <c r="B5676" s="1" t="str">
        <f>HYPERLINK("https://asmlis.vasa.lt/Dashboard/Served?ServiceDateFrom=2025-11-24&amp;ServiceDateTo=2025-11-24&amp;DumpsterInvNr=13-P-302288", "13-P-302288")</f>
        <v>13-P-302288</v>
      </c>
      <c r="C5676">
        <v>5</v>
      </c>
      <c r="D5676" t="s">
        <v>7831</v>
      </c>
      <c r="E5676" t="s">
        <v>11</v>
      </c>
      <c r="G5676" t="s">
        <v>412</v>
      </c>
      <c r="H5676" t="s">
        <v>14</v>
      </c>
    </row>
    <row r="5677" spans="1:8" hidden="1" x14ac:dyDescent="0.25">
      <c r="A5677" t="s">
        <v>7832</v>
      </c>
      <c r="B5677" s="1" t="str">
        <f>HYPERLINK("https://asmlis.vasa.lt/Dashboard/Served?ServiceDateFrom=2025-11-24&amp;ServiceDateTo=2025-11-24&amp;DumpsterInvNr=13-P-302096", "13-P-302096")</f>
        <v>13-P-302096</v>
      </c>
      <c r="C5677">
        <v>1.1000000000000001</v>
      </c>
      <c r="D5677" t="s">
        <v>7816</v>
      </c>
      <c r="E5677" t="s">
        <v>11</v>
      </c>
      <c r="F5677" t="s">
        <v>13</v>
      </c>
      <c r="G5677" t="s">
        <v>412</v>
      </c>
      <c r="H5677" t="s">
        <v>14</v>
      </c>
    </row>
    <row r="5678" spans="1:8" hidden="1" x14ac:dyDescent="0.25">
      <c r="A5678" t="s">
        <v>7833</v>
      </c>
      <c r="B5678" s="1" t="str">
        <f>HYPERLINK("https://asmlis.vasa.lt/Dashboard/Served?ServiceDateFrom=2025-11-24&amp;ServiceDateTo=2025-11-24&amp;DumpsterInvNr=13-M-204577", "13-M-204577")</f>
        <v>13-M-204577</v>
      </c>
      <c r="C5678">
        <v>0.12</v>
      </c>
      <c r="D5678" t="s">
        <v>7834</v>
      </c>
      <c r="E5678" t="s">
        <v>11</v>
      </c>
      <c r="F5678" t="s">
        <v>1209</v>
      </c>
      <c r="G5678" t="s">
        <v>4876</v>
      </c>
      <c r="H5678" t="s">
        <v>938</v>
      </c>
    </row>
    <row r="5679" spans="1:8" hidden="1" x14ac:dyDescent="0.25">
      <c r="A5679" t="s">
        <v>7835</v>
      </c>
      <c r="B5679" s="1" t="str">
        <f>HYPERLINK("https://asmlis.vasa.lt/Dashboard/Served?ServiceDateFrom=2025-11-24&amp;ServiceDateTo=2025-11-24&amp;DumpsterInvNr=13-L-144395", "13-L-144395")</f>
        <v>13-L-144395</v>
      </c>
      <c r="C5679">
        <v>1.1000000000000001</v>
      </c>
      <c r="D5679" t="s">
        <v>7836</v>
      </c>
      <c r="E5679" t="s">
        <v>11</v>
      </c>
      <c r="G5679" t="s">
        <v>430</v>
      </c>
      <c r="H5679" t="s">
        <v>432</v>
      </c>
    </row>
    <row r="5680" spans="1:8" hidden="1" x14ac:dyDescent="0.25">
      <c r="A5680" t="s">
        <v>6653</v>
      </c>
      <c r="B5680" s="1" t="str">
        <f>HYPERLINK("https://asmlis.vasa.lt/Dashboard/Served?ServiceDateFrom=2025-11-24&amp;ServiceDateTo=2025-11-24&amp;DumpsterInvNr=13-M-204688", "13-M-204688")</f>
        <v>13-M-204688</v>
      </c>
      <c r="C5680">
        <v>0.12</v>
      </c>
      <c r="D5680" t="s">
        <v>7837</v>
      </c>
      <c r="E5680" t="s">
        <v>11</v>
      </c>
      <c r="F5680" t="s">
        <v>1209</v>
      </c>
      <c r="G5680" t="s">
        <v>4876</v>
      </c>
      <c r="H5680" t="s">
        <v>938</v>
      </c>
    </row>
    <row r="5681" spans="1:8" hidden="1" x14ac:dyDescent="0.25">
      <c r="A5681" t="s">
        <v>7838</v>
      </c>
      <c r="B5681" s="1" t="str">
        <f>HYPERLINK("https://asmlis.vasa.lt/Dashboard/Served?ServiceDateFrom=2025-11-24&amp;ServiceDateTo=2025-11-24&amp;DumpsterInvNr=13-L-214916", "13-L-214916")</f>
        <v>13-L-214916</v>
      </c>
      <c r="C5681">
        <v>0.24</v>
      </c>
      <c r="D5681" t="s">
        <v>7839</v>
      </c>
      <c r="E5681" t="s">
        <v>11</v>
      </c>
      <c r="G5681" t="s">
        <v>936</v>
      </c>
      <c r="H5681" t="s">
        <v>938</v>
      </c>
    </row>
    <row r="5682" spans="1:8" hidden="1" x14ac:dyDescent="0.25">
      <c r="A5682" t="s">
        <v>7838</v>
      </c>
      <c r="B5682" s="1" t="str">
        <f>HYPERLINK("https://asmlis.vasa.lt/Dashboard/Served?ServiceDateFrom=2025-11-24&amp;ServiceDateTo=2025-11-24&amp;DumpsterInvNr=13-P-400586", "13-P-400586")</f>
        <v>13-P-400586</v>
      </c>
      <c r="C5682">
        <v>3</v>
      </c>
      <c r="D5682" t="s">
        <v>846</v>
      </c>
      <c r="E5682" t="s">
        <v>11</v>
      </c>
      <c r="G5682" t="s">
        <v>264</v>
      </c>
      <c r="H5682" t="s">
        <v>14</v>
      </c>
    </row>
    <row r="5683" spans="1:8" hidden="1" x14ac:dyDescent="0.25">
      <c r="A5683" t="s">
        <v>7840</v>
      </c>
      <c r="B5683" s="1" t="str">
        <f>HYPERLINK("https://asmlis.vasa.lt/Dashboard/Served?ServiceDateFrom=2025-11-24&amp;ServiceDateTo=2025-11-24&amp;DumpsterInvNr=13-M-204505", "13-M-204505")</f>
        <v>13-M-204505</v>
      </c>
      <c r="C5683">
        <v>0.12</v>
      </c>
      <c r="D5683" t="s">
        <v>7841</v>
      </c>
      <c r="E5683" t="s">
        <v>11</v>
      </c>
      <c r="F5683" t="s">
        <v>1209</v>
      </c>
      <c r="G5683" t="s">
        <v>4876</v>
      </c>
      <c r="H5683" t="s">
        <v>938</v>
      </c>
    </row>
    <row r="5684" spans="1:8" hidden="1" x14ac:dyDescent="0.25">
      <c r="A5684" t="s">
        <v>7842</v>
      </c>
      <c r="B5684" s="1" t="str">
        <f>HYPERLINK("https://asmlis.vasa.lt/Dashboard/Served?ServiceDateFrom=2025-11-24&amp;ServiceDateTo=2025-11-24&amp;DumpsterInvNr=13-L-228203", "13-L-228203")</f>
        <v>13-L-228203</v>
      </c>
      <c r="C5684">
        <v>0.24</v>
      </c>
      <c r="D5684" t="s">
        <v>6104</v>
      </c>
      <c r="E5684" t="s">
        <v>11</v>
      </c>
      <c r="G5684" t="s">
        <v>936</v>
      </c>
      <c r="H5684" t="s">
        <v>938</v>
      </c>
    </row>
    <row r="5685" spans="1:8" hidden="1" x14ac:dyDescent="0.25">
      <c r="A5685" t="s">
        <v>7843</v>
      </c>
      <c r="B5685" s="1" t="str">
        <f>HYPERLINK("https://asmlis.vasa.lt/Dashboard/Served?ServiceDateFrom=2025-11-24&amp;ServiceDateTo=2025-11-24&amp;DumpsterInvNr=13-L-423409", "13-L-423409")</f>
        <v>13-L-423409</v>
      </c>
      <c r="C5685">
        <v>0.24</v>
      </c>
      <c r="D5685" t="s">
        <v>4095</v>
      </c>
      <c r="E5685" t="s">
        <v>11</v>
      </c>
      <c r="G5685" t="s">
        <v>74</v>
      </c>
      <c r="H5685" t="s">
        <v>14</v>
      </c>
    </row>
    <row r="5686" spans="1:8" hidden="1" x14ac:dyDescent="0.25">
      <c r="A5686" t="s">
        <v>7604</v>
      </c>
      <c r="B5686" s="1" t="str">
        <f>HYPERLINK("https://asmlis.vasa.lt/Dashboard/Served?ServiceDateFrom=2025-11-24&amp;ServiceDateTo=2025-11-24&amp;DumpsterInvNr=13-P-500633", "13-P-500633")</f>
        <v>13-P-500633</v>
      </c>
      <c r="C5686">
        <v>5</v>
      </c>
      <c r="D5686" t="s">
        <v>7844</v>
      </c>
      <c r="E5686" t="s">
        <v>11</v>
      </c>
      <c r="F5686" t="s">
        <v>13</v>
      </c>
      <c r="G5686" t="s">
        <v>2178</v>
      </c>
      <c r="H5686" t="s">
        <v>432</v>
      </c>
    </row>
    <row r="5687" spans="1:8" hidden="1" x14ac:dyDescent="0.25">
      <c r="A5687" t="s">
        <v>7846</v>
      </c>
      <c r="B5687" s="1" t="str">
        <f>HYPERLINK("https://asmlis.vasa.lt/Dashboard/Served?ServiceDateFrom=2025-11-24&amp;ServiceDateTo=2025-11-24&amp;DumpsterInvNr=13-T-000131", "13-T-000131")</f>
        <v>13-T-000131</v>
      </c>
      <c r="C5687">
        <v>2.5</v>
      </c>
      <c r="D5687" t="s">
        <v>7847</v>
      </c>
      <c r="E5687" t="s">
        <v>11</v>
      </c>
      <c r="F5687" t="s">
        <v>13</v>
      </c>
      <c r="G5687" t="s">
        <v>1899</v>
      </c>
      <c r="H5687" t="s">
        <v>432</v>
      </c>
    </row>
    <row r="5688" spans="1:8" hidden="1" x14ac:dyDescent="0.25">
      <c r="A5688" t="s">
        <v>7848</v>
      </c>
      <c r="B5688" s="1" t="str">
        <f>HYPERLINK("https://asmlis.vasa.lt/Dashboard/Served?ServiceDateFrom=2025-11-24&amp;ServiceDateTo=2025-11-24&amp;DumpsterInvNr=13-L-113381", "13-L-113381")</f>
        <v>13-L-113381</v>
      </c>
      <c r="C5688">
        <v>5</v>
      </c>
      <c r="D5688" t="s">
        <v>7849</v>
      </c>
      <c r="E5688" t="s">
        <v>11</v>
      </c>
      <c r="F5688" t="s">
        <v>13</v>
      </c>
      <c r="G5688" t="s">
        <v>430</v>
      </c>
      <c r="H5688" t="s">
        <v>432</v>
      </c>
    </row>
    <row r="5689" spans="1:8" hidden="1" x14ac:dyDescent="0.25">
      <c r="A5689" t="s">
        <v>7848</v>
      </c>
      <c r="B5689" s="1" t="str">
        <f>HYPERLINK("https://asmlis.vasa.lt/Dashboard/Served?ServiceDateFrom=2025-11-24&amp;ServiceDateTo=2025-11-24&amp;DumpsterInvNr=13-P-211070", "13-P-211070")</f>
        <v>13-P-211070</v>
      </c>
      <c r="C5689">
        <v>0.24</v>
      </c>
      <c r="D5689" t="s">
        <v>7851</v>
      </c>
      <c r="E5689" t="s">
        <v>11</v>
      </c>
      <c r="G5689" t="s">
        <v>234</v>
      </c>
      <c r="H5689" t="s">
        <v>14</v>
      </c>
    </row>
    <row r="5690" spans="1:8" hidden="1" x14ac:dyDescent="0.25">
      <c r="A5690" t="s">
        <v>7848</v>
      </c>
      <c r="B5690" s="1" t="str">
        <f>HYPERLINK("https://asmlis.vasa.lt/Dashboard/Served?ServiceDateFrom=2025-11-24&amp;ServiceDateTo=2025-11-24&amp;DumpsterInvNr=13-M-204285", "13-M-204285")</f>
        <v>13-M-204285</v>
      </c>
      <c r="C5690">
        <v>0.12</v>
      </c>
      <c r="D5690" t="s">
        <v>7852</v>
      </c>
      <c r="E5690" t="s">
        <v>11</v>
      </c>
      <c r="F5690" t="s">
        <v>1209</v>
      </c>
      <c r="G5690" t="s">
        <v>4876</v>
      </c>
      <c r="H5690" t="s">
        <v>938</v>
      </c>
    </row>
    <row r="5691" spans="1:8" hidden="1" x14ac:dyDescent="0.25">
      <c r="A5691" t="s">
        <v>7853</v>
      </c>
      <c r="B5691" s="1" t="str">
        <f>HYPERLINK("https://asmlis.vasa.lt/Dashboard/Served?ServiceDateFrom=2025-11-24&amp;ServiceDateTo=2025-11-24&amp;DumpsterInvNr=13-L-144394", "13-L-144394")</f>
        <v>13-L-144394</v>
      </c>
      <c r="C5691">
        <v>1.1000000000000001</v>
      </c>
      <c r="D5691" t="s">
        <v>7836</v>
      </c>
      <c r="E5691" t="s">
        <v>11</v>
      </c>
      <c r="G5691" t="s">
        <v>430</v>
      </c>
      <c r="H5691" t="s">
        <v>432</v>
      </c>
    </row>
    <row r="5692" spans="1:8" hidden="1" x14ac:dyDescent="0.25">
      <c r="A5692" t="s">
        <v>7854</v>
      </c>
      <c r="B5692" s="1" t="str">
        <f>HYPERLINK("https://asmlis.vasa.lt/Dashboard/Served?ServiceDateFrom=2025-11-24&amp;ServiceDateTo=2025-11-24&amp;DumpsterInvNr=13-L-421680", "13-L-421680")</f>
        <v>13-L-421680</v>
      </c>
      <c r="C5692">
        <v>1.1000000000000001</v>
      </c>
      <c r="D5692" t="s">
        <v>7855</v>
      </c>
      <c r="E5692" t="s">
        <v>11</v>
      </c>
      <c r="G5692" t="s">
        <v>74</v>
      </c>
      <c r="H5692" t="s">
        <v>14</v>
      </c>
    </row>
    <row r="5693" spans="1:8" hidden="1" x14ac:dyDescent="0.25">
      <c r="A5693" t="s">
        <v>7856</v>
      </c>
      <c r="B5693" s="1" t="str">
        <f>HYPERLINK("https://asmlis.vasa.lt/Dashboard/Served?ServiceDateFrom=2025-11-24&amp;ServiceDateTo=2025-11-24&amp;DumpsterInvNr=13-P-500541", "13-P-500541")</f>
        <v>13-P-500541</v>
      </c>
      <c r="C5693">
        <v>5</v>
      </c>
      <c r="D5693" t="s">
        <v>7857</v>
      </c>
      <c r="E5693" t="s">
        <v>11</v>
      </c>
      <c r="F5693" t="s">
        <v>13</v>
      </c>
      <c r="G5693" t="s">
        <v>2178</v>
      </c>
      <c r="H5693" t="s">
        <v>432</v>
      </c>
    </row>
    <row r="5694" spans="1:8" hidden="1" x14ac:dyDescent="0.25">
      <c r="A5694" t="s">
        <v>7856</v>
      </c>
      <c r="B5694" s="1" t="str">
        <f>HYPERLINK("https://asmlis.vasa.lt/Dashboard/Served?ServiceDateFrom=2025-11-24&amp;ServiceDateTo=2025-11-24&amp;DumpsterInvNr=13-T-000063", "13-T-000063")</f>
        <v>13-T-000063</v>
      </c>
      <c r="C5694">
        <v>2.5</v>
      </c>
      <c r="D5694" t="s">
        <v>7847</v>
      </c>
      <c r="E5694" t="s">
        <v>11</v>
      </c>
      <c r="F5694" t="s">
        <v>13</v>
      </c>
      <c r="G5694" t="s">
        <v>1899</v>
      </c>
      <c r="H5694" t="s">
        <v>432</v>
      </c>
    </row>
    <row r="5695" spans="1:8" hidden="1" x14ac:dyDescent="0.25">
      <c r="A5695" t="s">
        <v>7858</v>
      </c>
      <c r="B5695" s="1" t="str">
        <f>HYPERLINK("https://asmlis.vasa.lt/Dashboard/Served?ServiceDateFrom=2025-11-24&amp;ServiceDateTo=2025-11-24&amp;DumpsterInvNr=13-P-400657", "13-P-400657")</f>
        <v>13-P-400657</v>
      </c>
      <c r="C5695">
        <v>5</v>
      </c>
      <c r="D5695" t="s">
        <v>1158</v>
      </c>
      <c r="E5695" t="s">
        <v>11</v>
      </c>
      <c r="G5695" t="s">
        <v>264</v>
      </c>
      <c r="H5695" t="s">
        <v>14</v>
      </c>
    </row>
    <row r="5696" spans="1:8" hidden="1" x14ac:dyDescent="0.25">
      <c r="A5696" t="s">
        <v>7859</v>
      </c>
      <c r="B5696" s="1" t="str">
        <f>HYPERLINK("https://asmlis.vasa.lt/Dashboard/Served?ServiceDateFrom=2025-11-24&amp;ServiceDateTo=2025-11-24&amp;DumpsterInvNr=13-L-106194", "13-L-106194")</f>
        <v>13-L-106194</v>
      </c>
      <c r="C5696">
        <v>1.3</v>
      </c>
      <c r="D5696" t="s">
        <v>7860</v>
      </c>
      <c r="E5696" t="s">
        <v>11</v>
      </c>
      <c r="F5696" t="s">
        <v>13</v>
      </c>
      <c r="G5696" t="s">
        <v>1912</v>
      </c>
      <c r="H5696" t="s">
        <v>432</v>
      </c>
    </row>
    <row r="5697" spans="1:8" hidden="1" x14ac:dyDescent="0.25">
      <c r="A5697" t="s">
        <v>7861</v>
      </c>
      <c r="B5697" s="1" t="str">
        <f>HYPERLINK("https://asmlis.vasa.lt/Dashboard/Served?ServiceDateFrom=2025-11-24&amp;ServiceDateTo=2025-11-24&amp;DumpsterInvNr=13-P-401288", "13-P-401288")</f>
        <v>13-P-401288</v>
      </c>
      <c r="C5697">
        <v>1.1000000000000001</v>
      </c>
      <c r="D5697" t="s">
        <v>348</v>
      </c>
      <c r="E5697" t="s">
        <v>11</v>
      </c>
      <c r="G5697" t="s">
        <v>264</v>
      </c>
      <c r="H5697" t="s">
        <v>14</v>
      </c>
    </row>
    <row r="5698" spans="1:8" hidden="1" x14ac:dyDescent="0.25">
      <c r="A5698" t="s">
        <v>7863</v>
      </c>
      <c r="B5698" s="1" t="str">
        <f>HYPERLINK("https://asmlis.vasa.lt/Dashboard/Served?ServiceDateFrom=2025-11-24&amp;ServiceDateTo=2025-11-24&amp;DumpsterInvNr=13-M-204249", "13-M-204249")</f>
        <v>13-M-204249</v>
      </c>
      <c r="C5698">
        <v>0.12</v>
      </c>
      <c r="D5698" t="s">
        <v>7865</v>
      </c>
      <c r="E5698" t="s">
        <v>11</v>
      </c>
      <c r="G5698" t="s">
        <v>4876</v>
      </c>
      <c r="H5698" t="s">
        <v>938</v>
      </c>
    </row>
    <row r="5699" spans="1:8" hidden="1" x14ac:dyDescent="0.25">
      <c r="A5699" t="s">
        <v>7866</v>
      </c>
      <c r="B5699" s="1" t="str">
        <f>HYPERLINK("https://asmlis.vasa.lt/Dashboard/Served?ServiceDateFrom=2025-11-24&amp;ServiceDateTo=2025-11-24&amp;DumpsterInvNr=13-L-139173", "13-L-139173")</f>
        <v>13-L-139173</v>
      </c>
      <c r="C5699">
        <v>1.1000000000000001</v>
      </c>
      <c r="D5699" t="s">
        <v>7867</v>
      </c>
      <c r="E5699" t="s">
        <v>11</v>
      </c>
      <c r="G5699" t="s">
        <v>1912</v>
      </c>
      <c r="H5699" t="s">
        <v>432</v>
      </c>
    </row>
    <row r="5700" spans="1:8" hidden="1" x14ac:dyDescent="0.25">
      <c r="A5700" t="s">
        <v>7698</v>
      </c>
      <c r="B5700" s="1" t="str">
        <f>HYPERLINK("https://asmlis.vasa.lt/Dashboard/Served?ServiceDateFrom=2025-11-24&amp;ServiceDateTo=2025-11-24&amp;DumpsterInvNr=13-L-227490", "13-L-227490")</f>
        <v>13-L-227490</v>
      </c>
      <c r="C5700">
        <v>1.1000000000000001</v>
      </c>
      <c r="D5700" t="s">
        <v>7868</v>
      </c>
      <c r="E5700" t="s">
        <v>11</v>
      </c>
      <c r="G5700" t="s">
        <v>936</v>
      </c>
      <c r="H5700" t="s">
        <v>938</v>
      </c>
    </row>
    <row r="5701" spans="1:8" hidden="1" x14ac:dyDescent="0.25">
      <c r="A5701" t="s">
        <v>7869</v>
      </c>
      <c r="B5701" s="1" t="str">
        <f>HYPERLINK("https://asmlis.vasa.lt/Dashboard/Served?ServiceDateFrom=2025-11-24&amp;ServiceDateTo=2025-11-24&amp;DumpsterInvNr=13-L-423437", "13-L-423437")</f>
        <v>13-L-423437</v>
      </c>
      <c r="C5701">
        <v>1.1000000000000001</v>
      </c>
      <c r="D5701" t="s">
        <v>7855</v>
      </c>
      <c r="E5701" t="s">
        <v>11</v>
      </c>
      <c r="G5701" t="s">
        <v>74</v>
      </c>
      <c r="H5701" t="s">
        <v>14</v>
      </c>
    </row>
    <row r="5702" spans="1:8" hidden="1" x14ac:dyDescent="0.25">
      <c r="A5702" t="s">
        <v>7870</v>
      </c>
      <c r="B5702" s="1" t="str">
        <f>HYPERLINK("https://asmlis.vasa.lt/Dashboard/Served?ServiceDateFrom=2025-11-24&amp;ServiceDateTo=2025-11-24&amp;DumpsterInvNr=13-L-315566", "13-L-315566")</f>
        <v>13-L-315566</v>
      </c>
      <c r="C5702">
        <v>1.1000000000000001</v>
      </c>
      <c r="D5702" t="s">
        <v>7871</v>
      </c>
      <c r="E5702" t="s">
        <v>11</v>
      </c>
      <c r="G5702" t="s">
        <v>9</v>
      </c>
      <c r="H5702" t="s">
        <v>14</v>
      </c>
    </row>
    <row r="5703" spans="1:8" hidden="1" x14ac:dyDescent="0.25">
      <c r="A5703" t="s">
        <v>7872</v>
      </c>
      <c r="B5703" s="1" t="str">
        <f>HYPERLINK("https://asmlis.vasa.lt/Dashboard/Served?ServiceDateFrom=2025-11-24&amp;ServiceDateTo=2025-11-24&amp;DumpsterInvNr=13-L-226337", "13-L-226337")</f>
        <v>13-L-226337</v>
      </c>
      <c r="C5703">
        <v>1.1000000000000001</v>
      </c>
      <c r="D5703" t="s">
        <v>5806</v>
      </c>
      <c r="E5703" t="s">
        <v>11</v>
      </c>
      <c r="G5703" t="s">
        <v>936</v>
      </c>
      <c r="H5703" t="s">
        <v>938</v>
      </c>
    </row>
    <row r="5704" spans="1:8" hidden="1" x14ac:dyDescent="0.25">
      <c r="A5704" t="s">
        <v>7872</v>
      </c>
      <c r="B5704" s="1" t="str">
        <f>HYPERLINK("https://asmlis.vasa.lt/Dashboard/Served?ServiceDateFrom=2025-11-24&amp;ServiceDateTo=2025-11-24&amp;DumpsterInvNr=13-P-413840", "13-P-413840")</f>
        <v>13-P-413840</v>
      </c>
      <c r="C5704">
        <v>3</v>
      </c>
      <c r="D5704" t="s">
        <v>846</v>
      </c>
      <c r="E5704" t="s">
        <v>11</v>
      </c>
      <c r="G5704" t="s">
        <v>264</v>
      </c>
      <c r="H5704" t="s">
        <v>14</v>
      </c>
    </row>
    <row r="5705" spans="1:8" hidden="1" x14ac:dyDescent="0.25">
      <c r="A5705" t="s">
        <v>7617</v>
      </c>
      <c r="B5705" s="1" t="str">
        <f>HYPERLINK("https://asmlis.vasa.lt/Dashboard/Served?ServiceDateFrom=2025-11-24&amp;ServiceDateTo=2025-11-24&amp;DumpsterInvNr=13-L-133158", "13-L-133158")</f>
        <v>13-L-133158</v>
      </c>
      <c r="C5705">
        <v>0.12</v>
      </c>
      <c r="D5705" t="s">
        <v>7873</v>
      </c>
      <c r="E5705" t="s">
        <v>11</v>
      </c>
      <c r="F5705" t="s">
        <v>1209</v>
      </c>
      <c r="G5705" t="s">
        <v>1912</v>
      </c>
      <c r="H5705" t="s">
        <v>432</v>
      </c>
    </row>
    <row r="5706" spans="1:8" hidden="1" x14ac:dyDescent="0.25">
      <c r="A5706" t="s">
        <v>7874</v>
      </c>
      <c r="B5706" s="1" t="str">
        <f>HYPERLINK("https://asmlis.vasa.lt/Dashboard/Served?ServiceDateFrom=2025-11-24&amp;ServiceDateTo=2025-11-24&amp;DumpsterInvNr=13-L-104803", "13-L-104803")</f>
        <v>13-L-104803</v>
      </c>
      <c r="C5706">
        <v>0.77</v>
      </c>
      <c r="D5706" t="s">
        <v>7687</v>
      </c>
      <c r="E5706" t="s">
        <v>11</v>
      </c>
      <c r="G5706" t="s">
        <v>430</v>
      </c>
      <c r="H5706" t="s">
        <v>432</v>
      </c>
    </row>
    <row r="5707" spans="1:8" hidden="1" x14ac:dyDescent="0.25">
      <c r="A5707" t="s">
        <v>7874</v>
      </c>
      <c r="B5707" s="1" t="str">
        <f>HYPERLINK("https://asmlis.vasa.lt/Dashboard/Served?ServiceDateFrom=2025-11-24&amp;ServiceDateTo=2025-11-24&amp;DumpsterInvNr=13-P-401112", "13-P-401112")</f>
        <v>13-P-401112</v>
      </c>
      <c r="C5707">
        <v>1.1000000000000001</v>
      </c>
      <c r="D5707" t="s">
        <v>348</v>
      </c>
      <c r="E5707" t="s">
        <v>11</v>
      </c>
      <c r="G5707" t="s">
        <v>264</v>
      </c>
      <c r="H5707" t="s">
        <v>14</v>
      </c>
    </row>
    <row r="5708" spans="1:8" hidden="1" x14ac:dyDescent="0.25">
      <c r="A5708" t="s">
        <v>7875</v>
      </c>
      <c r="B5708" s="1" t="str">
        <f>HYPERLINK("https://asmlis.vasa.lt/Dashboard/Served?ServiceDateFrom=2025-11-24&amp;ServiceDateTo=2025-11-24&amp;DumpsterInvNr=13-L-224690", "13-L-224690")</f>
        <v>13-L-224690</v>
      </c>
      <c r="C5708">
        <v>1.1000000000000001</v>
      </c>
      <c r="D5708" t="s">
        <v>7868</v>
      </c>
      <c r="E5708" t="s">
        <v>11</v>
      </c>
      <c r="G5708" t="s">
        <v>936</v>
      </c>
      <c r="H5708" t="s">
        <v>938</v>
      </c>
    </row>
    <row r="5709" spans="1:8" hidden="1" x14ac:dyDescent="0.25">
      <c r="A5709" t="s">
        <v>7668</v>
      </c>
      <c r="B5709" s="1" t="str">
        <f>HYPERLINK("https://asmlis.vasa.lt/Dashboard/Served?ServiceDateFrom=2025-11-24&amp;ServiceDateTo=2025-11-24&amp;DumpsterInvNr=13-L-146266", "13-L-146266")</f>
        <v>13-L-146266</v>
      </c>
      <c r="C5709">
        <v>0.24</v>
      </c>
      <c r="D5709" t="s">
        <v>7876</v>
      </c>
      <c r="E5709" t="s">
        <v>11</v>
      </c>
      <c r="G5709" t="s">
        <v>430</v>
      </c>
      <c r="H5709" t="s">
        <v>432</v>
      </c>
    </row>
    <row r="5710" spans="1:8" hidden="1" x14ac:dyDescent="0.25">
      <c r="A5710" t="s">
        <v>7693</v>
      </c>
      <c r="B5710" s="1" t="str">
        <f>HYPERLINK("https://asmlis.vasa.lt/Dashboard/Served?ServiceDateFrom=2025-11-24&amp;ServiceDateTo=2025-11-24&amp;DumpsterInvNr=13-S-203417", "13-S-203417")</f>
        <v>13-S-203417</v>
      </c>
      <c r="C5710">
        <v>0.12</v>
      </c>
      <c r="D5710" t="s">
        <v>7877</v>
      </c>
      <c r="E5710" t="s">
        <v>11</v>
      </c>
      <c r="F5710" t="s">
        <v>1209</v>
      </c>
      <c r="G5710" t="s">
        <v>234</v>
      </c>
      <c r="H5710" t="s">
        <v>14</v>
      </c>
    </row>
    <row r="5711" spans="1:8" hidden="1" x14ac:dyDescent="0.25">
      <c r="A5711" t="s">
        <v>7824</v>
      </c>
      <c r="B5711" s="1" t="str">
        <f>HYPERLINK("https://asmlis.vasa.lt/Dashboard/Served?ServiceDateFrom=2025-11-24&amp;ServiceDateTo=2025-11-24&amp;DumpsterInvNr=13-P-208668", "13-P-208668")</f>
        <v>13-P-208668</v>
      </c>
      <c r="C5711">
        <v>0.24</v>
      </c>
      <c r="D5711" t="s">
        <v>7878</v>
      </c>
      <c r="E5711" t="s">
        <v>11</v>
      </c>
      <c r="F5711" t="s">
        <v>1209</v>
      </c>
      <c r="G5711" t="s">
        <v>234</v>
      </c>
      <c r="H5711" t="s">
        <v>14</v>
      </c>
    </row>
    <row r="5712" spans="1:8" hidden="1" x14ac:dyDescent="0.25">
      <c r="A5712" t="s">
        <v>7879</v>
      </c>
      <c r="B5712" s="1" t="str">
        <f>HYPERLINK("https://asmlis.vasa.lt/Dashboard/Served?ServiceDateFrom=2025-11-24&amp;ServiceDateTo=2025-11-24&amp;DumpsterInvNr=13-P-101714", "13-P-101714")</f>
        <v>13-P-101714</v>
      </c>
      <c r="C5712">
        <v>1.1000000000000001</v>
      </c>
      <c r="D5712" t="s">
        <v>7880</v>
      </c>
      <c r="E5712" t="s">
        <v>11</v>
      </c>
      <c r="G5712" t="s">
        <v>1917</v>
      </c>
      <c r="H5712" t="s">
        <v>432</v>
      </c>
    </row>
    <row r="5713" spans="1:8" hidden="1" x14ac:dyDescent="0.25">
      <c r="A5713" t="s">
        <v>7882</v>
      </c>
      <c r="B5713" s="1" t="str">
        <f>HYPERLINK("https://asmlis.vasa.lt/Dashboard/Served?ServiceDateFrom=2025-11-24&amp;ServiceDateTo=2025-11-24&amp;DumpsterInvNr=13-P-207599", "13-P-207599")</f>
        <v>13-P-207599</v>
      </c>
      <c r="C5713">
        <v>0.24</v>
      </c>
      <c r="D5713" t="s">
        <v>6681</v>
      </c>
      <c r="E5713" t="s">
        <v>11</v>
      </c>
      <c r="F5713" t="s">
        <v>13</v>
      </c>
      <c r="G5713" t="s">
        <v>234</v>
      </c>
      <c r="H5713" t="s">
        <v>14</v>
      </c>
    </row>
    <row r="5714" spans="1:8" hidden="1" x14ac:dyDescent="0.25">
      <c r="A5714" t="s">
        <v>7883</v>
      </c>
      <c r="B5714" s="1" t="str">
        <f>HYPERLINK("https://asmlis.vasa.lt/Dashboard/Served?ServiceDateFrom=2025-11-24&amp;ServiceDateTo=2025-11-24&amp;DumpsterInvNr=13-L-318155", "13-L-318155")</f>
        <v>13-L-318155</v>
      </c>
      <c r="C5714">
        <v>0.24</v>
      </c>
      <c r="D5714" t="s">
        <v>7884</v>
      </c>
      <c r="E5714" t="s">
        <v>11</v>
      </c>
      <c r="G5714" t="s">
        <v>9</v>
      </c>
      <c r="H5714" t="s">
        <v>14</v>
      </c>
    </row>
    <row r="5715" spans="1:8" hidden="1" x14ac:dyDescent="0.25">
      <c r="A5715" t="s">
        <v>7883</v>
      </c>
      <c r="B5715" s="1" t="str">
        <f>HYPERLINK("https://asmlis.vasa.lt/Dashboard/Served?ServiceDateFrom=2025-11-24&amp;ServiceDateTo=2025-11-24&amp;DumpsterInvNr=13-L-318156", "13-L-318156")</f>
        <v>13-L-318156</v>
      </c>
      <c r="C5715">
        <v>0.24</v>
      </c>
      <c r="D5715" t="s">
        <v>7884</v>
      </c>
      <c r="E5715" t="s">
        <v>11</v>
      </c>
      <c r="G5715" t="s">
        <v>9</v>
      </c>
      <c r="H5715" t="s">
        <v>14</v>
      </c>
    </row>
    <row r="5716" spans="1:8" hidden="1" x14ac:dyDescent="0.25">
      <c r="A5716" t="s">
        <v>7885</v>
      </c>
      <c r="B5716" s="1" t="str">
        <f>HYPERLINK("https://asmlis.vasa.lt/Dashboard/Served?ServiceDateFrom=2025-11-24&amp;ServiceDateTo=2025-11-24&amp;DumpsterInvNr=13-L-212514", "13-L-212514")</f>
        <v>13-L-212514</v>
      </c>
      <c r="C5716">
        <v>0.12</v>
      </c>
      <c r="D5716" t="s">
        <v>6059</v>
      </c>
      <c r="E5716" t="s">
        <v>11</v>
      </c>
      <c r="G5716" t="s">
        <v>936</v>
      </c>
      <c r="H5716" t="s">
        <v>938</v>
      </c>
    </row>
    <row r="5717" spans="1:8" hidden="1" x14ac:dyDescent="0.25">
      <c r="A5717" t="s">
        <v>7885</v>
      </c>
      <c r="B5717" s="1" t="str">
        <f>HYPERLINK("https://asmlis.vasa.lt/Dashboard/Served?ServiceDateFrom=2025-11-24&amp;ServiceDateTo=2025-11-24&amp;DumpsterInvNr=13-L-225925", "13-L-225925")</f>
        <v>13-L-225925</v>
      </c>
      <c r="C5717">
        <v>1.1000000000000001</v>
      </c>
      <c r="D5717" t="s">
        <v>7868</v>
      </c>
      <c r="E5717" t="s">
        <v>11</v>
      </c>
      <c r="G5717" t="s">
        <v>936</v>
      </c>
      <c r="H5717" t="s">
        <v>938</v>
      </c>
    </row>
    <row r="5718" spans="1:8" hidden="1" x14ac:dyDescent="0.25">
      <c r="A5718" t="s">
        <v>7886</v>
      </c>
      <c r="B5718" s="1" t="str">
        <f>HYPERLINK("https://asmlis.vasa.lt/Dashboard/Served?ServiceDateFrom=2025-11-24&amp;ServiceDateTo=2025-11-24&amp;DumpsterInvNr=13-P-413838", "13-P-413838")</f>
        <v>13-P-413838</v>
      </c>
      <c r="C5718">
        <v>1.1000000000000001</v>
      </c>
      <c r="D5718" t="s">
        <v>348</v>
      </c>
      <c r="E5718" t="s">
        <v>11</v>
      </c>
      <c r="F5718" t="s">
        <v>13</v>
      </c>
      <c r="G5718" t="s">
        <v>264</v>
      </c>
      <c r="H5718" t="s">
        <v>14</v>
      </c>
    </row>
    <row r="5719" spans="1:8" hidden="1" x14ac:dyDescent="0.25">
      <c r="A5719" t="s">
        <v>7887</v>
      </c>
      <c r="B5719" s="1" t="str">
        <f>HYPERLINK("https://asmlis.vasa.lt/Dashboard/Served?ServiceDateFrom=2025-11-24&amp;ServiceDateTo=2025-11-24&amp;DumpsterInvNr=13-L-211086", "13-L-211086")</f>
        <v>13-L-211086</v>
      </c>
      <c r="C5719">
        <v>0.66</v>
      </c>
      <c r="D5719" t="s">
        <v>7192</v>
      </c>
      <c r="E5719" t="s">
        <v>11</v>
      </c>
      <c r="F5719" t="s">
        <v>13</v>
      </c>
      <c r="G5719" t="s">
        <v>936</v>
      </c>
      <c r="H5719" t="s">
        <v>938</v>
      </c>
    </row>
    <row r="5720" spans="1:8" hidden="1" x14ac:dyDescent="0.25">
      <c r="A5720" t="s">
        <v>7888</v>
      </c>
      <c r="B5720" s="1" t="str">
        <f>HYPERLINK("https://asmlis.vasa.lt/Dashboard/Served?ServiceDateFrom=2025-11-24&amp;ServiceDateTo=2025-11-24&amp;DumpsterInvNr=13-P-413918", "13-P-413918")</f>
        <v>13-P-413918</v>
      </c>
      <c r="C5720">
        <v>3</v>
      </c>
      <c r="D5720" t="s">
        <v>846</v>
      </c>
      <c r="E5720" t="s">
        <v>11</v>
      </c>
      <c r="G5720" t="s">
        <v>264</v>
      </c>
      <c r="H5720" t="s">
        <v>14</v>
      </c>
    </row>
    <row r="5721" spans="1:8" hidden="1" x14ac:dyDescent="0.25">
      <c r="A5721" t="s">
        <v>7889</v>
      </c>
      <c r="B5721" s="1" t="str">
        <f>HYPERLINK("https://asmlis.vasa.lt/Dashboard/Served?ServiceDateFrom=2025-11-24&amp;ServiceDateTo=2025-11-24&amp;DumpsterInvNr=13-L-104805", "13-L-104805")</f>
        <v>13-L-104805</v>
      </c>
      <c r="C5721">
        <v>0.77</v>
      </c>
      <c r="D5721" t="s">
        <v>7687</v>
      </c>
      <c r="E5721" t="s">
        <v>11</v>
      </c>
      <c r="G5721" t="s">
        <v>430</v>
      </c>
      <c r="H5721" t="s">
        <v>432</v>
      </c>
    </row>
    <row r="5722" spans="1:8" hidden="1" x14ac:dyDescent="0.25">
      <c r="A5722" t="s">
        <v>7890</v>
      </c>
      <c r="B5722" s="1" t="str">
        <f>HYPERLINK("https://asmlis.vasa.lt/Dashboard/Served?ServiceDateFrom=2025-11-24&amp;ServiceDateTo=2025-11-24&amp;DumpsterInvNr=13-L-227406", "13-L-227406")</f>
        <v>13-L-227406</v>
      </c>
      <c r="C5722">
        <v>1.1000000000000001</v>
      </c>
      <c r="D5722" t="s">
        <v>5806</v>
      </c>
      <c r="E5722" t="s">
        <v>11</v>
      </c>
      <c r="F5722" t="s">
        <v>13</v>
      </c>
      <c r="G5722" t="s">
        <v>936</v>
      </c>
      <c r="H5722" t="s">
        <v>938</v>
      </c>
    </row>
    <row r="5723" spans="1:8" hidden="1" x14ac:dyDescent="0.25">
      <c r="A5723" t="s">
        <v>7890</v>
      </c>
      <c r="B5723" s="1" t="str">
        <f>HYPERLINK("https://asmlis.vasa.lt/Dashboard/Served?ServiceDateFrom=2025-11-24&amp;ServiceDateTo=2025-11-24&amp;DumpsterInvNr=13-P-209784", "13-P-209784")</f>
        <v>13-P-209784</v>
      </c>
      <c r="C5723">
        <v>0.24</v>
      </c>
      <c r="D5723" t="s">
        <v>7877</v>
      </c>
      <c r="E5723" t="s">
        <v>11</v>
      </c>
      <c r="G5723" t="s">
        <v>234</v>
      </c>
      <c r="H5723" t="s">
        <v>14</v>
      </c>
    </row>
    <row r="5724" spans="1:8" hidden="1" x14ac:dyDescent="0.25">
      <c r="A5724" t="s">
        <v>7891</v>
      </c>
      <c r="B5724" s="1" t="str">
        <f>HYPERLINK("https://asmlis.vasa.lt/Dashboard/Served?ServiceDateFrom=2025-11-24&amp;ServiceDateTo=2025-11-24&amp;DumpsterInvNr=13-L-143416", "13-L-143416")</f>
        <v>13-L-143416</v>
      </c>
      <c r="C5724">
        <v>0.24</v>
      </c>
      <c r="D5724" t="s">
        <v>7892</v>
      </c>
      <c r="E5724" t="s">
        <v>11</v>
      </c>
      <c r="G5724" t="s">
        <v>430</v>
      </c>
      <c r="H5724" t="s">
        <v>432</v>
      </c>
    </row>
    <row r="5725" spans="1:8" hidden="1" x14ac:dyDescent="0.25">
      <c r="A5725" t="s">
        <v>7893</v>
      </c>
      <c r="B5725" s="1" t="str">
        <f>HYPERLINK("https://asmlis.vasa.lt/Dashboard/Served?ServiceDateFrom=2025-11-24&amp;ServiceDateTo=2025-11-24&amp;DumpsterInvNr=13-L-221719", "13-L-221719")</f>
        <v>13-L-221719</v>
      </c>
      <c r="C5725">
        <v>1.1000000000000001</v>
      </c>
      <c r="D5725" t="s">
        <v>5806</v>
      </c>
      <c r="E5725" t="s">
        <v>11</v>
      </c>
      <c r="F5725" t="s">
        <v>13</v>
      </c>
      <c r="G5725" t="s">
        <v>936</v>
      </c>
      <c r="H5725" t="s">
        <v>938</v>
      </c>
    </row>
    <row r="5726" spans="1:8" hidden="1" x14ac:dyDescent="0.25">
      <c r="A5726" t="s">
        <v>7894</v>
      </c>
      <c r="B5726" s="1" t="str">
        <f>HYPERLINK("https://asmlis.vasa.lt/Dashboard/Served?ServiceDateFrom=2025-11-24&amp;ServiceDateTo=2025-11-24&amp;DumpsterInvNr=13-P-102376", "13-P-102376")</f>
        <v>13-P-102376</v>
      </c>
      <c r="C5726">
        <v>5</v>
      </c>
      <c r="D5726" t="s">
        <v>2378</v>
      </c>
      <c r="E5726" t="s">
        <v>11</v>
      </c>
      <c r="F5726" t="s">
        <v>13</v>
      </c>
      <c r="G5726" t="s">
        <v>1917</v>
      </c>
      <c r="H5726" t="s">
        <v>432</v>
      </c>
    </row>
    <row r="5727" spans="1:8" hidden="1" x14ac:dyDescent="0.25">
      <c r="A5727" t="s">
        <v>7894</v>
      </c>
      <c r="B5727" s="1" t="str">
        <f>HYPERLINK("https://asmlis.vasa.lt/Dashboard/Served?ServiceDateFrom=2025-11-24&amp;ServiceDateTo=2025-11-24&amp;DumpsterInvNr=13-P-101122", "13-P-101122")</f>
        <v>13-P-101122</v>
      </c>
      <c r="C5727">
        <v>0.12</v>
      </c>
      <c r="D5727" t="s">
        <v>7895</v>
      </c>
      <c r="E5727" t="s">
        <v>11</v>
      </c>
      <c r="G5727" t="s">
        <v>1917</v>
      </c>
      <c r="H5727" t="s">
        <v>432</v>
      </c>
    </row>
    <row r="5728" spans="1:8" hidden="1" x14ac:dyDescent="0.25">
      <c r="A5728" t="s">
        <v>7896</v>
      </c>
      <c r="B5728" s="1" t="str">
        <f>HYPERLINK("https://asmlis.vasa.lt/Dashboard/Served?ServiceDateFrom=2025-11-24&amp;ServiceDateTo=2025-11-24&amp;DumpsterInvNr=13-L-147745", "13-L-147745")</f>
        <v>13-L-147745</v>
      </c>
      <c r="C5728">
        <v>1.1000000000000001</v>
      </c>
      <c r="D5728" t="s">
        <v>7897</v>
      </c>
      <c r="E5728" t="s">
        <v>11</v>
      </c>
      <c r="G5728" t="s">
        <v>1912</v>
      </c>
      <c r="H5728" t="s">
        <v>432</v>
      </c>
    </row>
    <row r="5729" spans="1:10" hidden="1" x14ac:dyDescent="0.25">
      <c r="A5729" t="s">
        <v>7898</v>
      </c>
      <c r="B5729" s="1" t="str">
        <f>HYPERLINK("https://asmlis.vasa.lt/Dashboard/Served?ServiceDateFrom=2025-11-24&amp;ServiceDateTo=2025-11-24&amp;DumpsterInvNr=13-L-123919", "13-L-123919")</f>
        <v>13-L-123919</v>
      </c>
      <c r="C5729">
        <v>0.12</v>
      </c>
      <c r="D5729" t="s">
        <v>7895</v>
      </c>
      <c r="E5729" t="s">
        <v>11</v>
      </c>
      <c r="G5729" t="s">
        <v>1912</v>
      </c>
      <c r="H5729" t="s">
        <v>432</v>
      </c>
    </row>
    <row r="5730" spans="1:10" hidden="1" x14ac:dyDescent="0.25">
      <c r="A5730" t="s">
        <v>7899</v>
      </c>
      <c r="B5730" s="1" t="str">
        <f>HYPERLINK("https://asmlis.vasa.lt/Dashboard/Served?ServiceDateFrom=2025-11-24&amp;ServiceDateTo=2025-11-24&amp;DumpsterInvNr=13-L-213903", "13-L-213903")</f>
        <v>13-L-213903</v>
      </c>
      <c r="C5730">
        <v>5</v>
      </c>
      <c r="D5730" t="s">
        <v>7900</v>
      </c>
      <c r="E5730" t="s">
        <v>11</v>
      </c>
      <c r="G5730" t="s">
        <v>936</v>
      </c>
      <c r="H5730" t="s">
        <v>938</v>
      </c>
    </row>
    <row r="5731" spans="1:10" hidden="1" x14ac:dyDescent="0.25">
      <c r="A5731" t="s">
        <v>7901</v>
      </c>
      <c r="B5731" s="1" t="str">
        <f>HYPERLINK("https://asmlis.vasa.lt/Dashboard/Served?ServiceDateFrom=2025-11-24&amp;ServiceDateTo=2025-11-24&amp;DumpsterInvNr=13-L-144916", "13-L-144916")</f>
        <v>13-L-144916</v>
      </c>
      <c r="C5731">
        <v>5</v>
      </c>
      <c r="D5731" t="s">
        <v>7902</v>
      </c>
      <c r="E5731" t="s">
        <v>11</v>
      </c>
      <c r="F5731" t="s">
        <v>13</v>
      </c>
      <c r="G5731" t="s">
        <v>430</v>
      </c>
      <c r="H5731" t="s">
        <v>432</v>
      </c>
    </row>
    <row r="5732" spans="1:10" hidden="1" x14ac:dyDescent="0.25">
      <c r="A5732" t="s">
        <v>7903</v>
      </c>
      <c r="B5732" s="1" t="str">
        <f>HYPERLINK("https://asmlis.vasa.lt/Dashboard/Served?ServiceDateFrom=2025-11-24&amp;ServiceDateTo=2025-11-24&amp;DumpsterInvNr=13-P-500631", "13-P-500631")</f>
        <v>13-P-500631</v>
      </c>
      <c r="C5732">
        <v>5</v>
      </c>
      <c r="D5732" t="s">
        <v>7904</v>
      </c>
      <c r="E5732" t="s">
        <v>11</v>
      </c>
      <c r="F5732" t="s">
        <v>13</v>
      </c>
      <c r="G5732" t="s">
        <v>2178</v>
      </c>
      <c r="H5732" t="s">
        <v>432</v>
      </c>
    </row>
    <row r="5733" spans="1:10" hidden="1" x14ac:dyDescent="0.25">
      <c r="A5733" t="s">
        <v>7905</v>
      </c>
      <c r="B5733" s="1" t="str">
        <f>HYPERLINK("https://asmlis.vasa.lt/Dashboard/Served?ServiceDateFrom=2025-11-24&amp;ServiceDateTo=2025-11-24&amp;DumpsterInvNr=13-L-223734", "13-L-223734")</f>
        <v>13-L-223734</v>
      </c>
      <c r="C5733">
        <v>1.1000000000000001</v>
      </c>
      <c r="D5733" t="s">
        <v>7192</v>
      </c>
      <c r="E5733" t="s">
        <v>11</v>
      </c>
      <c r="F5733" t="s">
        <v>1209</v>
      </c>
      <c r="G5733" t="s">
        <v>936</v>
      </c>
      <c r="H5733" t="s">
        <v>938</v>
      </c>
    </row>
    <row r="5734" spans="1:10" x14ac:dyDescent="0.25">
      <c r="A5734" t="s">
        <v>7907</v>
      </c>
      <c r="B5734" s="1" t="str">
        <f>HYPERLINK("https://asmlis.vasa.lt/Dashboard/Served?ServiceDateFrom=2025-11-24&amp;ServiceDateTo=2025-11-24&amp;DumpsterInvNr=13-L-422668", "13-L-422668")</f>
        <v>13-L-422668</v>
      </c>
      <c r="C5734">
        <v>0.24</v>
      </c>
      <c r="D5734" t="s">
        <v>7908</v>
      </c>
      <c r="E5734" t="s">
        <v>11</v>
      </c>
      <c r="F5734" t="s">
        <v>1215</v>
      </c>
      <c r="G5734" t="s">
        <v>74</v>
      </c>
      <c r="H5734" t="s">
        <v>14</v>
      </c>
      <c r="J5734" t="s">
        <v>17511</v>
      </c>
    </row>
    <row r="5735" spans="1:10" hidden="1" x14ac:dyDescent="0.25">
      <c r="A5735" t="s">
        <v>7909</v>
      </c>
      <c r="B5735" s="1" t="str">
        <f>HYPERLINK("https://asmlis.vasa.lt/Dashboard/Served?ServiceDateFrom=2025-11-24&amp;ServiceDateTo=2025-11-24&amp;DumpsterInvNr=13-L-318154", "13-L-318154")</f>
        <v>13-L-318154</v>
      </c>
      <c r="C5735">
        <v>0.24</v>
      </c>
      <c r="D5735" t="s">
        <v>7884</v>
      </c>
      <c r="E5735" t="s">
        <v>11</v>
      </c>
      <c r="G5735" t="s">
        <v>9</v>
      </c>
      <c r="H5735" t="s">
        <v>14</v>
      </c>
    </row>
    <row r="5736" spans="1:10" hidden="1" x14ac:dyDescent="0.25">
      <c r="A5736" t="s">
        <v>7910</v>
      </c>
      <c r="B5736" s="1" t="str">
        <f>HYPERLINK("https://asmlis.vasa.lt/Dashboard/Served?ServiceDateFrom=2025-11-24&amp;ServiceDateTo=2025-11-24&amp;DumpsterInvNr=13-L-147471", "13-L-147471")</f>
        <v>13-L-147471</v>
      </c>
      <c r="C5736">
        <v>5</v>
      </c>
      <c r="D5736" t="s">
        <v>7911</v>
      </c>
      <c r="E5736" t="s">
        <v>11</v>
      </c>
      <c r="F5736" t="s">
        <v>13</v>
      </c>
      <c r="G5736" t="s">
        <v>430</v>
      </c>
      <c r="H5736" t="s">
        <v>432</v>
      </c>
    </row>
    <row r="5737" spans="1:10" x14ac:dyDescent="0.25">
      <c r="A5737" t="s">
        <v>7912</v>
      </c>
      <c r="B5737" s="1" t="str">
        <f>HYPERLINK("https://asmlis.vasa.lt/Dashboard/Served?ServiceDateFrom=2025-11-24&amp;ServiceDateTo=2025-11-24&amp;DumpsterInvNr=13-L-401840", "13-L-401840")</f>
        <v>13-L-401840</v>
      </c>
      <c r="C5737">
        <v>0.12</v>
      </c>
      <c r="D5737" t="s">
        <v>7914</v>
      </c>
      <c r="E5737" t="s">
        <v>11</v>
      </c>
      <c r="F5737" t="s">
        <v>1215</v>
      </c>
      <c r="G5737" t="s">
        <v>74</v>
      </c>
      <c r="H5737" t="s">
        <v>14</v>
      </c>
      <c r="J5737" t="s">
        <v>17511</v>
      </c>
    </row>
    <row r="5738" spans="1:10" hidden="1" x14ac:dyDescent="0.25">
      <c r="A5738" t="s">
        <v>7916</v>
      </c>
      <c r="B5738" s="1" t="str">
        <f>HYPERLINK("https://asmlis.vasa.lt/Dashboard/Served?ServiceDateFrom=2025-11-24&amp;ServiceDateTo=2025-11-24&amp;DumpsterInvNr=13-S-206068", "13-S-206068")</f>
        <v>13-S-206068</v>
      </c>
      <c r="C5738">
        <v>0.12</v>
      </c>
      <c r="D5738" t="s">
        <v>7917</v>
      </c>
      <c r="E5738" t="s">
        <v>11</v>
      </c>
      <c r="G5738" t="s">
        <v>234</v>
      </c>
      <c r="H5738" t="s">
        <v>14</v>
      </c>
    </row>
    <row r="5739" spans="1:10" hidden="1" x14ac:dyDescent="0.25">
      <c r="A5739" t="s">
        <v>7915</v>
      </c>
      <c r="B5739" s="1" t="str">
        <f>HYPERLINK("https://asmlis.vasa.lt/Dashboard/Served?ServiceDateFrom=2025-11-24&amp;ServiceDateTo=2025-11-24&amp;DumpsterInvNr=13-L-105682", "13-L-105682")</f>
        <v>13-L-105682</v>
      </c>
      <c r="C5739">
        <v>1.1000000000000001</v>
      </c>
      <c r="D5739" t="s">
        <v>7897</v>
      </c>
      <c r="E5739" t="s">
        <v>11</v>
      </c>
      <c r="G5739" t="s">
        <v>1912</v>
      </c>
      <c r="H5739" t="s">
        <v>432</v>
      </c>
    </row>
    <row r="5740" spans="1:10" hidden="1" x14ac:dyDescent="0.25">
      <c r="A5740" t="s">
        <v>7915</v>
      </c>
      <c r="B5740" s="1" t="str">
        <f>HYPERLINK("https://asmlis.vasa.lt/Dashboard/Served?ServiceDateFrom=2025-11-24&amp;ServiceDateTo=2025-11-24&amp;DumpsterInvNr=13-L-104802", "13-L-104802")</f>
        <v>13-L-104802</v>
      </c>
      <c r="C5740">
        <v>0.77</v>
      </c>
      <c r="D5740" t="s">
        <v>7687</v>
      </c>
      <c r="E5740" t="s">
        <v>11</v>
      </c>
      <c r="G5740" t="s">
        <v>430</v>
      </c>
      <c r="H5740" t="s">
        <v>432</v>
      </c>
    </row>
    <row r="5741" spans="1:10" hidden="1" x14ac:dyDescent="0.25">
      <c r="A5741" t="s">
        <v>7918</v>
      </c>
      <c r="B5741" s="1" t="str">
        <f>HYPERLINK("https://asmlis.vasa.lt/Dashboard/Served?ServiceDateFrom=2025-11-24&amp;ServiceDateTo=2025-11-24&amp;DumpsterInvNr=13-L-219229", "13-L-219229")</f>
        <v>13-L-219229</v>
      </c>
      <c r="C5741">
        <v>0.24</v>
      </c>
      <c r="D5741" t="s">
        <v>6035</v>
      </c>
      <c r="E5741" t="s">
        <v>11</v>
      </c>
      <c r="G5741" t="s">
        <v>936</v>
      </c>
      <c r="H5741" t="s">
        <v>938</v>
      </c>
    </row>
    <row r="5742" spans="1:10" hidden="1" x14ac:dyDescent="0.25">
      <c r="A5742" t="s">
        <v>7919</v>
      </c>
      <c r="B5742" s="1" t="str">
        <f>HYPERLINK("https://asmlis.vasa.lt/Dashboard/Served?ServiceDateFrom=2025-11-24&amp;ServiceDateTo=2025-11-24&amp;DumpsterInvNr=13-L-134785", "13-L-134785")</f>
        <v>13-L-134785</v>
      </c>
      <c r="C5742">
        <v>5</v>
      </c>
      <c r="D5742" t="s">
        <v>7920</v>
      </c>
      <c r="E5742" t="s">
        <v>11</v>
      </c>
      <c r="F5742" t="s">
        <v>13</v>
      </c>
      <c r="G5742" t="s">
        <v>430</v>
      </c>
      <c r="H5742" t="s">
        <v>432</v>
      </c>
    </row>
    <row r="5743" spans="1:10" hidden="1" x14ac:dyDescent="0.25">
      <c r="A5743" t="s">
        <v>7921</v>
      </c>
      <c r="B5743" s="1" t="str">
        <f>HYPERLINK("https://asmlis.vasa.lt/Dashboard/Served?ServiceDateFrom=2025-11-24&amp;ServiceDateTo=2025-11-24&amp;DumpsterInvNr=13-P-205201", "13-P-205201")</f>
        <v>13-P-205201</v>
      </c>
      <c r="C5743">
        <v>0.24</v>
      </c>
      <c r="D5743" t="s">
        <v>7917</v>
      </c>
      <c r="E5743" t="s">
        <v>11</v>
      </c>
      <c r="G5743" t="s">
        <v>234</v>
      </c>
      <c r="H5743" t="s">
        <v>14</v>
      </c>
    </row>
    <row r="5744" spans="1:10" hidden="1" x14ac:dyDescent="0.25">
      <c r="A5744" t="s">
        <v>7922</v>
      </c>
      <c r="B5744" s="1" t="str">
        <f>HYPERLINK("https://asmlis.vasa.lt/Dashboard/Served?ServiceDateFrom=2025-11-24&amp;ServiceDateTo=2025-11-24&amp;DumpsterInvNr=13-P-101121", "13-P-101121")</f>
        <v>13-P-101121</v>
      </c>
      <c r="C5744">
        <v>0.24</v>
      </c>
      <c r="D5744" t="s">
        <v>7873</v>
      </c>
      <c r="E5744" t="s">
        <v>11</v>
      </c>
      <c r="G5744" t="s">
        <v>1917</v>
      </c>
      <c r="H5744" t="s">
        <v>432</v>
      </c>
    </row>
    <row r="5745" spans="1:10" hidden="1" x14ac:dyDescent="0.25">
      <c r="A5745" t="s">
        <v>7922</v>
      </c>
      <c r="B5745" s="1" t="str">
        <f>HYPERLINK("https://asmlis.vasa.lt/Dashboard/Served?ServiceDateFrom=2025-11-24&amp;ServiceDateTo=2025-11-24&amp;DumpsterInvNr=13-P-430716", "13-P-430716")</f>
        <v>13-P-430716</v>
      </c>
      <c r="C5745">
        <v>0.24</v>
      </c>
      <c r="D5745" t="s">
        <v>7923</v>
      </c>
      <c r="E5745" t="s">
        <v>11</v>
      </c>
      <c r="F5745" t="s">
        <v>13</v>
      </c>
      <c r="G5745" t="s">
        <v>264</v>
      </c>
      <c r="H5745" t="s">
        <v>14</v>
      </c>
    </row>
    <row r="5746" spans="1:10" x14ac:dyDescent="0.25">
      <c r="A5746" t="s">
        <v>7924</v>
      </c>
      <c r="B5746" s="1" t="str">
        <f>HYPERLINK("https://asmlis.vasa.lt/Dashboard/Served?ServiceDateFrom=2025-11-24&amp;ServiceDateTo=2025-11-24&amp;DumpsterInvNr=13-L-417343", "13-L-417343")</f>
        <v>13-L-417343</v>
      </c>
      <c r="C5746">
        <v>0.24</v>
      </c>
      <c r="D5746" t="s">
        <v>7925</v>
      </c>
      <c r="E5746" t="s">
        <v>11</v>
      </c>
      <c r="F5746" t="s">
        <v>1215</v>
      </c>
      <c r="G5746" t="s">
        <v>74</v>
      </c>
      <c r="H5746" t="s">
        <v>14</v>
      </c>
      <c r="J5746" t="s">
        <v>17511</v>
      </c>
    </row>
    <row r="5747" spans="1:10" hidden="1" x14ac:dyDescent="0.25">
      <c r="A5747" t="s">
        <v>7926</v>
      </c>
      <c r="B5747" s="1" t="str">
        <f>HYPERLINK("https://asmlis.vasa.lt/Dashboard/Served?ServiceDateFrom=2025-11-24&amp;ServiceDateTo=2025-11-24&amp;DumpsterInvNr=13-L-144331", "13-L-144331")</f>
        <v>13-L-144331</v>
      </c>
      <c r="C5747">
        <v>1.1000000000000001</v>
      </c>
      <c r="D5747" t="s">
        <v>7927</v>
      </c>
      <c r="E5747" t="s">
        <v>11</v>
      </c>
      <c r="G5747" t="s">
        <v>430</v>
      </c>
      <c r="H5747" t="s">
        <v>432</v>
      </c>
    </row>
    <row r="5748" spans="1:10" hidden="1" x14ac:dyDescent="0.25">
      <c r="A5748" t="s">
        <v>7928</v>
      </c>
      <c r="B5748" s="1" t="str">
        <f>HYPERLINK("https://asmlis.vasa.lt/Dashboard/Served?ServiceDateFrom=2025-11-24&amp;ServiceDateTo=2025-11-24&amp;DumpsterInvNr=13-L-209563", "13-L-209563")</f>
        <v>13-L-209563</v>
      </c>
      <c r="C5748">
        <v>0.12</v>
      </c>
      <c r="D5748" t="s">
        <v>7929</v>
      </c>
      <c r="E5748" t="s">
        <v>11</v>
      </c>
      <c r="F5748" t="s">
        <v>1209</v>
      </c>
      <c r="G5748" t="s">
        <v>936</v>
      </c>
      <c r="H5748" t="s">
        <v>938</v>
      </c>
    </row>
    <row r="5749" spans="1:10" hidden="1" x14ac:dyDescent="0.25">
      <c r="A5749" t="s">
        <v>7931</v>
      </c>
      <c r="B5749" s="1" t="str">
        <f>HYPERLINK("https://asmlis.vasa.lt/Dashboard/Served?ServiceDateFrom=2025-11-24&amp;ServiceDateTo=2025-11-24&amp;DumpsterInvNr=13-L-306720", "13-L-306720")</f>
        <v>13-L-306720</v>
      </c>
      <c r="C5749">
        <v>0.24</v>
      </c>
      <c r="D5749" t="s">
        <v>7932</v>
      </c>
      <c r="E5749" t="s">
        <v>11</v>
      </c>
      <c r="G5749" t="s">
        <v>9</v>
      </c>
      <c r="H5749" t="s">
        <v>14</v>
      </c>
    </row>
    <row r="5750" spans="1:10" hidden="1" x14ac:dyDescent="0.25">
      <c r="A5750" t="s">
        <v>7933</v>
      </c>
      <c r="B5750" s="1" t="str">
        <f>HYPERLINK("https://asmlis.vasa.lt/Dashboard/Served?ServiceDateFrom=2025-11-24&amp;ServiceDateTo=2025-11-24&amp;DumpsterInvNr=13-L-130730", "13-L-130730")</f>
        <v>13-L-130730</v>
      </c>
      <c r="C5750">
        <v>0.12</v>
      </c>
      <c r="D5750" t="s">
        <v>7934</v>
      </c>
      <c r="E5750" t="s">
        <v>11</v>
      </c>
      <c r="G5750" t="s">
        <v>1912</v>
      </c>
      <c r="H5750" t="s">
        <v>432</v>
      </c>
    </row>
    <row r="5751" spans="1:10" hidden="1" x14ac:dyDescent="0.25">
      <c r="A5751" t="s">
        <v>7933</v>
      </c>
      <c r="B5751" s="1" t="str">
        <f>HYPERLINK("https://asmlis.vasa.lt/Dashboard/Served?ServiceDateFrom=2025-11-24&amp;ServiceDateTo=2025-11-24&amp;DumpsterInvNr=13-L-225206", "13-L-225206")</f>
        <v>13-L-225206</v>
      </c>
      <c r="C5751">
        <v>1.1000000000000001</v>
      </c>
      <c r="D5751" t="s">
        <v>7935</v>
      </c>
      <c r="E5751" t="s">
        <v>11</v>
      </c>
      <c r="G5751" t="s">
        <v>936</v>
      </c>
      <c r="H5751" t="s">
        <v>938</v>
      </c>
    </row>
    <row r="5752" spans="1:10" x14ac:dyDescent="0.25">
      <c r="A5752" t="s">
        <v>7933</v>
      </c>
      <c r="B5752" s="1" t="str">
        <f>HYPERLINK("https://asmlis.vasa.lt/Dashboard/Served?ServiceDateFrom=2025-11-24&amp;ServiceDateTo=2025-11-24&amp;DumpsterInvNr=13-L-404661", "13-L-404661")</f>
        <v>13-L-404661</v>
      </c>
      <c r="C5752">
        <v>0.12</v>
      </c>
      <c r="D5752" t="s">
        <v>7936</v>
      </c>
      <c r="E5752" t="s">
        <v>11</v>
      </c>
      <c r="F5752" t="s">
        <v>1215</v>
      </c>
      <c r="G5752" t="s">
        <v>74</v>
      </c>
      <c r="H5752" t="s">
        <v>14</v>
      </c>
      <c r="J5752" t="s">
        <v>17511</v>
      </c>
    </row>
    <row r="5753" spans="1:10" hidden="1" x14ac:dyDescent="0.25">
      <c r="A5753" t="s">
        <v>7937</v>
      </c>
      <c r="B5753" s="1" t="str">
        <f>HYPERLINK("https://asmlis.vasa.lt/Dashboard/Served?ServiceDateFrom=2025-11-24&amp;ServiceDateTo=2025-11-24&amp;DumpsterInvNr=13-P-500535", "13-P-500535")</f>
        <v>13-P-500535</v>
      </c>
      <c r="C5753">
        <v>5</v>
      </c>
      <c r="D5753" t="s">
        <v>7938</v>
      </c>
      <c r="E5753" t="s">
        <v>11</v>
      </c>
      <c r="F5753" t="s">
        <v>13</v>
      </c>
      <c r="G5753" t="s">
        <v>2178</v>
      </c>
      <c r="H5753" t="s">
        <v>432</v>
      </c>
    </row>
    <row r="5754" spans="1:10" hidden="1" x14ac:dyDescent="0.25">
      <c r="A5754" t="s">
        <v>7939</v>
      </c>
      <c r="B5754" s="1" t="str">
        <f>HYPERLINK("https://asmlis.vasa.lt/Dashboard/Served?ServiceDateFrom=2025-11-24&amp;ServiceDateTo=2025-11-24&amp;DumpsterInvNr=13-L-143682", "13-L-143682")</f>
        <v>13-L-143682</v>
      </c>
      <c r="C5754">
        <v>1.1000000000000001</v>
      </c>
      <c r="D5754" t="s">
        <v>7927</v>
      </c>
      <c r="E5754" t="s">
        <v>11</v>
      </c>
      <c r="G5754" t="s">
        <v>430</v>
      </c>
      <c r="H5754" t="s">
        <v>432</v>
      </c>
    </row>
    <row r="5755" spans="1:10" hidden="1" x14ac:dyDescent="0.25">
      <c r="A5755" t="s">
        <v>7940</v>
      </c>
      <c r="B5755" s="1" t="str">
        <f>HYPERLINK("https://asmlis.vasa.lt/Dashboard/Served?ServiceDateFrom=2025-11-24&amp;ServiceDateTo=2025-11-24&amp;DumpsterInvNr=13-S-207848", "13-S-207848")</f>
        <v>13-S-207848</v>
      </c>
      <c r="C5755">
        <v>3</v>
      </c>
      <c r="D5755" t="s">
        <v>7941</v>
      </c>
      <c r="E5755" t="s">
        <v>11</v>
      </c>
      <c r="G5755" t="s">
        <v>234</v>
      </c>
      <c r="H5755" t="s">
        <v>14</v>
      </c>
    </row>
    <row r="5756" spans="1:10" hidden="1" x14ac:dyDescent="0.25">
      <c r="A5756" t="s">
        <v>7942</v>
      </c>
      <c r="B5756" s="1" t="str">
        <f>HYPERLINK("https://asmlis.vasa.lt/Dashboard/Served?ServiceDateFrom=2025-11-24&amp;ServiceDateTo=2025-11-24&amp;DumpsterInvNr=13-P-401074", "13-P-401074")</f>
        <v>13-P-401074</v>
      </c>
      <c r="C5756">
        <v>1.1000000000000001</v>
      </c>
      <c r="D5756" t="s">
        <v>348</v>
      </c>
      <c r="E5756" t="s">
        <v>11</v>
      </c>
      <c r="G5756" t="s">
        <v>264</v>
      </c>
      <c r="H5756" t="s">
        <v>14</v>
      </c>
    </row>
    <row r="5757" spans="1:10" x14ac:dyDescent="0.25">
      <c r="A5757" t="s">
        <v>7943</v>
      </c>
      <c r="B5757" s="1" t="str">
        <f>HYPERLINK("https://asmlis.vasa.lt/Dashboard/Served?ServiceDateFrom=2025-11-24&amp;ServiceDateTo=2025-11-24&amp;DumpsterInvNr=13-L-407218", "13-L-407218")</f>
        <v>13-L-407218</v>
      </c>
      <c r="C5757">
        <v>0.12</v>
      </c>
      <c r="D5757" t="s">
        <v>7944</v>
      </c>
      <c r="E5757" t="s">
        <v>11</v>
      </c>
      <c r="F5757" t="s">
        <v>1215</v>
      </c>
      <c r="G5757" t="s">
        <v>74</v>
      </c>
      <c r="H5757" t="s">
        <v>14</v>
      </c>
      <c r="J5757" t="s">
        <v>17511</v>
      </c>
    </row>
    <row r="5758" spans="1:10" hidden="1" x14ac:dyDescent="0.25">
      <c r="A5758" t="s">
        <v>7945</v>
      </c>
      <c r="B5758" s="1" t="str">
        <f>HYPERLINK("https://asmlis.vasa.lt/Dashboard/Served?ServiceDateFrom=2025-11-24&amp;ServiceDateTo=2025-11-24&amp;DumpsterInvNr=13-P-209785", "13-P-209785")</f>
        <v>13-P-209785</v>
      </c>
      <c r="C5758">
        <v>0.24</v>
      </c>
      <c r="D5758" t="s">
        <v>7946</v>
      </c>
      <c r="E5758" t="s">
        <v>11</v>
      </c>
      <c r="G5758" t="s">
        <v>234</v>
      </c>
      <c r="H5758" t="s">
        <v>14</v>
      </c>
    </row>
    <row r="5759" spans="1:10" hidden="1" x14ac:dyDescent="0.25">
      <c r="A5759" t="s">
        <v>7947</v>
      </c>
      <c r="B5759" s="1" t="str">
        <f>HYPERLINK("https://asmlis.vasa.lt/Dashboard/Served?ServiceDateFrom=2025-11-24&amp;ServiceDateTo=2025-11-24&amp;DumpsterInvNr=13-P-302693", "13-P-302693")</f>
        <v>13-P-302693</v>
      </c>
      <c r="C5759">
        <v>1.3</v>
      </c>
      <c r="D5759" t="s">
        <v>7948</v>
      </c>
      <c r="E5759" t="s">
        <v>11</v>
      </c>
      <c r="G5759" t="s">
        <v>412</v>
      </c>
      <c r="H5759" t="s">
        <v>14</v>
      </c>
    </row>
    <row r="5760" spans="1:10" hidden="1" x14ac:dyDescent="0.25">
      <c r="A5760" t="s">
        <v>7949</v>
      </c>
      <c r="B5760" s="1" t="str">
        <f>HYPERLINK("https://asmlis.vasa.lt/Dashboard/Served?ServiceDateFrom=2025-11-24&amp;ServiceDateTo=2025-11-24&amp;DumpsterInvNr=13-L-143681", "13-L-143681")</f>
        <v>13-L-143681</v>
      </c>
      <c r="C5760">
        <v>1.1000000000000001</v>
      </c>
      <c r="D5760" t="s">
        <v>7927</v>
      </c>
      <c r="E5760" t="s">
        <v>11</v>
      </c>
      <c r="G5760" t="s">
        <v>430</v>
      </c>
      <c r="H5760" t="s">
        <v>432</v>
      </c>
    </row>
    <row r="5761" spans="1:10" x14ac:dyDescent="0.25">
      <c r="A5761" t="s">
        <v>7951</v>
      </c>
      <c r="B5761" s="1" t="str">
        <f>HYPERLINK("https://asmlis.vasa.lt/Dashboard/Served?ServiceDateFrom=2025-11-24&amp;ServiceDateTo=2025-11-24&amp;DumpsterInvNr=13-L-408858", "13-L-408858")</f>
        <v>13-L-408858</v>
      </c>
      <c r="C5761">
        <v>0.12</v>
      </c>
      <c r="D5761" t="s">
        <v>7952</v>
      </c>
      <c r="E5761" t="s">
        <v>11</v>
      </c>
      <c r="F5761" t="s">
        <v>1215</v>
      </c>
      <c r="G5761" t="s">
        <v>74</v>
      </c>
      <c r="H5761" t="s">
        <v>14</v>
      </c>
      <c r="J5761" t="s">
        <v>17511</v>
      </c>
    </row>
    <row r="5762" spans="1:10" hidden="1" x14ac:dyDescent="0.25">
      <c r="A5762" t="s">
        <v>7953</v>
      </c>
      <c r="B5762" s="1" t="str">
        <f>HYPERLINK("https://asmlis.vasa.lt/Dashboard/Served?ServiceDateFrom=2025-11-24&amp;ServiceDateTo=2025-11-24&amp;DumpsterInvNr=13-P-301182", "13-P-301182")</f>
        <v>13-P-301182</v>
      </c>
      <c r="C5762">
        <v>0.66</v>
      </c>
      <c r="D5762" t="s">
        <v>7954</v>
      </c>
      <c r="E5762" t="s">
        <v>11</v>
      </c>
      <c r="G5762" t="s">
        <v>412</v>
      </c>
      <c r="H5762" t="s">
        <v>14</v>
      </c>
    </row>
    <row r="5763" spans="1:10" hidden="1" x14ac:dyDescent="0.25">
      <c r="A5763" t="s">
        <v>7955</v>
      </c>
      <c r="B5763" s="1" t="str">
        <f>HYPERLINK("https://asmlis.vasa.lt/Dashboard/Served?ServiceDateFrom=2025-11-24&amp;ServiceDateTo=2025-11-24&amp;DumpsterInvNr=13-L-425675", "13-L-425675")</f>
        <v>13-L-425675</v>
      </c>
      <c r="C5763">
        <v>5</v>
      </c>
      <c r="D5763" t="s">
        <v>7956</v>
      </c>
      <c r="E5763" t="s">
        <v>11</v>
      </c>
      <c r="G5763" t="s">
        <v>74</v>
      </c>
      <c r="H5763" t="s">
        <v>14</v>
      </c>
    </row>
    <row r="5764" spans="1:10" hidden="1" x14ac:dyDescent="0.25">
      <c r="A5764" t="s">
        <v>7957</v>
      </c>
      <c r="B5764" s="1" t="str">
        <f>HYPERLINK("https://asmlis.vasa.lt/Dashboard/Served?ServiceDateFrom=2025-11-24&amp;ServiceDateTo=2025-11-24&amp;DumpsterInvNr=13-P-416347", "13-P-416347")</f>
        <v>13-P-416347</v>
      </c>
      <c r="C5764">
        <v>2.5</v>
      </c>
      <c r="D5764" t="s">
        <v>7958</v>
      </c>
      <c r="E5764" t="s">
        <v>11</v>
      </c>
      <c r="G5764" t="s">
        <v>264</v>
      </c>
      <c r="H5764" t="s">
        <v>14</v>
      </c>
    </row>
    <row r="5765" spans="1:10" hidden="1" x14ac:dyDescent="0.25">
      <c r="A5765" t="s">
        <v>7959</v>
      </c>
      <c r="B5765" s="1" t="str">
        <f>HYPERLINK("https://asmlis.vasa.lt/Dashboard/Served?ServiceDateFrom=2025-11-24&amp;ServiceDateTo=2025-11-24&amp;DumpsterInvNr=13-L-114470", "13-L-114470")</f>
        <v>13-L-114470</v>
      </c>
      <c r="C5765">
        <v>0.24</v>
      </c>
      <c r="D5765" t="s">
        <v>7960</v>
      </c>
      <c r="E5765" t="s">
        <v>11</v>
      </c>
      <c r="G5765" t="s">
        <v>1912</v>
      </c>
      <c r="H5765" t="s">
        <v>432</v>
      </c>
    </row>
    <row r="5766" spans="1:10" hidden="1" x14ac:dyDescent="0.25">
      <c r="A5766" t="s">
        <v>7959</v>
      </c>
      <c r="B5766" s="1" t="str">
        <f>HYPERLINK("https://asmlis.vasa.lt/Dashboard/Served?ServiceDateFrom=2025-11-24&amp;ServiceDateTo=2025-11-24&amp;DumpsterInvNr=13-P-112071", "13-P-112071")</f>
        <v>13-P-112071</v>
      </c>
      <c r="C5766">
        <v>0.24</v>
      </c>
      <c r="D5766" t="s">
        <v>7960</v>
      </c>
      <c r="E5766" t="s">
        <v>11</v>
      </c>
      <c r="G5766" t="s">
        <v>1917</v>
      </c>
      <c r="H5766" t="s">
        <v>432</v>
      </c>
    </row>
    <row r="5767" spans="1:10" hidden="1" x14ac:dyDescent="0.25">
      <c r="A5767" t="s">
        <v>7961</v>
      </c>
      <c r="B5767" s="1" t="str">
        <f>HYPERLINK("https://asmlis.vasa.lt/Dashboard/Served?ServiceDateFrom=2025-11-24&amp;ServiceDateTo=2025-11-24&amp;DumpsterInvNr=13-L-225526", "13-L-225526")</f>
        <v>13-L-225526</v>
      </c>
      <c r="C5767">
        <v>1.1000000000000001</v>
      </c>
      <c r="D5767" t="s">
        <v>7935</v>
      </c>
      <c r="E5767" t="s">
        <v>11</v>
      </c>
      <c r="G5767" t="s">
        <v>936</v>
      </c>
      <c r="H5767" t="s">
        <v>938</v>
      </c>
    </row>
    <row r="5768" spans="1:10" hidden="1" x14ac:dyDescent="0.25">
      <c r="A5768" t="s">
        <v>7961</v>
      </c>
      <c r="B5768" s="1" t="str">
        <f>HYPERLINK("https://asmlis.vasa.lt/Dashboard/Served?ServiceDateFrom=2025-11-24&amp;ServiceDateTo=2025-11-24&amp;DumpsterInvNr=13-L-218236", "13-L-218236")</f>
        <v>13-L-218236</v>
      </c>
      <c r="C5768">
        <v>0.24</v>
      </c>
      <c r="D5768" t="s">
        <v>5984</v>
      </c>
      <c r="E5768" t="s">
        <v>11</v>
      </c>
      <c r="G5768" t="s">
        <v>936</v>
      </c>
      <c r="H5768" t="s">
        <v>938</v>
      </c>
    </row>
    <row r="5769" spans="1:10" hidden="1" x14ac:dyDescent="0.25">
      <c r="A5769" t="s">
        <v>7962</v>
      </c>
      <c r="B5769" s="1" t="str">
        <f>HYPERLINK("https://asmlis.vasa.lt/Dashboard/Served?ServiceDateFrom=2025-11-24&amp;ServiceDateTo=2025-11-24&amp;DumpsterInvNr=13-T-000305", "13-T-000305")</f>
        <v>13-T-000305</v>
      </c>
      <c r="C5769">
        <v>2.5</v>
      </c>
      <c r="D5769" t="s">
        <v>7963</v>
      </c>
      <c r="E5769" t="s">
        <v>11</v>
      </c>
      <c r="F5769" t="s">
        <v>13</v>
      </c>
      <c r="G5769" t="s">
        <v>1899</v>
      </c>
      <c r="H5769" t="s">
        <v>432</v>
      </c>
    </row>
    <row r="5770" spans="1:10" hidden="1" x14ac:dyDescent="0.25">
      <c r="A5770" t="s">
        <v>7964</v>
      </c>
      <c r="B5770" s="1" t="str">
        <f>HYPERLINK("https://asmlis.vasa.lt/Dashboard/Served?ServiceDateFrom=2025-11-24&amp;ServiceDateTo=2025-11-24&amp;DumpsterInvNr=13-L-426805", "13-L-426805")</f>
        <v>13-L-426805</v>
      </c>
      <c r="C5770">
        <v>1.1000000000000001</v>
      </c>
      <c r="D5770" t="s">
        <v>7965</v>
      </c>
      <c r="E5770" t="s">
        <v>11</v>
      </c>
      <c r="G5770" t="s">
        <v>74</v>
      </c>
      <c r="H5770" t="s">
        <v>14</v>
      </c>
    </row>
    <row r="5771" spans="1:10" hidden="1" x14ac:dyDescent="0.25">
      <c r="A5771" t="s">
        <v>7966</v>
      </c>
      <c r="B5771" s="1" t="str">
        <f>HYPERLINK("https://asmlis.vasa.lt/Dashboard/Served?ServiceDateFrom=2025-11-24&amp;ServiceDateTo=2025-11-24&amp;DumpsterInvNr=13-P-412331", "13-P-412331")</f>
        <v>13-P-412331</v>
      </c>
      <c r="C5771">
        <v>1.1000000000000001</v>
      </c>
      <c r="D5771" t="s">
        <v>348</v>
      </c>
      <c r="E5771" t="s">
        <v>11</v>
      </c>
      <c r="G5771" t="s">
        <v>264</v>
      </c>
      <c r="H5771" t="s">
        <v>14</v>
      </c>
    </row>
    <row r="5772" spans="1:10" x14ac:dyDescent="0.25">
      <c r="A5772" t="s">
        <v>7967</v>
      </c>
      <c r="B5772" s="1" t="str">
        <f>HYPERLINK("https://asmlis.vasa.lt/Dashboard/Served?ServiceDateFrom=2025-11-24&amp;ServiceDateTo=2025-11-24&amp;DumpsterInvNr=13-L-423720", "13-L-423720")</f>
        <v>13-L-423720</v>
      </c>
      <c r="C5772">
        <v>0.12</v>
      </c>
      <c r="D5772" t="s">
        <v>7969</v>
      </c>
      <c r="E5772" t="s">
        <v>11</v>
      </c>
      <c r="F5772" t="s">
        <v>1215</v>
      </c>
      <c r="G5772" t="s">
        <v>74</v>
      </c>
      <c r="H5772" t="s">
        <v>14</v>
      </c>
      <c r="J5772" t="s">
        <v>17511</v>
      </c>
    </row>
    <row r="5773" spans="1:10" hidden="1" x14ac:dyDescent="0.25">
      <c r="A5773" t="s">
        <v>7970</v>
      </c>
      <c r="B5773" s="1" t="str">
        <f>HYPERLINK("https://asmlis.vasa.lt/Dashboard/Served?ServiceDateFrom=2025-11-24&amp;ServiceDateTo=2025-11-24&amp;DumpsterInvNr=13-L-222369", "13-L-222369")</f>
        <v>13-L-222369</v>
      </c>
      <c r="C5773">
        <v>1.1000000000000001</v>
      </c>
      <c r="D5773" t="s">
        <v>1525</v>
      </c>
      <c r="E5773" t="s">
        <v>11</v>
      </c>
      <c r="G5773" t="s">
        <v>936</v>
      </c>
      <c r="H5773" t="s">
        <v>938</v>
      </c>
    </row>
    <row r="5774" spans="1:10" hidden="1" x14ac:dyDescent="0.25">
      <c r="A5774" t="s">
        <v>7971</v>
      </c>
      <c r="B5774" s="1" t="str">
        <f>HYPERLINK("https://asmlis.vasa.lt/Dashboard/Served?ServiceDateFrom=2025-11-24&amp;ServiceDateTo=2025-11-24&amp;DumpsterInvNr=13-L-214922", "13-L-214922")</f>
        <v>13-L-214922</v>
      </c>
      <c r="C5774">
        <v>0.12</v>
      </c>
      <c r="D5774" t="s">
        <v>5980</v>
      </c>
      <c r="E5774" t="s">
        <v>11</v>
      </c>
      <c r="G5774" t="s">
        <v>936</v>
      </c>
      <c r="H5774" t="s">
        <v>938</v>
      </c>
    </row>
    <row r="5775" spans="1:10" hidden="1" x14ac:dyDescent="0.25">
      <c r="A5775" t="s">
        <v>7971</v>
      </c>
      <c r="B5775" s="1" t="str">
        <f>HYPERLINK("https://asmlis.vasa.lt/Dashboard/Served?ServiceDateFrom=2025-11-24&amp;ServiceDateTo=2025-11-24&amp;DumpsterInvNr=13-P-400574", "13-P-400574")</f>
        <v>13-P-400574</v>
      </c>
      <c r="C5775">
        <v>5</v>
      </c>
      <c r="D5775" t="s">
        <v>1033</v>
      </c>
      <c r="E5775" t="s">
        <v>11</v>
      </c>
      <c r="F5775" t="s">
        <v>13</v>
      </c>
      <c r="G5775" t="s">
        <v>264</v>
      </c>
      <c r="H5775" t="s">
        <v>14</v>
      </c>
    </row>
    <row r="5776" spans="1:10" hidden="1" x14ac:dyDescent="0.25">
      <c r="A5776" t="s">
        <v>7972</v>
      </c>
      <c r="B5776" s="1" t="str">
        <f>HYPERLINK("https://asmlis.vasa.lt/Dashboard/Served?ServiceDateFrom=2025-11-24&amp;ServiceDateTo=2025-11-24&amp;DumpsterInvNr=13-P-404418", "13-P-404418")</f>
        <v>13-P-404418</v>
      </c>
      <c r="C5776">
        <v>0.24</v>
      </c>
      <c r="D5776" t="s">
        <v>7973</v>
      </c>
      <c r="E5776" t="s">
        <v>11</v>
      </c>
      <c r="G5776" t="s">
        <v>264</v>
      </c>
      <c r="H5776" t="s">
        <v>14</v>
      </c>
    </row>
    <row r="5777" spans="1:10" hidden="1" x14ac:dyDescent="0.25">
      <c r="A5777" t="s">
        <v>7974</v>
      </c>
      <c r="B5777" s="1" t="str">
        <f>HYPERLINK("https://asmlis.vasa.lt/Dashboard/Served?ServiceDateFrom=2025-11-24&amp;ServiceDateTo=2025-11-24&amp;DumpsterInvNr=13-S-206060", "13-S-206060")</f>
        <v>13-S-206060</v>
      </c>
      <c r="C5777">
        <v>0.12</v>
      </c>
      <c r="D5777" t="s">
        <v>7975</v>
      </c>
      <c r="E5777" t="s">
        <v>11</v>
      </c>
      <c r="G5777" t="s">
        <v>234</v>
      </c>
      <c r="H5777" t="s">
        <v>14</v>
      </c>
    </row>
    <row r="5778" spans="1:10" hidden="1" x14ac:dyDescent="0.25">
      <c r="A5778" t="s">
        <v>7976</v>
      </c>
      <c r="B5778" s="1" t="str">
        <f>HYPERLINK("https://asmlis.vasa.lt/Dashboard/Served?ServiceDateFrom=2025-11-24&amp;ServiceDateTo=2025-11-24&amp;DumpsterInvNr=13-L-421505", "13-L-421505")</f>
        <v>13-L-421505</v>
      </c>
      <c r="C5778">
        <v>0.77</v>
      </c>
      <c r="D5778" t="s">
        <v>7977</v>
      </c>
      <c r="E5778" t="s">
        <v>11</v>
      </c>
      <c r="G5778" t="s">
        <v>74</v>
      </c>
      <c r="H5778" t="s">
        <v>14</v>
      </c>
    </row>
    <row r="5779" spans="1:10" hidden="1" x14ac:dyDescent="0.25">
      <c r="A5779" t="s">
        <v>7978</v>
      </c>
      <c r="B5779" s="1" t="str">
        <f>HYPERLINK("https://asmlis.vasa.lt/Dashboard/Served?ServiceDateFrom=2025-11-24&amp;ServiceDateTo=2025-11-24&amp;DumpsterInvNr=13-T-000306", "13-T-000306")</f>
        <v>13-T-000306</v>
      </c>
      <c r="C5779">
        <v>2.5</v>
      </c>
      <c r="D5779" t="s">
        <v>7963</v>
      </c>
      <c r="E5779" t="s">
        <v>11</v>
      </c>
      <c r="F5779" t="s">
        <v>13</v>
      </c>
      <c r="G5779" t="s">
        <v>1899</v>
      </c>
      <c r="H5779" t="s">
        <v>432</v>
      </c>
    </row>
    <row r="5780" spans="1:10" x14ac:dyDescent="0.25">
      <c r="A5780" t="s">
        <v>7979</v>
      </c>
      <c r="B5780" s="1" t="str">
        <f>HYPERLINK("https://asmlis.vasa.lt/Dashboard/Served?ServiceDateFrom=2025-11-24&amp;ServiceDateTo=2025-11-24&amp;DumpsterInvNr=13-L-416823", "13-L-416823")</f>
        <v>13-L-416823</v>
      </c>
      <c r="C5780">
        <v>0.24</v>
      </c>
      <c r="D5780" t="s">
        <v>7980</v>
      </c>
      <c r="E5780" t="s">
        <v>11</v>
      </c>
      <c r="F5780" t="s">
        <v>1215</v>
      </c>
      <c r="G5780" t="s">
        <v>74</v>
      </c>
      <c r="H5780" t="s">
        <v>14</v>
      </c>
      <c r="J5780" t="s">
        <v>17511</v>
      </c>
    </row>
    <row r="5781" spans="1:10" hidden="1" x14ac:dyDescent="0.25">
      <c r="A5781" t="s">
        <v>7981</v>
      </c>
      <c r="B5781" s="1" t="str">
        <f>HYPERLINK("https://asmlis.vasa.lt/Dashboard/Served?ServiceDateFrom=2025-11-24&amp;ServiceDateTo=2025-11-24&amp;DumpsterInvNr=13-L-218237", "13-L-218237")</f>
        <v>13-L-218237</v>
      </c>
      <c r="C5781">
        <v>0.12</v>
      </c>
      <c r="D5781" t="s">
        <v>5986</v>
      </c>
      <c r="E5781" t="s">
        <v>11</v>
      </c>
      <c r="F5781" t="s">
        <v>1209</v>
      </c>
      <c r="G5781" t="s">
        <v>936</v>
      </c>
      <c r="H5781" t="s">
        <v>938</v>
      </c>
    </row>
    <row r="5782" spans="1:10" hidden="1" x14ac:dyDescent="0.25">
      <c r="A5782" t="s">
        <v>7982</v>
      </c>
      <c r="B5782" s="1" t="str">
        <f>HYPERLINK("https://asmlis.vasa.lt/Dashboard/Served?ServiceDateFrom=2025-11-24&amp;ServiceDateTo=2025-11-24&amp;DumpsterInvNr=13-L-225529", "13-L-225529")</f>
        <v>13-L-225529</v>
      </c>
      <c r="C5782">
        <v>1.1000000000000001</v>
      </c>
      <c r="D5782" t="s">
        <v>7935</v>
      </c>
      <c r="E5782" t="s">
        <v>11</v>
      </c>
      <c r="G5782" t="s">
        <v>936</v>
      </c>
      <c r="H5782" t="s">
        <v>938</v>
      </c>
    </row>
    <row r="5783" spans="1:10" hidden="1" x14ac:dyDescent="0.25">
      <c r="A5783" t="s">
        <v>7983</v>
      </c>
      <c r="B5783" s="1" t="str">
        <f>HYPERLINK("https://asmlis.vasa.lt/Dashboard/Served?ServiceDateFrom=2025-11-24&amp;ServiceDateTo=2025-11-24&amp;DumpsterInvNr=13-L-220650", "13-L-220650")</f>
        <v>13-L-220650</v>
      </c>
      <c r="C5783">
        <v>0.24</v>
      </c>
      <c r="D5783" t="s">
        <v>1525</v>
      </c>
      <c r="E5783" t="s">
        <v>11</v>
      </c>
      <c r="G5783" t="s">
        <v>936</v>
      </c>
      <c r="H5783" t="s">
        <v>938</v>
      </c>
    </row>
    <row r="5784" spans="1:10" hidden="1" x14ac:dyDescent="0.25">
      <c r="A5784" t="s">
        <v>7983</v>
      </c>
      <c r="B5784" s="1" t="str">
        <f>HYPERLINK("https://asmlis.vasa.lt/Dashboard/Served?ServiceDateFrom=2025-11-24&amp;ServiceDateTo=2025-11-24&amp;DumpsterInvNr=13-P-401032", "13-P-401032")</f>
        <v>13-P-401032</v>
      </c>
      <c r="C5784">
        <v>1.1000000000000001</v>
      </c>
      <c r="D5784" t="s">
        <v>348</v>
      </c>
      <c r="E5784" t="s">
        <v>11</v>
      </c>
      <c r="G5784" t="s">
        <v>264</v>
      </c>
      <c r="H5784" t="s">
        <v>14</v>
      </c>
    </row>
    <row r="5785" spans="1:10" hidden="1" x14ac:dyDescent="0.25">
      <c r="A5785" t="s">
        <v>7984</v>
      </c>
      <c r="B5785" s="1" t="str">
        <f>HYPERLINK("https://asmlis.vasa.lt/Dashboard/Served?ServiceDateFrom=2025-11-24&amp;ServiceDateTo=2025-11-24&amp;DumpsterInvNr=13-L-404793", "13-L-404793")</f>
        <v>13-L-404793</v>
      </c>
      <c r="C5785">
        <v>1.1000000000000001</v>
      </c>
      <c r="D5785" t="s">
        <v>7965</v>
      </c>
      <c r="E5785" t="s">
        <v>11</v>
      </c>
      <c r="F5785" t="s">
        <v>13</v>
      </c>
      <c r="G5785" t="s">
        <v>74</v>
      </c>
      <c r="H5785" t="s">
        <v>14</v>
      </c>
    </row>
    <row r="5786" spans="1:10" hidden="1" x14ac:dyDescent="0.25">
      <c r="A5786" t="s">
        <v>7985</v>
      </c>
      <c r="B5786" s="1" t="str">
        <f>HYPERLINK("https://asmlis.vasa.lt/Dashboard/Served?ServiceDateFrom=2025-11-24&amp;ServiceDateTo=2025-11-24&amp;DumpsterInvNr=13-L-123918", "13-L-123918")</f>
        <v>13-L-123918</v>
      </c>
      <c r="C5786">
        <v>0.12</v>
      </c>
      <c r="D5786" t="s">
        <v>7986</v>
      </c>
      <c r="E5786" t="s">
        <v>11</v>
      </c>
      <c r="G5786" t="s">
        <v>1912</v>
      </c>
      <c r="H5786" t="s">
        <v>432</v>
      </c>
    </row>
    <row r="5787" spans="1:10" hidden="1" x14ac:dyDescent="0.25">
      <c r="A5787" t="s">
        <v>7985</v>
      </c>
      <c r="B5787" s="1" t="str">
        <f>HYPERLINK("https://asmlis.vasa.lt/Dashboard/Served?ServiceDateFrom=2025-11-24&amp;ServiceDateTo=2025-11-24&amp;DumpsterInvNr=13-T-000278", "13-T-000278")</f>
        <v>13-T-000278</v>
      </c>
      <c r="C5787">
        <v>2.5</v>
      </c>
      <c r="D5787" t="s">
        <v>7987</v>
      </c>
      <c r="E5787" t="s">
        <v>11</v>
      </c>
      <c r="F5787" t="s">
        <v>13</v>
      </c>
      <c r="G5787" t="s">
        <v>1899</v>
      </c>
      <c r="H5787" t="s">
        <v>432</v>
      </c>
    </row>
    <row r="5788" spans="1:10" hidden="1" x14ac:dyDescent="0.25">
      <c r="A5788" t="s">
        <v>7649</v>
      </c>
      <c r="B5788" s="1" t="str">
        <f>HYPERLINK("https://asmlis.vasa.lt/Dashboard/Served?ServiceDateFrom=2025-11-24&amp;ServiceDateTo=2025-11-24&amp;DumpsterInvNr=13-L-318908", "13-L-318908")</f>
        <v>13-L-318908</v>
      </c>
      <c r="C5788">
        <v>1.1000000000000001</v>
      </c>
      <c r="D5788" t="s">
        <v>7789</v>
      </c>
      <c r="E5788" t="s">
        <v>11</v>
      </c>
      <c r="F5788" t="s">
        <v>13</v>
      </c>
      <c r="G5788" t="s">
        <v>9</v>
      </c>
      <c r="H5788" t="s">
        <v>14</v>
      </c>
    </row>
    <row r="5789" spans="1:10" hidden="1" x14ac:dyDescent="0.25">
      <c r="A5789" t="s">
        <v>7649</v>
      </c>
      <c r="B5789" s="1" t="str">
        <f>HYPERLINK("https://asmlis.vasa.lt/Dashboard/Served?ServiceDateFrom=2025-11-24&amp;ServiceDateTo=2025-11-24&amp;DumpsterInvNr=13-P-302434", "13-P-302434")</f>
        <v>13-P-302434</v>
      </c>
      <c r="C5789">
        <v>3</v>
      </c>
      <c r="D5789" t="s">
        <v>7948</v>
      </c>
      <c r="E5789" t="s">
        <v>11</v>
      </c>
      <c r="G5789" t="s">
        <v>412</v>
      </c>
      <c r="H5789" t="s">
        <v>14</v>
      </c>
    </row>
    <row r="5790" spans="1:10" hidden="1" x14ac:dyDescent="0.25">
      <c r="A5790" t="s">
        <v>7988</v>
      </c>
      <c r="B5790" s="1" t="str">
        <f>HYPERLINK("https://asmlis.vasa.lt/Dashboard/Served?ServiceDateFrom=2025-11-24&amp;ServiceDateTo=2025-11-24&amp;DumpsterInvNr=13-L-417743", "13-L-417743")</f>
        <v>13-L-417743</v>
      </c>
      <c r="C5790">
        <v>1.1000000000000001</v>
      </c>
      <c r="D5790" t="s">
        <v>7965</v>
      </c>
      <c r="E5790" t="s">
        <v>11</v>
      </c>
      <c r="F5790" t="s">
        <v>13</v>
      </c>
      <c r="G5790" t="s">
        <v>74</v>
      </c>
      <c r="H5790" t="s">
        <v>14</v>
      </c>
    </row>
    <row r="5791" spans="1:10" hidden="1" x14ac:dyDescent="0.25">
      <c r="A5791" t="s">
        <v>7988</v>
      </c>
      <c r="B5791" s="1" t="str">
        <f>HYPERLINK("https://asmlis.vasa.lt/Dashboard/Served?ServiceDateFrom=2025-11-24&amp;ServiceDateTo=2025-11-24&amp;DumpsterInvNr=13-P-112146", "13-P-112146")</f>
        <v>13-P-112146</v>
      </c>
      <c r="C5791">
        <v>0.24</v>
      </c>
      <c r="D5791" t="s">
        <v>7986</v>
      </c>
      <c r="E5791" t="s">
        <v>11</v>
      </c>
      <c r="G5791" t="s">
        <v>1917</v>
      </c>
      <c r="H5791" t="s">
        <v>432</v>
      </c>
    </row>
    <row r="5792" spans="1:10" hidden="1" x14ac:dyDescent="0.25">
      <c r="A5792" t="s">
        <v>7990</v>
      </c>
      <c r="B5792" s="1" t="str">
        <f>HYPERLINK("https://asmlis.vasa.lt/Dashboard/Served?ServiceDateFrom=2025-11-24&amp;ServiceDateTo=2025-11-24&amp;DumpsterInvNr=13-L-225528", "13-L-225528")</f>
        <v>13-L-225528</v>
      </c>
      <c r="C5792">
        <v>1.1000000000000001</v>
      </c>
      <c r="D5792" t="s">
        <v>7935</v>
      </c>
      <c r="E5792" t="s">
        <v>11</v>
      </c>
      <c r="G5792" t="s">
        <v>936</v>
      </c>
      <c r="H5792" t="s">
        <v>938</v>
      </c>
    </row>
    <row r="5793" spans="1:10" hidden="1" x14ac:dyDescent="0.25">
      <c r="A5793" t="s">
        <v>7521</v>
      </c>
      <c r="B5793" s="1" t="str">
        <f>HYPERLINK("https://asmlis.vasa.lt/Dashboard/Served?ServiceDateFrom=2025-11-24&amp;ServiceDateTo=2025-11-24&amp;DumpsterInvNr=13-L-217382", "13-L-217382")</f>
        <v>13-L-217382</v>
      </c>
      <c r="C5793">
        <v>1.1000000000000001</v>
      </c>
      <c r="D5793" t="s">
        <v>7192</v>
      </c>
      <c r="E5793" t="s">
        <v>11</v>
      </c>
      <c r="G5793" t="s">
        <v>936</v>
      </c>
      <c r="H5793" t="s">
        <v>938</v>
      </c>
    </row>
    <row r="5794" spans="1:10" hidden="1" x14ac:dyDescent="0.25">
      <c r="A5794" t="s">
        <v>7991</v>
      </c>
      <c r="B5794" s="1" t="str">
        <f>HYPERLINK("https://asmlis.vasa.lt/Dashboard/Served?ServiceDateFrom=2025-11-24&amp;ServiceDateTo=2025-11-24&amp;DumpsterInvNr=13-L-318621", "13-L-318621")</f>
        <v>13-L-318621</v>
      </c>
      <c r="C5794">
        <v>0.24</v>
      </c>
      <c r="D5794" t="s">
        <v>7932</v>
      </c>
      <c r="E5794" t="s">
        <v>11</v>
      </c>
      <c r="F5794" t="s">
        <v>13</v>
      </c>
      <c r="G5794" t="s">
        <v>9</v>
      </c>
      <c r="H5794" t="s">
        <v>14</v>
      </c>
    </row>
    <row r="5795" spans="1:10" x14ac:dyDescent="0.25">
      <c r="A5795" t="s">
        <v>7639</v>
      </c>
      <c r="B5795" s="1" t="str">
        <f>HYPERLINK("https://asmlis.vasa.lt/Dashboard/Served?ServiceDateFrom=2025-11-24&amp;ServiceDateTo=2025-11-24&amp;DumpsterInvNr=13-L-408857", "13-L-408857")</f>
        <v>13-L-408857</v>
      </c>
      <c r="C5795">
        <v>0.24</v>
      </c>
      <c r="D5795" t="s">
        <v>7992</v>
      </c>
      <c r="E5795" t="s">
        <v>11</v>
      </c>
      <c r="F5795" t="s">
        <v>1215</v>
      </c>
      <c r="G5795" t="s">
        <v>74</v>
      </c>
      <c r="H5795" t="s">
        <v>14</v>
      </c>
      <c r="J5795" t="s">
        <v>17511</v>
      </c>
    </row>
    <row r="5796" spans="1:10" hidden="1" x14ac:dyDescent="0.25">
      <c r="A5796" t="s">
        <v>7473</v>
      </c>
      <c r="B5796" s="1" t="str">
        <f>HYPERLINK("https://asmlis.vasa.lt/Dashboard/Served?ServiceDateFrom=2025-11-24&amp;ServiceDateTo=2025-11-24&amp;DumpsterInvNr=13-L-219314", "13-L-219314")</f>
        <v>13-L-219314</v>
      </c>
      <c r="C5796">
        <v>1.1000000000000001</v>
      </c>
      <c r="D5796" t="s">
        <v>1525</v>
      </c>
      <c r="E5796" t="s">
        <v>11</v>
      </c>
      <c r="G5796" t="s">
        <v>936</v>
      </c>
      <c r="H5796" t="s">
        <v>938</v>
      </c>
    </row>
    <row r="5797" spans="1:10" hidden="1" x14ac:dyDescent="0.25">
      <c r="A5797" t="s">
        <v>7473</v>
      </c>
      <c r="B5797" s="1" t="str">
        <f>HYPERLINK("https://asmlis.vasa.lt/Dashboard/Served?ServiceDateFrom=2025-11-24&amp;ServiceDateTo=2025-11-24&amp;DumpsterInvNr=13-S-212534", "13-S-212534")</f>
        <v>13-S-212534</v>
      </c>
      <c r="C5797">
        <v>3</v>
      </c>
      <c r="D5797" t="s">
        <v>7941</v>
      </c>
      <c r="E5797" t="s">
        <v>11</v>
      </c>
      <c r="G5797" t="s">
        <v>234</v>
      </c>
      <c r="H5797" t="s">
        <v>14</v>
      </c>
    </row>
    <row r="5798" spans="1:10" hidden="1" x14ac:dyDescent="0.25">
      <c r="A5798" t="s">
        <v>7993</v>
      </c>
      <c r="B5798" s="1" t="str">
        <f>HYPERLINK("https://asmlis.vasa.lt/Dashboard/Served?ServiceDateFrom=2025-11-24&amp;ServiceDateTo=2025-11-24&amp;DumpsterInvNr=13-P-102377", "13-P-102377")</f>
        <v>13-P-102377</v>
      </c>
      <c r="C5798">
        <v>5</v>
      </c>
      <c r="D5798" t="s">
        <v>2430</v>
      </c>
      <c r="E5798" t="s">
        <v>11</v>
      </c>
      <c r="F5798" t="s">
        <v>13</v>
      </c>
      <c r="G5798" t="s">
        <v>1917</v>
      </c>
      <c r="H5798" t="s">
        <v>432</v>
      </c>
    </row>
    <row r="5799" spans="1:10" hidden="1" x14ac:dyDescent="0.25">
      <c r="A5799" t="s">
        <v>7527</v>
      </c>
      <c r="B5799" s="1" t="str">
        <f>HYPERLINK("https://asmlis.vasa.lt/Dashboard/Served?ServiceDateFrom=2025-11-24&amp;ServiceDateTo=2025-11-24&amp;DumpsterInvNr=13-P-500632", "13-P-500632")</f>
        <v>13-P-500632</v>
      </c>
      <c r="C5799">
        <v>5</v>
      </c>
      <c r="D5799" t="s">
        <v>7994</v>
      </c>
      <c r="E5799" t="s">
        <v>11</v>
      </c>
      <c r="F5799" t="s">
        <v>13</v>
      </c>
      <c r="G5799" t="s">
        <v>2178</v>
      </c>
      <c r="H5799" t="s">
        <v>432</v>
      </c>
    </row>
    <row r="5800" spans="1:10" hidden="1" x14ac:dyDescent="0.25">
      <c r="A5800" t="s">
        <v>7995</v>
      </c>
      <c r="B5800" s="1" t="str">
        <f>HYPERLINK("https://asmlis.vasa.lt/Dashboard/Served?ServiceDateFrom=2025-11-24&amp;ServiceDateTo=2025-11-24&amp;DumpsterInvNr=13-L-422039", "13-L-422039")</f>
        <v>13-L-422039</v>
      </c>
      <c r="C5800">
        <v>5</v>
      </c>
      <c r="D5800" t="s">
        <v>7996</v>
      </c>
      <c r="E5800" t="s">
        <v>11</v>
      </c>
      <c r="F5800" t="s">
        <v>13</v>
      </c>
      <c r="G5800" t="s">
        <v>74</v>
      </c>
      <c r="H5800" t="s">
        <v>14</v>
      </c>
    </row>
    <row r="5801" spans="1:10" hidden="1" x14ac:dyDescent="0.25">
      <c r="A5801" t="s">
        <v>7997</v>
      </c>
      <c r="B5801" s="1" t="str">
        <f>HYPERLINK("https://asmlis.vasa.lt/Dashboard/Served?ServiceDateFrom=2025-11-24&amp;ServiceDateTo=2025-11-24&amp;DumpsterInvNr=13-L-204223", "13-L-204223")</f>
        <v>13-L-204223</v>
      </c>
      <c r="C5801">
        <v>1.1000000000000001</v>
      </c>
      <c r="D5801" t="s">
        <v>7192</v>
      </c>
      <c r="E5801" t="s">
        <v>11</v>
      </c>
      <c r="F5801" t="s">
        <v>13</v>
      </c>
      <c r="G5801" t="s">
        <v>936</v>
      </c>
      <c r="H5801" t="s">
        <v>938</v>
      </c>
    </row>
    <row r="5802" spans="1:10" hidden="1" x14ac:dyDescent="0.25">
      <c r="A5802" t="s">
        <v>7998</v>
      </c>
      <c r="B5802" s="1" t="str">
        <f>HYPERLINK("https://asmlis.vasa.lt/Dashboard/Served?ServiceDateFrom=2025-11-24&amp;ServiceDateTo=2025-11-24&amp;DumpsterInvNr=13-M-204268", "13-M-204268")</f>
        <v>13-M-204268</v>
      </c>
      <c r="C5802">
        <v>0.12</v>
      </c>
      <c r="D5802" t="s">
        <v>7999</v>
      </c>
      <c r="E5802" t="s">
        <v>11</v>
      </c>
      <c r="F5802" t="s">
        <v>1209</v>
      </c>
      <c r="G5802" t="s">
        <v>4876</v>
      </c>
      <c r="H5802" t="s">
        <v>938</v>
      </c>
    </row>
    <row r="5803" spans="1:10" hidden="1" x14ac:dyDescent="0.25">
      <c r="A5803" t="s">
        <v>8000</v>
      </c>
      <c r="B5803" s="1" t="str">
        <f>HYPERLINK("https://asmlis.vasa.lt/Dashboard/Served?ServiceDateFrom=2025-11-24&amp;ServiceDateTo=2025-11-24&amp;DumpsterInvNr=13-P-211114", "13-P-211114")</f>
        <v>13-P-211114</v>
      </c>
      <c r="C5803">
        <v>0.24</v>
      </c>
      <c r="D5803" t="s">
        <v>8001</v>
      </c>
      <c r="E5803" t="s">
        <v>11</v>
      </c>
      <c r="G5803" t="s">
        <v>234</v>
      </c>
      <c r="H5803" t="s">
        <v>14</v>
      </c>
    </row>
    <row r="5804" spans="1:10" hidden="1" x14ac:dyDescent="0.25">
      <c r="A5804" t="s">
        <v>7457</v>
      </c>
      <c r="B5804" s="1" t="str">
        <f>HYPERLINK("https://asmlis.vasa.lt/Dashboard/Served?ServiceDateFrom=2025-11-24&amp;ServiceDateTo=2025-11-24&amp;DumpsterInvNr=13-P-413789", "13-P-413789")</f>
        <v>13-P-413789</v>
      </c>
      <c r="C5804">
        <v>2.5</v>
      </c>
      <c r="D5804" t="s">
        <v>7958</v>
      </c>
      <c r="E5804" t="s">
        <v>11</v>
      </c>
      <c r="G5804" t="s">
        <v>264</v>
      </c>
      <c r="H5804" t="s">
        <v>14</v>
      </c>
    </row>
    <row r="5805" spans="1:10" hidden="1" x14ac:dyDescent="0.25">
      <c r="A5805" t="s">
        <v>8002</v>
      </c>
      <c r="B5805" s="1" t="str">
        <f>HYPERLINK("https://asmlis.vasa.lt/Dashboard/Served?ServiceDateFrom=2025-11-24&amp;ServiceDateTo=2025-11-24&amp;DumpsterInvNr=13-L-138031", "13-L-138031")</f>
        <v>13-L-138031</v>
      </c>
      <c r="C5805">
        <v>5</v>
      </c>
      <c r="D5805" t="s">
        <v>8003</v>
      </c>
      <c r="E5805" t="s">
        <v>11</v>
      </c>
      <c r="F5805" t="s">
        <v>13</v>
      </c>
      <c r="G5805" t="s">
        <v>430</v>
      </c>
      <c r="H5805" t="s">
        <v>432</v>
      </c>
    </row>
    <row r="5806" spans="1:10" hidden="1" x14ac:dyDescent="0.25">
      <c r="A5806" t="s">
        <v>7595</v>
      </c>
      <c r="B5806" s="1" t="str">
        <f>HYPERLINK("https://asmlis.vasa.lt/Dashboard/Served?ServiceDateFrom=2025-11-24&amp;ServiceDateTo=2025-11-24&amp;DumpsterInvNr=13-L-227635", "13-L-227635")</f>
        <v>13-L-227635</v>
      </c>
      <c r="C5806">
        <v>1.1000000000000001</v>
      </c>
      <c r="D5806" t="s">
        <v>7935</v>
      </c>
      <c r="E5806" t="s">
        <v>11</v>
      </c>
      <c r="G5806" t="s">
        <v>936</v>
      </c>
      <c r="H5806" t="s">
        <v>938</v>
      </c>
    </row>
    <row r="5807" spans="1:10" hidden="1" x14ac:dyDescent="0.25">
      <c r="A5807" t="s">
        <v>7595</v>
      </c>
      <c r="B5807" s="1" t="str">
        <f>HYPERLINK("https://asmlis.vasa.lt/Dashboard/Served?ServiceDateFrom=2025-11-24&amp;ServiceDateTo=2025-11-24&amp;DumpsterInvNr=13-P-412939", "13-P-412939")</f>
        <v>13-P-412939</v>
      </c>
      <c r="C5807">
        <v>0.24</v>
      </c>
      <c r="D5807" t="s">
        <v>8005</v>
      </c>
      <c r="E5807" t="s">
        <v>11</v>
      </c>
      <c r="G5807" t="s">
        <v>264</v>
      </c>
      <c r="H5807" t="s">
        <v>14</v>
      </c>
    </row>
    <row r="5808" spans="1:10" hidden="1" x14ac:dyDescent="0.25">
      <c r="A5808" t="s">
        <v>7595</v>
      </c>
      <c r="B5808" s="1" t="str">
        <f>HYPERLINK("https://asmlis.vasa.lt/Dashboard/Served?ServiceDateFrom=2025-11-24&amp;ServiceDateTo=2025-11-24&amp;DumpsterInvNr=NUOMA003", "NUOMA003")</f>
        <v>NUOMA003</v>
      </c>
      <c r="C5808">
        <v>20</v>
      </c>
      <c r="D5808" t="s">
        <v>143</v>
      </c>
      <c r="E5808" t="s">
        <v>11</v>
      </c>
      <c r="G5808" t="s">
        <v>74</v>
      </c>
      <c r="H5808" t="s">
        <v>14</v>
      </c>
    </row>
    <row r="5809" spans="1:8" hidden="1" x14ac:dyDescent="0.25">
      <c r="A5809" t="s">
        <v>7595</v>
      </c>
      <c r="B5809" s="1" t="str">
        <f>HYPERLINK("https://asmlis.vasa.lt/Dashboard/Served?ServiceDateFrom=2025-11-24&amp;ServiceDateTo=2025-11-24&amp;DumpsterInvNr=PRG181003", "PRG181003")</f>
        <v>PRG181003</v>
      </c>
      <c r="C5809">
        <v>18</v>
      </c>
      <c r="D5809" t="s">
        <v>143</v>
      </c>
      <c r="E5809" t="s">
        <v>11</v>
      </c>
      <c r="G5809" t="s">
        <v>74</v>
      </c>
      <c r="H5809" t="s">
        <v>14</v>
      </c>
    </row>
    <row r="5810" spans="1:8" hidden="1" x14ac:dyDescent="0.25">
      <c r="A5810" t="s">
        <v>7688</v>
      </c>
      <c r="B5810" s="1" t="str">
        <f>HYPERLINK("https://asmlis.vasa.lt/Dashboard/Served?ServiceDateFrom=2025-11-24&amp;ServiceDateTo=2025-11-24&amp;DumpsterInvNr=13-M-204680", "13-M-204680")</f>
        <v>13-M-204680</v>
      </c>
      <c r="C5810">
        <v>0.12</v>
      </c>
      <c r="D5810" t="s">
        <v>8006</v>
      </c>
      <c r="E5810" t="s">
        <v>11</v>
      </c>
      <c r="G5810" t="s">
        <v>4876</v>
      </c>
      <c r="H5810" t="s">
        <v>938</v>
      </c>
    </row>
    <row r="5811" spans="1:8" hidden="1" x14ac:dyDescent="0.25">
      <c r="A5811" t="s">
        <v>7532</v>
      </c>
      <c r="B5811" s="1" t="str">
        <f>HYPERLINK("https://asmlis.vasa.lt/Dashboard/Served?ServiceDateFrom=2025-11-24&amp;ServiceDateTo=2025-11-24&amp;DumpsterInvNr=13-S-207590", "13-S-207590")</f>
        <v>13-S-207590</v>
      </c>
      <c r="C5811">
        <v>0.12</v>
      </c>
      <c r="D5811" t="s">
        <v>8001</v>
      </c>
      <c r="E5811" t="s">
        <v>11</v>
      </c>
      <c r="G5811" t="s">
        <v>234</v>
      </c>
      <c r="H5811" t="s">
        <v>14</v>
      </c>
    </row>
    <row r="5812" spans="1:8" hidden="1" x14ac:dyDescent="0.25">
      <c r="A5812" t="s">
        <v>7533</v>
      </c>
      <c r="B5812" s="1" t="str">
        <f>HYPERLINK("https://asmlis.vasa.lt/Dashboard/Served?ServiceDateFrom=2025-11-24&amp;ServiceDateTo=2025-11-24&amp;DumpsterInvNr=13-L-115075", "13-L-115075")</f>
        <v>13-L-115075</v>
      </c>
      <c r="C5812">
        <v>1.1000000000000001</v>
      </c>
      <c r="D5812" t="s">
        <v>8007</v>
      </c>
      <c r="E5812" t="s">
        <v>11</v>
      </c>
      <c r="G5812" t="s">
        <v>1912</v>
      </c>
      <c r="H5812" t="s">
        <v>432</v>
      </c>
    </row>
    <row r="5813" spans="1:8" hidden="1" x14ac:dyDescent="0.25">
      <c r="A5813" t="s">
        <v>7772</v>
      </c>
      <c r="B5813" s="1" t="str">
        <f>HYPERLINK("https://asmlis.vasa.lt/Dashboard/Served?ServiceDateFrom=2025-11-24&amp;ServiceDateTo=2025-11-24&amp;DumpsterInvNr=13-L-225396", "13-L-225396")</f>
        <v>13-L-225396</v>
      </c>
      <c r="C5813">
        <v>0.24</v>
      </c>
      <c r="D5813" t="s">
        <v>5913</v>
      </c>
      <c r="E5813" t="s">
        <v>11</v>
      </c>
      <c r="G5813" t="s">
        <v>936</v>
      </c>
      <c r="H5813" t="s">
        <v>938</v>
      </c>
    </row>
    <row r="5814" spans="1:8" hidden="1" x14ac:dyDescent="0.25">
      <c r="A5814" t="s">
        <v>8008</v>
      </c>
      <c r="B5814" s="1" t="str">
        <f>HYPERLINK("https://asmlis.vasa.lt/Dashboard/Served?ServiceDateFrom=2025-11-24&amp;ServiceDateTo=2025-11-24&amp;DumpsterInvNr=13-P-207754", "13-P-207754")</f>
        <v>13-P-207754</v>
      </c>
      <c r="C5814">
        <v>5</v>
      </c>
      <c r="D5814" t="s">
        <v>2443</v>
      </c>
      <c r="E5814" t="s">
        <v>11</v>
      </c>
      <c r="G5814" t="s">
        <v>234</v>
      </c>
      <c r="H5814" t="s">
        <v>14</v>
      </c>
    </row>
    <row r="5815" spans="1:8" hidden="1" x14ac:dyDescent="0.25">
      <c r="A5815" t="s">
        <v>8009</v>
      </c>
      <c r="B5815" s="1" t="str">
        <f>HYPERLINK("https://asmlis.vasa.lt/Dashboard/Served?ServiceDateFrom=2025-11-24&amp;ServiceDateTo=2025-11-24&amp;DumpsterInvNr=13-M-204013", "13-M-204013")</f>
        <v>13-M-204013</v>
      </c>
      <c r="C5815">
        <v>0.12</v>
      </c>
      <c r="D5815" t="s">
        <v>8010</v>
      </c>
      <c r="E5815" t="s">
        <v>11</v>
      </c>
      <c r="F5815" t="s">
        <v>1209</v>
      </c>
      <c r="G5815" t="s">
        <v>4876</v>
      </c>
      <c r="H5815" t="s">
        <v>938</v>
      </c>
    </row>
    <row r="5816" spans="1:8" hidden="1" x14ac:dyDescent="0.25">
      <c r="A5816" t="s">
        <v>7950</v>
      </c>
      <c r="B5816" s="1" t="str">
        <f>HYPERLINK("https://asmlis.vasa.lt/Dashboard/Served?ServiceDateFrom=2025-11-24&amp;ServiceDateTo=2025-11-24&amp;DumpsterInvNr=13-P-401293", "13-P-401293")</f>
        <v>13-P-401293</v>
      </c>
      <c r="C5816">
        <v>1.1000000000000001</v>
      </c>
      <c r="D5816" t="s">
        <v>348</v>
      </c>
      <c r="E5816" t="s">
        <v>11</v>
      </c>
      <c r="F5816" t="s">
        <v>13</v>
      </c>
      <c r="G5816" t="s">
        <v>264</v>
      </c>
      <c r="H5816" t="s">
        <v>14</v>
      </c>
    </row>
    <row r="5817" spans="1:8" hidden="1" x14ac:dyDescent="0.25">
      <c r="A5817" t="s">
        <v>8011</v>
      </c>
      <c r="B5817" s="1" t="str">
        <f>HYPERLINK("https://asmlis.vasa.lt/Dashboard/Served?ServiceDateFrom=2025-11-24&amp;ServiceDateTo=2025-11-24&amp;DumpsterInvNr=13-L-225527", "13-L-225527")</f>
        <v>13-L-225527</v>
      </c>
      <c r="C5817">
        <v>1.1000000000000001</v>
      </c>
      <c r="D5817" t="s">
        <v>7935</v>
      </c>
      <c r="E5817" t="s">
        <v>11</v>
      </c>
      <c r="G5817" t="s">
        <v>936</v>
      </c>
      <c r="H5817" t="s">
        <v>938</v>
      </c>
    </row>
    <row r="5818" spans="1:8" hidden="1" x14ac:dyDescent="0.25">
      <c r="A5818" t="s">
        <v>8011</v>
      </c>
      <c r="B5818" s="1" t="str">
        <f>HYPERLINK("https://asmlis.vasa.lt/Dashboard/Served?ServiceDateFrom=2025-11-24&amp;ServiceDateTo=2025-11-24&amp;DumpsterInvNr=13-P-414471", "13-P-414471")</f>
        <v>13-P-414471</v>
      </c>
      <c r="C5818">
        <v>0.24</v>
      </c>
      <c r="D5818" t="s">
        <v>8005</v>
      </c>
      <c r="E5818" t="s">
        <v>11</v>
      </c>
      <c r="F5818" t="s">
        <v>13</v>
      </c>
      <c r="G5818" t="s">
        <v>264</v>
      </c>
      <c r="H5818" t="s">
        <v>14</v>
      </c>
    </row>
    <row r="5819" spans="1:8" hidden="1" x14ac:dyDescent="0.25">
      <c r="A5819" t="s">
        <v>8012</v>
      </c>
      <c r="B5819" s="1" t="str">
        <f>HYPERLINK("https://asmlis.vasa.lt/Dashboard/Served?ServiceDateFrom=2025-11-24&amp;ServiceDateTo=2025-11-24&amp;DumpsterInvNr=13-L-146513", "13-L-146513")</f>
        <v>13-L-146513</v>
      </c>
      <c r="C5819">
        <v>0.24</v>
      </c>
      <c r="D5819" t="s">
        <v>8013</v>
      </c>
      <c r="E5819" t="s">
        <v>11</v>
      </c>
      <c r="G5819" t="s">
        <v>1912</v>
      </c>
      <c r="H5819" t="s">
        <v>432</v>
      </c>
    </row>
    <row r="5820" spans="1:8" hidden="1" x14ac:dyDescent="0.25">
      <c r="A5820" t="s">
        <v>7845</v>
      </c>
      <c r="B5820" s="1" t="str">
        <f>HYPERLINK("https://asmlis.vasa.lt/Dashboard/Served?ServiceDateFrom=2025-11-24&amp;ServiceDateTo=2025-11-24&amp;DumpsterInvNr=13-L-225099", "13-L-225099")</f>
        <v>13-L-225099</v>
      </c>
      <c r="C5820">
        <v>1.1000000000000001</v>
      </c>
      <c r="D5820" t="s">
        <v>7192</v>
      </c>
      <c r="E5820" t="s">
        <v>11</v>
      </c>
      <c r="G5820" t="s">
        <v>936</v>
      </c>
      <c r="H5820" t="s">
        <v>938</v>
      </c>
    </row>
    <row r="5821" spans="1:8" hidden="1" x14ac:dyDescent="0.25">
      <c r="A5821" t="s">
        <v>7845</v>
      </c>
      <c r="B5821" s="1" t="str">
        <f>HYPERLINK("https://asmlis.vasa.lt/Dashboard/Served?ServiceDateFrom=2025-11-24&amp;ServiceDateTo=2025-11-24&amp;DumpsterInvNr=13-P-101087", "13-P-101087")</f>
        <v>13-P-101087</v>
      </c>
      <c r="C5821">
        <v>0.24</v>
      </c>
      <c r="D5821" t="s">
        <v>8013</v>
      </c>
      <c r="E5821" t="s">
        <v>11</v>
      </c>
      <c r="G5821" t="s">
        <v>1917</v>
      </c>
      <c r="H5821" t="s">
        <v>432</v>
      </c>
    </row>
    <row r="5822" spans="1:8" hidden="1" x14ac:dyDescent="0.25">
      <c r="A5822" t="s">
        <v>7576</v>
      </c>
      <c r="B5822" s="1" t="str">
        <f>HYPERLINK("https://asmlis.vasa.lt/Dashboard/Served?ServiceDateFrom=2025-11-24&amp;ServiceDateTo=2025-11-24&amp;DumpsterInvNr=13-L-115076", "13-L-115076")</f>
        <v>13-L-115076</v>
      </c>
      <c r="C5822">
        <v>1.1000000000000001</v>
      </c>
      <c r="D5822" t="s">
        <v>8007</v>
      </c>
      <c r="E5822" t="s">
        <v>11</v>
      </c>
      <c r="G5822" t="s">
        <v>1912</v>
      </c>
      <c r="H5822" t="s">
        <v>432</v>
      </c>
    </row>
    <row r="5823" spans="1:8" hidden="1" x14ac:dyDescent="0.25">
      <c r="A5823" t="s">
        <v>8016</v>
      </c>
      <c r="B5823" s="1" t="str">
        <f>HYPERLINK("https://asmlis.vasa.lt/Dashboard/Served?ServiceDateFrom=2025-11-24&amp;ServiceDateTo=2025-11-24&amp;DumpsterInvNr=13-L-225204", "13-L-225204")</f>
        <v>13-L-225204</v>
      </c>
      <c r="C5823">
        <v>1.1000000000000001</v>
      </c>
      <c r="D5823" t="s">
        <v>7935</v>
      </c>
      <c r="E5823" t="s">
        <v>11</v>
      </c>
      <c r="G5823" t="s">
        <v>936</v>
      </c>
      <c r="H5823" t="s">
        <v>938</v>
      </c>
    </row>
    <row r="5824" spans="1:8" hidden="1" x14ac:dyDescent="0.25">
      <c r="A5824" t="s">
        <v>8016</v>
      </c>
      <c r="B5824" s="1" t="str">
        <f>HYPERLINK("https://asmlis.vasa.lt/Dashboard/Served?ServiceDateFrom=2025-11-24&amp;ServiceDateTo=2025-11-24&amp;DumpsterInvNr=13-P-412862", "13-P-412862")</f>
        <v>13-P-412862</v>
      </c>
      <c r="C5824">
        <v>0.24</v>
      </c>
      <c r="D5824" t="s">
        <v>8017</v>
      </c>
      <c r="E5824" t="s">
        <v>11</v>
      </c>
      <c r="G5824" t="s">
        <v>264</v>
      </c>
      <c r="H5824" t="s">
        <v>14</v>
      </c>
    </row>
    <row r="5825" spans="1:8" hidden="1" x14ac:dyDescent="0.25">
      <c r="A5825" t="s">
        <v>8016</v>
      </c>
      <c r="B5825" s="1" t="str">
        <f>HYPERLINK("https://asmlis.vasa.lt/Dashboard/Served?ServiceDateFrom=2025-11-24&amp;ServiceDateTo=2025-11-24&amp;DumpsterInvNr=13-P-404415", "13-P-404415")</f>
        <v>13-P-404415</v>
      </c>
      <c r="C5825">
        <v>0.24</v>
      </c>
      <c r="D5825" t="s">
        <v>8019</v>
      </c>
      <c r="E5825" t="s">
        <v>11</v>
      </c>
      <c r="G5825" t="s">
        <v>264</v>
      </c>
      <c r="H5825" t="s">
        <v>14</v>
      </c>
    </row>
    <row r="5826" spans="1:8" hidden="1" x14ac:dyDescent="0.25">
      <c r="A5826" t="s">
        <v>7684</v>
      </c>
      <c r="B5826" s="1" t="str">
        <f>HYPERLINK("https://asmlis.vasa.lt/Dashboard/Served?ServiceDateFrom=2025-11-24&amp;ServiceDateTo=2025-11-24&amp;DumpsterInvNr=13-L-145854", "13-L-145854")</f>
        <v>13-L-145854</v>
      </c>
      <c r="C5826">
        <v>5</v>
      </c>
      <c r="D5826" t="s">
        <v>8021</v>
      </c>
      <c r="E5826" t="s">
        <v>11</v>
      </c>
      <c r="F5826" t="s">
        <v>13</v>
      </c>
      <c r="G5826" t="s">
        <v>1912</v>
      </c>
      <c r="H5826" t="s">
        <v>432</v>
      </c>
    </row>
    <row r="5827" spans="1:8" hidden="1" x14ac:dyDescent="0.25">
      <c r="A5827" t="s">
        <v>7475</v>
      </c>
      <c r="B5827" s="1" t="str">
        <f>HYPERLINK("https://asmlis.vasa.lt/Dashboard/Served?ServiceDateFrom=2025-11-24&amp;ServiceDateTo=2025-11-24&amp;DumpsterInvNr=13-M-204264", "13-M-204264")</f>
        <v>13-M-204264</v>
      </c>
      <c r="C5827">
        <v>0.12</v>
      </c>
      <c r="D5827" t="s">
        <v>8022</v>
      </c>
      <c r="E5827" t="s">
        <v>11</v>
      </c>
      <c r="G5827" t="s">
        <v>4876</v>
      </c>
      <c r="H5827" t="s">
        <v>938</v>
      </c>
    </row>
    <row r="5828" spans="1:8" hidden="1" x14ac:dyDescent="0.25">
      <c r="A5828" t="s">
        <v>8023</v>
      </c>
      <c r="B5828" s="1" t="str">
        <f>HYPERLINK("https://asmlis.vasa.lt/Dashboard/Served?ServiceDateFrom=2025-11-24&amp;ServiceDateTo=2025-11-24&amp;DumpsterInvNr=13-L-217437", "13-L-217437")</f>
        <v>13-L-217437</v>
      </c>
      <c r="C5828">
        <v>1.1000000000000001</v>
      </c>
      <c r="D5828" t="s">
        <v>7192</v>
      </c>
      <c r="E5828" t="s">
        <v>11</v>
      </c>
      <c r="F5828" t="s">
        <v>13</v>
      </c>
      <c r="G5828" t="s">
        <v>936</v>
      </c>
      <c r="H5828" t="s">
        <v>938</v>
      </c>
    </row>
    <row r="5829" spans="1:8" hidden="1" x14ac:dyDescent="0.25">
      <c r="A5829" t="s">
        <v>7701</v>
      </c>
      <c r="B5829" s="1" t="str">
        <f>HYPERLINK("https://asmlis.vasa.lt/Dashboard/Served?ServiceDateFrom=2025-11-24&amp;ServiceDateTo=2025-11-24&amp;DumpsterInvNr=13-L-136005", "13-L-136005")</f>
        <v>13-L-136005</v>
      </c>
      <c r="C5829">
        <v>5</v>
      </c>
      <c r="D5829" t="s">
        <v>8024</v>
      </c>
      <c r="E5829" t="s">
        <v>11</v>
      </c>
      <c r="F5829" t="s">
        <v>13</v>
      </c>
      <c r="G5829" t="s">
        <v>430</v>
      </c>
      <c r="H5829" t="s">
        <v>432</v>
      </c>
    </row>
    <row r="5830" spans="1:8" hidden="1" x14ac:dyDescent="0.25">
      <c r="A5830" t="s">
        <v>7701</v>
      </c>
      <c r="B5830" s="1" t="str">
        <f>HYPERLINK("https://asmlis.vasa.lt/Dashboard/Served?ServiceDateFrom=2025-11-24&amp;ServiceDateTo=2025-11-24&amp;DumpsterInvNr=13-P-500536", "13-P-500536")</f>
        <v>13-P-500536</v>
      </c>
      <c r="C5830">
        <v>5</v>
      </c>
      <c r="D5830" t="s">
        <v>7938</v>
      </c>
      <c r="E5830" t="s">
        <v>11</v>
      </c>
      <c r="F5830" t="s">
        <v>13</v>
      </c>
      <c r="G5830" t="s">
        <v>2178</v>
      </c>
      <c r="H5830" t="s">
        <v>432</v>
      </c>
    </row>
    <row r="5831" spans="1:8" hidden="1" x14ac:dyDescent="0.25">
      <c r="A5831" t="s">
        <v>8025</v>
      </c>
      <c r="B5831" s="1" t="str">
        <f>HYPERLINK("https://asmlis.vasa.lt/Dashboard/Served?ServiceDateFrom=2025-11-24&amp;ServiceDateTo=2025-11-24&amp;DumpsterInvNr=13-L-225100", "13-L-225100")</f>
        <v>13-L-225100</v>
      </c>
      <c r="C5831">
        <v>1.1000000000000001</v>
      </c>
      <c r="D5831" t="s">
        <v>7192</v>
      </c>
      <c r="E5831" t="s">
        <v>11</v>
      </c>
      <c r="F5831" t="s">
        <v>13</v>
      </c>
      <c r="G5831" t="s">
        <v>936</v>
      </c>
      <c r="H5831" t="s">
        <v>938</v>
      </c>
    </row>
    <row r="5832" spans="1:8" hidden="1" x14ac:dyDescent="0.25">
      <c r="A5832" t="s">
        <v>8025</v>
      </c>
      <c r="B5832" s="1" t="str">
        <f>HYPERLINK("https://asmlis.vasa.lt/Dashboard/Served?ServiceDateFrom=2025-11-24&amp;ServiceDateTo=2025-11-24&amp;DumpsterInvNr=13-M-204672", "13-M-204672")</f>
        <v>13-M-204672</v>
      </c>
      <c r="C5832">
        <v>0.12</v>
      </c>
      <c r="D5832" t="s">
        <v>8026</v>
      </c>
      <c r="E5832" t="s">
        <v>11</v>
      </c>
      <c r="F5832" t="s">
        <v>1209</v>
      </c>
      <c r="G5832" t="s">
        <v>4876</v>
      </c>
      <c r="H5832" t="s">
        <v>938</v>
      </c>
    </row>
    <row r="5833" spans="1:8" hidden="1" x14ac:dyDescent="0.25">
      <c r="A5833" t="s">
        <v>8027</v>
      </c>
      <c r="B5833" s="1" t="str">
        <f>HYPERLINK("https://asmlis.vasa.lt/Dashboard/Served?ServiceDateFrom=2025-11-24&amp;ServiceDateTo=2025-11-24&amp;DumpsterInvNr=13-L-318654", "13-L-318654")</f>
        <v>13-L-318654</v>
      </c>
      <c r="C5833">
        <v>1.1000000000000001</v>
      </c>
      <c r="D5833" t="s">
        <v>8029</v>
      </c>
      <c r="E5833" t="s">
        <v>11</v>
      </c>
      <c r="G5833" t="s">
        <v>9</v>
      </c>
      <c r="H5833" t="s">
        <v>14</v>
      </c>
    </row>
    <row r="5834" spans="1:8" hidden="1" x14ac:dyDescent="0.25">
      <c r="A5834" t="s">
        <v>8027</v>
      </c>
      <c r="B5834" s="1" t="str">
        <f>HYPERLINK("https://asmlis.vasa.lt/Dashboard/Served?ServiceDateFrom=2025-11-24&amp;ServiceDateTo=2025-11-24&amp;DumpsterInvNr=13-L-224422", "13-L-224422")</f>
        <v>13-L-224422</v>
      </c>
      <c r="C5834">
        <v>5</v>
      </c>
      <c r="D5834" t="s">
        <v>8030</v>
      </c>
      <c r="E5834" t="s">
        <v>11</v>
      </c>
      <c r="G5834" t="s">
        <v>936</v>
      </c>
      <c r="H5834" t="s">
        <v>938</v>
      </c>
    </row>
    <row r="5835" spans="1:8" hidden="1" x14ac:dyDescent="0.25">
      <c r="A5835" t="s">
        <v>8032</v>
      </c>
      <c r="B5835" s="1" t="str">
        <f>HYPERLINK("https://asmlis.vasa.lt/Dashboard/Served?ServiceDateFrom=2025-11-24&amp;ServiceDateTo=2025-11-24&amp;DumpsterInvNr=13-M-204897", "13-M-204897")</f>
        <v>13-M-204897</v>
      </c>
      <c r="C5835">
        <v>0.12</v>
      </c>
      <c r="D5835" t="s">
        <v>8033</v>
      </c>
      <c r="E5835" t="s">
        <v>11</v>
      </c>
      <c r="F5835" t="s">
        <v>1209</v>
      </c>
      <c r="G5835" t="s">
        <v>4876</v>
      </c>
      <c r="H5835" t="s">
        <v>938</v>
      </c>
    </row>
    <row r="5836" spans="1:8" hidden="1" x14ac:dyDescent="0.25">
      <c r="A5836" t="s">
        <v>8034</v>
      </c>
      <c r="B5836" s="1" t="str">
        <f>HYPERLINK("https://asmlis.vasa.lt/Dashboard/Served?ServiceDateFrom=2025-11-24&amp;ServiceDateTo=2025-11-24&amp;DumpsterInvNr=13-L-148306", "13-L-148306")</f>
        <v>13-L-148306</v>
      </c>
      <c r="C5836">
        <v>1.1000000000000001</v>
      </c>
      <c r="D5836" t="s">
        <v>4126</v>
      </c>
      <c r="E5836" t="s">
        <v>11</v>
      </c>
      <c r="G5836" t="s">
        <v>430</v>
      </c>
      <c r="H5836" t="s">
        <v>432</v>
      </c>
    </row>
    <row r="5837" spans="1:8" hidden="1" x14ac:dyDescent="0.25">
      <c r="A5837" t="s">
        <v>8035</v>
      </c>
      <c r="B5837" s="1" t="str">
        <f>HYPERLINK("https://asmlis.vasa.lt/Dashboard/Served?ServiceDateFrom=2025-11-24&amp;ServiceDateTo=2025-11-24&amp;DumpsterInvNr=13-M-204242", "13-M-204242")</f>
        <v>13-M-204242</v>
      </c>
      <c r="C5837">
        <v>0.12</v>
      </c>
      <c r="D5837" t="s">
        <v>8036</v>
      </c>
      <c r="E5837" t="s">
        <v>11</v>
      </c>
      <c r="F5837" t="s">
        <v>1209</v>
      </c>
      <c r="G5837" t="s">
        <v>4876</v>
      </c>
      <c r="H5837" t="s">
        <v>938</v>
      </c>
    </row>
    <row r="5838" spans="1:8" hidden="1" x14ac:dyDescent="0.25">
      <c r="A5838" t="s">
        <v>8038</v>
      </c>
      <c r="B5838" s="1" t="str">
        <f>HYPERLINK("https://asmlis.vasa.lt/Dashboard/Served?ServiceDateFrom=2025-11-24&amp;ServiceDateTo=2025-11-24&amp;DumpsterInvNr=13-L-117574", "13-L-117574")</f>
        <v>13-L-117574</v>
      </c>
      <c r="C5838">
        <v>0.12</v>
      </c>
      <c r="D5838" t="s">
        <v>8039</v>
      </c>
      <c r="E5838" t="s">
        <v>11</v>
      </c>
      <c r="G5838" t="s">
        <v>1912</v>
      </c>
      <c r="H5838" t="s">
        <v>432</v>
      </c>
    </row>
    <row r="5839" spans="1:8" hidden="1" x14ac:dyDescent="0.25">
      <c r="A5839" t="s">
        <v>8040</v>
      </c>
      <c r="B5839" s="1" t="str">
        <f>HYPERLINK("https://asmlis.vasa.lt/Dashboard/Served?ServiceDateFrom=2025-11-24&amp;ServiceDateTo=2025-11-24&amp;DumpsterInvNr=13-P-101088", "13-P-101088")</f>
        <v>13-P-101088</v>
      </c>
      <c r="C5839">
        <v>0.24</v>
      </c>
      <c r="D5839" t="s">
        <v>8039</v>
      </c>
      <c r="E5839" t="s">
        <v>11</v>
      </c>
      <c r="G5839" t="s">
        <v>1917</v>
      </c>
      <c r="H5839" t="s">
        <v>432</v>
      </c>
    </row>
    <row r="5840" spans="1:8" hidden="1" x14ac:dyDescent="0.25">
      <c r="A5840" t="s">
        <v>8041</v>
      </c>
      <c r="B5840" s="1" t="str">
        <f>HYPERLINK("https://asmlis.vasa.lt/Dashboard/Served?ServiceDateFrom=2025-11-24&amp;ServiceDateTo=2025-11-24&amp;DumpsterInvNr=13-P-212239", "13-P-212239")</f>
        <v>13-P-212239</v>
      </c>
      <c r="C5840">
        <v>1.1000000000000001</v>
      </c>
      <c r="D5840" t="s">
        <v>5855</v>
      </c>
      <c r="E5840" t="s">
        <v>11</v>
      </c>
      <c r="G5840" t="s">
        <v>234</v>
      </c>
      <c r="H5840" t="s">
        <v>14</v>
      </c>
    </row>
    <row r="5841" spans="1:8" hidden="1" x14ac:dyDescent="0.25">
      <c r="A5841" t="s">
        <v>8042</v>
      </c>
      <c r="B5841" s="1" t="str">
        <f>HYPERLINK("https://asmlis.vasa.lt/Dashboard/Served?ServiceDateFrom=2025-11-24&amp;ServiceDateTo=2025-11-24&amp;DumpsterInvNr=13-P-205432", "13-P-205432")</f>
        <v>13-P-205432</v>
      </c>
      <c r="C5841">
        <v>0.24</v>
      </c>
      <c r="D5841" t="s">
        <v>8043</v>
      </c>
      <c r="E5841" t="s">
        <v>11</v>
      </c>
      <c r="G5841" t="s">
        <v>234</v>
      </c>
      <c r="H5841" t="s">
        <v>14</v>
      </c>
    </row>
    <row r="5842" spans="1:8" hidden="1" x14ac:dyDescent="0.25">
      <c r="A5842" t="s">
        <v>8044</v>
      </c>
      <c r="B5842" s="1" t="str">
        <f>HYPERLINK("https://asmlis.vasa.lt/Dashboard/Served?ServiceDateFrom=2025-11-24&amp;ServiceDateTo=2025-11-24&amp;DumpsterInvNr=13-P-401490", "13-P-401490")</f>
        <v>13-P-401490</v>
      </c>
      <c r="C5842">
        <v>1.1000000000000001</v>
      </c>
      <c r="D5842" t="s">
        <v>348</v>
      </c>
      <c r="E5842" t="s">
        <v>11</v>
      </c>
      <c r="G5842" t="s">
        <v>264</v>
      </c>
      <c r="H5842" t="s">
        <v>14</v>
      </c>
    </row>
    <row r="5843" spans="1:8" hidden="1" x14ac:dyDescent="0.25">
      <c r="A5843" t="s">
        <v>8045</v>
      </c>
      <c r="B5843" s="1" t="str">
        <f>HYPERLINK("https://asmlis.vasa.lt/Dashboard/Served?ServiceDateFrom=2025-11-24&amp;ServiceDateTo=2025-11-24&amp;DumpsterInvNr=13-L-212511", "13-L-212511")</f>
        <v>13-L-212511</v>
      </c>
      <c r="C5843">
        <v>0.24</v>
      </c>
      <c r="D5843" t="s">
        <v>5872</v>
      </c>
      <c r="E5843" t="s">
        <v>11</v>
      </c>
      <c r="F5843" t="s">
        <v>1209</v>
      </c>
      <c r="G5843" t="s">
        <v>936</v>
      </c>
      <c r="H5843" t="s">
        <v>938</v>
      </c>
    </row>
    <row r="5844" spans="1:8" hidden="1" x14ac:dyDescent="0.25">
      <c r="A5844" t="s">
        <v>8046</v>
      </c>
      <c r="B5844" s="1" t="str">
        <f>HYPERLINK("https://asmlis.vasa.lt/Dashboard/Served?ServiceDateFrom=2025-11-24&amp;ServiceDateTo=2025-11-24&amp;DumpsterInvNr=13-P-400500", "13-P-400500")</f>
        <v>13-P-400500</v>
      </c>
      <c r="C5844">
        <v>2.5</v>
      </c>
      <c r="D5844" t="s">
        <v>8047</v>
      </c>
      <c r="E5844" t="s">
        <v>11</v>
      </c>
      <c r="F5844" t="s">
        <v>13</v>
      </c>
      <c r="G5844" t="s">
        <v>264</v>
      </c>
      <c r="H5844" t="s">
        <v>14</v>
      </c>
    </row>
    <row r="5845" spans="1:8" hidden="1" x14ac:dyDescent="0.25">
      <c r="A5845" t="s">
        <v>8046</v>
      </c>
      <c r="B5845" s="1" t="str">
        <f>HYPERLINK("https://asmlis.vasa.lt/Dashboard/Served?ServiceDateFrom=2025-11-24&amp;ServiceDateTo=2025-11-24&amp;DumpsterInvNr=13-P-205140", "13-P-205140")</f>
        <v>13-P-205140</v>
      </c>
      <c r="C5845">
        <v>0.24</v>
      </c>
      <c r="D5845" t="s">
        <v>7975</v>
      </c>
      <c r="E5845" t="s">
        <v>11</v>
      </c>
      <c r="G5845" t="s">
        <v>234</v>
      </c>
      <c r="H5845" t="s">
        <v>14</v>
      </c>
    </row>
    <row r="5846" spans="1:8" hidden="1" x14ac:dyDescent="0.25">
      <c r="A5846" t="s">
        <v>8048</v>
      </c>
      <c r="B5846" s="1" t="str">
        <f>HYPERLINK("https://asmlis.vasa.lt/Dashboard/Served?ServiceDateFrom=2025-11-24&amp;ServiceDateTo=2025-11-24&amp;DumpsterInvNr=13-L-424477", "13-L-424477")</f>
        <v>13-L-424477</v>
      </c>
      <c r="C5846">
        <v>0.24</v>
      </c>
      <c r="D5846" t="s">
        <v>8049</v>
      </c>
      <c r="E5846" t="s">
        <v>11</v>
      </c>
      <c r="F5846" t="s">
        <v>1209</v>
      </c>
      <c r="G5846" t="s">
        <v>74</v>
      </c>
      <c r="H5846" t="s">
        <v>14</v>
      </c>
    </row>
    <row r="5847" spans="1:8" hidden="1" x14ac:dyDescent="0.25">
      <c r="A5847" t="s">
        <v>8048</v>
      </c>
      <c r="B5847" s="1" t="str">
        <f>HYPERLINK("https://asmlis.vasa.lt/Dashboard/Served?ServiceDateFrom=2025-11-24&amp;ServiceDateTo=2025-11-24&amp;DumpsterInvNr=13-P-400679", "13-P-400679")</f>
        <v>13-P-400679</v>
      </c>
      <c r="C5847">
        <v>2.5</v>
      </c>
      <c r="D5847" t="s">
        <v>8047</v>
      </c>
      <c r="E5847" t="s">
        <v>11</v>
      </c>
      <c r="F5847" t="s">
        <v>13</v>
      </c>
      <c r="G5847" t="s">
        <v>264</v>
      </c>
      <c r="H5847" t="s">
        <v>14</v>
      </c>
    </row>
    <row r="5848" spans="1:8" hidden="1" x14ac:dyDescent="0.25">
      <c r="A5848" t="s">
        <v>8050</v>
      </c>
      <c r="B5848" s="1" t="str">
        <f>HYPERLINK("https://asmlis.vasa.lt/Dashboard/Served?ServiceDateFrom=2025-11-24&amp;ServiceDateTo=2025-11-24&amp;DumpsterInvNr=13-L-403961", "13-L-403961")</f>
        <v>13-L-403961</v>
      </c>
      <c r="C5848">
        <v>0.24</v>
      </c>
      <c r="D5848" t="s">
        <v>8051</v>
      </c>
      <c r="E5848" t="s">
        <v>11</v>
      </c>
      <c r="F5848" t="s">
        <v>1209</v>
      </c>
      <c r="G5848" t="s">
        <v>74</v>
      </c>
      <c r="H5848" t="s">
        <v>14</v>
      </c>
    </row>
    <row r="5849" spans="1:8" hidden="1" x14ac:dyDescent="0.25">
      <c r="A5849" t="s">
        <v>8052</v>
      </c>
      <c r="B5849" s="1" t="str">
        <f>HYPERLINK("https://asmlis.vasa.lt/Dashboard/Served?ServiceDateFrom=2025-11-24&amp;ServiceDateTo=2025-11-24&amp;DumpsterInvNr=13-L-148706", "13-L-148706")</f>
        <v>13-L-148706</v>
      </c>
      <c r="C5849">
        <v>1.1000000000000001</v>
      </c>
      <c r="D5849" t="s">
        <v>4126</v>
      </c>
      <c r="E5849" t="s">
        <v>11</v>
      </c>
      <c r="G5849" t="s">
        <v>430</v>
      </c>
      <c r="H5849" t="s">
        <v>432</v>
      </c>
    </row>
    <row r="5850" spans="1:8" hidden="1" x14ac:dyDescent="0.25">
      <c r="A5850" t="s">
        <v>8054</v>
      </c>
      <c r="B5850" s="1" t="str">
        <f>HYPERLINK("https://asmlis.vasa.lt/Dashboard/Served?ServiceDateFrom=2025-11-24&amp;ServiceDateTo=2025-11-24&amp;DumpsterInvNr=13-M-204237", "13-M-204237")</f>
        <v>13-M-204237</v>
      </c>
      <c r="C5850">
        <v>0.12</v>
      </c>
      <c r="D5850" t="s">
        <v>8055</v>
      </c>
      <c r="E5850" t="s">
        <v>11</v>
      </c>
      <c r="F5850" t="s">
        <v>1209</v>
      </c>
      <c r="G5850" t="s">
        <v>4876</v>
      </c>
      <c r="H5850" t="s">
        <v>938</v>
      </c>
    </row>
    <row r="5851" spans="1:8" hidden="1" x14ac:dyDescent="0.25">
      <c r="A5851" t="s">
        <v>8056</v>
      </c>
      <c r="B5851" s="1" t="str">
        <f>HYPERLINK("https://asmlis.vasa.lt/Dashboard/Served?ServiceDateFrom=2025-11-24&amp;ServiceDateTo=2025-11-24&amp;DumpsterInvNr=13-L-225383", "13-L-225383")</f>
        <v>13-L-225383</v>
      </c>
      <c r="C5851">
        <v>1.1000000000000001</v>
      </c>
      <c r="D5851" t="s">
        <v>6029</v>
      </c>
      <c r="E5851" t="s">
        <v>11</v>
      </c>
      <c r="F5851" t="s">
        <v>13</v>
      </c>
      <c r="G5851" t="s">
        <v>936</v>
      </c>
      <c r="H5851" t="s">
        <v>938</v>
      </c>
    </row>
    <row r="5852" spans="1:8" hidden="1" x14ac:dyDescent="0.25">
      <c r="A5852" t="s">
        <v>8057</v>
      </c>
      <c r="B5852" s="1" t="str">
        <f>HYPERLINK("https://asmlis.vasa.lt/Dashboard/Served?ServiceDateFrom=2025-11-24&amp;ServiceDateTo=2025-11-24&amp;DumpsterInvNr=13-L-220584", "13-L-220584")</f>
        <v>13-L-220584</v>
      </c>
      <c r="C5852">
        <v>1.1000000000000001</v>
      </c>
      <c r="D5852" t="s">
        <v>6029</v>
      </c>
      <c r="E5852" t="s">
        <v>11</v>
      </c>
      <c r="G5852" t="s">
        <v>936</v>
      </c>
      <c r="H5852" t="s">
        <v>938</v>
      </c>
    </row>
    <row r="5853" spans="1:8" hidden="1" x14ac:dyDescent="0.25">
      <c r="A5853" t="s">
        <v>8057</v>
      </c>
      <c r="B5853" s="1" t="str">
        <f>HYPERLINK("https://asmlis.vasa.lt/Dashboard/Served?ServiceDateFrom=2025-11-24&amp;ServiceDateTo=2025-11-24&amp;DumpsterInvNr=13-L-225384", "13-L-225384")</f>
        <v>13-L-225384</v>
      </c>
      <c r="C5853">
        <v>1.1000000000000001</v>
      </c>
      <c r="D5853" t="s">
        <v>6029</v>
      </c>
      <c r="E5853" t="s">
        <v>11</v>
      </c>
      <c r="F5853" t="s">
        <v>13</v>
      </c>
      <c r="G5853" t="s">
        <v>936</v>
      </c>
      <c r="H5853" t="s">
        <v>938</v>
      </c>
    </row>
    <row r="5854" spans="1:8" hidden="1" x14ac:dyDescent="0.25">
      <c r="A5854" t="s">
        <v>8057</v>
      </c>
      <c r="B5854" s="1" t="str">
        <f>HYPERLINK("https://asmlis.vasa.lt/Dashboard/Served?ServiceDateFrom=2025-11-24&amp;ServiceDateTo=2025-11-24&amp;DumpsterInvNr=13-P-408789", "13-P-408789")</f>
        <v>13-P-408789</v>
      </c>
      <c r="C5854">
        <v>5</v>
      </c>
      <c r="D5854" t="s">
        <v>8058</v>
      </c>
      <c r="E5854" t="s">
        <v>11</v>
      </c>
      <c r="G5854" t="s">
        <v>264</v>
      </c>
      <c r="H5854" t="s">
        <v>14</v>
      </c>
    </row>
    <row r="5855" spans="1:8" hidden="1" x14ac:dyDescent="0.25">
      <c r="A5855" t="s">
        <v>8059</v>
      </c>
      <c r="B5855" s="1" t="str">
        <f>HYPERLINK("https://asmlis.vasa.lt/Dashboard/Served?ServiceDateFrom=2025-11-24&amp;ServiceDateTo=2025-11-24&amp;DumpsterInvNr=13-L-318405", "13-L-318405")</f>
        <v>13-L-318405</v>
      </c>
      <c r="C5855">
        <v>1.1000000000000001</v>
      </c>
      <c r="D5855" t="s">
        <v>8029</v>
      </c>
      <c r="E5855" t="s">
        <v>11</v>
      </c>
      <c r="F5855" t="s">
        <v>13</v>
      </c>
      <c r="G5855" t="s">
        <v>9</v>
      </c>
      <c r="H5855" t="s">
        <v>14</v>
      </c>
    </row>
    <row r="5856" spans="1:8" hidden="1" x14ac:dyDescent="0.25">
      <c r="A5856" t="s">
        <v>8059</v>
      </c>
      <c r="B5856" s="1" t="str">
        <f>HYPERLINK("https://asmlis.vasa.lt/Dashboard/Served?ServiceDateFrom=2025-11-24&amp;ServiceDateTo=2025-11-24&amp;DumpsterInvNr=13-L-318212", "13-L-318212")</f>
        <v>13-L-318212</v>
      </c>
      <c r="C5856">
        <v>1.1000000000000001</v>
      </c>
      <c r="D5856" t="s">
        <v>8060</v>
      </c>
      <c r="E5856" t="s">
        <v>11</v>
      </c>
      <c r="G5856" t="s">
        <v>9</v>
      </c>
      <c r="H5856" t="s">
        <v>14</v>
      </c>
    </row>
    <row r="5857" spans="1:8" hidden="1" x14ac:dyDescent="0.25">
      <c r="A5857" t="s">
        <v>7666</v>
      </c>
      <c r="B5857" s="1" t="str">
        <f>HYPERLINK("https://asmlis.vasa.lt/Dashboard/Served?ServiceDateFrom=2025-11-24&amp;ServiceDateTo=2025-11-24&amp;DumpsterInvNr=13-L-143702", "13-L-143702")</f>
        <v>13-L-143702</v>
      </c>
      <c r="C5857">
        <v>5</v>
      </c>
      <c r="D5857" t="s">
        <v>8061</v>
      </c>
      <c r="E5857" t="s">
        <v>11</v>
      </c>
      <c r="F5857" t="s">
        <v>13</v>
      </c>
      <c r="G5857" t="s">
        <v>430</v>
      </c>
      <c r="H5857" t="s">
        <v>432</v>
      </c>
    </row>
    <row r="5858" spans="1:8" hidden="1" x14ac:dyDescent="0.25">
      <c r="A5858" t="s">
        <v>7850</v>
      </c>
      <c r="B5858" s="1" t="str">
        <f>HYPERLINK("https://asmlis.vasa.lt/Dashboard/Served?ServiceDateFrom=2025-11-24&amp;ServiceDateTo=2025-11-24&amp;DumpsterInvNr=13-L-114480", "13-L-114480")</f>
        <v>13-L-114480</v>
      </c>
      <c r="C5858">
        <v>0.12</v>
      </c>
      <c r="D5858" t="s">
        <v>8062</v>
      </c>
      <c r="E5858" t="s">
        <v>11</v>
      </c>
      <c r="G5858" t="s">
        <v>1912</v>
      </c>
      <c r="H5858" t="s">
        <v>432</v>
      </c>
    </row>
    <row r="5859" spans="1:8" hidden="1" x14ac:dyDescent="0.25">
      <c r="A5859" t="s">
        <v>7850</v>
      </c>
      <c r="B5859" s="1" t="str">
        <f>HYPERLINK("https://asmlis.vasa.lt/Dashboard/Served?ServiceDateFrom=2025-11-24&amp;ServiceDateTo=2025-11-24&amp;DumpsterInvNr=13-L-214965", "13-L-214965")</f>
        <v>13-L-214965</v>
      </c>
      <c r="C5859">
        <v>0.24</v>
      </c>
      <c r="D5859" t="s">
        <v>5864</v>
      </c>
      <c r="E5859" t="s">
        <v>11</v>
      </c>
      <c r="G5859" t="s">
        <v>936</v>
      </c>
      <c r="H5859" t="s">
        <v>938</v>
      </c>
    </row>
    <row r="5860" spans="1:8" hidden="1" x14ac:dyDescent="0.25">
      <c r="A5860" t="s">
        <v>8063</v>
      </c>
      <c r="B5860" s="1" t="str">
        <f>HYPERLINK("https://asmlis.vasa.lt/Dashboard/Served?ServiceDateFrom=2025-11-24&amp;ServiceDateTo=2025-11-24&amp;DumpsterInvNr=13-L-415380", "13-L-415380")</f>
        <v>13-L-415380</v>
      </c>
      <c r="C5860">
        <v>5</v>
      </c>
      <c r="D5860" t="s">
        <v>8064</v>
      </c>
      <c r="E5860" t="s">
        <v>11</v>
      </c>
      <c r="G5860" t="s">
        <v>74</v>
      </c>
      <c r="H5860" t="s">
        <v>14</v>
      </c>
    </row>
    <row r="5861" spans="1:8" hidden="1" x14ac:dyDescent="0.25">
      <c r="A5861" t="s">
        <v>8065</v>
      </c>
      <c r="B5861" s="1" t="str">
        <f>HYPERLINK("https://asmlis.vasa.lt/Dashboard/Served?ServiceDateFrom=2025-11-24&amp;ServiceDateTo=2025-11-24&amp;DumpsterInvNr=13-L-319623", "13-L-319623")</f>
        <v>13-L-319623</v>
      </c>
      <c r="C5861">
        <v>1.1000000000000001</v>
      </c>
      <c r="D5861" t="s">
        <v>8029</v>
      </c>
      <c r="E5861" t="s">
        <v>11</v>
      </c>
      <c r="F5861" t="s">
        <v>13</v>
      </c>
      <c r="G5861" t="s">
        <v>9</v>
      </c>
      <c r="H5861" t="s">
        <v>14</v>
      </c>
    </row>
    <row r="5862" spans="1:8" hidden="1" x14ac:dyDescent="0.25">
      <c r="A5862" t="s">
        <v>8065</v>
      </c>
      <c r="B5862" s="1" t="str">
        <f>HYPERLINK("https://asmlis.vasa.lt/Dashboard/Served?ServiceDateFrom=2025-11-24&amp;ServiceDateTo=2025-11-24&amp;DumpsterInvNr=13-P-101086", "13-P-101086")</f>
        <v>13-P-101086</v>
      </c>
      <c r="C5862">
        <v>0.24</v>
      </c>
      <c r="D5862" t="s">
        <v>8062</v>
      </c>
      <c r="E5862" t="s">
        <v>11</v>
      </c>
      <c r="G5862" t="s">
        <v>1917</v>
      </c>
      <c r="H5862" t="s">
        <v>432</v>
      </c>
    </row>
    <row r="5863" spans="1:8" hidden="1" x14ac:dyDescent="0.25">
      <c r="A5863" t="s">
        <v>7755</v>
      </c>
      <c r="B5863" s="1" t="str">
        <f>HYPERLINK("https://asmlis.vasa.lt/Dashboard/Served?ServiceDateFrom=2025-11-24&amp;ServiceDateTo=2025-11-24&amp;DumpsterInvNr=13-L-424333", "13-L-424333")</f>
        <v>13-L-424333</v>
      </c>
      <c r="C5863">
        <v>1.1000000000000001</v>
      </c>
      <c r="D5863" t="s">
        <v>8066</v>
      </c>
      <c r="E5863" t="s">
        <v>11</v>
      </c>
      <c r="G5863" t="s">
        <v>74</v>
      </c>
      <c r="H5863" t="s">
        <v>14</v>
      </c>
    </row>
    <row r="5864" spans="1:8" hidden="1" x14ac:dyDescent="0.25">
      <c r="A5864" t="s">
        <v>8067</v>
      </c>
      <c r="B5864" s="1" t="str">
        <f>HYPERLINK("https://asmlis.vasa.lt/Dashboard/Served?ServiceDateFrom=2025-11-24&amp;ServiceDateTo=2025-11-24&amp;DumpsterInvNr=13-L-317513", "13-L-317513")</f>
        <v>13-L-317513</v>
      </c>
      <c r="C5864">
        <v>1.1000000000000001</v>
      </c>
      <c r="D5864" t="s">
        <v>8068</v>
      </c>
      <c r="E5864" t="s">
        <v>11</v>
      </c>
      <c r="G5864" t="s">
        <v>9</v>
      </c>
      <c r="H5864" t="s">
        <v>14</v>
      </c>
    </row>
    <row r="5865" spans="1:8" hidden="1" x14ac:dyDescent="0.25">
      <c r="A5865" t="s">
        <v>8069</v>
      </c>
      <c r="B5865" s="1" t="str">
        <f>HYPERLINK("https://asmlis.vasa.lt/Dashboard/Served?ServiceDateFrom=2025-11-24&amp;ServiceDateTo=2025-11-24&amp;DumpsterInvNr=13-S-208270", "13-S-208270")</f>
        <v>13-S-208270</v>
      </c>
      <c r="C5865">
        <v>0.12</v>
      </c>
      <c r="D5865" t="s">
        <v>7946</v>
      </c>
      <c r="E5865" t="s">
        <v>11</v>
      </c>
      <c r="F5865" t="s">
        <v>1209</v>
      </c>
      <c r="G5865" t="s">
        <v>234</v>
      </c>
      <c r="H5865" t="s">
        <v>14</v>
      </c>
    </row>
    <row r="5866" spans="1:8" hidden="1" x14ac:dyDescent="0.25">
      <c r="A5866" t="s">
        <v>8069</v>
      </c>
      <c r="B5866" s="1" t="str">
        <f>HYPERLINK("https://asmlis.vasa.lt/Dashboard/Served?ServiceDateFrom=2025-11-24&amp;ServiceDateTo=2025-11-24&amp;DumpsterInvNr=13-M-206969", "13-M-206969")</f>
        <v>13-M-206969</v>
      </c>
      <c r="C5866">
        <v>0.12</v>
      </c>
      <c r="D5866" t="s">
        <v>8070</v>
      </c>
      <c r="E5866" t="s">
        <v>11</v>
      </c>
      <c r="G5866" t="s">
        <v>4876</v>
      </c>
      <c r="H5866" t="s">
        <v>938</v>
      </c>
    </row>
    <row r="5867" spans="1:8" hidden="1" x14ac:dyDescent="0.25">
      <c r="A5867" t="s">
        <v>8071</v>
      </c>
      <c r="B5867" s="1" t="str">
        <f>HYPERLINK("https://asmlis.vasa.lt/Dashboard/Served?ServiceDateFrom=2025-11-24&amp;ServiceDateTo=2025-11-24&amp;DumpsterInvNr=13-L-426004", "13-L-426004")</f>
        <v>13-L-426004</v>
      </c>
      <c r="C5867">
        <v>1.1000000000000001</v>
      </c>
      <c r="D5867" t="s">
        <v>8066</v>
      </c>
      <c r="E5867" t="s">
        <v>11</v>
      </c>
      <c r="G5867" t="s">
        <v>74</v>
      </c>
      <c r="H5867" t="s">
        <v>14</v>
      </c>
    </row>
    <row r="5868" spans="1:8" hidden="1" x14ac:dyDescent="0.25">
      <c r="A5868" t="s">
        <v>8073</v>
      </c>
      <c r="B5868" s="1" t="str">
        <f>HYPERLINK("https://asmlis.vasa.lt/Dashboard/Served?ServiceDateFrom=2025-11-24&amp;ServiceDateTo=2025-11-24&amp;DumpsterInvNr=13-L-120334", "13-L-120334")</f>
        <v>13-L-120334</v>
      </c>
      <c r="C5868">
        <v>0.12</v>
      </c>
      <c r="D5868" t="s">
        <v>8074</v>
      </c>
      <c r="E5868" t="s">
        <v>11</v>
      </c>
      <c r="G5868" t="s">
        <v>1912</v>
      </c>
      <c r="H5868" t="s">
        <v>432</v>
      </c>
    </row>
    <row r="5869" spans="1:8" hidden="1" x14ac:dyDescent="0.25">
      <c r="A5869" t="s">
        <v>8075</v>
      </c>
      <c r="B5869" s="1" t="str">
        <f>HYPERLINK("https://asmlis.vasa.lt/Dashboard/Served?ServiceDateFrom=2025-11-24&amp;ServiceDateTo=2025-11-24&amp;DumpsterInvNr=13-L-116554", "13-L-116554")</f>
        <v>13-L-116554</v>
      </c>
      <c r="C5869">
        <v>0.77</v>
      </c>
      <c r="D5869" t="s">
        <v>8076</v>
      </c>
      <c r="E5869" t="s">
        <v>11</v>
      </c>
      <c r="G5869" t="s">
        <v>430</v>
      </c>
      <c r="H5869" t="s">
        <v>432</v>
      </c>
    </row>
    <row r="5870" spans="1:8" hidden="1" x14ac:dyDescent="0.25">
      <c r="A5870" t="s">
        <v>8075</v>
      </c>
      <c r="B5870" s="1" t="str">
        <f>HYPERLINK("https://asmlis.vasa.lt/Dashboard/Served?ServiceDateFrom=2025-11-24&amp;ServiceDateTo=2025-11-24&amp;DumpsterInvNr=13-P-207702", "13-P-207702")</f>
        <v>13-P-207702</v>
      </c>
      <c r="C5870">
        <v>5</v>
      </c>
      <c r="D5870" t="s">
        <v>2513</v>
      </c>
      <c r="E5870" t="s">
        <v>11</v>
      </c>
      <c r="G5870" t="s">
        <v>234</v>
      </c>
      <c r="H5870" t="s">
        <v>14</v>
      </c>
    </row>
    <row r="5871" spans="1:8" hidden="1" x14ac:dyDescent="0.25">
      <c r="A5871" t="s">
        <v>8078</v>
      </c>
      <c r="B5871" s="1" t="str">
        <f>HYPERLINK("https://asmlis.vasa.lt/Dashboard/Served?ServiceDateFrom=2025-11-24&amp;ServiceDateTo=2025-11-24&amp;DumpsterInvNr=13-P-411577", "13-P-411577")</f>
        <v>13-P-411577</v>
      </c>
      <c r="C5871">
        <v>0.24</v>
      </c>
      <c r="D5871" t="s">
        <v>8079</v>
      </c>
      <c r="E5871" t="s">
        <v>11</v>
      </c>
      <c r="G5871" t="s">
        <v>264</v>
      </c>
      <c r="H5871" t="s">
        <v>14</v>
      </c>
    </row>
    <row r="5872" spans="1:8" hidden="1" x14ac:dyDescent="0.25">
      <c r="A5872" t="s">
        <v>8078</v>
      </c>
      <c r="B5872" s="1" t="str">
        <f>HYPERLINK("https://asmlis.vasa.lt/Dashboard/Served?ServiceDateFrom=2025-11-24&amp;ServiceDateTo=2025-11-24&amp;DumpsterInvNr=13-P-408790", "13-P-408790")</f>
        <v>13-P-408790</v>
      </c>
      <c r="C5872">
        <v>5</v>
      </c>
      <c r="D5872" t="s">
        <v>8058</v>
      </c>
      <c r="E5872" t="s">
        <v>11</v>
      </c>
      <c r="G5872" t="s">
        <v>264</v>
      </c>
      <c r="H5872" t="s">
        <v>14</v>
      </c>
    </row>
    <row r="5873" spans="1:10" hidden="1" x14ac:dyDescent="0.25">
      <c r="A5873" t="s">
        <v>8080</v>
      </c>
      <c r="B5873" s="1" t="str">
        <f>HYPERLINK("https://asmlis.vasa.lt/Dashboard/Served?ServiceDateFrom=2025-11-24&amp;ServiceDateTo=2025-11-24&amp;DumpsterInvNr=13-L-318211", "13-L-318211")</f>
        <v>13-L-318211</v>
      </c>
      <c r="C5873">
        <v>1.1000000000000001</v>
      </c>
      <c r="D5873" t="s">
        <v>8060</v>
      </c>
      <c r="E5873" t="s">
        <v>11</v>
      </c>
      <c r="G5873" t="s">
        <v>9</v>
      </c>
      <c r="H5873" t="s">
        <v>14</v>
      </c>
    </row>
    <row r="5874" spans="1:10" hidden="1" x14ac:dyDescent="0.25">
      <c r="A5874" t="s">
        <v>8080</v>
      </c>
      <c r="B5874" s="1" t="str">
        <f>HYPERLINK("https://asmlis.vasa.lt/Dashboard/Served?ServiceDateFrom=2025-11-24&amp;ServiceDateTo=2025-11-24&amp;DumpsterInvNr=13-P-500540", "13-P-500540")</f>
        <v>13-P-500540</v>
      </c>
      <c r="C5874">
        <v>5</v>
      </c>
      <c r="D5874" t="s">
        <v>8081</v>
      </c>
      <c r="E5874" t="s">
        <v>11</v>
      </c>
      <c r="F5874" t="s">
        <v>13</v>
      </c>
      <c r="G5874" t="s">
        <v>2178</v>
      </c>
      <c r="H5874" t="s">
        <v>432</v>
      </c>
    </row>
    <row r="5875" spans="1:10" hidden="1" x14ac:dyDescent="0.25">
      <c r="A5875" t="s">
        <v>8082</v>
      </c>
      <c r="B5875" s="1" t="str">
        <f>HYPERLINK("https://asmlis.vasa.lt/Dashboard/Served?ServiceDateFrom=2025-11-24&amp;ServiceDateTo=2025-11-24&amp;DumpsterInvNr=13-L-420940", "13-L-420940")</f>
        <v>13-L-420940</v>
      </c>
      <c r="C5875">
        <v>5</v>
      </c>
      <c r="D5875" t="s">
        <v>8083</v>
      </c>
      <c r="E5875" t="s">
        <v>11</v>
      </c>
      <c r="G5875" t="s">
        <v>74</v>
      </c>
      <c r="H5875" t="s">
        <v>14</v>
      </c>
    </row>
    <row r="5876" spans="1:10" x14ac:dyDescent="0.25">
      <c r="A5876" t="s">
        <v>8084</v>
      </c>
      <c r="B5876" s="1" t="str">
        <f>HYPERLINK("https://asmlis.vasa.lt/Dashboard/Served?ServiceDateFrom=2025-11-24&amp;ServiceDateTo=2025-11-24&amp;DumpsterInvNr=13-P-415675", "13-P-415675")</f>
        <v>13-P-415675</v>
      </c>
      <c r="C5876">
        <v>0.24</v>
      </c>
      <c r="D5876" t="s">
        <v>8085</v>
      </c>
      <c r="E5876" t="s">
        <v>11</v>
      </c>
      <c r="F5876" t="s">
        <v>1215</v>
      </c>
      <c r="G5876" t="s">
        <v>264</v>
      </c>
      <c r="H5876" t="s">
        <v>14</v>
      </c>
      <c r="J5876" t="s">
        <v>17511</v>
      </c>
    </row>
    <row r="5877" spans="1:10" hidden="1" x14ac:dyDescent="0.25">
      <c r="A5877" t="s">
        <v>7881</v>
      </c>
      <c r="B5877" s="1" t="str">
        <f>HYPERLINK("https://asmlis.vasa.lt/Dashboard/Served?ServiceDateFrom=2025-11-24&amp;ServiceDateTo=2025-11-24&amp;DumpsterInvNr=13-L-420701", "13-L-420701")</f>
        <v>13-L-420701</v>
      </c>
      <c r="C5877">
        <v>1.1000000000000001</v>
      </c>
      <c r="D5877" t="s">
        <v>8066</v>
      </c>
      <c r="E5877" t="s">
        <v>11</v>
      </c>
      <c r="G5877" t="s">
        <v>74</v>
      </c>
      <c r="H5877" t="s">
        <v>14</v>
      </c>
    </row>
    <row r="5878" spans="1:10" x14ac:dyDescent="0.25">
      <c r="A5878" t="s">
        <v>8087</v>
      </c>
      <c r="B5878" s="1" t="str">
        <f>HYPERLINK("https://asmlis.vasa.lt/Dashboard/Served?ServiceDateFrom=2025-11-24&amp;ServiceDateTo=2025-11-24&amp;DumpsterInvNr=13-P-102378", "13-P-102378")</f>
        <v>13-P-102378</v>
      </c>
      <c r="C5878">
        <v>5</v>
      </c>
      <c r="D5878" t="s">
        <v>2507</v>
      </c>
      <c r="E5878" t="s">
        <v>11</v>
      </c>
      <c r="F5878" t="s">
        <v>2491</v>
      </c>
      <c r="G5878" t="s">
        <v>1917</v>
      </c>
      <c r="H5878" t="s">
        <v>432</v>
      </c>
      <c r="J5878" t="s">
        <v>17511</v>
      </c>
    </row>
    <row r="5879" spans="1:10" hidden="1" x14ac:dyDescent="0.25">
      <c r="A5879" t="s">
        <v>8088</v>
      </c>
      <c r="B5879" s="1" t="str">
        <f>HYPERLINK("https://asmlis.vasa.lt/Dashboard/Served?ServiceDateFrom=2025-11-24&amp;ServiceDateTo=2025-11-24&amp;DumpsterInvNr=13-L-146860", "13-L-146860")</f>
        <v>13-L-146860</v>
      </c>
      <c r="C5879">
        <v>1.1000000000000001</v>
      </c>
      <c r="D5879" t="s">
        <v>8090</v>
      </c>
      <c r="E5879" t="s">
        <v>11</v>
      </c>
      <c r="G5879" t="s">
        <v>1912</v>
      </c>
      <c r="H5879" t="s">
        <v>432</v>
      </c>
    </row>
    <row r="5880" spans="1:10" hidden="1" x14ac:dyDescent="0.25">
      <c r="A5880" t="s">
        <v>8091</v>
      </c>
      <c r="B5880" s="1" t="str">
        <f>HYPERLINK("https://asmlis.vasa.lt/Dashboard/Served?ServiceDateFrom=2025-11-24&amp;ServiceDateTo=2025-11-24&amp;DumpsterInvNr=13-L-223734", "13-L-223734")</f>
        <v>13-L-223734</v>
      </c>
      <c r="C5880">
        <v>1.1000000000000001</v>
      </c>
      <c r="D5880" t="s">
        <v>7192</v>
      </c>
      <c r="E5880" t="s">
        <v>11</v>
      </c>
      <c r="G5880" t="s">
        <v>936</v>
      </c>
      <c r="H5880" t="s">
        <v>938</v>
      </c>
    </row>
    <row r="5881" spans="1:10" hidden="1" x14ac:dyDescent="0.25">
      <c r="A5881" t="s">
        <v>8091</v>
      </c>
      <c r="B5881" s="1" t="str">
        <f>HYPERLINK("https://asmlis.vasa.lt/Dashboard/Served?ServiceDateFrom=2025-11-24&amp;ServiceDateTo=2025-11-24&amp;DumpsterInvNr=13-M-207914", "13-M-207914")</f>
        <v>13-M-207914</v>
      </c>
      <c r="C5881">
        <v>0.12</v>
      </c>
      <c r="D5881" t="s">
        <v>8092</v>
      </c>
      <c r="E5881" t="s">
        <v>11</v>
      </c>
      <c r="F5881" t="s">
        <v>1209</v>
      </c>
      <c r="G5881" t="s">
        <v>4876</v>
      </c>
      <c r="H5881" t="s">
        <v>938</v>
      </c>
    </row>
    <row r="5882" spans="1:10" hidden="1" x14ac:dyDescent="0.25">
      <c r="A5882" t="s">
        <v>8093</v>
      </c>
      <c r="B5882" s="1" t="str">
        <f>HYPERLINK("https://asmlis.vasa.lt/Dashboard/Served?ServiceDateFrom=2025-11-24&amp;ServiceDateTo=2025-11-24&amp;DumpsterInvNr=13-L-225365", "13-L-225365")</f>
        <v>13-L-225365</v>
      </c>
      <c r="C5882">
        <v>1.1000000000000001</v>
      </c>
      <c r="D5882" t="s">
        <v>8094</v>
      </c>
      <c r="E5882" t="s">
        <v>11</v>
      </c>
      <c r="G5882" t="s">
        <v>936</v>
      </c>
      <c r="H5882" t="s">
        <v>938</v>
      </c>
    </row>
    <row r="5883" spans="1:10" hidden="1" x14ac:dyDescent="0.25">
      <c r="A5883" t="s">
        <v>8093</v>
      </c>
      <c r="B5883" s="1" t="str">
        <f>HYPERLINK("https://asmlis.vasa.lt/Dashboard/Served?ServiceDateFrom=2025-11-24&amp;ServiceDateTo=2025-11-24&amp;DumpsterInvNr=13-L-316413", "13-L-316413")</f>
        <v>13-L-316413</v>
      </c>
      <c r="C5883">
        <v>0.24</v>
      </c>
      <c r="D5883" t="s">
        <v>8095</v>
      </c>
      <c r="E5883" t="s">
        <v>11</v>
      </c>
      <c r="G5883" t="s">
        <v>9</v>
      </c>
      <c r="H5883" t="s">
        <v>14</v>
      </c>
    </row>
    <row r="5884" spans="1:10" hidden="1" x14ac:dyDescent="0.25">
      <c r="A5884" t="s">
        <v>8093</v>
      </c>
      <c r="B5884" s="1" t="str">
        <f>HYPERLINK("https://asmlis.vasa.lt/Dashboard/Served?ServiceDateFrom=2025-11-24&amp;ServiceDateTo=2025-11-24&amp;DumpsterInvNr=13-P-205105", "13-P-205105")</f>
        <v>13-P-205105</v>
      </c>
      <c r="C5884">
        <v>0.24</v>
      </c>
      <c r="D5884" t="s">
        <v>8097</v>
      </c>
      <c r="E5884" t="s">
        <v>11</v>
      </c>
      <c r="G5884" t="s">
        <v>234</v>
      </c>
      <c r="H5884" t="s">
        <v>14</v>
      </c>
    </row>
    <row r="5885" spans="1:10" hidden="1" x14ac:dyDescent="0.25">
      <c r="A5885" t="s">
        <v>8098</v>
      </c>
      <c r="B5885" s="1" t="str">
        <f>HYPERLINK("https://asmlis.vasa.lt/Dashboard/Served?ServiceDateFrom=2025-11-24&amp;ServiceDateTo=2025-11-24&amp;DumpsterInvNr=13-L-116553", "13-L-116553")</f>
        <v>13-L-116553</v>
      </c>
      <c r="C5885">
        <v>0.77</v>
      </c>
      <c r="D5885" t="s">
        <v>8076</v>
      </c>
      <c r="E5885" t="s">
        <v>11</v>
      </c>
      <c r="G5885" t="s">
        <v>430</v>
      </c>
      <c r="H5885" t="s">
        <v>432</v>
      </c>
    </row>
    <row r="5886" spans="1:10" hidden="1" x14ac:dyDescent="0.25">
      <c r="A5886" t="s">
        <v>8099</v>
      </c>
      <c r="B5886" s="1" t="str">
        <f>HYPERLINK("https://asmlis.vasa.lt/Dashboard/Served?ServiceDateFrom=2025-11-24&amp;ServiceDateTo=2025-11-24&amp;DumpsterInvNr=13-L-212609", "13-L-212609")</f>
        <v>13-L-212609</v>
      </c>
      <c r="C5886">
        <v>1.1000000000000001</v>
      </c>
      <c r="D5886" t="s">
        <v>8100</v>
      </c>
      <c r="E5886" t="s">
        <v>11</v>
      </c>
      <c r="G5886" t="s">
        <v>936</v>
      </c>
      <c r="H5886" t="s">
        <v>938</v>
      </c>
    </row>
    <row r="5887" spans="1:10" hidden="1" x14ac:dyDescent="0.25">
      <c r="A5887" t="s">
        <v>8101</v>
      </c>
      <c r="B5887" s="1" t="str">
        <f>HYPERLINK("https://asmlis.vasa.lt/Dashboard/Served?ServiceDateFrom=2025-11-24&amp;ServiceDateTo=2025-11-24&amp;DumpsterInvNr=13-L-117441", "13-L-117441")</f>
        <v>13-L-117441</v>
      </c>
      <c r="C5887">
        <v>0.24</v>
      </c>
      <c r="D5887" t="s">
        <v>8102</v>
      </c>
      <c r="E5887" t="s">
        <v>11</v>
      </c>
      <c r="G5887" t="s">
        <v>1912</v>
      </c>
      <c r="H5887" t="s">
        <v>432</v>
      </c>
    </row>
    <row r="5888" spans="1:10" hidden="1" x14ac:dyDescent="0.25">
      <c r="A5888" t="s">
        <v>8101</v>
      </c>
      <c r="B5888" s="1" t="str">
        <f>HYPERLINK("https://asmlis.vasa.lt/Dashboard/Served?ServiceDateFrom=2025-11-24&amp;ServiceDateTo=2025-11-24&amp;DumpsterInvNr=13-P-112091", "13-P-112091")</f>
        <v>13-P-112091</v>
      </c>
      <c r="C5888">
        <v>0.24</v>
      </c>
      <c r="D5888" t="s">
        <v>8104</v>
      </c>
      <c r="E5888" t="s">
        <v>11</v>
      </c>
      <c r="G5888" t="s">
        <v>1917</v>
      </c>
      <c r="H5888" t="s">
        <v>432</v>
      </c>
    </row>
    <row r="5889" spans="1:8" hidden="1" x14ac:dyDescent="0.25">
      <c r="A5889" t="s">
        <v>8105</v>
      </c>
      <c r="B5889" s="1" t="str">
        <f>HYPERLINK("https://asmlis.vasa.lt/Dashboard/Served?ServiceDateFrom=2025-11-24&amp;ServiceDateTo=2025-11-24&amp;DumpsterInvNr=13-L-222464", "13-L-222464")</f>
        <v>13-L-222464</v>
      </c>
      <c r="C5889">
        <v>0.24</v>
      </c>
      <c r="D5889" t="s">
        <v>5797</v>
      </c>
      <c r="E5889" t="s">
        <v>11</v>
      </c>
      <c r="G5889" t="s">
        <v>936</v>
      </c>
      <c r="H5889" t="s">
        <v>938</v>
      </c>
    </row>
    <row r="5890" spans="1:8" hidden="1" x14ac:dyDescent="0.25">
      <c r="A5890" t="s">
        <v>8106</v>
      </c>
      <c r="B5890" s="1" t="str">
        <f>HYPERLINK("https://asmlis.vasa.lt/Dashboard/Served?ServiceDateFrom=2025-11-24&amp;ServiceDateTo=2025-11-24&amp;DumpsterInvNr=13-L-136003", "13-L-136003")</f>
        <v>13-L-136003</v>
      </c>
      <c r="C5890">
        <v>5</v>
      </c>
      <c r="D5890" t="s">
        <v>8107</v>
      </c>
      <c r="E5890" t="s">
        <v>11</v>
      </c>
      <c r="F5890" t="s">
        <v>13</v>
      </c>
      <c r="G5890" t="s">
        <v>430</v>
      </c>
      <c r="H5890" t="s">
        <v>432</v>
      </c>
    </row>
    <row r="5891" spans="1:8" hidden="1" x14ac:dyDescent="0.25">
      <c r="A5891" t="s">
        <v>8108</v>
      </c>
      <c r="B5891" s="1" t="str">
        <f>HYPERLINK("https://asmlis.vasa.lt/Dashboard/Served?ServiceDateFrom=2025-11-24&amp;ServiceDateTo=2025-11-24&amp;DumpsterInvNr=13-L-307498", "13-L-307498")</f>
        <v>13-L-307498</v>
      </c>
      <c r="C5891">
        <v>1.1000000000000001</v>
      </c>
      <c r="D5891" t="s">
        <v>8068</v>
      </c>
      <c r="E5891" t="s">
        <v>11</v>
      </c>
      <c r="G5891" t="s">
        <v>9</v>
      </c>
      <c r="H5891" t="s">
        <v>14</v>
      </c>
    </row>
    <row r="5892" spans="1:8" hidden="1" x14ac:dyDescent="0.25">
      <c r="A5892" t="s">
        <v>8109</v>
      </c>
      <c r="B5892" s="1" t="str">
        <f>HYPERLINK("https://asmlis.vasa.lt/Dashboard/Served?ServiceDateFrom=2025-11-24&amp;ServiceDateTo=2025-11-24&amp;DumpsterInvNr=13-L-205207", "13-L-205207")</f>
        <v>13-L-205207</v>
      </c>
      <c r="C5892">
        <v>1.1000000000000001</v>
      </c>
      <c r="D5892" t="s">
        <v>8100</v>
      </c>
      <c r="E5892" t="s">
        <v>11</v>
      </c>
      <c r="F5892" t="s">
        <v>13</v>
      </c>
      <c r="G5892" t="s">
        <v>936</v>
      </c>
      <c r="H5892" t="s">
        <v>938</v>
      </c>
    </row>
    <row r="5893" spans="1:8" hidden="1" x14ac:dyDescent="0.25">
      <c r="A5893" t="s">
        <v>8110</v>
      </c>
      <c r="B5893" s="1" t="str">
        <f>HYPERLINK("https://asmlis.vasa.lt/Dashboard/Served?ServiceDateFrom=2025-11-24&amp;ServiceDateTo=2025-11-24&amp;DumpsterInvNr=13-S-203418", "13-S-203418")</f>
        <v>13-S-203418</v>
      </c>
      <c r="C5893">
        <v>0.12</v>
      </c>
      <c r="D5893" t="s">
        <v>8111</v>
      </c>
      <c r="E5893" t="s">
        <v>11</v>
      </c>
      <c r="F5893" t="s">
        <v>1209</v>
      </c>
      <c r="G5893" t="s">
        <v>234</v>
      </c>
      <c r="H5893" t="s">
        <v>14</v>
      </c>
    </row>
    <row r="5894" spans="1:8" hidden="1" x14ac:dyDescent="0.25">
      <c r="A5894" t="s">
        <v>8112</v>
      </c>
      <c r="B5894" s="1" t="str">
        <f>HYPERLINK("https://asmlis.vasa.lt/Dashboard/Served?ServiceDateFrom=2025-11-24&amp;ServiceDateTo=2025-11-24&amp;DumpsterInvNr=13-P-401055", "13-P-401055")</f>
        <v>13-P-401055</v>
      </c>
      <c r="C5894">
        <v>0.12</v>
      </c>
      <c r="D5894" t="s">
        <v>8113</v>
      </c>
      <c r="E5894" t="s">
        <v>11</v>
      </c>
      <c r="G5894" t="s">
        <v>264</v>
      </c>
      <c r="H5894" t="s">
        <v>14</v>
      </c>
    </row>
    <row r="5895" spans="1:8" hidden="1" x14ac:dyDescent="0.25">
      <c r="A5895" t="s">
        <v>8114</v>
      </c>
      <c r="B5895" s="1" t="str">
        <f>HYPERLINK("https://asmlis.vasa.lt/Dashboard/Served?ServiceDateFrom=2025-11-24&amp;ServiceDateTo=2025-11-24&amp;DumpsterInvNr=13-P-209766", "13-P-209766")</f>
        <v>13-P-209766</v>
      </c>
      <c r="C5895">
        <v>0.24</v>
      </c>
      <c r="D5895" t="s">
        <v>8111</v>
      </c>
      <c r="E5895" t="s">
        <v>11</v>
      </c>
      <c r="G5895" t="s">
        <v>234</v>
      </c>
      <c r="H5895" t="s">
        <v>14</v>
      </c>
    </row>
    <row r="5896" spans="1:8" hidden="1" x14ac:dyDescent="0.25">
      <c r="A5896" t="s">
        <v>8116</v>
      </c>
      <c r="B5896" s="1" t="str">
        <f>HYPERLINK("https://asmlis.vasa.lt/Dashboard/Served?ServiceDateFrom=2025-11-24&amp;ServiceDateTo=2025-11-24&amp;DumpsterInvNr=13-L-117442", "13-L-117442")</f>
        <v>13-L-117442</v>
      </c>
      <c r="C5896">
        <v>0.24</v>
      </c>
      <c r="D5896" t="s">
        <v>8104</v>
      </c>
      <c r="E5896" t="s">
        <v>11</v>
      </c>
      <c r="F5896" t="s">
        <v>1209</v>
      </c>
      <c r="G5896" t="s">
        <v>1912</v>
      </c>
      <c r="H5896" t="s">
        <v>432</v>
      </c>
    </row>
    <row r="5897" spans="1:8" hidden="1" x14ac:dyDescent="0.25">
      <c r="A5897" t="s">
        <v>8118</v>
      </c>
      <c r="B5897" s="1" t="str">
        <f>HYPERLINK("https://asmlis.vasa.lt/Dashboard/Served?ServiceDateFrom=2025-11-24&amp;ServiceDateTo=2025-11-24&amp;DumpsterInvNr=13-L-149131", "13-L-149131")</f>
        <v>13-L-149131</v>
      </c>
      <c r="C5897">
        <v>1.1000000000000001</v>
      </c>
      <c r="D5897" t="s">
        <v>4126</v>
      </c>
      <c r="E5897" t="s">
        <v>11</v>
      </c>
      <c r="G5897" t="s">
        <v>430</v>
      </c>
      <c r="H5897" t="s">
        <v>432</v>
      </c>
    </row>
    <row r="5898" spans="1:8" hidden="1" x14ac:dyDescent="0.25">
      <c r="A5898" t="s">
        <v>8119</v>
      </c>
      <c r="B5898" s="1" t="str">
        <f>HYPERLINK("https://asmlis.vasa.lt/Dashboard/Served?ServiceDateFrom=2025-11-24&amp;ServiceDateTo=2025-11-24&amp;DumpsterInvNr=13-L-149168", "13-L-149168")</f>
        <v>13-L-149168</v>
      </c>
      <c r="C5898">
        <v>0.77</v>
      </c>
      <c r="D5898" t="s">
        <v>8076</v>
      </c>
      <c r="E5898" t="s">
        <v>11</v>
      </c>
      <c r="G5898" t="s">
        <v>430</v>
      </c>
      <c r="H5898" t="s">
        <v>432</v>
      </c>
    </row>
    <row r="5899" spans="1:8" hidden="1" x14ac:dyDescent="0.25">
      <c r="A5899" t="s">
        <v>8121</v>
      </c>
      <c r="B5899" s="1" t="str">
        <f>HYPERLINK("https://asmlis.vasa.lt/Dashboard/Served?ServiceDateFrom=2025-11-24&amp;ServiceDateTo=2025-11-24&amp;DumpsterInvNr=13-L-227606", "13-L-227606")</f>
        <v>13-L-227606</v>
      </c>
      <c r="C5899">
        <v>1.1000000000000001</v>
      </c>
      <c r="D5899" t="s">
        <v>8094</v>
      </c>
      <c r="E5899" t="s">
        <v>11</v>
      </c>
      <c r="G5899" t="s">
        <v>936</v>
      </c>
      <c r="H5899" t="s">
        <v>938</v>
      </c>
    </row>
    <row r="5900" spans="1:8" hidden="1" x14ac:dyDescent="0.25">
      <c r="A5900" t="s">
        <v>8121</v>
      </c>
      <c r="B5900" s="1" t="str">
        <f>HYPERLINK("https://asmlis.vasa.lt/Dashboard/Served?ServiceDateFrom=2025-11-24&amp;ServiceDateTo=2025-11-24&amp;DumpsterInvNr=13-P-205213", "13-P-205213")</f>
        <v>13-P-205213</v>
      </c>
      <c r="C5900">
        <v>0.24</v>
      </c>
      <c r="D5900" t="s">
        <v>8122</v>
      </c>
      <c r="E5900" t="s">
        <v>11</v>
      </c>
      <c r="F5900" t="s">
        <v>1209</v>
      </c>
      <c r="G5900" t="s">
        <v>234</v>
      </c>
      <c r="H5900" t="s">
        <v>14</v>
      </c>
    </row>
    <row r="5901" spans="1:8" hidden="1" x14ac:dyDescent="0.25">
      <c r="A5901" t="s">
        <v>8121</v>
      </c>
      <c r="B5901" s="1" t="str">
        <f>HYPERLINK("https://asmlis.vasa.lt/Dashboard/Served?ServiceDateFrom=2025-11-24&amp;ServiceDateTo=2025-11-24&amp;DumpsterInvNr=13-M-206973", "13-M-206973")</f>
        <v>13-M-206973</v>
      </c>
      <c r="C5901">
        <v>0.12</v>
      </c>
      <c r="D5901" t="s">
        <v>8123</v>
      </c>
      <c r="E5901" t="s">
        <v>11</v>
      </c>
      <c r="G5901" t="s">
        <v>4876</v>
      </c>
      <c r="H5901" t="s">
        <v>938</v>
      </c>
    </row>
    <row r="5902" spans="1:8" hidden="1" x14ac:dyDescent="0.25">
      <c r="A5902" t="s">
        <v>8124</v>
      </c>
      <c r="B5902" s="1" t="str">
        <f>HYPERLINK("https://asmlis.vasa.lt/Dashboard/Served?ServiceDateFrom=2025-11-24&amp;ServiceDateTo=2025-11-24&amp;DumpsterInvNr=13-P-411461", "13-P-411461")</f>
        <v>13-P-411461</v>
      </c>
      <c r="C5902">
        <v>0.24</v>
      </c>
      <c r="D5902" t="s">
        <v>8125</v>
      </c>
      <c r="E5902" t="s">
        <v>11</v>
      </c>
      <c r="G5902" t="s">
        <v>264</v>
      </c>
      <c r="H5902" t="s">
        <v>14</v>
      </c>
    </row>
    <row r="5903" spans="1:8" hidden="1" x14ac:dyDescent="0.25">
      <c r="A5903" t="s">
        <v>8126</v>
      </c>
      <c r="B5903" s="1" t="str">
        <f>HYPERLINK("https://asmlis.vasa.lt/Dashboard/Served?ServiceDateFrom=2025-11-24&amp;ServiceDateTo=2025-11-24&amp;DumpsterInvNr=13-L-107349", "13-L-107349")</f>
        <v>13-L-107349</v>
      </c>
      <c r="C5903">
        <v>3</v>
      </c>
      <c r="D5903" t="s">
        <v>8127</v>
      </c>
      <c r="E5903" t="s">
        <v>11</v>
      </c>
      <c r="F5903" t="s">
        <v>13</v>
      </c>
      <c r="G5903" t="s">
        <v>1912</v>
      </c>
      <c r="H5903" t="s">
        <v>432</v>
      </c>
    </row>
    <row r="5904" spans="1:8" hidden="1" x14ac:dyDescent="0.25">
      <c r="A5904" t="s">
        <v>8126</v>
      </c>
      <c r="B5904" s="1" t="str">
        <f>HYPERLINK("https://asmlis.vasa.lt/Dashboard/Served?ServiceDateFrom=2025-11-24&amp;ServiceDateTo=2025-11-24&amp;DumpsterInvNr=13-L-420924", "13-L-420924")</f>
        <v>13-L-420924</v>
      </c>
      <c r="C5904">
        <v>5</v>
      </c>
      <c r="D5904" t="s">
        <v>8083</v>
      </c>
      <c r="E5904" t="s">
        <v>11</v>
      </c>
      <c r="F5904" t="s">
        <v>13</v>
      </c>
      <c r="G5904" t="s">
        <v>74</v>
      </c>
      <c r="H5904" t="s">
        <v>14</v>
      </c>
    </row>
    <row r="5905" spans="1:8" hidden="1" x14ac:dyDescent="0.25">
      <c r="A5905" t="s">
        <v>8128</v>
      </c>
      <c r="B5905" s="1" t="str">
        <f>HYPERLINK("https://asmlis.vasa.lt/Dashboard/Served?ServiceDateFrom=2025-11-24&amp;ServiceDateTo=2025-11-24&amp;DumpsterInvNr=13-S-207859", "13-S-207859")</f>
        <v>13-S-207859</v>
      </c>
      <c r="C5905">
        <v>3</v>
      </c>
      <c r="D5905" t="s">
        <v>8129</v>
      </c>
      <c r="E5905" t="s">
        <v>11</v>
      </c>
      <c r="G5905" t="s">
        <v>234</v>
      </c>
      <c r="H5905" t="s">
        <v>14</v>
      </c>
    </row>
    <row r="5906" spans="1:8" hidden="1" x14ac:dyDescent="0.25">
      <c r="A5906" t="s">
        <v>8130</v>
      </c>
      <c r="B5906" s="1" t="str">
        <f>HYPERLINK("https://asmlis.vasa.lt/Dashboard/Served?ServiceDateFrom=2025-11-24&amp;ServiceDateTo=2025-11-24&amp;DumpsterInvNr=13-P-500628", "13-P-500628")</f>
        <v>13-P-500628</v>
      </c>
      <c r="C5906">
        <v>5</v>
      </c>
      <c r="D5906" t="s">
        <v>8131</v>
      </c>
      <c r="E5906" t="s">
        <v>11</v>
      </c>
      <c r="F5906" t="s">
        <v>13</v>
      </c>
      <c r="G5906" t="s">
        <v>2178</v>
      </c>
      <c r="H5906" t="s">
        <v>432</v>
      </c>
    </row>
    <row r="5907" spans="1:8" hidden="1" x14ac:dyDescent="0.25">
      <c r="A5907" t="s">
        <v>8132</v>
      </c>
      <c r="B5907" s="1" t="str">
        <f>HYPERLINK("https://asmlis.vasa.lt/Dashboard/Served?ServiceDateFrom=2025-11-24&amp;ServiceDateTo=2025-11-24&amp;DumpsterInvNr=13-P-413980", "13-P-413980")</f>
        <v>13-P-413980</v>
      </c>
      <c r="C5907">
        <v>2.5</v>
      </c>
      <c r="D5907" t="s">
        <v>8133</v>
      </c>
      <c r="E5907" t="s">
        <v>11</v>
      </c>
      <c r="F5907" t="s">
        <v>13</v>
      </c>
      <c r="G5907" t="s">
        <v>264</v>
      </c>
      <c r="H5907" t="s">
        <v>14</v>
      </c>
    </row>
    <row r="5908" spans="1:8" hidden="1" x14ac:dyDescent="0.25">
      <c r="A5908" t="s">
        <v>8134</v>
      </c>
      <c r="B5908" s="1" t="str">
        <f>HYPERLINK("https://asmlis.vasa.lt/Dashboard/Served?ServiceDateFrom=2025-11-24&amp;ServiceDateTo=2025-11-24&amp;DumpsterInvNr=13-P-306725", "13-P-306725")</f>
        <v>13-P-306725</v>
      </c>
      <c r="C5908">
        <v>5</v>
      </c>
      <c r="D5908" t="s">
        <v>8135</v>
      </c>
      <c r="E5908" t="s">
        <v>11</v>
      </c>
      <c r="F5908" t="s">
        <v>13</v>
      </c>
      <c r="G5908" t="s">
        <v>412</v>
      </c>
      <c r="H5908" t="s">
        <v>14</v>
      </c>
    </row>
    <row r="5909" spans="1:8" hidden="1" x14ac:dyDescent="0.25">
      <c r="A5909" t="s">
        <v>8134</v>
      </c>
      <c r="B5909" s="1" t="str">
        <f>HYPERLINK("https://asmlis.vasa.lt/Dashboard/Served?ServiceDateFrom=2025-11-24&amp;ServiceDateTo=2025-11-24&amp;DumpsterInvNr=13-P-401077", "13-P-401077")</f>
        <v>13-P-401077</v>
      </c>
      <c r="C5909">
        <v>1.1000000000000001</v>
      </c>
      <c r="D5909" t="s">
        <v>348</v>
      </c>
      <c r="E5909" t="s">
        <v>11</v>
      </c>
      <c r="G5909" t="s">
        <v>264</v>
      </c>
      <c r="H5909" t="s">
        <v>14</v>
      </c>
    </row>
    <row r="5910" spans="1:8" hidden="1" x14ac:dyDescent="0.25">
      <c r="A5910" t="s">
        <v>8136</v>
      </c>
      <c r="B5910" s="1" t="str">
        <f>HYPERLINK("https://asmlis.vasa.lt/Dashboard/Served?ServiceDateFrom=2025-11-24&amp;ServiceDateTo=2025-11-24&amp;DumpsterInvNr=13-L-114472", "13-L-114472")</f>
        <v>13-L-114472</v>
      </c>
      <c r="C5910">
        <v>0.24</v>
      </c>
      <c r="D5910" t="s">
        <v>8137</v>
      </c>
      <c r="E5910" t="s">
        <v>11</v>
      </c>
      <c r="G5910" t="s">
        <v>1912</v>
      </c>
      <c r="H5910" t="s">
        <v>432</v>
      </c>
    </row>
    <row r="5911" spans="1:8" hidden="1" x14ac:dyDescent="0.25">
      <c r="A5911" t="s">
        <v>8136</v>
      </c>
      <c r="B5911" s="1" t="str">
        <f>HYPERLINK("https://asmlis.vasa.lt/Dashboard/Served?ServiceDateFrom=2025-11-24&amp;ServiceDateTo=2025-11-24&amp;DumpsterInvNr=13-L-219559", "13-L-219559")</f>
        <v>13-L-219559</v>
      </c>
      <c r="C5911">
        <v>1.1000000000000001</v>
      </c>
      <c r="D5911" t="s">
        <v>8094</v>
      </c>
      <c r="E5911" t="s">
        <v>11</v>
      </c>
      <c r="G5911" t="s">
        <v>936</v>
      </c>
      <c r="H5911" t="s">
        <v>938</v>
      </c>
    </row>
    <row r="5912" spans="1:8" hidden="1" x14ac:dyDescent="0.25">
      <c r="A5912" t="s">
        <v>8136</v>
      </c>
      <c r="B5912" s="1" t="str">
        <f>HYPERLINK("https://asmlis.vasa.lt/Dashboard/Served?ServiceDateFrom=2025-11-24&amp;ServiceDateTo=2025-11-24&amp;DumpsterInvNr=13-M-200956", "13-M-200956")</f>
        <v>13-M-200956</v>
      </c>
      <c r="C5912">
        <v>0.12</v>
      </c>
      <c r="D5912" t="s">
        <v>8139</v>
      </c>
      <c r="E5912" t="s">
        <v>11</v>
      </c>
      <c r="F5912" t="s">
        <v>1209</v>
      </c>
      <c r="G5912" t="s">
        <v>4876</v>
      </c>
      <c r="H5912" t="s">
        <v>938</v>
      </c>
    </row>
    <row r="5913" spans="1:8" hidden="1" x14ac:dyDescent="0.25">
      <c r="A5913" t="s">
        <v>8141</v>
      </c>
      <c r="B5913" s="1" t="str">
        <f>HYPERLINK("https://asmlis.vasa.lt/Dashboard/Served?ServiceDateFrom=2025-11-24&amp;ServiceDateTo=2025-11-24&amp;DumpsterInvNr=13-L-148380", "13-L-148380")</f>
        <v>13-L-148380</v>
      </c>
      <c r="C5913">
        <v>1.1000000000000001</v>
      </c>
      <c r="D5913" t="s">
        <v>4126</v>
      </c>
      <c r="E5913" t="s">
        <v>11</v>
      </c>
      <c r="G5913" t="s">
        <v>430</v>
      </c>
      <c r="H5913" t="s">
        <v>432</v>
      </c>
    </row>
    <row r="5914" spans="1:8" hidden="1" x14ac:dyDescent="0.25">
      <c r="A5914" t="s">
        <v>8142</v>
      </c>
      <c r="B5914" s="1" t="str">
        <f>HYPERLINK("https://asmlis.vasa.lt/Dashboard/Served?ServiceDateFrom=2025-11-24&amp;ServiceDateTo=2025-11-24&amp;DumpsterInvNr=13-P-301743", "13-P-301743")</f>
        <v>13-P-301743</v>
      </c>
      <c r="C5914">
        <v>1.1000000000000001</v>
      </c>
      <c r="D5914" t="s">
        <v>2157</v>
      </c>
      <c r="E5914" t="s">
        <v>11</v>
      </c>
      <c r="F5914" t="s">
        <v>13</v>
      </c>
      <c r="G5914" t="s">
        <v>412</v>
      </c>
      <c r="H5914" t="s">
        <v>14</v>
      </c>
    </row>
    <row r="5915" spans="1:8" hidden="1" x14ac:dyDescent="0.25">
      <c r="A5915" t="s">
        <v>8143</v>
      </c>
      <c r="B5915" s="1" t="str">
        <f>HYPERLINK("https://asmlis.vasa.lt/Dashboard/Served?ServiceDateFrom=2025-11-24&amp;ServiceDateTo=2025-11-24&amp;DumpsterInvNr=13-P-101076", "13-P-101076")</f>
        <v>13-P-101076</v>
      </c>
      <c r="C5915">
        <v>0.24</v>
      </c>
      <c r="D5915" t="s">
        <v>8137</v>
      </c>
      <c r="E5915" t="s">
        <v>11</v>
      </c>
      <c r="G5915" t="s">
        <v>1917</v>
      </c>
      <c r="H5915" t="s">
        <v>432</v>
      </c>
    </row>
    <row r="5916" spans="1:8" hidden="1" x14ac:dyDescent="0.25">
      <c r="A5916" t="s">
        <v>8144</v>
      </c>
      <c r="B5916" s="1" t="str">
        <f>HYPERLINK("https://asmlis.vasa.lt/Dashboard/Served?ServiceDateFrom=2025-11-24&amp;ServiceDateTo=2025-11-24&amp;DumpsterInvNr=13-P-211035", "13-P-211035")</f>
        <v>13-P-211035</v>
      </c>
      <c r="C5916">
        <v>0.24</v>
      </c>
      <c r="D5916" t="s">
        <v>8145</v>
      </c>
      <c r="E5916" t="s">
        <v>11</v>
      </c>
      <c r="G5916" t="s">
        <v>234</v>
      </c>
      <c r="H5916" t="s">
        <v>14</v>
      </c>
    </row>
    <row r="5917" spans="1:8" hidden="1" x14ac:dyDescent="0.25">
      <c r="A5917" t="s">
        <v>8146</v>
      </c>
      <c r="B5917" s="1" t="str">
        <f>HYPERLINK("https://asmlis.vasa.lt/Dashboard/Served?ServiceDateFrom=2025-11-24&amp;ServiceDateTo=2025-11-24&amp;DumpsterInvNr=13-L-208634", "13-L-208634")</f>
        <v>13-L-208634</v>
      </c>
      <c r="C5917">
        <v>1.1000000000000001</v>
      </c>
      <c r="D5917" t="s">
        <v>8147</v>
      </c>
      <c r="E5917" t="s">
        <v>11</v>
      </c>
      <c r="F5917" t="s">
        <v>13</v>
      </c>
      <c r="G5917" t="s">
        <v>936</v>
      </c>
      <c r="H5917" t="s">
        <v>938</v>
      </c>
    </row>
    <row r="5918" spans="1:8" hidden="1" x14ac:dyDescent="0.25">
      <c r="A5918" t="s">
        <v>8148</v>
      </c>
      <c r="B5918" s="1" t="str">
        <f>HYPERLINK("https://asmlis.vasa.lt/Dashboard/Served?ServiceDateFrom=2025-11-24&amp;ServiceDateTo=2025-11-24&amp;DumpsterInvNr=13-M-206965", "13-M-206965")</f>
        <v>13-M-206965</v>
      </c>
      <c r="C5918">
        <v>0.12</v>
      </c>
      <c r="D5918" t="s">
        <v>8149</v>
      </c>
      <c r="E5918" t="s">
        <v>11</v>
      </c>
      <c r="G5918" t="s">
        <v>4876</v>
      </c>
      <c r="H5918" t="s">
        <v>938</v>
      </c>
    </row>
    <row r="5919" spans="1:8" hidden="1" x14ac:dyDescent="0.25">
      <c r="A5919" t="s">
        <v>8150</v>
      </c>
      <c r="B5919" s="1" t="str">
        <f>HYPERLINK("https://asmlis.vasa.lt/Dashboard/Served?ServiceDateFrom=2025-11-24&amp;ServiceDateTo=2025-11-24&amp;DumpsterInvNr=13-P-105204", "13-P-105204")</f>
        <v>13-P-105204</v>
      </c>
      <c r="C5919">
        <v>1.1000000000000001</v>
      </c>
      <c r="D5919" t="s">
        <v>8151</v>
      </c>
      <c r="E5919" t="s">
        <v>11</v>
      </c>
      <c r="G5919" t="s">
        <v>1917</v>
      </c>
      <c r="H5919" t="s">
        <v>432</v>
      </c>
    </row>
    <row r="5920" spans="1:8" hidden="1" x14ac:dyDescent="0.25">
      <c r="A5920" t="s">
        <v>8150</v>
      </c>
      <c r="B5920" s="1" t="str">
        <f>HYPERLINK("https://asmlis.vasa.lt/Dashboard/Served?ServiceDateFrom=2025-11-24&amp;ServiceDateTo=2025-11-24&amp;DumpsterInvNr=13-M-202046", "13-M-202046")</f>
        <v>13-M-202046</v>
      </c>
      <c r="C5920">
        <v>0.12</v>
      </c>
      <c r="D5920" t="s">
        <v>8152</v>
      </c>
      <c r="E5920" t="s">
        <v>11</v>
      </c>
      <c r="G5920" t="s">
        <v>4876</v>
      </c>
      <c r="H5920" t="s">
        <v>938</v>
      </c>
    </row>
    <row r="5921" spans="1:8" hidden="1" x14ac:dyDescent="0.25">
      <c r="A5921" t="s">
        <v>7930</v>
      </c>
      <c r="B5921" s="1" t="str">
        <f>HYPERLINK("https://asmlis.vasa.lt/Dashboard/Served?ServiceDateFrom=2025-11-24&amp;ServiceDateTo=2025-11-24&amp;DumpsterInvNr=13-P-401189", "13-P-401189")</f>
        <v>13-P-401189</v>
      </c>
      <c r="C5921">
        <v>1.1000000000000001</v>
      </c>
      <c r="D5921" t="s">
        <v>348</v>
      </c>
      <c r="E5921" t="s">
        <v>11</v>
      </c>
      <c r="G5921" t="s">
        <v>264</v>
      </c>
      <c r="H5921" t="s">
        <v>14</v>
      </c>
    </row>
    <row r="5922" spans="1:8" hidden="1" x14ac:dyDescent="0.25">
      <c r="A5922" t="s">
        <v>8031</v>
      </c>
      <c r="B5922" s="1" t="str">
        <f>HYPERLINK("https://asmlis.vasa.lt/Dashboard/Served?ServiceDateFrom=2025-11-24&amp;ServiceDateTo=2025-11-24&amp;DumpsterInvNr=13-L-405111", "13-L-405111")</f>
        <v>13-L-405111</v>
      </c>
      <c r="C5922">
        <v>1.1000000000000001</v>
      </c>
      <c r="D5922" t="s">
        <v>8153</v>
      </c>
      <c r="E5922" t="s">
        <v>11</v>
      </c>
      <c r="G5922" t="s">
        <v>74</v>
      </c>
      <c r="H5922" t="s">
        <v>14</v>
      </c>
    </row>
    <row r="5923" spans="1:8" hidden="1" x14ac:dyDescent="0.25">
      <c r="A5923" t="s">
        <v>8154</v>
      </c>
      <c r="B5923" s="1" t="str">
        <f>HYPERLINK("https://asmlis.vasa.lt/Dashboard/Served?ServiceDateFrom=2025-11-24&amp;ServiceDateTo=2025-11-24&amp;DumpsterInvNr=13-M-202403", "13-M-202403")</f>
        <v>13-M-202403</v>
      </c>
      <c r="C5923">
        <v>0.12</v>
      </c>
      <c r="D5923" t="s">
        <v>8155</v>
      </c>
      <c r="E5923" t="s">
        <v>11</v>
      </c>
      <c r="F5923" t="s">
        <v>1209</v>
      </c>
      <c r="G5923" t="s">
        <v>4876</v>
      </c>
      <c r="H5923" t="s">
        <v>938</v>
      </c>
    </row>
    <row r="5924" spans="1:8" hidden="1" x14ac:dyDescent="0.25">
      <c r="A5924" t="s">
        <v>8157</v>
      </c>
      <c r="B5924" s="1" t="str">
        <f>HYPERLINK("https://asmlis.vasa.lt/Dashboard/Served?ServiceDateFrom=2025-11-24&amp;ServiceDateTo=2025-11-24&amp;DumpsterInvNr=13-L-146564", "13-L-146564")</f>
        <v>13-L-146564</v>
      </c>
      <c r="C5924">
        <v>1.1000000000000001</v>
      </c>
      <c r="D5924" t="s">
        <v>4126</v>
      </c>
      <c r="E5924" t="s">
        <v>11</v>
      </c>
      <c r="G5924" t="s">
        <v>430</v>
      </c>
      <c r="H5924" t="s">
        <v>432</v>
      </c>
    </row>
    <row r="5925" spans="1:8" hidden="1" x14ac:dyDescent="0.25">
      <c r="A5925" t="s">
        <v>8158</v>
      </c>
      <c r="B5925" s="1" t="str">
        <f>HYPERLINK("https://asmlis.vasa.lt/Dashboard/Served?ServiceDateFrom=2025-11-24&amp;ServiceDateTo=2025-11-24&amp;DumpsterInvNr=13-P-501811", "13-P-501811")</f>
        <v>13-P-501811</v>
      </c>
      <c r="C5925">
        <v>5</v>
      </c>
      <c r="D5925" t="s">
        <v>8081</v>
      </c>
      <c r="E5925" t="s">
        <v>11</v>
      </c>
      <c r="F5925" t="s">
        <v>13</v>
      </c>
      <c r="G5925" t="s">
        <v>2178</v>
      </c>
      <c r="H5925" t="s">
        <v>432</v>
      </c>
    </row>
    <row r="5926" spans="1:8" hidden="1" x14ac:dyDescent="0.25">
      <c r="A5926" t="s">
        <v>8159</v>
      </c>
      <c r="B5926" s="1" t="str">
        <f>HYPERLINK("https://asmlis.vasa.lt/Dashboard/Served?ServiceDateFrom=2025-11-24&amp;ServiceDateTo=2025-11-24&amp;DumpsterInvNr=13-L-304776", "13-L-304776")</f>
        <v>13-L-304776</v>
      </c>
      <c r="C5926">
        <v>1.1000000000000001</v>
      </c>
      <c r="D5926" t="s">
        <v>8068</v>
      </c>
      <c r="E5926" t="s">
        <v>11</v>
      </c>
      <c r="G5926" t="s">
        <v>9</v>
      </c>
      <c r="H5926" t="s">
        <v>14</v>
      </c>
    </row>
    <row r="5927" spans="1:8" hidden="1" x14ac:dyDescent="0.25">
      <c r="A5927" t="s">
        <v>8159</v>
      </c>
      <c r="B5927" s="1" t="str">
        <f>HYPERLINK("https://asmlis.vasa.lt/Dashboard/Served?ServiceDateFrom=2025-11-24&amp;ServiceDateTo=2025-11-24&amp;DumpsterInvNr=13-L-228091", "13-L-228091")</f>
        <v>13-L-228091</v>
      </c>
      <c r="C5927">
        <v>0.24</v>
      </c>
      <c r="D5927" t="s">
        <v>5765</v>
      </c>
      <c r="E5927" t="s">
        <v>11</v>
      </c>
      <c r="G5927" t="s">
        <v>936</v>
      </c>
      <c r="H5927" t="s">
        <v>938</v>
      </c>
    </row>
    <row r="5928" spans="1:8" hidden="1" x14ac:dyDescent="0.25">
      <c r="A5928" t="s">
        <v>8160</v>
      </c>
      <c r="B5928" s="1" t="str">
        <f>HYPERLINK("https://asmlis.vasa.lt/Dashboard/Served?ServiceDateFrom=2025-11-24&amp;ServiceDateTo=2025-11-24&amp;DumpsterInvNr=13-P-211241", "13-P-211241")</f>
        <v>13-P-211241</v>
      </c>
      <c r="C5928">
        <v>0.24</v>
      </c>
      <c r="D5928" t="s">
        <v>8161</v>
      </c>
      <c r="E5928" t="s">
        <v>11</v>
      </c>
      <c r="G5928" t="s">
        <v>234</v>
      </c>
      <c r="H5928" t="s">
        <v>14</v>
      </c>
    </row>
    <row r="5929" spans="1:8" hidden="1" x14ac:dyDescent="0.25">
      <c r="A5929" t="s">
        <v>8160</v>
      </c>
      <c r="B5929" s="1" t="str">
        <f>HYPERLINK("https://asmlis.vasa.lt/Dashboard/Served?ServiceDateFrom=2025-11-24&amp;ServiceDateTo=2025-11-24&amp;DumpsterInvNr=13-S-207623", "13-S-207623")</f>
        <v>13-S-207623</v>
      </c>
      <c r="C5929">
        <v>0.12</v>
      </c>
      <c r="D5929" t="s">
        <v>8161</v>
      </c>
      <c r="E5929" t="s">
        <v>11</v>
      </c>
      <c r="G5929" t="s">
        <v>234</v>
      </c>
      <c r="H5929" t="s">
        <v>14</v>
      </c>
    </row>
    <row r="5930" spans="1:8" hidden="1" x14ac:dyDescent="0.25">
      <c r="A5930" t="s">
        <v>8160</v>
      </c>
      <c r="B5930" s="1" t="str">
        <f>HYPERLINK("https://asmlis.vasa.lt/Dashboard/Served?ServiceDateFrom=2025-11-24&amp;ServiceDateTo=2025-11-24&amp;DumpsterInvNr=13-M-200945", "13-M-200945")</f>
        <v>13-M-200945</v>
      </c>
      <c r="C5930">
        <v>0.12</v>
      </c>
      <c r="D5930" t="s">
        <v>8162</v>
      </c>
      <c r="E5930" t="s">
        <v>11</v>
      </c>
      <c r="F5930" t="s">
        <v>1209</v>
      </c>
      <c r="G5930" t="s">
        <v>4876</v>
      </c>
      <c r="H5930" t="s">
        <v>938</v>
      </c>
    </row>
    <row r="5931" spans="1:8" hidden="1" x14ac:dyDescent="0.25">
      <c r="A5931" t="s">
        <v>8163</v>
      </c>
      <c r="B5931" s="1" t="str">
        <f>HYPERLINK("https://asmlis.vasa.lt/Dashboard/Served?ServiceDateFrom=2025-11-24&amp;ServiceDateTo=2025-11-24&amp;DumpsterInvNr=13-L-424946", "13-L-424946")</f>
        <v>13-L-424946</v>
      </c>
      <c r="C5931">
        <v>1.1000000000000001</v>
      </c>
      <c r="D5931" t="s">
        <v>873</v>
      </c>
      <c r="E5931" t="s">
        <v>11</v>
      </c>
      <c r="F5931" t="s">
        <v>13</v>
      </c>
      <c r="G5931" t="s">
        <v>74</v>
      </c>
      <c r="H5931" t="s">
        <v>14</v>
      </c>
    </row>
    <row r="5932" spans="1:8" hidden="1" x14ac:dyDescent="0.25">
      <c r="A5932" t="s">
        <v>8164</v>
      </c>
      <c r="B5932" s="1" t="str">
        <f>HYPERLINK("https://asmlis.vasa.lt/Dashboard/Served?ServiceDateFrom=2025-11-24&amp;ServiceDateTo=2025-11-24&amp;DumpsterInvNr=13-L-304777", "13-L-304777")</f>
        <v>13-L-304777</v>
      </c>
      <c r="C5932">
        <v>1.1000000000000001</v>
      </c>
      <c r="D5932" t="s">
        <v>8068</v>
      </c>
      <c r="E5932" t="s">
        <v>11</v>
      </c>
      <c r="G5932" t="s">
        <v>9</v>
      </c>
      <c r="H5932" t="s">
        <v>14</v>
      </c>
    </row>
    <row r="5933" spans="1:8" hidden="1" x14ac:dyDescent="0.25">
      <c r="A5933" t="s">
        <v>8165</v>
      </c>
      <c r="B5933" s="1" t="str">
        <f>HYPERLINK("https://asmlis.vasa.lt/Dashboard/Served?ServiceDateFrom=2025-11-24&amp;ServiceDateTo=2025-11-24&amp;DumpsterInvNr=13-L-143220", "13-L-143220")</f>
        <v>13-L-143220</v>
      </c>
      <c r="C5933">
        <v>1.1000000000000001</v>
      </c>
      <c r="D5933" t="s">
        <v>4126</v>
      </c>
      <c r="E5933" t="s">
        <v>11</v>
      </c>
      <c r="G5933" t="s">
        <v>430</v>
      </c>
      <c r="H5933" t="s">
        <v>432</v>
      </c>
    </row>
    <row r="5934" spans="1:8" hidden="1" x14ac:dyDescent="0.25">
      <c r="A5934" t="s">
        <v>8166</v>
      </c>
      <c r="B5934" s="1" t="str">
        <f>HYPERLINK("https://asmlis.vasa.lt/Dashboard/Served?ServiceDateFrom=2025-11-24&amp;ServiceDateTo=2025-11-24&amp;DumpsterInvNr=13-L-426411", "13-L-426411")</f>
        <v>13-L-426411</v>
      </c>
      <c r="C5934">
        <v>1.1000000000000001</v>
      </c>
      <c r="D5934" t="s">
        <v>873</v>
      </c>
      <c r="E5934" t="s">
        <v>11</v>
      </c>
      <c r="F5934" t="s">
        <v>13</v>
      </c>
      <c r="G5934" t="s">
        <v>74</v>
      </c>
      <c r="H5934" t="s">
        <v>14</v>
      </c>
    </row>
    <row r="5935" spans="1:8" hidden="1" x14ac:dyDescent="0.25">
      <c r="A5935" t="s">
        <v>6568</v>
      </c>
      <c r="B5935" s="1" t="str">
        <f>HYPERLINK("https://asmlis.vasa.lt/Dashboard/Served?ServiceDateFrom=2025-11-24&amp;ServiceDateTo=2025-11-24&amp;DumpsterInvNr=13-P-401119", "13-P-401119")</f>
        <v>13-P-401119</v>
      </c>
      <c r="C5935">
        <v>1.1000000000000001</v>
      </c>
      <c r="D5935" t="s">
        <v>348</v>
      </c>
      <c r="E5935" t="s">
        <v>11</v>
      </c>
      <c r="F5935" t="s">
        <v>13</v>
      </c>
      <c r="G5935" t="s">
        <v>264</v>
      </c>
      <c r="H5935" t="s">
        <v>14</v>
      </c>
    </row>
    <row r="5936" spans="1:8" hidden="1" x14ac:dyDescent="0.25">
      <c r="A5936" t="s">
        <v>7913</v>
      </c>
      <c r="B5936" s="1" t="str">
        <f>HYPERLINK("https://asmlis.vasa.lt/Dashboard/Served?ServiceDateFrom=2025-11-24&amp;ServiceDateTo=2025-11-24&amp;DumpsterInvNr=13-L-405083", "13-L-405083")</f>
        <v>13-L-405083</v>
      </c>
      <c r="C5936">
        <v>0.12</v>
      </c>
      <c r="D5936" t="s">
        <v>8167</v>
      </c>
      <c r="E5936" t="s">
        <v>11</v>
      </c>
      <c r="G5936" t="s">
        <v>74</v>
      </c>
      <c r="H5936" t="s">
        <v>14</v>
      </c>
    </row>
    <row r="5937" spans="1:8" hidden="1" x14ac:dyDescent="0.25">
      <c r="A5937" t="s">
        <v>7913</v>
      </c>
      <c r="B5937" s="1" t="str">
        <f>HYPERLINK("https://asmlis.vasa.lt/Dashboard/Served?ServiceDateFrom=2025-11-24&amp;ServiceDateTo=2025-11-24&amp;DumpsterInvNr=13-M-202055", "13-M-202055")</f>
        <v>13-M-202055</v>
      </c>
      <c r="C5937">
        <v>0.12</v>
      </c>
      <c r="D5937" t="s">
        <v>8168</v>
      </c>
      <c r="E5937" t="s">
        <v>11</v>
      </c>
      <c r="F5937" t="s">
        <v>1209</v>
      </c>
      <c r="G5937" t="s">
        <v>4876</v>
      </c>
      <c r="H5937" t="s">
        <v>938</v>
      </c>
    </row>
    <row r="5938" spans="1:8" hidden="1" x14ac:dyDescent="0.25">
      <c r="A5938" t="s">
        <v>7968</v>
      </c>
      <c r="B5938" s="1" t="str">
        <f>HYPERLINK("https://asmlis.vasa.lt/Dashboard/Served?ServiceDateFrom=2025-11-24&amp;ServiceDateTo=2025-11-24&amp;DumpsterInvNr=13-L-405112", "13-L-405112")</f>
        <v>13-L-405112</v>
      </c>
      <c r="C5938">
        <v>1.1000000000000001</v>
      </c>
      <c r="D5938" t="s">
        <v>8153</v>
      </c>
      <c r="E5938" t="s">
        <v>11</v>
      </c>
      <c r="G5938" t="s">
        <v>74</v>
      </c>
      <c r="H5938" t="s">
        <v>14</v>
      </c>
    </row>
    <row r="5939" spans="1:8" hidden="1" x14ac:dyDescent="0.25">
      <c r="A5939" t="s">
        <v>8169</v>
      </c>
      <c r="B5939" s="1" t="str">
        <f>HYPERLINK("https://asmlis.vasa.lt/Dashboard/Served?ServiceDateFrom=2025-11-24&amp;ServiceDateTo=2025-11-24&amp;DumpsterInvNr=13-M-202443", "13-M-202443")</f>
        <v>13-M-202443</v>
      </c>
      <c r="C5939">
        <v>0.12</v>
      </c>
      <c r="D5939" t="s">
        <v>8170</v>
      </c>
      <c r="E5939" t="s">
        <v>11</v>
      </c>
      <c r="F5939" t="s">
        <v>1209</v>
      </c>
      <c r="G5939" t="s">
        <v>4876</v>
      </c>
      <c r="H5939" t="s">
        <v>938</v>
      </c>
    </row>
    <row r="5940" spans="1:8" hidden="1" x14ac:dyDescent="0.25">
      <c r="A5940" t="s">
        <v>8172</v>
      </c>
      <c r="B5940" s="1" t="str">
        <f>HYPERLINK("https://asmlis.vasa.lt/Dashboard/Served?ServiceDateFrom=2025-11-24&amp;ServiceDateTo=2025-11-24&amp;DumpsterInvNr=13-L-222070", "13-L-222070")</f>
        <v>13-L-222070</v>
      </c>
      <c r="C5940">
        <v>1.1000000000000001</v>
      </c>
      <c r="D5940" t="s">
        <v>8100</v>
      </c>
      <c r="E5940" t="s">
        <v>11</v>
      </c>
      <c r="F5940" t="s">
        <v>13</v>
      </c>
      <c r="G5940" t="s">
        <v>936</v>
      </c>
      <c r="H5940" t="s">
        <v>938</v>
      </c>
    </row>
    <row r="5941" spans="1:8" hidden="1" x14ac:dyDescent="0.25">
      <c r="A5941" t="s">
        <v>8173</v>
      </c>
      <c r="B5941" s="1" t="str">
        <f>HYPERLINK("https://asmlis.vasa.lt/Dashboard/Served?ServiceDateFrom=2025-11-24&amp;ServiceDateTo=2025-11-24&amp;DumpsterInvNr=13-L-144622", "13-L-144622")</f>
        <v>13-L-144622</v>
      </c>
      <c r="C5941">
        <v>1.1000000000000001</v>
      </c>
      <c r="D5941" t="s">
        <v>8174</v>
      </c>
      <c r="E5941" t="s">
        <v>11</v>
      </c>
      <c r="G5941" t="s">
        <v>1912</v>
      </c>
      <c r="H5941" t="s">
        <v>432</v>
      </c>
    </row>
    <row r="5942" spans="1:8" hidden="1" x14ac:dyDescent="0.25">
      <c r="A5942" t="s">
        <v>8175</v>
      </c>
      <c r="B5942" s="1" t="str">
        <f>HYPERLINK("https://asmlis.vasa.lt/Dashboard/Served?ServiceDateFrom=2025-11-24&amp;ServiceDateTo=2025-11-24&amp;DumpsterInvNr=13-L-148982", "13-L-148982")</f>
        <v>13-L-148982</v>
      </c>
      <c r="C5942">
        <v>1.1000000000000001</v>
      </c>
      <c r="D5942" t="s">
        <v>4126</v>
      </c>
      <c r="E5942" t="s">
        <v>11</v>
      </c>
      <c r="G5942" t="s">
        <v>430</v>
      </c>
      <c r="H5942" t="s">
        <v>432</v>
      </c>
    </row>
    <row r="5943" spans="1:8" hidden="1" x14ac:dyDescent="0.25">
      <c r="A5943" t="s">
        <v>8177</v>
      </c>
      <c r="B5943" s="1" t="str">
        <f>HYPERLINK("https://asmlis.vasa.lt/Dashboard/Served?ServiceDateFrom=2025-11-24&amp;ServiceDateTo=2025-11-24&amp;DumpsterInvNr=13-L-318701", "13-L-318701")</f>
        <v>13-L-318701</v>
      </c>
      <c r="C5943">
        <v>1.1000000000000001</v>
      </c>
      <c r="D5943" t="s">
        <v>8178</v>
      </c>
      <c r="E5943" t="s">
        <v>11</v>
      </c>
      <c r="G5943" t="s">
        <v>9</v>
      </c>
      <c r="H5943" t="s">
        <v>14</v>
      </c>
    </row>
    <row r="5944" spans="1:8" hidden="1" x14ac:dyDescent="0.25">
      <c r="A5944" t="s">
        <v>8179</v>
      </c>
      <c r="B5944" s="1" t="str">
        <f>HYPERLINK("https://asmlis.vasa.lt/Dashboard/Served?ServiceDateFrom=2025-11-24&amp;ServiceDateTo=2025-11-24&amp;DumpsterInvNr=13-L-214228", "13-L-214228")</f>
        <v>13-L-214228</v>
      </c>
      <c r="C5944">
        <v>5</v>
      </c>
      <c r="D5944" t="s">
        <v>8180</v>
      </c>
      <c r="E5944" t="s">
        <v>11</v>
      </c>
      <c r="G5944" t="s">
        <v>936</v>
      </c>
      <c r="H5944" t="s">
        <v>938</v>
      </c>
    </row>
    <row r="5945" spans="1:8" hidden="1" x14ac:dyDescent="0.25">
      <c r="A5945" t="s">
        <v>8181</v>
      </c>
      <c r="B5945" s="1" t="str">
        <f>HYPERLINK("https://asmlis.vasa.lt/Dashboard/Served?ServiceDateFrom=2025-11-24&amp;ServiceDateTo=2025-11-24&amp;DumpsterInvNr=13-M-206018", "13-M-206018")</f>
        <v>13-M-206018</v>
      </c>
      <c r="C5945">
        <v>0.12</v>
      </c>
      <c r="D5945" t="s">
        <v>8182</v>
      </c>
      <c r="E5945" t="s">
        <v>11</v>
      </c>
      <c r="F5945" t="s">
        <v>1209</v>
      </c>
      <c r="G5945" t="s">
        <v>4876</v>
      </c>
      <c r="H5945" t="s">
        <v>938</v>
      </c>
    </row>
    <row r="5946" spans="1:8" hidden="1" x14ac:dyDescent="0.25">
      <c r="A5946" t="s">
        <v>8183</v>
      </c>
      <c r="B5946" s="1" t="str">
        <f>HYPERLINK("https://asmlis.vasa.lt/Dashboard/Served?ServiceDateFrom=2025-11-24&amp;ServiceDateTo=2025-11-24&amp;DumpsterInvNr=13-P-301762", "13-P-301762")</f>
        <v>13-P-301762</v>
      </c>
      <c r="C5946">
        <v>1.1000000000000001</v>
      </c>
      <c r="D5946" t="s">
        <v>8184</v>
      </c>
      <c r="E5946" t="s">
        <v>11</v>
      </c>
      <c r="F5946" t="s">
        <v>13</v>
      </c>
      <c r="G5946" t="s">
        <v>412</v>
      </c>
      <c r="H5946" t="s">
        <v>14</v>
      </c>
    </row>
    <row r="5947" spans="1:8" hidden="1" x14ac:dyDescent="0.25">
      <c r="A5947" t="s">
        <v>8185</v>
      </c>
      <c r="B5947" s="1" t="str">
        <f>HYPERLINK("https://asmlis.vasa.lt/Dashboard/Served?ServiceDateFrom=2025-11-24&amp;ServiceDateTo=2025-11-24&amp;DumpsterInvNr=13-P-301677", "13-P-301677")</f>
        <v>13-P-301677</v>
      </c>
      <c r="C5947">
        <v>1.1000000000000001</v>
      </c>
      <c r="D5947" t="s">
        <v>8184</v>
      </c>
      <c r="E5947" t="s">
        <v>11</v>
      </c>
      <c r="F5947" t="s">
        <v>13</v>
      </c>
      <c r="G5947" t="s">
        <v>412</v>
      </c>
      <c r="H5947" t="s">
        <v>14</v>
      </c>
    </row>
    <row r="5948" spans="1:8" hidden="1" x14ac:dyDescent="0.25">
      <c r="A5948" t="s">
        <v>7746</v>
      </c>
      <c r="B5948" s="1" t="str">
        <f>HYPERLINK("https://asmlis.vasa.lt/Dashboard/Served?ServiceDateFrom=2025-11-24&amp;ServiceDateTo=2025-11-24&amp;DumpsterInvNr=13-P-301657", "13-P-301657")</f>
        <v>13-P-301657</v>
      </c>
      <c r="C5948">
        <v>1.1000000000000001</v>
      </c>
      <c r="D5948" t="s">
        <v>8184</v>
      </c>
      <c r="E5948" t="s">
        <v>11</v>
      </c>
      <c r="F5948" t="s">
        <v>13</v>
      </c>
      <c r="G5948" t="s">
        <v>412</v>
      </c>
      <c r="H5948" t="s">
        <v>14</v>
      </c>
    </row>
    <row r="5949" spans="1:8" hidden="1" x14ac:dyDescent="0.25">
      <c r="A5949" t="s">
        <v>8186</v>
      </c>
      <c r="B5949" s="1" t="str">
        <f>HYPERLINK("https://asmlis.vasa.lt/Dashboard/Served?ServiceDateFrom=2025-11-24&amp;ServiceDateTo=2025-11-24&amp;DumpsterInvNr=13-P-415893", "13-P-415893")</f>
        <v>13-P-415893</v>
      </c>
      <c r="C5949">
        <v>5</v>
      </c>
      <c r="D5949" t="s">
        <v>799</v>
      </c>
      <c r="E5949" t="s">
        <v>11</v>
      </c>
      <c r="F5949" t="s">
        <v>13</v>
      </c>
      <c r="G5949" t="s">
        <v>264</v>
      </c>
      <c r="H5949" t="s">
        <v>14</v>
      </c>
    </row>
    <row r="5950" spans="1:8" hidden="1" x14ac:dyDescent="0.25">
      <c r="A5950" t="s">
        <v>8187</v>
      </c>
      <c r="B5950" s="1" t="str">
        <f>HYPERLINK("https://asmlis.vasa.lt/Dashboard/Served?ServiceDateFrom=2025-11-24&amp;ServiceDateTo=2025-11-24&amp;DumpsterInvNr=13-L-219355", "13-L-219355")</f>
        <v>13-L-219355</v>
      </c>
      <c r="C5950">
        <v>0.24</v>
      </c>
      <c r="D5950" t="s">
        <v>5738</v>
      </c>
      <c r="E5950" t="s">
        <v>11</v>
      </c>
      <c r="G5950" t="s">
        <v>936</v>
      </c>
      <c r="H5950" t="s">
        <v>938</v>
      </c>
    </row>
    <row r="5951" spans="1:8" hidden="1" x14ac:dyDescent="0.25">
      <c r="A5951" t="s">
        <v>8187</v>
      </c>
      <c r="B5951" s="1" t="str">
        <f>HYPERLINK("https://asmlis.vasa.lt/Dashboard/Served?ServiceDateFrom=2025-11-24&amp;ServiceDateTo=2025-11-24&amp;DumpsterInvNr=13-L-218921", "13-L-218921")</f>
        <v>13-L-218921</v>
      </c>
      <c r="C5951">
        <v>1.1000000000000001</v>
      </c>
      <c r="D5951" t="s">
        <v>7192</v>
      </c>
      <c r="E5951" t="s">
        <v>11</v>
      </c>
      <c r="F5951" t="s">
        <v>13</v>
      </c>
      <c r="G5951" t="s">
        <v>936</v>
      </c>
      <c r="H5951" t="s">
        <v>938</v>
      </c>
    </row>
    <row r="5952" spans="1:8" hidden="1" x14ac:dyDescent="0.25">
      <c r="A5952" t="s">
        <v>8188</v>
      </c>
      <c r="B5952" s="1" t="str">
        <f>HYPERLINK("https://asmlis.vasa.lt/Dashboard/Served?ServiceDateFrom=2025-11-24&amp;ServiceDateTo=2025-11-24&amp;DumpsterInvNr=13-P-205167", "13-P-205167")</f>
        <v>13-P-205167</v>
      </c>
      <c r="C5952">
        <v>0.24</v>
      </c>
      <c r="D5952" t="s">
        <v>8189</v>
      </c>
      <c r="E5952" t="s">
        <v>11</v>
      </c>
      <c r="G5952" t="s">
        <v>234</v>
      </c>
      <c r="H5952" t="s">
        <v>14</v>
      </c>
    </row>
    <row r="5953" spans="1:8" hidden="1" x14ac:dyDescent="0.25">
      <c r="A5953" t="s">
        <v>8190</v>
      </c>
      <c r="B5953" s="1" t="str">
        <f>HYPERLINK("https://asmlis.vasa.lt/Dashboard/Served?ServiceDateFrom=2025-11-24&amp;ServiceDateTo=2025-11-24&amp;DumpsterInvNr=13-P-412190", "13-P-412190")</f>
        <v>13-P-412190</v>
      </c>
      <c r="C5953">
        <v>0.24</v>
      </c>
      <c r="D5953" t="s">
        <v>8191</v>
      </c>
      <c r="E5953" t="s">
        <v>11</v>
      </c>
      <c r="G5953" t="s">
        <v>264</v>
      </c>
      <c r="H5953" t="s">
        <v>14</v>
      </c>
    </row>
    <row r="5954" spans="1:8" hidden="1" x14ac:dyDescent="0.25">
      <c r="A5954" t="s">
        <v>8192</v>
      </c>
      <c r="B5954" s="1" t="str">
        <f>HYPERLINK("https://asmlis.vasa.lt/Dashboard/Served?ServiceDateFrom=2025-11-24&amp;ServiceDateTo=2025-11-24&amp;DumpsterInvNr=13-L-311718", "13-L-311718")</f>
        <v>13-L-311718</v>
      </c>
      <c r="C5954">
        <v>1.1000000000000001</v>
      </c>
      <c r="D5954" t="s">
        <v>8068</v>
      </c>
      <c r="E5954" t="s">
        <v>11</v>
      </c>
      <c r="F5954" t="s">
        <v>13</v>
      </c>
      <c r="G5954" t="s">
        <v>9</v>
      </c>
      <c r="H5954" t="s">
        <v>14</v>
      </c>
    </row>
    <row r="5955" spans="1:8" hidden="1" x14ac:dyDescent="0.25">
      <c r="A5955" t="s">
        <v>8193</v>
      </c>
      <c r="B5955" s="1" t="str">
        <f>HYPERLINK("https://asmlis.vasa.lt/Dashboard/Served?ServiceDateFrom=2025-11-24&amp;ServiceDateTo=2025-11-24&amp;DumpsterInvNr=13-L-201472", "13-L-201472")</f>
        <v>13-L-201472</v>
      </c>
      <c r="C5955">
        <v>0.24</v>
      </c>
      <c r="D5955" t="s">
        <v>5753</v>
      </c>
      <c r="E5955" t="s">
        <v>11</v>
      </c>
      <c r="F5955" t="s">
        <v>1209</v>
      </c>
      <c r="G5955" t="s">
        <v>936</v>
      </c>
      <c r="H5955" t="s">
        <v>938</v>
      </c>
    </row>
    <row r="5956" spans="1:8" hidden="1" x14ac:dyDescent="0.25">
      <c r="A5956" t="s">
        <v>8194</v>
      </c>
      <c r="B5956" s="1" t="str">
        <f>HYPERLINK("https://asmlis.vasa.lt/Dashboard/Served?ServiceDateFrom=2025-11-24&amp;ServiceDateTo=2025-11-24&amp;DumpsterInvNr=13-P-405326", "13-P-405326")</f>
        <v>13-P-405326</v>
      </c>
      <c r="C5956">
        <v>0.24</v>
      </c>
      <c r="D5956" t="s">
        <v>8195</v>
      </c>
      <c r="E5956" t="s">
        <v>11</v>
      </c>
      <c r="G5956" t="s">
        <v>264</v>
      </c>
      <c r="H5956" t="s">
        <v>14</v>
      </c>
    </row>
    <row r="5957" spans="1:8" hidden="1" x14ac:dyDescent="0.25">
      <c r="A5957" t="s">
        <v>8194</v>
      </c>
      <c r="B5957" s="1" t="str">
        <f>HYPERLINK("https://asmlis.vasa.lt/Dashboard/Served?ServiceDateFrom=2025-11-24&amp;ServiceDateTo=2025-11-24&amp;DumpsterInvNr=13-P-415419", "13-P-415419")</f>
        <v>13-P-415419</v>
      </c>
      <c r="C5957">
        <v>0.24</v>
      </c>
      <c r="D5957" t="s">
        <v>8196</v>
      </c>
      <c r="E5957" t="s">
        <v>11</v>
      </c>
      <c r="G5957" t="s">
        <v>264</v>
      </c>
      <c r="H5957" t="s">
        <v>14</v>
      </c>
    </row>
    <row r="5958" spans="1:8" hidden="1" x14ac:dyDescent="0.25">
      <c r="A5958" t="s">
        <v>8197</v>
      </c>
      <c r="B5958" s="1" t="str">
        <f>HYPERLINK("https://asmlis.vasa.lt/Dashboard/Served?ServiceDateFrom=2025-11-24&amp;ServiceDateTo=2025-11-24&amp;DumpsterInvNr=13-L-415415", "13-L-415415")</f>
        <v>13-L-415415</v>
      </c>
      <c r="C5958">
        <v>5</v>
      </c>
      <c r="D5958" t="s">
        <v>8198</v>
      </c>
      <c r="E5958" t="s">
        <v>11</v>
      </c>
      <c r="G5958" t="s">
        <v>74</v>
      </c>
      <c r="H5958" t="s">
        <v>14</v>
      </c>
    </row>
    <row r="5959" spans="1:8" hidden="1" x14ac:dyDescent="0.25">
      <c r="A5959" t="s">
        <v>8199</v>
      </c>
      <c r="B5959" s="1" t="str">
        <f>HYPERLINK("https://asmlis.vasa.lt/Dashboard/Served?ServiceDateFrom=2025-11-24&amp;ServiceDateTo=2025-11-24&amp;DumpsterInvNr=13-L-224377", "13-L-224377")</f>
        <v>13-L-224377</v>
      </c>
      <c r="C5959">
        <v>1.1000000000000001</v>
      </c>
      <c r="D5959" t="s">
        <v>8100</v>
      </c>
      <c r="E5959" t="s">
        <v>11</v>
      </c>
      <c r="G5959" t="s">
        <v>936</v>
      </c>
      <c r="H5959" t="s">
        <v>938</v>
      </c>
    </row>
    <row r="5960" spans="1:8" hidden="1" x14ac:dyDescent="0.25">
      <c r="A5960" t="s">
        <v>8200</v>
      </c>
      <c r="B5960" s="1" t="str">
        <f>HYPERLINK("https://asmlis.vasa.lt/Dashboard/Served?ServiceDateFrom=2025-11-24&amp;ServiceDateTo=2025-11-24&amp;DumpsterInvNr=13-P-302443", "13-P-302443")</f>
        <v>13-P-302443</v>
      </c>
      <c r="C5960">
        <v>3</v>
      </c>
      <c r="D5960" t="s">
        <v>8201</v>
      </c>
      <c r="E5960" t="s">
        <v>11</v>
      </c>
      <c r="G5960" t="s">
        <v>412</v>
      </c>
      <c r="H5960" t="s">
        <v>14</v>
      </c>
    </row>
    <row r="5961" spans="1:8" hidden="1" x14ac:dyDescent="0.25">
      <c r="A5961" t="s">
        <v>8200</v>
      </c>
      <c r="B5961" s="1" t="str">
        <f>HYPERLINK("https://asmlis.vasa.lt/Dashboard/Served?ServiceDateFrom=2025-11-24&amp;ServiceDateTo=2025-11-24&amp;DumpsterInvNr=13-M-206962", "13-M-206962")</f>
        <v>13-M-206962</v>
      </c>
      <c r="C5961">
        <v>0.12</v>
      </c>
      <c r="D5961" t="s">
        <v>8202</v>
      </c>
      <c r="E5961" t="s">
        <v>11</v>
      </c>
      <c r="G5961" t="s">
        <v>4876</v>
      </c>
      <c r="H5961" t="s">
        <v>938</v>
      </c>
    </row>
    <row r="5962" spans="1:8" hidden="1" x14ac:dyDescent="0.25">
      <c r="A5962" t="s">
        <v>8203</v>
      </c>
      <c r="B5962" s="1" t="str">
        <f>HYPERLINK("https://asmlis.vasa.lt/Dashboard/Served?ServiceDateFrom=2025-11-24&amp;ServiceDateTo=2025-11-24&amp;DumpsterInvNr=13-L-136004", "13-L-136004")</f>
        <v>13-L-136004</v>
      </c>
      <c r="C5962">
        <v>5</v>
      </c>
      <c r="D5962" t="s">
        <v>8204</v>
      </c>
      <c r="E5962" t="s">
        <v>11</v>
      </c>
      <c r="F5962" t="s">
        <v>13</v>
      </c>
      <c r="G5962" t="s">
        <v>430</v>
      </c>
      <c r="H5962" t="s">
        <v>432</v>
      </c>
    </row>
    <row r="5963" spans="1:8" hidden="1" x14ac:dyDescent="0.25">
      <c r="A5963" t="s">
        <v>8205</v>
      </c>
      <c r="B5963" s="1" t="str">
        <f>HYPERLINK("https://asmlis.vasa.lt/Dashboard/Served?ServiceDateFrom=2025-11-24&amp;ServiceDateTo=2025-11-24&amp;DumpsterInvNr=13-P-212930", "13-P-212930")</f>
        <v>13-P-212930</v>
      </c>
      <c r="C5963">
        <v>5</v>
      </c>
      <c r="D5963" t="s">
        <v>2587</v>
      </c>
      <c r="E5963" t="s">
        <v>11</v>
      </c>
      <c r="G5963" t="s">
        <v>234</v>
      </c>
      <c r="H5963" t="s">
        <v>14</v>
      </c>
    </row>
    <row r="5964" spans="1:8" hidden="1" x14ac:dyDescent="0.25">
      <c r="A5964" t="s">
        <v>8206</v>
      </c>
      <c r="B5964" s="1" t="str">
        <f>HYPERLINK("https://asmlis.vasa.lt/Dashboard/Served?ServiceDateFrom=2025-11-24&amp;ServiceDateTo=2025-11-24&amp;DumpsterInvNr=13-P-211026", "13-P-211026")</f>
        <v>13-P-211026</v>
      </c>
      <c r="C5964">
        <v>0.24</v>
      </c>
      <c r="D5964" t="s">
        <v>8207</v>
      </c>
      <c r="E5964" t="s">
        <v>11</v>
      </c>
      <c r="F5964" t="s">
        <v>1209</v>
      </c>
      <c r="G5964" t="s">
        <v>234</v>
      </c>
      <c r="H5964" t="s">
        <v>14</v>
      </c>
    </row>
    <row r="5965" spans="1:8" hidden="1" x14ac:dyDescent="0.25">
      <c r="A5965" t="s">
        <v>8208</v>
      </c>
      <c r="B5965" s="1" t="str">
        <f>HYPERLINK("https://asmlis.vasa.lt/Dashboard/Served?ServiceDateFrom=2025-11-24&amp;ServiceDateTo=2025-11-24&amp;DumpsterInvNr=13-L-225945", "13-L-225945")</f>
        <v>13-L-225945</v>
      </c>
      <c r="C5965">
        <v>0.77</v>
      </c>
      <c r="D5965" t="s">
        <v>7192</v>
      </c>
      <c r="E5965" t="s">
        <v>11</v>
      </c>
      <c r="F5965" t="s">
        <v>1209</v>
      </c>
      <c r="G5965" t="s">
        <v>936</v>
      </c>
      <c r="H5965" t="s">
        <v>938</v>
      </c>
    </row>
    <row r="5966" spans="1:8" hidden="1" x14ac:dyDescent="0.25">
      <c r="A5966" t="s">
        <v>8037</v>
      </c>
      <c r="B5966" s="1" t="str">
        <f>HYPERLINK("https://asmlis.vasa.lt/Dashboard/Served?ServiceDateFrom=2025-11-24&amp;ServiceDateTo=2025-11-24&amp;DumpsterInvNr=13-L-224378", "13-L-224378")</f>
        <v>13-L-224378</v>
      </c>
      <c r="C5966">
        <v>0.77</v>
      </c>
      <c r="D5966" t="s">
        <v>8100</v>
      </c>
      <c r="E5966" t="s">
        <v>11</v>
      </c>
      <c r="F5966" t="s">
        <v>13</v>
      </c>
      <c r="G5966" t="s">
        <v>936</v>
      </c>
      <c r="H5966" t="s">
        <v>938</v>
      </c>
    </row>
    <row r="5967" spans="1:8" hidden="1" x14ac:dyDescent="0.25">
      <c r="A5967" t="s">
        <v>8140</v>
      </c>
      <c r="B5967" s="1" t="str">
        <f>HYPERLINK("https://asmlis.vasa.lt/Dashboard/Served?ServiceDateFrom=2025-11-24&amp;ServiceDateTo=2025-11-24&amp;DumpsterInvNr=13-T-000304", "13-T-000304")</f>
        <v>13-T-000304</v>
      </c>
      <c r="C5967">
        <v>2.5</v>
      </c>
      <c r="D5967" t="s">
        <v>8210</v>
      </c>
      <c r="E5967" t="s">
        <v>11</v>
      </c>
      <c r="F5967" t="s">
        <v>13</v>
      </c>
      <c r="G5967" t="s">
        <v>1899</v>
      </c>
      <c r="H5967" t="s">
        <v>432</v>
      </c>
    </row>
    <row r="5968" spans="1:8" hidden="1" x14ac:dyDescent="0.25">
      <c r="A5968" t="s">
        <v>8156</v>
      </c>
      <c r="B5968" s="1" t="str">
        <f>HYPERLINK("https://asmlis.vasa.lt/Dashboard/Served?ServiceDateFrom=2025-11-24&amp;ServiceDateTo=2025-11-24&amp;DumpsterInvNr=13-P-300858", "13-P-300858")</f>
        <v>13-P-300858</v>
      </c>
      <c r="C5968">
        <v>1.1000000000000001</v>
      </c>
      <c r="D5968" t="s">
        <v>2566</v>
      </c>
      <c r="E5968" t="s">
        <v>11</v>
      </c>
      <c r="F5968" t="s">
        <v>13</v>
      </c>
      <c r="G5968" t="s">
        <v>412</v>
      </c>
      <c r="H5968" t="s">
        <v>14</v>
      </c>
    </row>
    <row r="5969" spans="1:8" hidden="1" x14ac:dyDescent="0.25">
      <c r="A5969" t="s">
        <v>8211</v>
      </c>
      <c r="B5969" s="1" t="str">
        <f>HYPERLINK("https://asmlis.vasa.lt/Dashboard/Served?ServiceDateFrom=2025-11-24&amp;ServiceDateTo=2025-11-24&amp;DumpsterInvNr=13-L-134784", "13-L-134784")</f>
        <v>13-L-134784</v>
      </c>
      <c r="C5969">
        <v>5</v>
      </c>
      <c r="D5969" t="s">
        <v>8212</v>
      </c>
      <c r="E5969" t="s">
        <v>11</v>
      </c>
      <c r="F5969" t="s">
        <v>13</v>
      </c>
      <c r="G5969" t="s">
        <v>430</v>
      </c>
      <c r="H5969" t="s">
        <v>432</v>
      </c>
    </row>
    <row r="5970" spans="1:8" hidden="1" x14ac:dyDescent="0.25">
      <c r="A5970" t="s">
        <v>8213</v>
      </c>
      <c r="B5970" s="1" t="str">
        <f>HYPERLINK("https://asmlis.vasa.lt/Dashboard/Served?ServiceDateFrom=2025-11-24&amp;ServiceDateTo=2025-11-24&amp;DumpsterInvNr=13-P-306743", "13-P-306743")</f>
        <v>13-P-306743</v>
      </c>
      <c r="C5970">
        <v>1.1000000000000001</v>
      </c>
      <c r="D5970" t="s">
        <v>2566</v>
      </c>
      <c r="E5970" t="s">
        <v>11</v>
      </c>
      <c r="F5970" t="s">
        <v>13</v>
      </c>
      <c r="G5970" t="s">
        <v>412</v>
      </c>
      <c r="H5970" t="s">
        <v>14</v>
      </c>
    </row>
    <row r="5971" spans="1:8" hidden="1" x14ac:dyDescent="0.25">
      <c r="A5971" t="s">
        <v>8215</v>
      </c>
      <c r="B5971" s="1" t="str">
        <f>HYPERLINK("https://asmlis.vasa.lt/Dashboard/Served?ServiceDateFrom=2025-11-24&amp;ServiceDateTo=2025-11-24&amp;DumpsterInvNr=13-M-202047", "13-M-202047")</f>
        <v>13-M-202047</v>
      </c>
      <c r="C5971">
        <v>0.12</v>
      </c>
      <c r="D5971" t="s">
        <v>8216</v>
      </c>
      <c r="E5971" t="s">
        <v>11</v>
      </c>
      <c r="F5971" t="s">
        <v>1209</v>
      </c>
      <c r="G5971" t="s">
        <v>4876</v>
      </c>
      <c r="H5971" t="s">
        <v>938</v>
      </c>
    </row>
    <row r="5972" spans="1:8" hidden="1" x14ac:dyDescent="0.25">
      <c r="A5972" t="s">
        <v>8217</v>
      </c>
      <c r="B5972" s="1" t="str">
        <f>HYPERLINK("https://asmlis.vasa.lt/Dashboard/Served?ServiceDateFrom=2025-11-24&amp;ServiceDateTo=2025-11-24&amp;DumpsterInvNr=13-L-227607", "13-L-227607")</f>
        <v>13-L-227607</v>
      </c>
      <c r="C5972">
        <v>1.1000000000000001</v>
      </c>
      <c r="D5972" t="s">
        <v>8218</v>
      </c>
      <c r="E5972" t="s">
        <v>11</v>
      </c>
      <c r="G5972" t="s">
        <v>936</v>
      </c>
      <c r="H5972" t="s">
        <v>938</v>
      </c>
    </row>
    <row r="5973" spans="1:8" hidden="1" x14ac:dyDescent="0.25">
      <c r="A5973" t="s">
        <v>8219</v>
      </c>
      <c r="B5973" s="1" t="str">
        <f>HYPERLINK("https://asmlis.vasa.lt/Dashboard/Served?ServiceDateFrom=2025-11-24&amp;ServiceDateTo=2025-11-24&amp;DumpsterInvNr=13-L-314690", "13-L-314690")</f>
        <v>13-L-314690</v>
      </c>
      <c r="C5973">
        <v>1.1000000000000001</v>
      </c>
      <c r="D5973" t="s">
        <v>8220</v>
      </c>
      <c r="E5973" t="s">
        <v>11</v>
      </c>
      <c r="G5973" t="s">
        <v>9</v>
      </c>
      <c r="H5973" t="s">
        <v>14</v>
      </c>
    </row>
    <row r="5974" spans="1:8" hidden="1" x14ac:dyDescent="0.25">
      <c r="A5974" t="s">
        <v>8221</v>
      </c>
      <c r="B5974" s="1" t="str">
        <f>HYPERLINK("https://asmlis.vasa.lt/Dashboard/Served?ServiceDateFrom=2025-11-24&amp;ServiceDateTo=2025-11-24&amp;DumpsterInvNr=13-L-213523", "13-L-213523")</f>
        <v>13-L-213523</v>
      </c>
      <c r="C5974">
        <v>0.24</v>
      </c>
      <c r="D5974" t="s">
        <v>5399</v>
      </c>
      <c r="E5974" t="s">
        <v>11</v>
      </c>
      <c r="G5974" t="s">
        <v>936</v>
      </c>
      <c r="H5974" t="s">
        <v>938</v>
      </c>
    </row>
    <row r="5975" spans="1:8" hidden="1" x14ac:dyDescent="0.25">
      <c r="A5975" t="s">
        <v>8222</v>
      </c>
      <c r="B5975" s="1" t="str">
        <f>HYPERLINK("https://asmlis.vasa.lt/Dashboard/Served?ServiceDateFrom=2025-11-24&amp;ServiceDateTo=2025-11-24&amp;DumpsterInvNr=13-P-412451", "13-P-412451")</f>
        <v>13-P-412451</v>
      </c>
      <c r="C5975">
        <v>0.24</v>
      </c>
      <c r="D5975" t="s">
        <v>8223</v>
      </c>
      <c r="E5975" t="s">
        <v>11</v>
      </c>
      <c r="G5975" t="s">
        <v>264</v>
      </c>
      <c r="H5975" t="s">
        <v>14</v>
      </c>
    </row>
    <row r="5976" spans="1:8" hidden="1" x14ac:dyDescent="0.25">
      <c r="A5976" t="s">
        <v>8224</v>
      </c>
      <c r="B5976" s="1" t="str">
        <f>HYPERLINK("https://asmlis.vasa.lt/Dashboard/Served?ServiceDateFrom=2025-11-24&amp;ServiceDateTo=2025-11-24&amp;DumpsterInvNr=13-L-215799", "13-L-215799")</f>
        <v>13-L-215799</v>
      </c>
      <c r="C5976">
        <v>0.77</v>
      </c>
      <c r="D5976" t="s">
        <v>7192</v>
      </c>
      <c r="E5976" t="s">
        <v>11</v>
      </c>
      <c r="F5976" t="s">
        <v>13</v>
      </c>
      <c r="G5976" t="s">
        <v>936</v>
      </c>
      <c r="H5976" t="s">
        <v>938</v>
      </c>
    </row>
    <row r="5977" spans="1:8" hidden="1" x14ac:dyDescent="0.25">
      <c r="A5977" t="s">
        <v>8225</v>
      </c>
      <c r="B5977" s="1" t="str">
        <f>HYPERLINK("https://asmlis.vasa.lt/Dashboard/Served?ServiceDateFrom=2025-11-24&amp;ServiceDateTo=2025-11-24&amp;DumpsterInvNr=13-L-419315", "13-L-419315")</f>
        <v>13-L-419315</v>
      </c>
      <c r="C5977">
        <v>5</v>
      </c>
      <c r="D5977" t="s">
        <v>1755</v>
      </c>
      <c r="E5977" t="s">
        <v>11</v>
      </c>
      <c r="F5977" t="s">
        <v>13</v>
      </c>
      <c r="G5977" t="s">
        <v>74</v>
      </c>
      <c r="H5977" t="s">
        <v>14</v>
      </c>
    </row>
    <row r="5978" spans="1:8" hidden="1" x14ac:dyDescent="0.25">
      <c r="A5978" t="s">
        <v>8226</v>
      </c>
      <c r="B5978" s="1" t="str">
        <f>HYPERLINK("https://asmlis.vasa.lt/Dashboard/Served?ServiceDateFrom=2025-11-24&amp;ServiceDateTo=2025-11-24&amp;DumpsterInvNr=13-L-131604", "13-L-131604")</f>
        <v>13-L-131604</v>
      </c>
      <c r="C5978">
        <v>0.24</v>
      </c>
      <c r="D5978" t="s">
        <v>8227</v>
      </c>
      <c r="E5978" t="s">
        <v>11</v>
      </c>
      <c r="G5978" t="s">
        <v>1912</v>
      </c>
      <c r="H5978" t="s">
        <v>432</v>
      </c>
    </row>
    <row r="5979" spans="1:8" hidden="1" x14ac:dyDescent="0.25">
      <c r="A5979" t="s">
        <v>8228</v>
      </c>
      <c r="B5979" s="1" t="str">
        <f>HYPERLINK("https://asmlis.vasa.lt/Dashboard/Served?ServiceDateFrom=2025-11-24&amp;ServiceDateTo=2025-11-24&amp;DumpsterInvNr=13-L-304303", "13-L-304303")</f>
        <v>13-L-304303</v>
      </c>
      <c r="C5979">
        <v>0.77</v>
      </c>
      <c r="D5979" t="s">
        <v>8068</v>
      </c>
      <c r="E5979" t="s">
        <v>11</v>
      </c>
      <c r="G5979" t="s">
        <v>9</v>
      </c>
      <c r="H5979" t="s">
        <v>14</v>
      </c>
    </row>
    <row r="5980" spans="1:8" hidden="1" x14ac:dyDescent="0.25">
      <c r="A5980" t="s">
        <v>8228</v>
      </c>
      <c r="B5980" s="1" t="str">
        <f>HYPERLINK("https://asmlis.vasa.lt/Dashboard/Served?ServiceDateFrom=2025-11-24&amp;ServiceDateTo=2025-11-24&amp;DumpsterInvNr=13-L-314003", "13-L-314003")</f>
        <v>13-L-314003</v>
      </c>
      <c r="C5980">
        <v>1.1000000000000001</v>
      </c>
      <c r="D5980" t="s">
        <v>8068</v>
      </c>
      <c r="E5980" t="s">
        <v>11</v>
      </c>
      <c r="G5980" t="s">
        <v>9</v>
      </c>
      <c r="H5980" t="s">
        <v>14</v>
      </c>
    </row>
    <row r="5981" spans="1:8" hidden="1" x14ac:dyDescent="0.25">
      <c r="A5981" t="s">
        <v>8228</v>
      </c>
      <c r="B5981" s="1" t="str">
        <f>HYPERLINK("https://asmlis.vasa.lt/Dashboard/Served?ServiceDateFrom=2025-11-24&amp;ServiceDateTo=2025-11-24&amp;DumpsterInvNr=13-L-314002", "13-L-314002")</f>
        <v>13-L-314002</v>
      </c>
      <c r="C5981">
        <v>1.1000000000000001</v>
      </c>
      <c r="D5981" t="s">
        <v>8068</v>
      </c>
      <c r="E5981" t="s">
        <v>11</v>
      </c>
      <c r="G5981" t="s">
        <v>9</v>
      </c>
      <c r="H5981" t="s">
        <v>14</v>
      </c>
    </row>
    <row r="5982" spans="1:8" hidden="1" x14ac:dyDescent="0.25">
      <c r="A5982" t="s">
        <v>8229</v>
      </c>
      <c r="B5982" s="1" t="str">
        <f>HYPERLINK("https://asmlis.vasa.lt/Dashboard/Served?ServiceDateFrom=2025-11-24&amp;ServiceDateTo=2025-11-24&amp;DumpsterInvNr=13-P-102380", "13-P-102380")</f>
        <v>13-P-102380</v>
      </c>
      <c r="C5982">
        <v>5</v>
      </c>
      <c r="D5982" t="s">
        <v>2565</v>
      </c>
      <c r="E5982" t="s">
        <v>11</v>
      </c>
      <c r="F5982" t="s">
        <v>13</v>
      </c>
      <c r="G5982" t="s">
        <v>1917</v>
      </c>
      <c r="H5982" t="s">
        <v>432</v>
      </c>
    </row>
    <row r="5983" spans="1:8" hidden="1" x14ac:dyDescent="0.25">
      <c r="A5983" t="s">
        <v>8231</v>
      </c>
      <c r="B5983" s="1" t="str">
        <f>HYPERLINK("https://asmlis.vasa.lt/Dashboard/Served?ServiceDateFrom=2025-11-24&amp;ServiceDateTo=2025-11-24&amp;DumpsterInvNr=13-P-105370", "13-P-105370")</f>
        <v>13-P-105370</v>
      </c>
      <c r="C5983">
        <v>0.24</v>
      </c>
      <c r="D5983" t="s">
        <v>8227</v>
      </c>
      <c r="E5983" t="s">
        <v>11</v>
      </c>
      <c r="G5983" t="s">
        <v>1917</v>
      </c>
      <c r="H5983" t="s">
        <v>432</v>
      </c>
    </row>
    <row r="5984" spans="1:8" hidden="1" x14ac:dyDescent="0.25">
      <c r="A5984" t="s">
        <v>8231</v>
      </c>
      <c r="B5984" s="1" t="str">
        <f>HYPERLINK("https://asmlis.vasa.lt/Dashboard/Served?ServiceDateFrom=2025-11-24&amp;ServiceDateTo=2025-11-24&amp;DumpsterInvNr=13-P-500539", "13-P-500539")</f>
        <v>13-P-500539</v>
      </c>
      <c r="C5984">
        <v>5</v>
      </c>
      <c r="D5984" t="s">
        <v>8232</v>
      </c>
      <c r="E5984" t="s">
        <v>11</v>
      </c>
      <c r="F5984" t="s">
        <v>13</v>
      </c>
      <c r="G5984" t="s">
        <v>2178</v>
      </c>
      <c r="H5984" t="s">
        <v>432</v>
      </c>
    </row>
    <row r="5985" spans="1:8" hidden="1" x14ac:dyDescent="0.25">
      <c r="A5985" t="s">
        <v>8233</v>
      </c>
      <c r="B5985" s="1" t="str">
        <f>HYPERLINK("https://asmlis.vasa.lt/Dashboard/Served?ServiceDateFrom=2025-11-24&amp;ServiceDateTo=2025-11-24&amp;DumpsterInvNr=13-P-211966", "13-P-211966")</f>
        <v>13-P-211966</v>
      </c>
      <c r="C5985">
        <v>0.24</v>
      </c>
      <c r="D5985" t="s">
        <v>8234</v>
      </c>
      <c r="E5985" t="s">
        <v>11</v>
      </c>
      <c r="G5985" t="s">
        <v>234</v>
      </c>
      <c r="H5985" t="s">
        <v>14</v>
      </c>
    </row>
    <row r="5986" spans="1:8" hidden="1" x14ac:dyDescent="0.25">
      <c r="A5986" t="s">
        <v>8235</v>
      </c>
      <c r="B5986" s="1" t="str">
        <f>HYPERLINK("https://asmlis.vasa.lt/Dashboard/Served?ServiceDateFrom=2025-11-24&amp;ServiceDateTo=2025-11-24&amp;DumpsterInvNr=13-M-206311", "13-M-206311")</f>
        <v>13-M-206311</v>
      </c>
      <c r="C5986">
        <v>0.12</v>
      </c>
      <c r="D5986" t="s">
        <v>8236</v>
      </c>
      <c r="E5986" t="s">
        <v>11</v>
      </c>
      <c r="F5986" t="s">
        <v>1209</v>
      </c>
      <c r="G5986" t="s">
        <v>4876</v>
      </c>
      <c r="H5986" t="s">
        <v>938</v>
      </c>
    </row>
    <row r="5987" spans="1:8" hidden="1" x14ac:dyDescent="0.25">
      <c r="A5987" t="s">
        <v>8237</v>
      </c>
      <c r="B5987" s="1" t="str">
        <f>HYPERLINK("https://asmlis.vasa.lt/Dashboard/Served?ServiceDateFrom=2025-11-24&amp;ServiceDateTo=2025-11-24&amp;DumpsterInvNr=13-L-120379", "13-L-120379")</f>
        <v>13-L-120379</v>
      </c>
      <c r="C5987">
        <v>0.12</v>
      </c>
      <c r="D5987" t="s">
        <v>8238</v>
      </c>
      <c r="E5987" t="s">
        <v>11</v>
      </c>
      <c r="G5987" t="s">
        <v>1912</v>
      </c>
      <c r="H5987" t="s">
        <v>432</v>
      </c>
    </row>
    <row r="5988" spans="1:8" hidden="1" x14ac:dyDescent="0.25">
      <c r="A5988" t="s">
        <v>8240</v>
      </c>
      <c r="B5988" s="1" t="str">
        <f>HYPERLINK("https://asmlis.vasa.lt/Dashboard/Served?ServiceDateFrom=2025-11-24&amp;ServiceDateTo=2025-11-24&amp;DumpsterInvNr=13-P-411982", "13-P-411982")</f>
        <v>13-P-411982</v>
      </c>
      <c r="C5988">
        <v>0.24</v>
      </c>
      <c r="D5988" t="s">
        <v>8241</v>
      </c>
      <c r="E5988" t="s">
        <v>11</v>
      </c>
      <c r="G5988" t="s">
        <v>264</v>
      </c>
      <c r="H5988" t="s">
        <v>14</v>
      </c>
    </row>
    <row r="5989" spans="1:8" hidden="1" x14ac:dyDescent="0.25">
      <c r="A5989" t="s">
        <v>8242</v>
      </c>
      <c r="B5989" s="1" t="str">
        <f>HYPERLINK("https://asmlis.vasa.lt/Dashboard/Served?ServiceDateFrom=2025-11-24&amp;ServiceDateTo=2025-11-24&amp;DumpsterInvNr=13-M-206068", "13-M-206068")</f>
        <v>13-M-206068</v>
      </c>
      <c r="C5989">
        <v>0.12</v>
      </c>
      <c r="D5989" t="s">
        <v>8243</v>
      </c>
      <c r="E5989" t="s">
        <v>11</v>
      </c>
      <c r="F5989" t="s">
        <v>1209</v>
      </c>
      <c r="G5989" t="s">
        <v>4876</v>
      </c>
      <c r="H5989" t="s">
        <v>938</v>
      </c>
    </row>
    <row r="5990" spans="1:8" hidden="1" x14ac:dyDescent="0.25">
      <c r="A5990" t="s">
        <v>8245</v>
      </c>
      <c r="B5990" s="1" t="str">
        <f>HYPERLINK("https://asmlis.vasa.lt/Dashboard/Served?ServiceDateFrom=2025-11-24&amp;ServiceDateTo=2025-11-24&amp;DumpsterInvNr=13-L-226356", "13-L-226356")</f>
        <v>13-L-226356</v>
      </c>
      <c r="C5990">
        <v>1.1000000000000001</v>
      </c>
      <c r="D5990" t="s">
        <v>8218</v>
      </c>
      <c r="E5990" t="s">
        <v>11</v>
      </c>
      <c r="F5990" t="s">
        <v>13</v>
      </c>
      <c r="G5990" t="s">
        <v>936</v>
      </c>
      <c r="H5990" t="s">
        <v>938</v>
      </c>
    </row>
    <row r="5991" spans="1:8" hidden="1" x14ac:dyDescent="0.25">
      <c r="A5991" t="s">
        <v>8245</v>
      </c>
      <c r="B5991" s="1" t="str">
        <f>HYPERLINK("https://asmlis.vasa.lt/Dashboard/Served?ServiceDateFrom=2025-11-24&amp;ServiceDateTo=2025-11-24&amp;DumpsterInvNr=13-L-213526", "13-L-213526")</f>
        <v>13-L-213526</v>
      </c>
      <c r="C5991">
        <v>0.24</v>
      </c>
      <c r="D5991" t="s">
        <v>5410</v>
      </c>
      <c r="E5991" t="s">
        <v>11</v>
      </c>
      <c r="G5991" t="s">
        <v>936</v>
      </c>
      <c r="H5991" t="s">
        <v>938</v>
      </c>
    </row>
    <row r="5992" spans="1:8" hidden="1" x14ac:dyDescent="0.25">
      <c r="A5992" t="s">
        <v>8246</v>
      </c>
      <c r="B5992" s="1" t="str">
        <f>HYPERLINK("https://asmlis.vasa.lt/Dashboard/Served?ServiceDateFrom=2025-11-24&amp;ServiceDateTo=2025-11-24&amp;DumpsterInvNr=13-P-109790", "13-P-109790")</f>
        <v>13-P-109790</v>
      </c>
      <c r="C5992">
        <v>0.12</v>
      </c>
      <c r="D5992" t="s">
        <v>8238</v>
      </c>
      <c r="E5992" t="s">
        <v>11</v>
      </c>
      <c r="G5992" t="s">
        <v>1917</v>
      </c>
      <c r="H5992" t="s">
        <v>432</v>
      </c>
    </row>
    <row r="5993" spans="1:8" hidden="1" x14ac:dyDescent="0.25">
      <c r="A5993" t="s">
        <v>8246</v>
      </c>
      <c r="B5993" s="1" t="str">
        <f>HYPERLINK("https://asmlis.vasa.lt/Dashboard/Served?ServiceDateFrom=2025-11-24&amp;ServiceDateTo=2025-11-24&amp;DumpsterInvNr=13-M-202395", "13-M-202395")</f>
        <v>13-M-202395</v>
      </c>
      <c r="C5993">
        <v>0.12</v>
      </c>
      <c r="D5993" t="s">
        <v>8247</v>
      </c>
      <c r="E5993" t="s">
        <v>11</v>
      </c>
      <c r="F5993" t="s">
        <v>1209</v>
      </c>
      <c r="G5993" t="s">
        <v>4876</v>
      </c>
      <c r="H5993" t="s">
        <v>938</v>
      </c>
    </row>
    <row r="5994" spans="1:8" hidden="1" x14ac:dyDescent="0.25">
      <c r="A5994" t="s">
        <v>8248</v>
      </c>
      <c r="B5994" s="1" t="str">
        <f>HYPERLINK("https://asmlis.vasa.lt/Dashboard/Served?ServiceDateFrom=2025-11-24&amp;ServiceDateTo=2025-11-24&amp;DumpsterInvNr=13-P-205225", "13-P-205225")</f>
        <v>13-P-205225</v>
      </c>
      <c r="C5994">
        <v>0.24</v>
      </c>
      <c r="D5994" t="s">
        <v>8249</v>
      </c>
      <c r="E5994" t="s">
        <v>11</v>
      </c>
      <c r="F5994" t="s">
        <v>1209</v>
      </c>
      <c r="G5994" t="s">
        <v>234</v>
      </c>
      <c r="H5994" t="s">
        <v>14</v>
      </c>
    </row>
    <row r="5995" spans="1:8" hidden="1" x14ac:dyDescent="0.25">
      <c r="A5995" t="s">
        <v>8248</v>
      </c>
      <c r="B5995" s="1" t="str">
        <f>HYPERLINK("https://asmlis.vasa.lt/Dashboard/Served?ServiceDateFrom=2025-11-24&amp;ServiceDateTo=2025-11-24&amp;DumpsterInvNr=13-P-300843", "13-P-300843")</f>
        <v>13-P-300843</v>
      </c>
      <c r="C5995">
        <v>0.77</v>
      </c>
      <c r="D5995" t="s">
        <v>2792</v>
      </c>
      <c r="E5995" t="s">
        <v>11</v>
      </c>
      <c r="F5995" t="s">
        <v>13</v>
      </c>
      <c r="G5995" t="s">
        <v>412</v>
      </c>
      <c r="H5995" t="s">
        <v>14</v>
      </c>
    </row>
    <row r="5996" spans="1:8" hidden="1" x14ac:dyDescent="0.25">
      <c r="A5996" t="s">
        <v>8250</v>
      </c>
      <c r="B5996" s="1" t="str">
        <f>HYPERLINK("https://asmlis.vasa.lt/Dashboard/Served?ServiceDateFrom=2025-11-24&amp;ServiceDateTo=2025-11-24&amp;DumpsterInvNr=13-L-224691", "13-L-224691")</f>
        <v>13-L-224691</v>
      </c>
      <c r="C5996">
        <v>1.1000000000000001</v>
      </c>
      <c r="D5996" t="s">
        <v>8100</v>
      </c>
      <c r="E5996" t="s">
        <v>11</v>
      </c>
      <c r="G5996" t="s">
        <v>936</v>
      </c>
      <c r="H5996" t="s">
        <v>938</v>
      </c>
    </row>
    <row r="5997" spans="1:8" hidden="1" x14ac:dyDescent="0.25">
      <c r="A5997" t="s">
        <v>8251</v>
      </c>
      <c r="B5997" s="1" t="str">
        <f>HYPERLINK("https://asmlis.vasa.lt/Dashboard/Served?ServiceDateFrom=2025-11-24&amp;ServiceDateTo=2025-11-24&amp;DumpsterInvNr=13-P-404436", "13-P-404436")</f>
        <v>13-P-404436</v>
      </c>
      <c r="C5997">
        <v>0.24</v>
      </c>
      <c r="D5997" t="s">
        <v>8252</v>
      </c>
      <c r="E5997" t="s">
        <v>11</v>
      </c>
      <c r="G5997" t="s">
        <v>264</v>
      </c>
      <c r="H5997" t="s">
        <v>14</v>
      </c>
    </row>
    <row r="5998" spans="1:8" hidden="1" x14ac:dyDescent="0.25">
      <c r="A5998" t="s">
        <v>8253</v>
      </c>
      <c r="B5998" s="1" t="str">
        <f>HYPERLINK("https://asmlis.vasa.lt/Dashboard/Served?ServiceDateFrom=2025-11-24&amp;ServiceDateTo=2025-11-24&amp;DumpsterInvNr=13-L-314692", "13-L-314692")</f>
        <v>13-L-314692</v>
      </c>
      <c r="C5998">
        <v>1.1000000000000001</v>
      </c>
      <c r="D5998" t="s">
        <v>8220</v>
      </c>
      <c r="E5998" t="s">
        <v>11</v>
      </c>
      <c r="G5998" t="s">
        <v>9</v>
      </c>
      <c r="H5998" t="s">
        <v>14</v>
      </c>
    </row>
    <row r="5999" spans="1:8" hidden="1" x14ac:dyDescent="0.25">
      <c r="A5999" t="s">
        <v>8253</v>
      </c>
      <c r="B5999" s="1" t="str">
        <f>HYPERLINK("https://asmlis.vasa.lt/Dashboard/Served?ServiceDateFrom=2025-11-24&amp;ServiceDateTo=2025-11-24&amp;DumpsterInvNr=13-P-208644", "13-P-208644")</f>
        <v>13-P-208644</v>
      </c>
      <c r="C5999">
        <v>0.24</v>
      </c>
      <c r="D5999" t="s">
        <v>8254</v>
      </c>
      <c r="E5999" t="s">
        <v>11</v>
      </c>
      <c r="G5999" t="s">
        <v>234</v>
      </c>
      <c r="H5999" t="s">
        <v>14</v>
      </c>
    </row>
    <row r="6000" spans="1:8" hidden="1" x14ac:dyDescent="0.25">
      <c r="A6000" t="s">
        <v>8255</v>
      </c>
      <c r="B6000" s="1" t="str">
        <f>HYPERLINK("https://asmlis.vasa.lt/Dashboard/Served?ServiceDateFrom=2025-11-24&amp;ServiceDateTo=2025-11-24&amp;DumpsterInvNr=13-L-108920", "13-L-108920")</f>
        <v>13-L-108920</v>
      </c>
      <c r="C6000">
        <v>0.77</v>
      </c>
      <c r="D6000" t="s">
        <v>8256</v>
      </c>
      <c r="E6000" t="s">
        <v>11</v>
      </c>
      <c r="G6000" t="s">
        <v>430</v>
      </c>
      <c r="H6000" t="s">
        <v>432</v>
      </c>
    </row>
    <row r="6001" spans="1:8" hidden="1" x14ac:dyDescent="0.25">
      <c r="A6001" t="s">
        <v>8257</v>
      </c>
      <c r="B6001" s="1" t="str">
        <f>HYPERLINK("https://asmlis.vasa.lt/Dashboard/Served?ServiceDateFrom=2025-11-24&amp;ServiceDateTo=2025-11-24&amp;DumpsterInvNr=13-M-202406", "13-M-202406")</f>
        <v>13-M-202406</v>
      </c>
      <c r="C6001">
        <v>0.12</v>
      </c>
      <c r="D6001" t="s">
        <v>8258</v>
      </c>
      <c r="E6001" t="s">
        <v>11</v>
      </c>
      <c r="G6001" t="s">
        <v>4876</v>
      </c>
      <c r="H6001" t="s">
        <v>938</v>
      </c>
    </row>
    <row r="6002" spans="1:8" hidden="1" x14ac:dyDescent="0.25">
      <c r="A6002" t="s">
        <v>7028</v>
      </c>
      <c r="B6002" s="1" t="str">
        <f>HYPERLINK("https://asmlis.vasa.lt/Dashboard/Served?ServiceDateFrom=2025-11-24&amp;ServiceDateTo=2025-11-24&amp;DumpsterInvNr=13-P-415410", "13-P-415410")</f>
        <v>13-P-415410</v>
      </c>
      <c r="C6002">
        <v>2.5</v>
      </c>
      <c r="D6002" t="s">
        <v>8259</v>
      </c>
      <c r="E6002" t="s">
        <v>11</v>
      </c>
      <c r="G6002" t="s">
        <v>264</v>
      </c>
      <c r="H6002" t="s">
        <v>14</v>
      </c>
    </row>
    <row r="6003" spans="1:8" hidden="1" x14ac:dyDescent="0.25">
      <c r="A6003" t="s">
        <v>7125</v>
      </c>
      <c r="B6003" s="1" t="str">
        <f>HYPERLINK("https://asmlis.vasa.lt/Dashboard/Served?ServiceDateFrom=2025-11-24&amp;ServiceDateTo=2025-11-24&amp;DumpsterInvNr=13-S-208613", "13-S-208613")</f>
        <v>13-S-208613</v>
      </c>
      <c r="C6003">
        <v>0.12</v>
      </c>
      <c r="D6003" t="s">
        <v>8254</v>
      </c>
      <c r="E6003" t="s">
        <v>11</v>
      </c>
      <c r="G6003" t="s">
        <v>234</v>
      </c>
      <c r="H6003" t="s">
        <v>14</v>
      </c>
    </row>
    <row r="6004" spans="1:8" hidden="1" x14ac:dyDescent="0.25">
      <c r="A6004" t="s">
        <v>8260</v>
      </c>
      <c r="B6004" s="1" t="str">
        <f>HYPERLINK("https://asmlis.vasa.lt/Dashboard/Served?ServiceDateFrom=2025-11-24&amp;ServiceDateTo=2025-11-24&amp;DumpsterInvNr=13-L-419473", "13-L-419473")</f>
        <v>13-L-419473</v>
      </c>
      <c r="C6004">
        <v>1.1000000000000001</v>
      </c>
      <c r="D6004" t="s">
        <v>8261</v>
      </c>
      <c r="E6004" t="s">
        <v>11</v>
      </c>
      <c r="G6004" t="s">
        <v>74</v>
      </c>
      <c r="H6004" t="s">
        <v>14</v>
      </c>
    </row>
    <row r="6005" spans="1:8" hidden="1" x14ac:dyDescent="0.25">
      <c r="A6005" t="s">
        <v>8262</v>
      </c>
      <c r="B6005" s="1" t="str">
        <f>HYPERLINK("https://asmlis.vasa.lt/Dashboard/Served?ServiceDateFrom=2025-11-24&amp;ServiceDateTo=2025-11-24&amp;DumpsterInvNr=13-L-112660", "13-L-112660")</f>
        <v>13-L-112660</v>
      </c>
      <c r="C6005">
        <v>0.12</v>
      </c>
      <c r="D6005" t="s">
        <v>8263</v>
      </c>
      <c r="E6005" t="s">
        <v>11</v>
      </c>
      <c r="G6005" t="s">
        <v>1912</v>
      </c>
      <c r="H6005" t="s">
        <v>432</v>
      </c>
    </row>
    <row r="6006" spans="1:8" hidden="1" x14ac:dyDescent="0.25">
      <c r="A6006" t="s">
        <v>8264</v>
      </c>
      <c r="B6006" s="1" t="str">
        <f>HYPERLINK("https://asmlis.vasa.lt/Dashboard/Served?ServiceDateFrom=2025-11-24&amp;ServiceDateTo=2025-11-24&amp;DumpsterInvNr=13-P-103667", "13-P-103667")</f>
        <v>13-P-103667</v>
      </c>
      <c r="C6006">
        <v>0.24</v>
      </c>
      <c r="D6006" t="s">
        <v>8263</v>
      </c>
      <c r="E6006" t="s">
        <v>11</v>
      </c>
      <c r="G6006" t="s">
        <v>1917</v>
      </c>
      <c r="H6006" t="s">
        <v>432</v>
      </c>
    </row>
    <row r="6007" spans="1:8" hidden="1" x14ac:dyDescent="0.25">
      <c r="A6007" t="s">
        <v>8266</v>
      </c>
      <c r="B6007" s="1" t="str">
        <f>HYPERLINK("https://asmlis.vasa.lt/Dashboard/Served?ServiceDateFrom=2025-11-24&amp;ServiceDateTo=2025-11-24&amp;DumpsterInvNr=13-P-411753", "13-P-411753")</f>
        <v>13-P-411753</v>
      </c>
      <c r="C6007">
        <v>0.24</v>
      </c>
      <c r="D6007" t="s">
        <v>8267</v>
      </c>
      <c r="E6007" t="s">
        <v>11</v>
      </c>
      <c r="G6007" t="s">
        <v>264</v>
      </c>
      <c r="H6007" t="s">
        <v>14</v>
      </c>
    </row>
    <row r="6008" spans="1:8" hidden="1" x14ac:dyDescent="0.25">
      <c r="A6008" t="s">
        <v>8266</v>
      </c>
      <c r="B6008" s="1" t="str">
        <f>HYPERLINK("https://asmlis.vasa.lt/Dashboard/Served?ServiceDateFrom=2025-11-24&amp;ServiceDateTo=2025-11-24&amp;DumpsterInvNr=13-P-412036", "13-P-412036")</f>
        <v>13-P-412036</v>
      </c>
      <c r="C6008">
        <v>0.24</v>
      </c>
      <c r="D6008" t="s">
        <v>8268</v>
      </c>
      <c r="E6008" t="s">
        <v>11</v>
      </c>
      <c r="G6008" t="s">
        <v>264</v>
      </c>
      <c r="H6008" t="s">
        <v>14</v>
      </c>
    </row>
    <row r="6009" spans="1:8" hidden="1" x14ac:dyDescent="0.25">
      <c r="A6009" t="s">
        <v>8269</v>
      </c>
      <c r="B6009" s="1" t="str">
        <f>HYPERLINK("https://asmlis.vasa.lt/Dashboard/Served?ServiceDateFrom=2025-11-24&amp;ServiceDateTo=2025-11-24&amp;DumpsterInvNr=13-L-145853", "13-L-145853")</f>
        <v>13-L-145853</v>
      </c>
      <c r="C6009">
        <v>5</v>
      </c>
      <c r="D6009" t="s">
        <v>8270</v>
      </c>
      <c r="E6009" t="s">
        <v>11</v>
      </c>
      <c r="F6009" t="s">
        <v>13</v>
      </c>
      <c r="G6009" t="s">
        <v>1912</v>
      </c>
      <c r="H6009" t="s">
        <v>432</v>
      </c>
    </row>
    <row r="6010" spans="1:8" hidden="1" x14ac:dyDescent="0.25">
      <c r="A6010" t="s">
        <v>8271</v>
      </c>
      <c r="B6010" s="1" t="str">
        <f>HYPERLINK("https://asmlis.vasa.lt/Dashboard/Served?ServiceDateFrom=2025-11-24&amp;ServiceDateTo=2025-11-24&amp;DumpsterInvNr=13-L-205764", "13-L-205764")</f>
        <v>13-L-205764</v>
      </c>
      <c r="C6010">
        <v>0.12</v>
      </c>
      <c r="D6010" t="s">
        <v>8272</v>
      </c>
      <c r="E6010" t="s">
        <v>11</v>
      </c>
      <c r="G6010" t="s">
        <v>936</v>
      </c>
      <c r="H6010" t="s">
        <v>938</v>
      </c>
    </row>
    <row r="6011" spans="1:8" hidden="1" x14ac:dyDescent="0.25">
      <c r="A6011" t="s">
        <v>8271</v>
      </c>
      <c r="B6011" s="1" t="str">
        <f>HYPERLINK("https://asmlis.vasa.lt/Dashboard/Served?ServiceDateFrom=2025-11-24&amp;ServiceDateTo=2025-11-24&amp;DumpsterInvNr=13-L-314693", "13-L-314693")</f>
        <v>13-L-314693</v>
      </c>
      <c r="C6011">
        <v>1.1000000000000001</v>
      </c>
      <c r="D6011" t="s">
        <v>8220</v>
      </c>
      <c r="E6011" t="s">
        <v>11</v>
      </c>
      <c r="G6011" t="s">
        <v>9</v>
      </c>
      <c r="H6011" t="s">
        <v>14</v>
      </c>
    </row>
    <row r="6012" spans="1:8" hidden="1" x14ac:dyDescent="0.25">
      <c r="A6012" t="s">
        <v>8273</v>
      </c>
      <c r="B6012" s="1" t="str">
        <f>HYPERLINK("https://asmlis.vasa.lt/Dashboard/Served?ServiceDateFrom=2025-11-24&amp;ServiceDateTo=2025-11-24&amp;DumpsterInvNr=13-P-211259", "13-P-211259")</f>
        <v>13-P-211259</v>
      </c>
      <c r="C6012">
        <v>2.5</v>
      </c>
      <c r="D6012" t="s">
        <v>8274</v>
      </c>
      <c r="E6012" t="s">
        <v>11</v>
      </c>
      <c r="F6012" t="s">
        <v>13</v>
      </c>
      <c r="G6012" t="s">
        <v>234</v>
      </c>
      <c r="H6012" t="s">
        <v>14</v>
      </c>
    </row>
    <row r="6013" spans="1:8" hidden="1" x14ac:dyDescent="0.25">
      <c r="A6013" t="s">
        <v>8275</v>
      </c>
      <c r="B6013" s="1" t="str">
        <f>HYPERLINK("https://asmlis.vasa.lt/Dashboard/Served?ServiceDateFrom=2025-11-24&amp;ServiceDateTo=2025-11-24&amp;DumpsterInvNr=13-L-425246", "13-L-425246")</f>
        <v>13-L-425246</v>
      </c>
      <c r="C6013">
        <v>1.1000000000000001</v>
      </c>
      <c r="D6013" t="s">
        <v>8261</v>
      </c>
      <c r="E6013" t="s">
        <v>11</v>
      </c>
      <c r="G6013" t="s">
        <v>74</v>
      </c>
      <c r="H6013" t="s">
        <v>14</v>
      </c>
    </row>
    <row r="6014" spans="1:8" hidden="1" x14ac:dyDescent="0.25">
      <c r="A6014" t="s">
        <v>8276</v>
      </c>
      <c r="B6014" s="1" t="str">
        <f>HYPERLINK("https://asmlis.vasa.lt/Dashboard/Served?ServiceDateFrom=2025-11-24&amp;ServiceDateTo=2025-11-24&amp;DumpsterInvNr=13-L-139731", "13-L-139731")</f>
        <v>13-L-139731</v>
      </c>
      <c r="C6014">
        <v>5</v>
      </c>
      <c r="D6014" t="s">
        <v>8277</v>
      </c>
      <c r="E6014" t="s">
        <v>11</v>
      </c>
      <c r="F6014" t="s">
        <v>13</v>
      </c>
      <c r="G6014" t="s">
        <v>430</v>
      </c>
      <c r="H6014" t="s">
        <v>432</v>
      </c>
    </row>
    <row r="6015" spans="1:8" hidden="1" x14ac:dyDescent="0.25">
      <c r="A6015" t="s">
        <v>8276</v>
      </c>
      <c r="B6015" s="1" t="str">
        <f>HYPERLINK("https://asmlis.vasa.lt/Dashboard/Served?ServiceDateFrom=2025-11-24&amp;ServiceDateTo=2025-11-24&amp;DumpsterInvNr=13-L-219949", "13-L-219949")</f>
        <v>13-L-219949</v>
      </c>
      <c r="C6015">
        <v>0.24</v>
      </c>
      <c r="D6015" t="s">
        <v>5442</v>
      </c>
      <c r="E6015" t="s">
        <v>11</v>
      </c>
      <c r="G6015" t="s">
        <v>936</v>
      </c>
      <c r="H6015" t="s">
        <v>938</v>
      </c>
    </row>
    <row r="6016" spans="1:8" hidden="1" x14ac:dyDescent="0.25">
      <c r="A6016" t="s">
        <v>8279</v>
      </c>
      <c r="B6016" s="1" t="str">
        <f>HYPERLINK("https://asmlis.vasa.lt/Dashboard/Served?ServiceDateFrom=2025-11-24&amp;ServiceDateTo=2025-11-24&amp;DumpsterInvNr=13-P-415918", "13-P-415918")</f>
        <v>13-P-415918</v>
      </c>
      <c r="C6016">
        <v>0.24</v>
      </c>
      <c r="D6016" t="s">
        <v>8280</v>
      </c>
      <c r="E6016" t="s">
        <v>11</v>
      </c>
      <c r="G6016" t="s">
        <v>264</v>
      </c>
      <c r="H6016" t="s">
        <v>14</v>
      </c>
    </row>
    <row r="6017" spans="1:8" hidden="1" x14ac:dyDescent="0.25">
      <c r="A6017" t="s">
        <v>8279</v>
      </c>
      <c r="B6017" s="1" t="str">
        <f>HYPERLINK("https://asmlis.vasa.lt/Dashboard/Served?ServiceDateFrom=2025-11-24&amp;ServiceDateTo=2025-11-24&amp;DumpsterInvNr=13-P-416058", "13-P-416058")</f>
        <v>13-P-416058</v>
      </c>
      <c r="C6017">
        <v>0.24</v>
      </c>
      <c r="D6017" t="s">
        <v>8281</v>
      </c>
      <c r="E6017" t="s">
        <v>11</v>
      </c>
      <c r="G6017" t="s">
        <v>264</v>
      </c>
      <c r="H6017" t="s">
        <v>14</v>
      </c>
    </row>
    <row r="6018" spans="1:8" hidden="1" x14ac:dyDescent="0.25">
      <c r="A6018" t="s">
        <v>8282</v>
      </c>
      <c r="B6018" s="1" t="str">
        <f>HYPERLINK("https://asmlis.vasa.lt/Dashboard/Served?ServiceDateFrom=2025-11-24&amp;ServiceDateTo=2025-11-24&amp;DumpsterInvNr=13-P-212251", "13-P-212251")</f>
        <v>13-P-212251</v>
      </c>
      <c r="C6018">
        <v>2.5</v>
      </c>
      <c r="D6018" t="s">
        <v>8274</v>
      </c>
      <c r="E6018" t="s">
        <v>11</v>
      </c>
      <c r="F6018" t="s">
        <v>13</v>
      </c>
      <c r="G6018" t="s">
        <v>234</v>
      </c>
      <c r="H6018" t="s">
        <v>14</v>
      </c>
    </row>
    <row r="6019" spans="1:8" hidden="1" x14ac:dyDescent="0.25">
      <c r="A6019" t="s">
        <v>8283</v>
      </c>
      <c r="B6019" s="1" t="str">
        <f>HYPERLINK("https://asmlis.vasa.lt/Dashboard/Served?ServiceDateFrom=2025-11-24&amp;ServiceDateTo=2025-11-24&amp;DumpsterInvNr=13-L-225814", "13-L-225814")</f>
        <v>13-L-225814</v>
      </c>
      <c r="C6019">
        <v>1.1000000000000001</v>
      </c>
      <c r="D6019" t="s">
        <v>8100</v>
      </c>
      <c r="E6019" t="s">
        <v>11</v>
      </c>
      <c r="F6019" t="s">
        <v>13</v>
      </c>
      <c r="G6019" t="s">
        <v>936</v>
      </c>
      <c r="H6019" t="s">
        <v>938</v>
      </c>
    </row>
    <row r="6020" spans="1:8" hidden="1" x14ac:dyDescent="0.25">
      <c r="A6020" t="s">
        <v>8284</v>
      </c>
      <c r="B6020" s="1" t="str">
        <f>HYPERLINK("https://asmlis.vasa.lt/Dashboard/Served?ServiceDateFrom=2025-11-24&amp;ServiceDateTo=2025-11-24&amp;DumpsterInvNr=13-L-205765", "13-L-205765")</f>
        <v>13-L-205765</v>
      </c>
      <c r="C6020">
        <v>0.12</v>
      </c>
      <c r="D6020" t="s">
        <v>5446</v>
      </c>
      <c r="E6020" t="s">
        <v>11</v>
      </c>
      <c r="F6020" t="s">
        <v>13</v>
      </c>
      <c r="G6020" t="s">
        <v>936</v>
      </c>
      <c r="H6020" t="s">
        <v>938</v>
      </c>
    </row>
    <row r="6021" spans="1:8" hidden="1" x14ac:dyDescent="0.25">
      <c r="A6021" t="s">
        <v>8284</v>
      </c>
      <c r="B6021" s="1" t="str">
        <f>HYPERLINK("https://asmlis.vasa.lt/Dashboard/Served?ServiceDateFrom=2025-11-24&amp;ServiceDateTo=2025-11-24&amp;DumpsterInvNr=13-S-208614", "13-S-208614")</f>
        <v>13-S-208614</v>
      </c>
      <c r="C6021">
        <v>0.12</v>
      </c>
      <c r="D6021" t="s">
        <v>8285</v>
      </c>
      <c r="E6021" t="s">
        <v>11</v>
      </c>
      <c r="F6021" t="s">
        <v>1209</v>
      </c>
      <c r="G6021" t="s">
        <v>234</v>
      </c>
      <c r="H6021" t="s">
        <v>14</v>
      </c>
    </row>
    <row r="6022" spans="1:8" hidden="1" x14ac:dyDescent="0.25">
      <c r="A6022" t="s">
        <v>8286</v>
      </c>
      <c r="B6022" s="1" t="str">
        <f>HYPERLINK("https://asmlis.vasa.lt/Dashboard/Served?ServiceDateFrom=2025-11-24&amp;ServiceDateTo=2025-11-24&amp;DumpsterInvNr=13-L-424213", "13-L-424213")</f>
        <v>13-L-424213</v>
      </c>
      <c r="C6022">
        <v>1.1000000000000001</v>
      </c>
      <c r="D6022" t="s">
        <v>8261</v>
      </c>
      <c r="E6022" t="s">
        <v>11</v>
      </c>
      <c r="G6022" t="s">
        <v>74</v>
      </c>
      <c r="H6022" t="s">
        <v>14</v>
      </c>
    </row>
    <row r="6023" spans="1:8" hidden="1" x14ac:dyDescent="0.25">
      <c r="A6023" t="s">
        <v>8286</v>
      </c>
      <c r="B6023" s="1" t="str">
        <f>HYPERLINK("https://asmlis.vasa.lt/Dashboard/Served?ServiceDateFrom=2025-11-24&amp;ServiceDateTo=2025-11-24&amp;DumpsterInvNr=13-L-221419", "13-L-221419")</f>
        <v>13-L-221419</v>
      </c>
      <c r="C6023">
        <v>5</v>
      </c>
      <c r="D6023" t="s">
        <v>8287</v>
      </c>
      <c r="E6023" t="s">
        <v>11</v>
      </c>
      <c r="G6023" t="s">
        <v>936</v>
      </c>
      <c r="H6023" t="s">
        <v>938</v>
      </c>
    </row>
    <row r="6024" spans="1:8" hidden="1" x14ac:dyDescent="0.25">
      <c r="A6024" t="s">
        <v>8288</v>
      </c>
      <c r="B6024" s="1" t="str">
        <f>HYPERLINK("https://asmlis.vasa.lt/Dashboard/Served?ServiceDateFrom=2025-11-24&amp;ServiceDateTo=2025-11-24&amp;DumpsterInvNr=13-L-137792", "13-L-137792")</f>
        <v>13-L-137792</v>
      </c>
      <c r="C6024">
        <v>1.1000000000000001</v>
      </c>
      <c r="D6024" t="s">
        <v>8289</v>
      </c>
      <c r="E6024" t="s">
        <v>11</v>
      </c>
      <c r="G6024" t="s">
        <v>1912</v>
      </c>
      <c r="H6024" t="s">
        <v>432</v>
      </c>
    </row>
    <row r="6025" spans="1:8" hidden="1" x14ac:dyDescent="0.25">
      <c r="A6025" t="s">
        <v>8290</v>
      </c>
      <c r="B6025" s="1" t="str">
        <f>HYPERLINK("https://asmlis.vasa.lt/Dashboard/Served?ServiceDateFrom=2025-11-24&amp;ServiceDateTo=2025-11-24&amp;DumpsterInvNr=13-L-424108", "13-L-424108")</f>
        <v>13-L-424108</v>
      </c>
      <c r="C6025">
        <v>5</v>
      </c>
      <c r="D6025" t="s">
        <v>5261</v>
      </c>
      <c r="E6025" t="s">
        <v>11</v>
      </c>
      <c r="G6025" t="s">
        <v>74</v>
      </c>
      <c r="H6025" t="s">
        <v>14</v>
      </c>
    </row>
    <row r="6026" spans="1:8" hidden="1" x14ac:dyDescent="0.25">
      <c r="A6026" t="s">
        <v>8291</v>
      </c>
      <c r="B6026" s="1" t="str">
        <f>HYPERLINK("https://asmlis.vasa.lt/Dashboard/Served?ServiceDateFrom=2025-11-24&amp;ServiceDateTo=2025-11-24&amp;DumpsterInvNr=13-P-208653", "13-P-208653")</f>
        <v>13-P-208653</v>
      </c>
      <c r="C6026">
        <v>0.24</v>
      </c>
      <c r="D6026" t="s">
        <v>8285</v>
      </c>
      <c r="E6026" t="s">
        <v>11</v>
      </c>
      <c r="F6026" t="s">
        <v>1209</v>
      </c>
      <c r="G6026" t="s">
        <v>234</v>
      </c>
      <c r="H6026" t="s">
        <v>14</v>
      </c>
    </row>
    <row r="6027" spans="1:8" hidden="1" x14ac:dyDescent="0.25">
      <c r="A6027" t="s">
        <v>8292</v>
      </c>
      <c r="B6027" s="1" t="str">
        <f>HYPERLINK("https://asmlis.vasa.lt/Dashboard/Served?ServiceDateFrom=2025-11-24&amp;ServiceDateTo=2025-11-24&amp;DumpsterInvNr=13-P-411856", "13-P-411856")</f>
        <v>13-P-411856</v>
      </c>
      <c r="C6027">
        <v>0.24</v>
      </c>
      <c r="D6027" t="s">
        <v>8293</v>
      </c>
      <c r="E6027" t="s">
        <v>11</v>
      </c>
      <c r="G6027" t="s">
        <v>264</v>
      </c>
      <c r="H6027" t="s">
        <v>14</v>
      </c>
    </row>
    <row r="6028" spans="1:8" hidden="1" x14ac:dyDescent="0.25">
      <c r="A6028" t="s">
        <v>8292</v>
      </c>
      <c r="B6028" s="1" t="str">
        <f>HYPERLINK("https://asmlis.vasa.lt/Dashboard/Served?ServiceDateFrom=2025-11-24&amp;ServiceDateTo=2025-11-24&amp;DumpsterInvNr=13-P-411824", "13-P-411824")</f>
        <v>13-P-411824</v>
      </c>
      <c r="C6028">
        <v>0.24</v>
      </c>
      <c r="D6028" t="s">
        <v>8294</v>
      </c>
      <c r="E6028" t="s">
        <v>11</v>
      </c>
      <c r="G6028" t="s">
        <v>264</v>
      </c>
      <c r="H6028" t="s">
        <v>14</v>
      </c>
    </row>
    <row r="6029" spans="1:8" hidden="1" x14ac:dyDescent="0.25">
      <c r="A6029" t="s">
        <v>8295</v>
      </c>
      <c r="B6029" s="1" t="str">
        <f>HYPERLINK("https://asmlis.vasa.lt/Dashboard/Served?ServiceDateFrom=2025-11-24&amp;ServiceDateTo=2025-11-24&amp;DumpsterInvNr=13-L-314691", "13-L-314691")</f>
        <v>13-L-314691</v>
      </c>
      <c r="C6029">
        <v>1.1000000000000001</v>
      </c>
      <c r="D6029" t="s">
        <v>8220</v>
      </c>
      <c r="E6029" t="s">
        <v>11</v>
      </c>
      <c r="G6029" t="s">
        <v>9</v>
      </c>
      <c r="H6029" t="s">
        <v>14</v>
      </c>
    </row>
    <row r="6030" spans="1:8" hidden="1" x14ac:dyDescent="0.25">
      <c r="A6030" t="s">
        <v>8295</v>
      </c>
      <c r="B6030" s="1" t="str">
        <f>HYPERLINK("https://asmlis.vasa.lt/Dashboard/Served?ServiceDateFrom=2025-11-24&amp;ServiceDateTo=2025-11-24&amp;DumpsterInvNr=13-S-208412", "13-S-208412")</f>
        <v>13-S-208412</v>
      </c>
      <c r="C6030">
        <v>0.12</v>
      </c>
      <c r="D6030" t="s">
        <v>8296</v>
      </c>
      <c r="E6030" t="s">
        <v>11</v>
      </c>
      <c r="F6030" t="s">
        <v>1209</v>
      </c>
      <c r="G6030" t="s">
        <v>234</v>
      </c>
      <c r="H6030" t="s">
        <v>14</v>
      </c>
    </row>
    <row r="6031" spans="1:8" hidden="1" x14ac:dyDescent="0.25">
      <c r="A6031" t="s">
        <v>8297</v>
      </c>
      <c r="B6031" s="1" t="str">
        <f>HYPERLINK("https://asmlis.vasa.lt/Dashboard/Served?ServiceDateFrom=2025-11-24&amp;ServiceDateTo=2025-11-24&amp;DumpsterInvNr=13-L-125902", "13-L-125902")</f>
        <v>13-L-125902</v>
      </c>
      <c r="C6031">
        <v>0.12</v>
      </c>
      <c r="D6031" t="s">
        <v>8298</v>
      </c>
      <c r="E6031" t="s">
        <v>11</v>
      </c>
      <c r="G6031" t="s">
        <v>1912</v>
      </c>
      <c r="H6031" t="s">
        <v>432</v>
      </c>
    </row>
    <row r="6032" spans="1:8" hidden="1" x14ac:dyDescent="0.25">
      <c r="A6032" t="s">
        <v>8297</v>
      </c>
      <c r="B6032" s="1" t="str">
        <f>HYPERLINK("https://asmlis.vasa.lt/Dashboard/Served?ServiceDateFrom=2025-11-24&amp;ServiceDateTo=2025-11-24&amp;DumpsterInvNr=13-M-202391", "13-M-202391")</f>
        <v>13-M-202391</v>
      </c>
      <c r="C6032">
        <v>0.12</v>
      </c>
      <c r="D6032" t="s">
        <v>8299</v>
      </c>
      <c r="E6032" t="s">
        <v>11</v>
      </c>
      <c r="G6032" t="s">
        <v>4876</v>
      </c>
      <c r="H6032" t="s">
        <v>938</v>
      </c>
    </row>
    <row r="6033" spans="1:8" hidden="1" x14ac:dyDescent="0.25">
      <c r="A6033" t="s">
        <v>8300</v>
      </c>
      <c r="B6033" s="1" t="str">
        <f>HYPERLINK("https://asmlis.vasa.lt/Dashboard/Served?ServiceDateFrom=2025-11-24&amp;ServiceDateTo=2025-11-24&amp;DumpsterInvNr=13-P-205288", "13-P-205288")</f>
        <v>13-P-205288</v>
      </c>
      <c r="C6033">
        <v>0.24</v>
      </c>
      <c r="D6033" t="s">
        <v>8301</v>
      </c>
      <c r="E6033" t="s">
        <v>11</v>
      </c>
      <c r="F6033" t="s">
        <v>1209</v>
      </c>
      <c r="G6033" t="s">
        <v>234</v>
      </c>
      <c r="H6033" t="s">
        <v>14</v>
      </c>
    </row>
    <row r="6034" spans="1:8" hidden="1" x14ac:dyDescent="0.25">
      <c r="A6034" t="s">
        <v>8300</v>
      </c>
      <c r="B6034" s="1" t="str">
        <f>HYPERLINK("https://asmlis.vasa.lt/Dashboard/Served?ServiceDateFrom=2025-11-24&amp;ServiceDateTo=2025-11-24&amp;DumpsterInvNr=13-S-206061", "13-S-206061")</f>
        <v>13-S-206061</v>
      </c>
      <c r="C6034">
        <v>0.12</v>
      </c>
      <c r="D6034" t="s">
        <v>8301</v>
      </c>
      <c r="E6034" t="s">
        <v>11</v>
      </c>
      <c r="F6034" t="s">
        <v>1209</v>
      </c>
      <c r="G6034" t="s">
        <v>234</v>
      </c>
      <c r="H6034" t="s">
        <v>14</v>
      </c>
    </row>
    <row r="6035" spans="1:8" hidden="1" x14ac:dyDescent="0.25">
      <c r="A6035" t="s">
        <v>8302</v>
      </c>
      <c r="B6035" s="1" t="str">
        <f>HYPERLINK("https://asmlis.vasa.lt/Dashboard/Served?ServiceDateFrom=2025-11-24&amp;ServiceDateTo=2025-11-24&amp;DumpsterInvNr=13-L-108921", "13-L-108921")</f>
        <v>13-L-108921</v>
      </c>
      <c r="C6035">
        <v>1.1000000000000001</v>
      </c>
      <c r="D6035" t="s">
        <v>8303</v>
      </c>
      <c r="E6035" t="s">
        <v>11</v>
      </c>
      <c r="G6035" t="s">
        <v>430</v>
      </c>
      <c r="H6035" t="s">
        <v>432</v>
      </c>
    </row>
    <row r="6036" spans="1:8" hidden="1" x14ac:dyDescent="0.25">
      <c r="A6036" t="s">
        <v>8304</v>
      </c>
      <c r="B6036" s="1" t="str">
        <f>HYPERLINK("https://asmlis.vasa.lt/Dashboard/Served?ServiceDateFrom=2025-11-24&amp;ServiceDateTo=2025-11-24&amp;DumpsterInvNr=13-P-211165", "13-P-211165")</f>
        <v>13-P-211165</v>
      </c>
      <c r="C6036">
        <v>0.24</v>
      </c>
      <c r="D6036" t="s">
        <v>8296</v>
      </c>
      <c r="E6036" t="s">
        <v>11</v>
      </c>
      <c r="F6036" t="s">
        <v>1209</v>
      </c>
      <c r="G6036" t="s">
        <v>234</v>
      </c>
      <c r="H6036" t="s">
        <v>14</v>
      </c>
    </row>
    <row r="6037" spans="1:8" hidden="1" x14ac:dyDescent="0.25">
      <c r="A6037" t="s">
        <v>8305</v>
      </c>
      <c r="B6037" s="1" t="str">
        <f>HYPERLINK("https://asmlis.vasa.lt/Dashboard/Served?ServiceDateFrom=2025-11-24&amp;ServiceDateTo=2025-11-24&amp;DumpsterInvNr=13-L-137793", "13-L-137793")</f>
        <v>13-L-137793</v>
      </c>
      <c r="C6037">
        <v>1.1000000000000001</v>
      </c>
      <c r="D6037" t="s">
        <v>8289</v>
      </c>
      <c r="E6037" t="s">
        <v>11</v>
      </c>
      <c r="G6037" t="s">
        <v>1912</v>
      </c>
      <c r="H6037" t="s">
        <v>432</v>
      </c>
    </row>
    <row r="6038" spans="1:8" hidden="1" x14ac:dyDescent="0.25">
      <c r="A6038" t="s">
        <v>8306</v>
      </c>
      <c r="B6038" s="1" t="str">
        <f>HYPERLINK("https://asmlis.vasa.lt/Dashboard/Served?ServiceDateFrom=2025-11-24&amp;ServiceDateTo=2025-11-24&amp;DumpsterInvNr=13-M-204524", "13-M-204524")</f>
        <v>13-M-204524</v>
      </c>
      <c r="C6038">
        <v>0.12</v>
      </c>
      <c r="D6038" t="s">
        <v>8307</v>
      </c>
      <c r="E6038" t="s">
        <v>11</v>
      </c>
      <c r="G6038" t="s">
        <v>4876</v>
      </c>
      <c r="H6038" t="s">
        <v>938</v>
      </c>
    </row>
    <row r="6039" spans="1:8" hidden="1" x14ac:dyDescent="0.25">
      <c r="A6039" t="s">
        <v>8308</v>
      </c>
      <c r="B6039" s="1" t="str">
        <f>HYPERLINK("https://asmlis.vasa.lt/Dashboard/Served?ServiceDateFrom=2025-11-24&amp;ServiceDateTo=2025-11-24&amp;DumpsterInvNr=13-L-213466", "13-L-213466")</f>
        <v>13-L-213466</v>
      </c>
      <c r="C6039">
        <v>1.1000000000000001</v>
      </c>
      <c r="D6039" t="s">
        <v>8100</v>
      </c>
      <c r="E6039" t="s">
        <v>11</v>
      </c>
      <c r="G6039" t="s">
        <v>936</v>
      </c>
      <c r="H6039" t="s">
        <v>938</v>
      </c>
    </row>
    <row r="6040" spans="1:8" hidden="1" x14ac:dyDescent="0.25">
      <c r="A6040" t="s">
        <v>8308</v>
      </c>
      <c r="B6040" s="1" t="str">
        <f>HYPERLINK("https://asmlis.vasa.lt/Dashboard/Served?ServiceDateFrom=2025-11-24&amp;ServiceDateTo=2025-11-24&amp;DumpsterInvNr=13-P-500755", "13-P-500755")</f>
        <v>13-P-500755</v>
      </c>
      <c r="C6040">
        <v>5</v>
      </c>
      <c r="D6040" t="s">
        <v>8309</v>
      </c>
      <c r="E6040" t="s">
        <v>11</v>
      </c>
      <c r="F6040" t="s">
        <v>13</v>
      </c>
      <c r="G6040" t="s">
        <v>2178</v>
      </c>
      <c r="H6040" t="s">
        <v>432</v>
      </c>
    </row>
    <row r="6041" spans="1:8" hidden="1" x14ac:dyDescent="0.25">
      <c r="A6041" t="s">
        <v>8310</v>
      </c>
      <c r="B6041" s="1" t="str">
        <f>HYPERLINK("https://asmlis.vasa.lt/Dashboard/Served?ServiceDateFrom=2025-11-24&amp;ServiceDateTo=2025-11-24&amp;DumpsterInvNr=13-L-421617", "13-L-421617")</f>
        <v>13-L-421617</v>
      </c>
      <c r="C6041">
        <v>1.1000000000000001</v>
      </c>
      <c r="D6041" t="s">
        <v>8261</v>
      </c>
      <c r="E6041" t="s">
        <v>11</v>
      </c>
      <c r="G6041" t="s">
        <v>74</v>
      </c>
      <c r="H6041" t="s">
        <v>14</v>
      </c>
    </row>
    <row r="6042" spans="1:8" hidden="1" x14ac:dyDescent="0.25">
      <c r="A6042" t="s">
        <v>8310</v>
      </c>
      <c r="B6042" s="1" t="str">
        <f>HYPERLINK("https://asmlis.vasa.lt/Dashboard/Served?ServiceDateFrom=2025-11-24&amp;ServiceDateTo=2025-11-24&amp;DumpsterInvNr=13-L-422709", "13-L-422709")</f>
        <v>13-L-422709</v>
      </c>
      <c r="C6042">
        <v>1.1000000000000001</v>
      </c>
      <c r="D6042" t="s">
        <v>8261</v>
      </c>
      <c r="E6042" t="s">
        <v>11</v>
      </c>
      <c r="G6042" t="s">
        <v>74</v>
      </c>
      <c r="H6042" t="s">
        <v>14</v>
      </c>
    </row>
    <row r="6043" spans="1:8" hidden="1" x14ac:dyDescent="0.25">
      <c r="A6043" t="s">
        <v>8310</v>
      </c>
      <c r="B6043" s="1" t="str">
        <f>HYPERLINK("https://asmlis.vasa.lt/Dashboard/Served?ServiceDateFrom=2025-11-24&amp;ServiceDateTo=2025-11-24&amp;DumpsterInvNr=13-L-426413", "13-L-426413")</f>
        <v>13-L-426413</v>
      </c>
      <c r="C6043">
        <v>1.1000000000000001</v>
      </c>
      <c r="D6043" t="s">
        <v>8261</v>
      </c>
      <c r="E6043" t="s">
        <v>11</v>
      </c>
      <c r="G6043" t="s">
        <v>74</v>
      </c>
      <c r="H6043" t="s">
        <v>14</v>
      </c>
    </row>
    <row r="6044" spans="1:8" hidden="1" x14ac:dyDescent="0.25">
      <c r="A6044" t="s">
        <v>8310</v>
      </c>
      <c r="B6044" s="1" t="str">
        <f>HYPERLINK("https://asmlis.vasa.lt/Dashboard/Served?ServiceDateFrom=2025-11-24&amp;ServiceDateTo=2025-11-24&amp;DumpsterInvNr=13-P-401704", "13-P-401704")</f>
        <v>13-P-401704</v>
      </c>
      <c r="C6044">
        <v>2.5</v>
      </c>
      <c r="D6044" t="s">
        <v>8311</v>
      </c>
      <c r="E6044" t="s">
        <v>11</v>
      </c>
      <c r="F6044" t="s">
        <v>13</v>
      </c>
      <c r="G6044" t="s">
        <v>264</v>
      </c>
      <c r="H6044" t="s">
        <v>14</v>
      </c>
    </row>
    <row r="6045" spans="1:8" hidden="1" x14ac:dyDescent="0.25">
      <c r="A6045" t="s">
        <v>8312</v>
      </c>
      <c r="B6045" s="1" t="str">
        <f>HYPERLINK("https://asmlis.vasa.lt/Dashboard/Served?ServiceDateFrom=2025-11-24&amp;ServiceDateTo=2025-11-24&amp;DumpsterInvNr=13-P-106625", "13-P-106625")</f>
        <v>13-P-106625</v>
      </c>
      <c r="C6045">
        <v>0.24</v>
      </c>
      <c r="D6045" t="s">
        <v>8313</v>
      </c>
      <c r="E6045" t="s">
        <v>11</v>
      </c>
      <c r="G6045" t="s">
        <v>1917</v>
      </c>
      <c r="H6045" t="s">
        <v>432</v>
      </c>
    </row>
    <row r="6046" spans="1:8" hidden="1" x14ac:dyDescent="0.25">
      <c r="A6046" t="s">
        <v>8314</v>
      </c>
      <c r="B6046" s="1" t="str">
        <f>HYPERLINK("https://asmlis.vasa.lt/Dashboard/Served?ServiceDateFrom=2025-11-24&amp;ServiceDateTo=2025-11-24&amp;DumpsterInvNr=13-L-220585", "13-L-220585")</f>
        <v>13-L-220585</v>
      </c>
      <c r="C6046">
        <v>1.1000000000000001</v>
      </c>
      <c r="D6046" t="s">
        <v>8100</v>
      </c>
      <c r="E6046" t="s">
        <v>11</v>
      </c>
      <c r="F6046" t="s">
        <v>13</v>
      </c>
      <c r="G6046" t="s">
        <v>936</v>
      </c>
      <c r="H6046" t="s">
        <v>938</v>
      </c>
    </row>
    <row r="6047" spans="1:8" hidden="1" x14ac:dyDescent="0.25">
      <c r="A6047" t="s">
        <v>8315</v>
      </c>
      <c r="B6047" s="1" t="str">
        <f>HYPERLINK("https://asmlis.vasa.lt/Dashboard/Served?ServiceDateFrom=2025-11-24&amp;ServiceDateTo=2025-11-24&amp;DumpsterInvNr=13-L-219354", "13-L-219354")</f>
        <v>13-L-219354</v>
      </c>
      <c r="C6047">
        <v>0.24</v>
      </c>
      <c r="D6047" t="s">
        <v>5624</v>
      </c>
      <c r="E6047" t="s">
        <v>11</v>
      </c>
      <c r="G6047" t="s">
        <v>936</v>
      </c>
      <c r="H6047" t="s">
        <v>938</v>
      </c>
    </row>
    <row r="6048" spans="1:8" hidden="1" x14ac:dyDescent="0.25">
      <c r="A6048" t="s">
        <v>8315</v>
      </c>
      <c r="B6048" s="1" t="str">
        <f>HYPERLINK("https://asmlis.vasa.lt/Dashboard/Served?ServiceDateFrom=2025-11-24&amp;ServiceDateTo=2025-11-24&amp;DumpsterInvNr=13-L-208245", "13-L-208245")</f>
        <v>13-L-208245</v>
      </c>
      <c r="C6048">
        <v>1.1000000000000001</v>
      </c>
      <c r="D6048" t="s">
        <v>8316</v>
      </c>
      <c r="E6048" t="s">
        <v>11</v>
      </c>
      <c r="G6048" t="s">
        <v>936</v>
      </c>
      <c r="H6048" t="s">
        <v>938</v>
      </c>
    </row>
    <row r="6049" spans="1:8" hidden="1" x14ac:dyDescent="0.25">
      <c r="A6049" t="s">
        <v>8317</v>
      </c>
      <c r="B6049" s="1" t="str">
        <f>HYPERLINK("https://asmlis.vasa.lt/Dashboard/Served?ServiceDateFrom=2025-11-24&amp;ServiceDateTo=2025-11-24&amp;DumpsterInvNr=13-M-202350", "13-M-202350")</f>
        <v>13-M-202350</v>
      </c>
      <c r="C6049">
        <v>0.12</v>
      </c>
      <c r="D6049" t="s">
        <v>8318</v>
      </c>
      <c r="E6049" t="s">
        <v>11</v>
      </c>
      <c r="F6049" t="s">
        <v>1209</v>
      </c>
      <c r="G6049" t="s">
        <v>4876</v>
      </c>
      <c r="H6049" t="s">
        <v>938</v>
      </c>
    </row>
    <row r="6050" spans="1:8" hidden="1" x14ac:dyDescent="0.25">
      <c r="A6050" t="s">
        <v>8319</v>
      </c>
      <c r="B6050" s="1" t="str">
        <f>HYPERLINK("https://asmlis.vasa.lt/Dashboard/Served?ServiceDateFrom=2025-11-24&amp;ServiceDateTo=2025-11-24&amp;DumpsterInvNr=13-L-424109", "13-L-424109")</f>
        <v>13-L-424109</v>
      </c>
      <c r="C6050">
        <v>5</v>
      </c>
      <c r="D6050" t="s">
        <v>5261</v>
      </c>
      <c r="E6050" t="s">
        <v>11</v>
      </c>
      <c r="F6050" t="s">
        <v>13</v>
      </c>
      <c r="G6050" t="s">
        <v>74</v>
      </c>
      <c r="H6050" t="s">
        <v>14</v>
      </c>
    </row>
    <row r="6051" spans="1:8" hidden="1" x14ac:dyDescent="0.25">
      <c r="A6051" t="s">
        <v>8319</v>
      </c>
      <c r="B6051" s="1" t="str">
        <f>HYPERLINK("https://asmlis.vasa.lt/Dashboard/Served?ServiceDateFrom=2025-11-24&amp;ServiceDateTo=2025-11-24&amp;DumpsterInvNr=13-P-213172", "13-P-213172")</f>
        <v>13-P-213172</v>
      </c>
      <c r="C6051">
        <v>0.24</v>
      </c>
      <c r="D6051" t="s">
        <v>8320</v>
      </c>
      <c r="E6051" t="s">
        <v>11</v>
      </c>
      <c r="G6051" t="s">
        <v>234</v>
      </c>
      <c r="H6051" t="s">
        <v>14</v>
      </c>
    </row>
    <row r="6052" spans="1:8" hidden="1" x14ac:dyDescent="0.25">
      <c r="A6052" t="s">
        <v>8319</v>
      </c>
      <c r="B6052" s="1" t="str">
        <f>HYPERLINK("https://asmlis.vasa.lt/Dashboard/Served?ServiceDateFrom=2025-11-24&amp;ServiceDateTo=2025-11-24&amp;DumpsterInvNr=13-P-208237", "13-P-208237")</f>
        <v>13-P-208237</v>
      </c>
      <c r="C6052">
        <v>1.1000000000000001</v>
      </c>
      <c r="D6052" t="s">
        <v>8321</v>
      </c>
      <c r="E6052" t="s">
        <v>11</v>
      </c>
      <c r="G6052" t="s">
        <v>234</v>
      </c>
      <c r="H6052" t="s">
        <v>14</v>
      </c>
    </row>
    <row r="6053" spans="1:8" hidden="1" x14ac:dyDescent="0.25">
      <c r="A6053" t="s">
        <v>8322</v>
      </c>
      <c r="B6053" s="1" t="str">
        <f>HYPERLINK("https://asmlis.vasa.lt/Dashboard/Served?ServiceDateFrom=2025-11-24&amp;ServiceDateTo=2025-11-24&amp;DumpsterInvNr=13-L-423804", "13-L-423804")</f>
        <v>13-L-423804</v>
      </c>
      <c r="C6053">
        <v>5</v>
      </c>
      <c r="D6053" t="s">
        <v>8323</v>
      </c>
      <c r="E6053" t="s">
        <v>11</v>
      </c>
      <c r="F6053" t="s">
        <v>13</v>
      </c>
      <c r="G6053" t="s">
        <v>74</v>
      </c>
      <c r="H6053" t="s">
        <v>14</v>
      </c>
    </row>
    <row r="6054" spans="1:8" hidden="1" x14ac:dyDescent="0.25">
      <c r="A6054" t="s">
        <v>8324</v>
      </c>
      <c r="B6054" s="1" t="str">
        <f>HYPERLINK("https://asmlis.vasa.lt/Dashboard/Served?ServiceDateFrom=2025-11-24&amp;ServiceDateTo=2025-11-24&amp;DumpsterInvNr=13-L-105150", "13-L-105150")</f>
        <v>13-L-105150</v>
      </c>
      <c r="C6054">
        <v>1.1000000000000001</v>
      </c>
      <c r="D6054" t="s">
        <v>8303</v>
      </c>
      <c r="E6054" t="s">
        <v>11</v>
      </c>
      <c r="G6054" t="s">
        <v>430</v>
      </c>
      <c r="H6054" t="s">
        <v>432</v>
      </c>
    </row>
    <row r="6055" spans="1:8" hidden="1" x14ac:dyDescent="0.25">
      <c r="A6055" t="s">
        <v>8324</v>
      </c>
      <c r="B6055" s="1" t="str">
        <f>HYPERLINK("https://asmlis.vasa.lt/Dashboard/Served?ServiceDateFrom=2025-11-24&amp;ServiceDateTo=2025-11-24&amp;DumpsterInvNr=13-L-423806", "13-L-423806")</f>
        <v>13-L-423806</v>
      </c>
      <c r="C6055">
        <v>3</v>
      </c>
      <c r="D6055" t="s">
        <v>8323</v>
      </c>
      <c r="E6055" t="s">
        <v>11</v>
      </c>
      <c r="F6055" t="s">
        <v>13</v>
      </c>
      <c r="G6055" t="s">
        <v>74</v>
      </c>
      <c r="H6055" t="s">
        <v>14</v>
      </c>
    </row>
    <row r="6056" spans="1:8" hidden="1" x14ac:dyDescent="0.25">
      <c r="A6056" t="s">
        <v>8325</v>
      </c>
      <c r="B6056" s="1" t="str">
        <f>HYPERLINK("https://asmlis.vasa.lt/Dashboard/Served?ServiceDateFrom=2025-11-24&amp;ServiceDateTo=2025-11-24&amp;DumpsterInvNr=13-L-423805", "13-L-423805")</f>
        <v>13-L-423805</v>
      </c>
      <c r="C6056">
        <v>5</v>
      </c>
      <c r="D6056" t="s">
        <v>8323</v>
      </c>
      <c r="E6056" t="s">
        <v>11</v>
      </c>
      <c r="F6056" t="s">
        <v>13</v>
      </c>
      <c r="G6056" t="s">
        <v>74</v>
      </c>
      <c r="H6056" t="s">
        <v>14</v>
      </c>
    </row>
    <row r="6057" spans="1:8" hidden="1" x14ac:dyDescent="0.25">
      <c r="A6057" t="s">
        <v>8326</v>
      </c>
      <c r="B6057" s="1" t="str">
        <f>HYPERLINK("https://asmlis.vasa.lt/Dashboard/Served?ServiceDateFrom=2025-11-24&amp;ServiceDateTo=2025-11-24&amp;DumpsterInvNr=13-S-207886", "13-S-207886")</f>
        <v>13-S-207886</v>
      </c>
      <c r="C6057">
        <v>3</v>
      </c>
      <c r="D6057" t="s">
        <v>8327</v>
      </c>
      <c r="E6057" t="s">
        <v>11</v>
      </c>
      <c r="G6057" t="s">
        <v>234</v>
      </c>
      <c r="H6057" t="s">
        <v>14</v>
      </c>
    </row>
    <row r="6058" spans="1:8" hidden="1" x14ac:dyDescent="0.25">
      <c r="A6058" t="s">
        <v>8328</v>
      </c>
      <c r="B6058" s="1" t="str">
        <f>HYPERLINK("https://asmlis.vasa.lt/Dashboard/Served?ServiceDateFrom=2025-11-24&amp;ServiceDateTo=2025-11-24&amp;DumpsterInvNr=13-L-314689", "13-L-314689")</f>
        <v>13-L-314689</v>
      </c>
      <c r="C6058">
        <v>1.1000000000000001</v>
      </c>
      <c r="D6058" t="s">
        <v>8220</v>
      </c>
      <c r="E6058" t="s">
        <v>11</v>
      </c>
      <c r="F6058" t="s">
        <v>13</v>
      </c>
      <c r="G6058" t="s">
        <v>9</v>
      </c>
      <c r="H6058" t="s">
        <v>14</v>
      </c>
    </row>
    <row r="6059" spans="1:8" hidden="1" x14ac:dyDescent="0.25">
      <c r="A6059" t="s">
        <v>8329</v>
      </c>
      <c r="B6059" s="1" t="str">
        <f>HYPERLINK("https://asmlis.vasa.lt/Dashboard/Served?ServiceDateFrom=2025-11-24&amp;ServiceDateTo=2025-11-24&amp;DumpsterInvNr=13-M-204541", "13-M-204541")</f>
        <v>13-M-204541</v>
      </c>
      <c r="C6059">
        <v>0.12</v>
      </c>
      <c r="D6059" t="s">
        <v>8330</v>
      </c>
      <c r="E6059" t="s">
        <v>11</v>
      </c>
      <c r="F6059" t="s">
        <v>1209</v>
      </c>
      <c r="G6059" t="s">
        <v>4876</v>
      </c>
      <c r="H6059" t="s">
        <v>938</v>
      </c>
    </row>
    <row r="6060" spans="1:8" hidden="1" x14ac:dyDescent="0.25">
      <c r="A6060" t="s">
        <v>8331</v>
      </c>
      <c r="B6060" s="1" t="str">
        <f>HYPERLINK("https://asmlis.vasa.lt/Dashboard/Served?ServiceDateFrom=2025-11-24&amp;ServiceDateTo=2025-11-24&amp;DumpsterInvNr=13-P-401157", "13-P-401157")</f>
        <v>13-P-401157</v>
      </c>
      <c r="C6060">
        <v>5</v>
      </c>
      <c r="D6060" t="s">
        <v>8332</v>
      </c>
      <c r="E6060" t="s">
        <v>11</v>
      </c>
      <c r="G6060" t="s">
        <v>264</v>
      </c>
      <c r="H6060" t="s">
        <v>14</v>
      </c>
    </row>
    <row r="6061" spans="1:8" hidden="1" x14ac:dyDescent="0.25">
      <c r="A6061" t="s">
        <v>8333</v>
      </c>
      <c r="B6061" s="1" t="str">
        <f>HYPERLINK("https://asmlis.vasa.lt/Dashboard/Served?ServiceDateFrom=2025-11-24&amp;ServiceDateTo=2025-11-24&amp;DumpsterInvNr=13-P-415860", "13-P-415860")</f>
        <v>13-P-415860</v>
      </c>
      <c r="C6061">
        <v>0.24</v>
      </c>
      <c r="D6061" t="s">
        <v>8334</v>
      </c>
      <c r="E6061" t="s">
        <v>11</v>
      </c>
      <c r="G6061" t="s">
        <v>264</v>
      </c>
      <c r="H6061" t="s">
        <v>14</v>
      </c>
    </row>
    <row r="6062" spans="1:8" hidden="1" x14ac:dyDescent="0.25">
      <c r="A6062" t="s">
        <v>8335</v>
      </c>
      <c r="B6062" s="1" t="str">
        <f>HYPERLINK("https://asmlis.vasa.lt/Dashboard/Served?ServiceDateFrom=2025-11-24&amp;ServiceDateTo=2025-11-24&amp;DumpsterInvNr=13-L-112647", "13-L-112647")</f>
        <v>13-L-112647</v>
      </c>
      <c r="C6062">
        <v>0.24</v>
      </c>
      <c r="D6062" t="s">
        <v>8298</v>
      </c>
      <c r="E6062" t="s">
        <v>11</v>
      </c>
      <c r="G6062" t="s">
        <v>1912</v>
      </c>
      <c r="H6062" t="s">
        <v>432</v>
      </c>
    </row>
    <row r="6063" spans="1:8" hidden="1" x14ac:dyDescent="0.25">
      <c r="A6063" t="s">
        <v>8336</v>
      </c>
      <c r="B6063" s="1" t="str">
        <f>HYPERLINK("https://asmlis.vasa.lt/Dashboard/Served?ServiceDateFrom=2025-11-24&amp;ServiceDateTo=2025-11-24&amp;DumpsterInvNr=13-P-103662", "13-P-103662")</f>
        <v>13-P-103662</v>
      </c>
      <c r="C6063">
        <v>0.24</v>
      </c>
      <c r="D6063" t="s">
        <v>8298</v>
      </c>
      <c r="E6063" t="s">
        <v>11</v>
      </c>
      <c r="G6063" t="s">
        <v>1917</v>
      </c>
      <c r="H6063" t="s">
        <v>432</v>
      </c>
    </row>
    <row r="6064" spans="1:8" hidden="1" x14ac:dyDescent="0.25">
      <c r="A6064" t="s">
        <v>8337</v>
      </c>
      <c r="B6064" s="1" t="str">
        <f>HYPERLINK("https://asmlis.vasa.lt/Dashboard/Served?ServiceDateFrom=2025-11-24&amp;ServiceDateTo=2025-11-24&amp;DumpsterInvNr=13-P-203134", "13-P-203134")</f>
        <v>13-P-203134</v>
      </c>
      <c r="C6064">
        <v>3</v>
      </c>
      <c r="D6064" t="s">
        <v>2680</v>
      </c>
      <c r="E6064" t="s">
        <v>11</v>
      </c>
      <c r="G6064" t="s">
        <v>234</v>
      </c>
      <c r="H6064" t="s">
        <v>14</v>
      </c>
    </row>
    <row r="6065" spans="1:8" hidden="1" x14ac:dyDescent="0.25">
      <c r="A6065" t="s">
        <v>8338</v>
      </c>
      <c r="B6065" s="1" t="str">
        <f>HYPERLINK("https://asmlis.vasa.lt/Dashboard/Served?ServiceDateFrom=2025-11-24&amp;ServiceDateTo=2025-11-24&amp;DumpsterInvNr=13-P-115358", "13-P-115358")</f>
        <v>13-P-115358</v>
      </c>
      <c r="C6065">
        <v>1.1000000000000001</v>
      </c>
      <c r="D6065" t="s">
        <v>8339</v>
      </c>
      <c r="E6065" t="s">
        <v>11</v>
      </c>
      <c r="G6065" t="s">
        <v>1917</v>
      </c>
      <c r="H6065" t="s">
        <v>432</v>
      </c>
    </row>
    <row r="6066" spans="1:8" hidden="1" x14ac:dyDescent="0.25">
      <c r="A6066" t="s">
        <v>8341</v>
      </c>
      <c r="B6066" s="1" t="str">
        <f>HYPERLINK("https://asmlis.vasa.lt/Dashboard/Served?ServiceDateFrom=2025-11-24&amp;ServiceDateTo=2025-11-24&amp;DumpsterInvNr=13-P-415923", "13-P-415923")</f>
        <v>13-P-415923</v>
      </c>
      <c r="C6066">
        <v>0.24</v>
      </c>
      <c r="D6066" t="s">
        <v>8342</v>
      </c>
      <c r="E6066" t="s">
        <v>11</v>
      </c>
      <c r="G6066" t="s">
        <v>264</v>
      </c>
      <c r="H6066" t="s">
        <v>14</v>
      </c>
    </row>
    <row r="6067" spans="1:8" hidden="1" x14ac:dyDescent="0.25">
      <c r="A6067" t="s">
        <v>8343</v>
      </c>
      <c r="B6067" s="1" t="str">
        <f>HYPERLINK("https://asmlis.vasa.lt/Dashboard/Served?ServiceDateFrom=2025-11-24&amp;ServiceDateTo=2025-11-24&amp;DumpsterInvNr=13-P-102379", "13-P-102379")</f>
        <v>13-P-102379</v>
      </c>
      <c r="C6067">
        <v>5</v>
      </c>
      <c r="D6067" t="s">
        <v>2657</v>
      </c>
      <c r="E6067" t="s">
        <v>11</v>
      </c>
      <c r="F6067" t="s">
        <v>13</v>
      </c>
      <c r="G6067" t="s">
        <v>1917</v>
      </c>
      <c r="H6067" t="s">
        <v>432</v>
      </c>
    </row>
    <row r="6068" spans="1:8" hidden="1" x14ac:dyDescent="0.25">
      <c r="A6068" t="s">
        <v>7709</v>
      </c>
      <c r="B6068" s="1" t="str">
        <f>HYPERLINK("https://asmlis.vasa.lt/Dashboard/Served?ServiceDateFrom=2025-11-24&amp;ServiceDateTo=2025-11-24&amp;DumpsterInvNr=13-P-412490", "13-P-412490")</f>
        <v>13-P-412490</v>
      </c>
      <c r="C6068">
        <v>0.24</v>
      </c>
      <c r="D6068" t="s">
        <v>8345</v>
      </c>
      <c r="E6068" t="s">
        <v>11</v>
      </c>
      <c r="G6068" t="s">
        <v>264</v>
      </c>
      <c r="H6068" t="s">
        <v>14</v>
      </c>
    </row>
    <row r="6069" spans="1:8" hidden="1" x14ac:dyDescent="0.25">
      <c r="A6069" t="s">
        <v>7709</v>
      </c>
      <c r="B6069" s="1" t="str">
        <f>HYPERLINK("https://asmlis.vasa.lt/Dashboard/Served?ServiceDateFrom=2025-11-24&amp;ServiceDateTo=2025-11-24&amp;DumpsterInvNr=13-L-425237", "13-L-425237")</f>
        <v>13-L-425237</v>
      </c>
      <c r="C6069">
        <v>1.1000000000000001</v>
      </c>
      <c r="D6069" t="s">
        <v>8261</v>
      </c>
      <c r="E6069" t="s">
        <v>11</v>
      </c>
      <c r="G6069" t="s">
        <v>74</v>
      </c>
      <c r="H6069" t="s">
        <v>14</v>
      </c>
    </row>
    <row r="6070" spans="1:8" hidden="1" x14ac:dyDescent="0.25">
      <c r="A6070" t="s">
        <v>7906</v>
      </c>
      <c r="B6070" s="1" t="str">
        <f>HYPERLINK("https://asmlis.vasa.lt/Dashboard/Served?ServiceDateFrom=2025-11-24&amp;ServiceDateTo=2025-11-24&amp;DumpsterInvNr=13-P-300842", "13-P-300842")</f>
        <v>13-P-300842</v>
      </c>
      <c r="C6070">
        <v>1.1000000000000001</v>
      </c>
      <c r="D6070" t="s">
        <v>2935</v>
      </c>
      <c r="E6070" t="s">
        <v>11</v>
      </c>
      <c r="G6070" t="s">
        <v>412</v>
      </c>
      <c r="H6070" t="s">
        <v>14</v>
      </c>
    </row>
    <row r="6071" spans="1:8" hidden="1" x14ac:dyDescent="0.25">
      <c r="A6071" t="s">
        <v>8346</v>
      </c>
      <c r="B6071" s="1" t="str">
        <f>HYPERLINK("https://asmlis.vasa.lt/Dashboard/Served?ServiceDateFrom=2025-11-24&amp;ServiceDateTo=2025-11-24&amp;DumpsterInvNr=13-P-211042", "13-P-211042")</f>
        <v>13-P-211042</v>
      </c>
      <c r="C6071">
        <v>0.24</v>
      </c>
      <c r="D6071" t="s">
        <v>8347</v>
      </c>
      <c r="E6071" t="s">
        <v>11</v>
      </c>
      <c r="G6071" t="s">
        <v>234</v>
      </c>
      <c r="H6071" t="s">
        <v>14</v>
      </c>
    </row>
    <row r="6072" spans="1:8" hidden="1" x14ac:dyDescent="0.25">
      <c r="A6072" t="s">
        <v>8348</v>
      </c>
      <c r="B6072" s="1" t="str">
        <f>HYPERLINK("https://asmlis.vasa.lt/Dashboard/Served?ServiceDateFrom=2025-11-24&amp;ServiceDateTo=2025-11-24&amp;DumpsterInvNr=13-L-422130", "13-L-422130")</f>
        <v>13-L-422130</v>
      </c>
      <c r="C6072">
        <v>0.24</v>
      </c>
      <c r="D6072" t="s">
        <v>4114</v>
      </c>
      <c r="E6072" t="s">
        <v>11</v>
      </c>
      <c r="G6072" t="s">
        <v>74</v>
      </c>
      <c r="H6072" t="s">
        <v>14</v>
      </c>
    </row>
    <row r="6073" spans="1:8" hidden="1" x14ac:dyDescent="0.25">
      <c r="A6073" t="s">
        <v>8349</v>
      </c>
      <c r="B6073" s="1" t="str">
        <f>HYPERLINK("https://asmlis.vasa.lt/Dashboard/Served?ServiceDateFrom=2025-11-24&amp;ServiceDateTo=2025-11-24&amp;DumpsterInvNr=13-L-118363", "13-L-118363")</f>
        <v>13-L-118363</v>
      </c>
      <c r="C6073">
        <v>0.12</v>
      </c>
      <c r="D6073" t="s">
        <v>8298</v>
      </c>
      <c r="E6073" t="s">
        <v>11</v>
      </c>
      <c r="G6073" t="s">
        <v>1912</v>
      </c>
      <c r="H6073" t="s">
        <v>432</v>
      </c>
    </row>
    <row r="6074" spans="1:8" hidden="1" x14ac:dyDescent="0.25">
      <c r="A6074" t="s">
        <v>8351</v>
      </c>
      <c r="B6074" s="1" t="str">
        <f>HYPERLINK("https://asmlis.vasa.lt/Dashboard/Served?ServiceDateFrom=2025-11-24&amp;ServiceDateTo=2025-11-24&amp;DumpsterInvNr=13-P-103677", "13-P-103677")</f>
        <v>13-P-103677</v>
      </c>
      <c r="C6074">
        <v>0.24</v>
      </c>
      <c r="D6074" t="s">
        <v>8298</v>
      </c>
      <c r="E6074" t="s">
        <v>11</v>
      </c>
      <c r="G6074" t="s">
        <v>1917</v>
      </c>
      <c r="H6074" t="s">
        <v>432</v>
      </c>
    </row>
    <row r="6075" spans="1:8" hidden="1" x14ac:dyDescent="0.25">
      <c r="A6075" t="s">
        <v>8353</v>
      </c>
      <c r="B6075" s="1" t="str">
        <f>HYPERLINK("https://asmlis.vasa.lt/Dashboard/Served?ServiceDateFrom=2025-11-24&amp;ServiceDateTo=2025-11-24&amp;DumpsterInvNr=13-L-318556", "13-L-318556")</f>
        <v>13-L-318556</v>
      </c>
      <c r="C6075">
        <v>1.1000000000000001</v>
      </c>
      <c r="D6075" t="s">
        <v>8354</v>
      </c>
      <c r="E6075" t="s">
        <v>11</v>
      </c>
      <c r="G6075" t="s">
        <v>9</v>
      </c>
      <c r="H6075" t="s">
        <v>14</v>
      </c>
    </row>
    <row r="6076" spans="1:8" hidden="1" x14ac:dyDescent="0.25">
      <c r="A6076" t="s">
        <v>8355</v>
      </c>
      <c r="B6076" s="1" t="str">
        <f>HYPERLINK("https://asmlis.vasa.lt/Dashboard/Served?ServiceDateFrom=2025-11-24&amp;ServiceDateTo=2025-11-24&amp;DumpsterInvNr=13-L-422131", "13-L-422131")</f>
        <v>13-L-422131</v>
      </c>
      <c r="C6076">
        <v>0.24</v>
      </c>
      <c r="D6076" t="s">
        <v>4119</v>
      </c>
      <c r="E6076" t="s">
        <v>11</v>
      </c>
      <c r="G6076" t="s">
        <v>74</v>
      </c>
      <c r="H6076" t="s">
        <v>14</v>
      </c>
    </row>
    <row r="6077" spans="1:8" hidden="1" x14ac:dyDescent="0.25">
      <c r="A6077" t="s">
        <v>8356</v>
      </c>
      <c r="B6077" s="1" t="str">
        <f>HYPERLINK("https://asmlis.vasa.lt/Dashboard/Served?ServiceDateFrom=2025-11-24&amp;ServiceDateTo=2025-11-24&amp;DumpsterInvNr=13-L-145852", "13-L-145852")</f>
        <v>13-L-145852</v>
      </c>
      <c r="C6077">
        <v>5</v>
      </c>
      <c r="D6077" t="s">
        <v>8357</v>
      </c>
      <c r="E6077" t="s">
        <v>11</v>
      </c>
      <c r="F6077" t="s">
        <v>13</v>
      </c>
      <c r="G6077" t="s">
        <v>1912</v>
      </c>
      <c r="H6077" t="s">
        <v>432</v>
      </c>
    </row>
    <row r="6078" spans="1:8" hidden="1" x14ac:dyDescent="0.25">
      <c r="A6078" t="s">
        <v>8358</v>
      </c>
      <c r="B6078" s="1" t="str">
        <f>HYPERLINK("https://asmlis.vasa.lt/Dashboard/Served?ServiceDateFrom=2025-11-24&amp;ServiceDateTo=2025-11-24&amp;DumpsterInvNr=13-L-219106", "13-L-219106")</f>
        <v>13-L-219106</v>
      </c>
      <c r="C6078">
        <v>0.24</v>
      </c>
      <c r="D6078" t="s">
        <v>8147</v>
      </c>
      <c r="E6078" t="s">
        <v>11</v>
      </c>
      <c r="G6078" t="s">
        <v>936</v>
      </c>
      <c r="H6078" t="s">
        <v>938</v>
      </c>
    </row>
    <row r="6079" spans="1:8" hidden="1" x14ac:dyDescent="0.25">
      <c r="A6079" t="s">
        <v>8359</v>
      </c>
      <c r="B6079" s="1" t="str">
        <f>HYPERLINK("https://asmlis.vasa.lt/Dashboard/Served?ServiceDateFrom=2025-11-24&amp;ServiceDateTo=2025-11-24&amp;DumpsterInvNr=13-L-420234", "13-L-420234")</f>
        <v>13-L-420234</v>
      </c>
      <c r="C6079">
        <v>1.1000000000000001</v>
      </c>
      <c r="D6079" t="s">
        <v>8261</v>
      </c>
      <c r="E6079" t="s">
        <v>11</v>
      </c>
      <c r="G6079" t="s">
        <v>74</v>
      </c>
      <c r="H6079" t="s">
        <v>14</v>
      </c>
    </row>
    <row r="6080" spans="1:8" hidden="1" x14ac:dyDescent="0.25">
      <c r="A6080" t="s">
        <v>8360</v>
      </c>
      <c r="B6080" s="1" t="str">
        <f>HYPERLINK("https://asmlis.vasa.lt/Dashboard/Served?ServiceDateFrom=2025-11-24&amp;ServiceDateTo=2025-11-24&amp;DumpsterInvNr=13-P-412147", "13-P-412147")</f>
        <v>13-P-412147</v>
      </c>
      <c r="C6080">
        <v>0.24</v>
      </c>
      <c r="D6080" t="s">
        <v>8361</v>
      </c>
      <c r="E6080" t="s">
        <v>11</v>
      </c>
      <c r="G6080" t="s">
        <v>264</v>
      </c>
      <c r="H6080" t="s">
        <v>14</v>
      </c>
    </row>
    <row r="6081" spans="1:8" hidden="1" x14ac:dyDescent="0.25">
      <c r="A6081" t="s">
        <v>8362</v>
      </c>
      <c r="B6081" s="1" t="str">
        <f>HYPERLINK("https://asmlis.vasa.lt/Dashboard/Served?ServiceDateFrom=2025-11-24&amp;ServiceDateTo=2025-11-24&amp;DumpsterInvNr=13-L-222382", "13-L-222382")</f>
        <v>13-L-222382</v>
      </c>
      <c r="C6081">
        <v>0.24</v>
      </c>
      <c r="D6081" t="s">
        <v>8316</v>
      </c>
      <c r="E6081" t="s">
        <v>11</v>
      </c>
      <c r="G6081" t="s">
        <v>936</v>
      </c>
      <c r="H6081" t="s">
        <v>938</v>
      </c>
    </row>
    <row r="6082" spans="1:8" hidden="1" x14ac:dyDescent="0.25">
      <c r="A6082" t="s">
        <v>8362</v>
      </c>
      <c r="B6082" s="1" t="str">
        <f>HYPERLINK("https://asmlis.vasa.lt/Dashboard/Served?ServiceDateFrom=2025-11-24&amp;ServiceDateTo=2025-11-24&amp;DumpsterInvNr=13-T-000130", "13-T-000130")</f>
        <v>13-T-000130</v>
      </c>
      <c r="C6082">
        <v>2.5</v>
      </c>
      <c r="D6082" t="s">
        <v>1340</v>
      </c>
      <c r="E6082" t="s">
        <v>11</v>
      </c>
      <c r="F6082" t="s">
        <v>13</v>
      </c>
      <c r="G6082" t="s">
        <v>1899</v>
      </c>
      <c r="H6082" t="s">
        <v>432</v>
      </c>
    </row>
    <row r="6083" spans="1:8" hidden="1" x14ac:dyDescent="0.25">
      <c r="A6083" t="s">
        <v>8363</v>
      </c>
      <c r="B6083" s="1" t="str">
        <f>HYPERLINK("https://asmlis.vasa.lt/Dashboard/Served?ServiceDateFrom=2025-11-24&amp;ServiceDateTo=2025-11-24&amp;DumpsterInvNr=13-L-145018", "13-L-145018")</f>
        <v>13-L-145018</v>
      </c>
      <c r="C6083">
        <v>5</v>
      </c>
      <c r="D6083" t="s">
        <v>8364</v>
      </c>
      <c r="E6083" t="s">
        <v>11</v>
      </c>
      <c r="F6083" t="s">
        <v>13</v>
      </c>
      <c r="G6083" t="s">
        <v>430</v>
      </c>
      <c r="H6083" t="s">
        <v>432</v>
      </c>
    </row>
    <row r="6084" spans="1:8" hidden="1" x14ac:dyDescent="0.25">
      <c r="A6084" t="s">
        <v>8365</v>
      </c>
      <c r="B6084" s="1" t="str">
        <f>HYPERLINK("https://asmlis.vasa.lt/Dashboard/Served?ServiceDateFrom=2025-11-24&amp;ServiceDateTo=2025-11-24&amp;DumpsterInvNr=13-P-300830", "13-P-300830")</f>
        <v>13-P-300830</v>
      </c>
      <c r="C6084">
        <v>1.1000000000000001</v>
      </c>
      <c r="D6084" t="s">
        <v>2935</v>
      </c>
      <c r="E6084" t="s">
        <v>11</v>
      </c>
      <c r="F6084" t="s">
        <v>13</v>
      </c>
      <c r="G6084" t="s">
        <v>412</v>
      </c>
      <c r="H6084" t="s">
        <v>14</v>
      </c>
    </row>
    <row r="6085" spans="1:8" hidden="1" x14ac:dyDescent="0.25">
      <c r="A6085" t="s">
        <v>8366</v>
      </c>
      <c r="B6085" s="1" t="str">
        <f>HYPERLINK("https://asmlis.vasa.lt/Dashboard/Served?ServiceDateFrom=2025-11-24&amp;ServiceDateTo=2025-11-24&amp;DumpsterInvNr=13-T-000104", "13-T-000104")</f>
        <v>13-T-000104</v>
      </c>
      <c r="C6085">
        <v>2.5</v>
      </c>
      <c r="D6085" t="s">
        <v>1340</v>
      </c>
      <c r="E6085" t="s">
        <v>11</v>
      </c>
      <c r="F6085" t="s">
        <v>13</v>
      </c>
      <c r="G6085" t="s">
        <v>1899</v>
      </c>
      <c r="H6085" t="s">
        <v>432</v>
      </c>
    </row>
    <row r="6086" spans="1:8" hidden="1" x14ac:dyDescent="0.25">
      <c r="A6086" t="s">
        <v>8367</v>
      </c>
      <c r="B6086" s="1" t="str">
        <f>HYPERLINK("https://asmlis.vasa.lt/Dashboard/Served?ServiceDateFrom=2025-11-24&amp;ServiceDateTo=2025-11-24&amp;DumpsterInvNr=13-P-207613", "13-P-207613")</f>
        <v>13-P-207613</v>
      </c>
      <c r="C6086">
        <v>3</v>
      </c>
      <c r="D6086" t="s">
        <v>2680</v>
      </c>
      <c r="E6086" t="s">
        <v>11</v>
      </c>
      <c r="F6086" t="s">
        <v>13</v>
      </c>
      <c r="G6086" t="s">
        <v>234</v>
      </c>
      <c r="H6086" t="s">
        <v>14</v>
      </c>
    </row>
    <row r="6087" spans="1:8" hidden="1" x14ac:dyDescent="0.25">
      <c r="A6087" t="s">
        <v>8368</v>
      </c>
      <c r="B6087" s="1" t="str">
        <f>HYPERLINK("https://asmlis.vasa.lt/Dashboard/Served?ServiceDateFrom=2025-11-24&amp;ServiceDateTo=2025-11-24&amp;DumpsterInvNr=13-L-419474", "13-L-419474")</f>
        <v>13-L-419474</v>
      </c>
      <c r="C6087">
        <v>1.1000000000000001</v>
      </c>
      <c r="D6087" t="s">
        <v>8261</v>
      </c>
      <c r="E6087" t="s">
        <v>11</v>
      </c>
      <c r="G6087" t="s">
        <v>74</v>
      </c>
      <c r="H6087" t="s">
        <v>14</v>
      </c>
    </row>
    <row r="6088" spans="1:8" hidden="1" x14ac:dyDescent="0.25">
      <c r="A6088" t="s">
        <v>8369</v>
      </c>
      <c r="B6088" s="1" t="str">
        <f>HYPERLINK("https://asmlis.vasa.lt/Dashboard/Served?ServiceDateFrom=2025-11-24&amp;ServiceDateTo=2025-11-24&amp;DumpsterInvNr=13-L-113889", "13-L-113889")</f>
        <v>13-L-113889</v>
      </c>
      <c r="C6088">
        <v>0.24</v>
      </c>
      <c r="D6088" t="s">
        <v>8370</v>
      </c>
      <c r="E6088" t="s">
        <v>11</v>
      </c>
      <c r="G6088" t="s">
        <v>1912</v>
      </c>
      <c r="H6088" t="s">
        <v>432</v>
      </c>
    </row>
    <row r="6089" spans="1:8" hidden="1" x14ac:dyDescent="0.25">
      <c r="A6089" t="s">
        <v>8369</v>
      </c>
      <c r="B6089" s="1" t="str">
        <f>HYPERLINK("https://asmlis.vasa.lt/Dashboard/Served?ServiceDateFrom=2025-11-24&amp;ServiceDateTo=2025-11-24&amp;DumpsterInvNr=13-L-218013", "13-L-218013")</f>
        <v>13-L-218013</v>
      </c>
      <c r="C6089">
        <v>0.24</v>
      </c>
      <c r="D6089" t="s">
        <v>5678</v>
      </c>
      <c r="E6089" t="s">
        <v>11</v>
      </c>
      <c r="G6089" t="s">
        <v>936</v>
      </c>
      <c r="H6089" t="s">
        <v>938</v>
      </c>
    </row>
    <row r="6090" spans="1:8" hidden="1" x14ac:dyDescent="0.25">
      <c r="A6090" t="s">
        <v>8369</v>
      </c>
      <c r="B6090" s="1" t="str">
        <f>HYPERLINK("https://asmlis.vasa.lt/Dashboard/Served?ServiceDateFrom=2025-11-24&amp;ServiceDateTo=2025-11-24&amp;DumpsterInvNr=13-L-220938", "13-L-220938")</f>
        <v>13-L-220938</v>
      </c>
      <c r="C6090">
        <v>0.24</v>
      </c>
      <c r="D6090" t="s">
        <v>8371</v>
      </c>
      <c r="E6090" t="s">
        <v>11</v>
      </c>
      <c r="G6090" t="s">
        <v>936</v>
      </c>
      <c r="H6090" t="s">
        <v>938</v>
      </c>
    </row>
    <row r="6091" spans="1:8" hidden="1" x14ac:dyDescent="0.25">
      <c r="A6091" t="s">
        <v>8372</v>
      </c>
      <c r="B6091" s="1" t="str">
        <f>HYPERLINK("https://asmlis.vasa.lt/Dashboard/Served?ServiceDateFrom=2025-11-24&amp;ServiceDateTo=2025-11-24&amp;DumpsterInvNr=13-P-103834", "13-P-103834")</f>
        <v>13-P-103834</v>
      </c>
      <c r="C6091">
        <v>0.24</v>
      </c>
      <c r="D6091" t="s">
        <v>8370</v>
      </c>
      <c r="E6091" t="s">
        <v>11</v>
      </c>
      <c r="G6091" t="s">
        <v>1917</v>
      </c>
      <c r="H6091" t="s">
        <v>432</v>
      </c>
    </row>
    <row r="6092" spans="1:8" hidden="1" x14ac:dyDescent="0.25">
      <c r="A6092" t="s">
        <v>8373</v>
      </c>
      <c r="B6092" s="1" t="str">
        <f>HYPERLINK("https://asmlis.vasa.lt/Dashboard/Served?ServiceDateFrom=2025-11-24&amp;ServiceDateTo=2025-11-24&amp;DumpsterInvNr=13-M-206963", "13-M-206963")</f>
        <v>13-M-206963</v>
      </c>
      <c r="C6092">
        <v>0.12</v>
      </c>
      <c r="D6092" t="s">
        <v>8374</v>
      </c>
      <c r="E6092" t="s">
        <v>11</v>
      </c>
      <c r="F6092" t="s">
        <v>1209</v>
      </c>
      <c r="G6092" t="s">
        <v>4876</v>
      </c>
      <c r="H6092" t="s">
        <v>938</v>
      </c>
    </row>
    <row r="6093" spans="1:8" hidden="1" x14ac:dyDescent="0.25">
      <c r="A6093" t="s">
        <v>8375</v>
      </c>
      <c r="B6093" s="1" t="str">
        <f>HYPERLINK("https://asmlis.vasa.lt/Dashboard/Served?ServiceDateFrom=2025-11-24&amp;ServiceDateTo=2025-11-24&amp;DumpsterInvNr=13-L-227688", "13-L-227688")</f>
        <v>13-L-227688</v>
      </c>
      <c r="C6093">
        <v>5</v>
      </c>
      <c r="D6093" t="s">
        <v>8376</v>
      </c>
      <c r="E6093" t="s">
        <v>11</v>
      </c>
      <c r="G6093" t="s">
        <v>936</v>
      </c>
      <c r="H6093" t="s">
        <v>938</v>
      </c>
    </row>
    <row r="6094" spans="1:8" hidden="1" x14ac:dyDescent="0.25">
      <c r="A6094" t="s">
        <v>8377</v>
      </c>
      <c r="B6094" s="1" t="str">
        <f>HYPERLINK("https://asmlis.vasa.lt/Dashboard/Served?ServiceDateFrom=2025-11-24&amp;ServiceDateTo=2025-11-24&amp;DumpsterInvNr=13-P-500754", "13-P-500754")</f>
        <v>13-P-500754</v>
      </c>
      <c r="C6094">
        <v>5</v>
      </c>
      <c r="D6094" t="s">
        <v>8378</v>
      </c>
      <c r="E6094" t="s">
        <v>11</v>
      </c>
      <c r="F6094" t="s">
        <v>13</v>
      </c>
      <c r="G6094" t="s">
        <v>2178</v>
      </c>
      <c r="H6094" t="s">
        <v>432</v>
      </c>
    </row>
    <row r="6095" spans="1:8" hidden="1" x14ac:dyDescent="0.25">
      <c r="A6095" t="s">
        <v>8379</v>
      </c>
      <c r="B6095" s="1" t="str">
        <f>HYPERLINK("https://asmlis.vasa.lt/Dashboard/Served?ServiceDateFrom=2025-11-24&amp;ServiceDateTo=2025-11-24&amp;DumpsterInvNr=13-L-422839", "13-L-422839")</f>
        <v>13-L-422839</v>
      </c>
      <c r="C6095">
        <v>1.1000000000000001</v>
      </c>
      <c r="D6095" t="s">
        <v>8261</v>
      </c>
      <c r="E6095" t="s">
        <v>11</v>
      </c>
      <c r="G6095" t="s">
        <v>74</v>
      </c>
      <c r="H6095" t="s">
        <v>14</v>
      </c>
    </row>
    <row r="6096" spans="1:8" hidden="1" x14ac:dyDescent="0.25">
      <c r="A6096" t="s">
        <v>8380</v>
      </c>
      <c r="B6096" s="1" t="str">
        <f>HYPERLINK("https://asmlis.vasa.lt/Dashboard/Served?ServiceDateFrom=2025-11-24&amp;ServiceDateTo=2025-11-24&amp;DumpsterInvNr=13-L-106777", "13-L-106777")</f>
        <v>13-L-106777</v>
      </c>
      <c r="C6096">
        <v>0.24</v>
      </c>
      <c r="D6096" t="s">
        <v>8381</v>
      </c>
      <c r="E6096" t="s">
        <v>11</v>
      </c>
      <c r="G6096" t="s">
        <v>1912</v>
      </c>
      <c r="H6096" t="s">
        <v>432</v>
      </c>
    </row>
    <row r="6097" spans="1:10" hidden="1" x14ac:dyDescent="0.25">
      <c r="A6097" t="s">
        <v>8383</v>
      </c>
      <c r="B6097" s="1" t="str">
        <f>HYPERLINK("https://asmlis.vasa.lt/Dashboard/Served?ServiceDateFrom=2025-11-24&amp;ServiceDateTo=2025-11-24&amp;DumpsterInvNr=13-L-319708", "13-L-319708")</f>
        <v>13-L-319708</v>
      </c>
      <c r="C6097">
        <v>1.1000000000000001</v>
      </c>
      <c r="D6097" t="s">
        <v>8384</v>
      </c>
      <c r="E6097" t="s">
        <v>11</v>
      </c>
      <c r="G6097" t="s">
        <v>9</v>
      </c>
      <c r="H6097" t="s">
        <v>14</v>
      </c>
    </row>
    <row r="6098" spans="1:10" hidden="1" x14ac:dyDescent="0.25">
      <c r="A6098" t="s">
        <v>8385</v>
      </c>
      <c r="B6098" s="1" t="str">
        <f>HYPERLINK("https://asmlis.vasa.lt/Dashboard/Served?ServiceDateFrom=2025-11-24&amp;ServiceDateTo=2025-11-24&amp;DumpsterInvNr=13-P-107884", "13-P-107884")</f>
        <v>13-P-107884</v>
      </c>
      <c r="C6098">
        <v>0.24</v>
      </c>
      <c r="D6098" t="s">
        <v>8381</v>
      </c>
      <c r="E6098" t="s">
        <v>11</v>
      </c>
      <c r="G6098" t="s">
        <v>1917</v>
      </c>
      <c r="H6098" t="s">
        <v>432</v>
      </c>
    </row>
    <row r="6099" spans="1:10" hidden="1" x14ac:dyDescent="0.25">
      <c r="A6099" t="s">
        <v>8386</v>
      </c>
      <c r="B6099" s="1" t="str">
        <f>HYPERLINK("https://asmlis.vasa.lt/Dashboard/Served?ServiceDateFrom=2025-11-24&amp;ServiceDateTo=2025-11-24&amp;DumpsterInvNr=13-L-136116", "13-L-136116")</f>
        <v>13-L-136116</v>
      </c>
      <c r="C6099">
        <v>5</v>
      </c>
      <c r="D6099" t="s">
        <v>8387</v>
      </c>
      <c r="E6099" t="s">
        <v>11</v>
      </c>
      <c r="F6099" t="s">
        <v>13</v>
      </c>
      <c r="G6099" t="s">
        <v>430</v>
      </c>
      <c r="H6099" t="s">
        <v>432</v>
      </c>
    </row>
    <row r="6100" spans="1:10" hidden="1" x14ac:dyDescent="0.25">
      <c r="A6100" t="s">
        <v>8388</v>
      </c>
      <c r="B6100" s="1" t="str">
        <f>HYPERLINK("https://asmlis.vasa.lt/Dashboard/Served?ServiceDateFrom=2025-11-24&amp;ServiceDateTo=2025-11-24&amp;DumpsterInvNr=13-P-209783", "13-P-209783")</f>
        <v>13-P-209783</v>
      </c>
      <c r="C6100">
        <v>0.24</v>
      </c>
      <c r="D6100" t="s">
        <v>8389</v>
      </c>
      <c r="E6100" t="s">
        <v>11</v>
      </c>
      <c r="G6100" t="s">
        <v>234</v>
      </c>
      <c r="H6100" t="s">
        <v>14</v>
      </c>
    </row>
    <row r="6101" spans="1:10" hidden="1" x14ac:dyDescent="0.25">
      <c r="A6101" t="s">
        <v>8390</v>
      </c>
      <c r="B6101" s="1" t="str">
        <f>HYPERLINK("https://asmlis.vasa.lt/Dashboard/Served?ServiceDateFrom=2025-11-24&amp;ServiceDateTo=2025-11-24&amp;DumpsterInvNr=13-P-412098", "13-P-412098")</f>
        <v>13-P-412098</v>
      </c>
      <c r="C6101">
        <v>0.24</v>
      </c>
      <c r="D6101" t="s">
        <v>8391</v>
      </c>
      <c r="E6101" t="s">
        <v>11</v>
      </c>
      <c r="F6101" t="s">
        <v>1209</v>
      </c>
      <c r="G6101" t="s">
        <v>264</v>
      </c>
      <c r="H6101" t="s">
        <v>14</v>
      </c>
    </row>
    <row r="6102" spans="1:10" hidden="1" x14ac:dyDescent="0.25">
      <c r="A6102" t="s">
        <v>8393</v>
      </c>
      <c r="B6102" s="1" t="str">
        <f>HYPERLINK("https://asmlis.vasa.lt/Dashboard/Served?ServiceDateFrom=2025-11-24&amp;ServiceDateTo=2025-11-24&amp;DumpsterInvNr=13-L-417301", "13-L-417301")</f>
        <v>13-L-417301</v>
      </c>
      <c r="C6102">
        <v>0.24</v>
      </c>
      <c r="D6102" t="s">
        <v>8394</v>
      </c>
      <c r="E6102" t="s">
        <v>11</v>
      </c>
      <c r="G6102" t="s">
        <v>74</v>
      </c>
      <c r="H6102" t="s">
        <v>14</v>
      </c>
    </row>
    <row r="6103" spans="1:10" hidden="1" x14ac:dyDescent="0.25">
      <c r="A6103" t="s">
        <v>8395</v>
      </c>
      <c r="B6103" s="1" t="str">
        <f>HYPERLINK("https://asmlis.vasa.lt/Dashboard/Served?ServiceDateFrom=2025-11-24&amp;ServiceDateTo=2025-11-24&amp;DumpsterInvNr=13-P-209734", "13-P-209734")</f>
        <v>13-P-209734</v>
      </c>
      <c r="C6103">
        <v>0.12</v>
      </c>
      <c r="D6103" t="s">
        <v>8396</v>
      </c>
      <c r="E6103" t="s">
        <v>11</v>
      </c>
      <c r="G6103" t="s">
        <v>234</v>
      </c>
      <c r="H6103" t="s">
        <v>14</v>
      </c>
    </row>
    <row r="6104" spans="1:10" hidden="1" x14ac:dyDescent="0.25">
      <c r="A6104" t="s">
        <v>8397</v>
      </c>
      <c r="B6104" s="1" t="str">
        <f>HYPERLINK("https://asmlis.vasa.lt/Dashboard/Served?ServiceDateFrom=2025-11-24&amp;ServiceDateTo=2025-11-24&amp;DumpsterInvNr=13-S-203415", "13-S-203415")</f>
        <v>13-S-203415</v>
      </c>
      <c r="C6104">
        <v>0.12</v>
      </c>
      <c r="D6104" t="s">
        <v>8396</v>
      </c>
      <c r="E6104" t="s">
        <v>11</v>
      </c>
      <c r="G6104" t="s">
        <v>234</v>
      </c>
      <c r="H6104" t="s">
        <v>14</v>
      </c>
    </row>
    <row r="6105" spans="1:10" hidden="1" x14ac:dyDescent="0.25">
      <c r="A6105" t="s">
        <v>8397</v>
      </c>
      <c r="B6105" s="1" t="str">
        <f>HYPERLINK("https://asmlis.vasa.lt/Dashboard/Served?ServiceDateFrom=2025-11-24&amp;ServiceDateTo=2025-11-24&amp;DumpsterInvNr=13-P-500544", "13-P-500544")</f>
        <v>13-P-500544</v>
      </c>
      <c r="C6105">
        <v>5</v>
      </c>
      <c r="D6105" t="s">
        <v>8398</v>
      </c>
      <c r="E6105" t="s">
        <v>11</v>
      </c>
      <c r="F6105" t="s">
        <v>13</v>
      </c>
      <c r="G6105" t="s">
        <v>2178</v>
      </c>
      <c r="H6105" t="s">
        <v>432</v>
      </c>
    </row>
    <row r="6106" spans="1:10" hidden="1" x14ac:dyDescent="0.25">
      <c r="A6106" t="s">
        <v>8399</v>
      </c>
      <c r="B6106" s="1" t="str">
        <f>HYPERLINK("https://asmlis.vasa.lt/Dashboard/Served?ServiceDateFrom=2025-11-24&amp;ServiceDateTo=2025-11-24&amp;DumpsterInvNr=13-P-115176", "13-P-115176")</f>
        <v>13-P-115176</v>
      </c>
      <c r="C6106">
        <v>1.1000000000000001</v>
      </c>
      <c r="D6106" t="s">
        <v>8400</v>
      </c>
      <c r="E6106" t="s">
        <v>11</v>
      </c>
      <c r="G6106" t="s">
        <v>1917</v>
      </c>
      <c r="H6106" t="s">
        <v>432</v>
      </c>
    </row>
    <row r="6107" spans="1:10" x14ac:dyDescent="0.25">
      <c r="A6107" t="s">
        <v>8401</v>
      </c>
      <c r="B6107" s="1" t="str">
        <f>HYPERLINK("https://asmlis.vasa.lt/Dashboard/Served?ServiceDateFrom=2025-11-24&amp;ServiceDateTo=2025-11-24&amp;DumpsterInvNr=13-P-405319", "13-P-405319")</f>
        <v>13-P-405319</v>
      </c>
      <c r="C6107">
        <v>0.24</v>
      </c>
      <c r="D6107" t="s">
        <v>8402</v>
      </c>
      <c r="E6107" t="s">
        <v>11</v>
      </c>
      <c r="F6107" t="s">
        <v>1215</v>
      </c>
      <c r="G6107" t="s">
        <v>264</v>
      </c>
      <c r="H6107" t="s">
        <v>14</v>
      </c>
      <c r="J6107" t="s">
        <v>17511</v>
      </c>
    </row>
    <row r="6108" spans="1:10" hidden="1" x14ac:dyDescent="0.25">
      <c r="A6108" t="s">
        <v>8404</v>
      </c>
      <c r="B6108" s="1" t="str">
        <f>HYPERLINK("https://asmlis.vasa.lt/Dashboard/Served?ServiceDateFrom=2025-11-24&amp;ServiceDateTo=2025-11-24&amp;DumpsterInvNr=13-P-415861", "13-P-415861")</f>
        <v>13-P-415861</v>
      </c>
      <c r="C6108">
        <v>0.24</v>
      </c>
      <c r="D6108" t="s">
        <v>8405</v>
      </c>
      <c r="E6108" t="s">
        <v>11</v>
      </c>
      <c r="G6108" t="s">
        <v>264</v>
      </c>
      <c r="H6108" t="s">
        <v>14</v>
      </c>
    </row>
    <row r="6109" spans="1:10" hidden="1" x14ac:dyDescent="0.25">
      <c r="A6109" t="s">
        <v>8406</v>
      </c>
      <c r="B6109" s="1" t="str">
        <f>HYPERLINK("https://asmlis.vasa.lt/Dashboard/Served?ServiceDateFrom=2025-11-24&amp;ServiceDateTo=2025-11-24&amp;DumpsterInvNr=13-L-125376", "13-L-125376")</f>
        <v>13-L-125376</v>
      </c>
      <c r="C6109">
        <v>0.12</v>
      </c>
      <c r="D6109" t="s">
        <v>8407</v>
      </c>
      <c r="E6109" t="s">
        <v>11</v>
      </c>
      <c r="G6109" t="s">
        <v>1912</v>
      </c>
      <c r="H6109" t="s">
        <v>432</v>
      </c>
    </row>
    <row r="6110" spans="1:10" hidden="1" x14ac:dyDescent="0.25">
      <c r="A6110" t="s">
        <v>8406</v>
      </c>
      <c r="B6110" s="1" t="str">
        <f>HYPERLINK("https://asmlis.vasa.lt/Dashboard/Served?ServiceDateFrom=2025-11-24&amp;ServiceDateTo=2025-11-24&amp;DumpsterInvNr=13-P-103681", "13-P-103681")</f>
        <v>13-P-103681</v>
      </c>
      <c r="C6110">
        <v>0.24</v>
      </c>
      <c r="D6110" t="s">
        <v>8407</v>
      </c>
      <c r="E6110" t="s">
        <v>11</v>
      </c>
      <c r="G6110" t="s">
        <v>1917</v>
      </c>
      <c r="H6110" t="s">
        <v>432</v>
      </c>
    </row>
    <row r="6111" spans="1:10" hidden="1" x14ac:dyDescent="0.25">
      <c r="A6111" t="s">
        <v>8403</v>
      </c>
      <c r="B6111" s="1" t="str">
        <f>HYPERLINK("https://asmlis.vasa.lt/Dashboard/Served?ServiceDateFrom=2025-11-24&amp;ServiceDateTo=2025-11-24&amp;DumpsterInvNr=13-L-314367", "13-L-314367")</f>
        <v>13-L-314367</v>
      </c>
      <c r="C6111">
        <v>1.1000000000000001</v>
      </c>
      <c r="D6111" t="s">
        <v>8408</v>
      </c>
      <c r="E6111" t="s">
        <v>11</v>
      </c>
      <c r="G6111" t="s">
        <v>9</v>
      </c>
      <c r="H6111" t="s">
        <v>14</v>
      </c>
    </row>
    <row r="6112" spans="1:10" x14ac:dyDescent="0.25">
      <c r="A6112" t="s">
        <v>8409</v>
      </c>
      <c r="B6112" s="1" t="str">
        <f>HYPERLINK("https://asmlis.vasa.lt/Dashboard/Served?ServiceDateFrom=2025-11-24&amp;ServiceDateTo=2025-11-24&amp;DumpsterInvNr=13-P-411843", "13-P-411843")</f>
        <v>13-P-411843</v>
      </c>
      <c r="C6112">
        <v>0.24</v>
      </c>
      <c r="D6112" t="s">
        <v>8410</v>
      </c>
      <c r="E6112" t="s">
        <v>11</v>
      </c>
      <c r="F6112" t="s">
        <v>1215</v>
      </c>
      <c r="G6112" t="s">
        <v>264</v>
      </c>
      <c r="H6112" t="s">
        <v>14</v>
      </c>
      <c r="J6112" t="s">
        <v>17511</v>
      </c>
    </row>
    <row r="6113" spans="1:8" hidden="1" x14ac:dyDescent="0.25">
      <c r="A6113" t="s">
        <v>8412</v>
      </c>
      <c r="B6113" s="1" t="str">
        <f>HYPERLINK("https://asmlis.vasa.lt/Dashboard/Served?ServiceDateFrom=2025-11-24&amp;ServiceDateTo=2025-11-24&amp;DumpsterInvNr=13-L-121196", "13-L-121196")</f>
        <v>13-L-121196</v>
      </c>
      <c r="C6113">
        <v>1.1000000000000001</v>
      </c>
      <c r="D6113" t="s">
        <v>8413</v>
      </c>
      <c r="E6113" t="s">
        <v>11</v>
      </c>
      <c r="G6113" t="s">
        <v>1912</v>
      </c>
      <c r="H6113" t="s">
        <v>432</v>
      </c>
    </row>
    <row r="6114" spans="1:8" hidden="1" x14ac:dyDescent="0.25">
      <c r="A6114" t="s">
        <v>8411</v>
      </c>
      <c r="B6114" s="1" t="str">
        <f>HYPERLINK("https://asmlis.vasa.lt/Dashboard/Served?ServiceDateFrom=2025-11-24&amp;ServiceDateTo=2025-11-24&amp;DumpsterInvNr=13-T-000290", "13-T-000290")</f>
        <v>13-T-000290</v>
      </c>
      <c r="C6114">
        <v>2.5</v>
      </c>
      <c r="D6114" t="s">
        <v>8414</v>
      </c>
      <c r="E6114" t="s">
        <v>11</v>
      </c>
      <c r="F6114" t="s">
        <v>13</v>
      </c>
      <c r="G6114" t="s">
        <v>1899</v>
      </c>
      <c r="H6114" t="s">
        <v>432</v>
      </c>
    </row>
    <row r="6115" spans="1:8" hidden="1" x14ac:dyDescent="0.25">
      <c r="A6115" t="s">
        <v>8415</v>
      </c>
      <c r="B6115" s="1" t="str">
        <f>HYPERLINK("https://asmlis.vasa.lt/Dashboard/Served?ServiceDateFrom=2025-11-24&amp;ServiceDateTo=2025-11-24&amp;DumpsterInvNr=13-L-418960", "13-L-418960")</f>
        <v>13-L-418960</v>
      </c>
      <c r="C6115">
        <v>5</v>
      </c>
      <c r="D6115" t="s">
        <v>8417</v>
      </c>
      <c r="E6115" t="s">
        <v>11</v>
      </c>
      <c r="G6115" t="s">
        <v>74</v>
      </c>
      <c r="H6115" t="s">
        <v>14</v>
      </c>
    </row>
    <row r="6116" spans="1:8" hidden="1" x14ac:dyDescent="0.25">
      <c r="A6116" t="s">
        <v>8418</v>
      </c>
      <c r="B6116" s="1" t="str">
        <f>HYPERLINK("https://asmlis.vasa.lt/Dashboard/Served?ServiceDateFrom=2025-11-24&amp;ServiceDateTo=2025-11-24&amp;DumpsterInvNr=13-L-319656", "13-L-319656")</f>
        <v>13-L-319656</v>
      </c>
      <c r="C6116">
        <v>1.1000000000000001</v>
      </c>
      <c r="D6116" t="s">
        <v>8384</v>
      </c>
      <c r="E6116" t="s">
        <v>11</v>
      </c>
      <c r="G6116" t="s">
        <v>9</v>
      </c>
      <c r="H6116" t="s">
        <v>14</v>
      </c>
    </row>
    <row r="6117" spans="1:8" hidden="1" x14ac:dyDescent="0.25">
      <c r="A6117" t="s">
        <v>8418</v>
      </c>
      <c r="B6117" s="1" t="str">
        <f>HYPERLINK("https://asmlis.vasa.lt/Dashboard/Served?ServiceDateFrom=2025-11-24&amp;ServiceDateTo=2025-11-24&amp;DumpsterInvNr=13-T-000289", "13-T-000289")</f>
        <v>13-T-000289</v>
      </c>
      <c r="C6117">
        <v>2.5</v>
      </c>
      <c r="D6117" t="s">
        <v>8414</v>
      </c>
      <c r="E6117" t="s">
        <v>11</v>
      </c>
      <c r="F6117" t="s">
        <v>13</v>
      </c>
      <c r="G6117" t="s">
        <v>1899</v>
      </c>
      <c r="H6117" t="s">
        <v>432</v>
      </c>
    </row>
    <row r="6118" spans="1:8" hidden="1" x14ac:dyDescent="0.25">
      <c r="A6118" t="s">
        <v>8419</v>
      </c>
      <c r="B6118" s="1" t="str">
        <f>HYPERLINK("https://asmlis.vasa.lt/Dashboard/Served?ServiceDateFrom=2025-11-24&amp;ServiceDateTo=2025-11-24&amp;DumpsterInvNr=13-L-419718", "13-L-419718")</f>
        <v>13-L-419718</v>
      </c>
      <c r="C6118">
        <v>0.24</v>
      </c>
      <c r="D6118" t="s">
        <v>4195</v>
      </c>
      <c r="E6118" t="s">
        <v>11</v>
      </c>
      <c r="G6118" t="s">
        <v>74</v>
      </c>
      <c r="H6118" t="s">
        <v>14</v>
      </c>
    </row>
    <row r="6119" spans="1:8" hidden="1" x14ac:dyDescent="0.25">
      <c r="A6119" t="s">
        <v>8420</v>
      </c>
      <c r="B6119" s="1" t="str">
        <f>HYPERLINK("https://asmlis.vasa.lt/Dashboard/Served?ServiceDateFrom=2025-11-24&amp;ServiceDateTo=2025-11-24&amp;DumpsterInvNr=13-P-302608", "13-P-302608")</f>
        <v>13-P-302608</v>
      </c>
      <c r="C6119">
        <v>5</v>
      </c>
      <c r="D6119" t="s">
        <v>8421</v>
      </c>
      <c r="E6119" t="s">
        <v>11</v>
      </c>
      <c r="G6119" t="s">
        <v>412</v>
      </c>
      <c r="H6119" t="s">
        <v>14</v>
      </c>
    </row>
    <row r="6120" spans="1:8" hidden="1" x14ac:dyDescent="0.25">
      <c r="A6120" t="s">
        <v>8422</v>
      </c>
      <c r="B6120" s="1" t="str">
        <f>HYPERLINK("https://asmlis.vasa.lt/Dashboard/Served?ServiceDateFrom=2025-11-24&amp;ServiceDateTo=2025-11-24&amp;DumpsterInvNr=13-S-207865", "13-S-207865")</f>
        <v>13-S-207865</v>
      </c>
      <c r="C6120">
        <v>3</v>
      </c>
      <c r="D6120" t="s">
        <v>8424</v>
      </c>
      <c r="E6120" t="s">
        <v>11</v>
      </c>
      <c r="F6120" t="s">
        <v>13</v>
      </c>
      <c r="G6120" t="s">
        <v>234</v>
      </c>
      <c r="H6120" t="s">
        <v>14</v>
      </c>
    </row>
    <row r="6121" spans="1:8" hidden="1" x14ac:dyDescent="0.25">
      <c r="A6121" t="s">
        <v>8425</v>
      </c>
      <c r="B6121" s="1" t="str">
        <f>HYPERLINK("https://asmlis.vasa.lt/Dashboard/Served?ServiceDateFrom=2025-11-24&amp;ServiceDateTo=2025-11-24&amp;DumpsterInvNr=13-L-121195", "13-L-121195")</f>
        <v>13-L-121195</v>
      </c>
      <c r="C6121">
        <v>1.1000000000000001</v>
      </c>
      <c r="D6121" t="s">
        <v>8413</v>
      </c>
      <c r="E6121" t="s">
        <v>11</v>
      </c>
      <c r="G6121" t="s">
        <v>1912</v>
      </c>
      <c r="H6121" t="s">
        <v>432</v>
      </c>
    </row>
    <row r="6122" spans="1:8" hidden="1" x14ac:dyDescent="0.25">
      <c r="A6122" t="s">
        <v>8426</v>
      </c>
      <c r="B6122" s="1" t="str">
        <f>HYPERLINK("https://asmlis.vasa.lt/Dashboard/Served?ServiceDateFrom=2025-11-24&amp;ServiceDateTo=2025-11-24&amp;DumpsterInvNr=13-L-421501", "13-L-421501")</f>
        <v>13-L-421501</v>
      </c>
      <c r="C6122">
        <v>1.1000000000000001</v>
      </c>
      <c r="D6122" t="s">
        <v>1317</v>
      </c>
      <c r="E6122" t="s">
        <v>11</v>
      </c>
      <c r="G6122" t="s">
        <v>74</v>
      </c>
      <c r="H6122" t="s">
        <v>14</v>
      </c>
    </row>
    <row r="6123" spans="1:8" hidden="1" x14ac:dyDescent="0.25">
      <c r="A6123" t="s">
        <v>8427</v>
      </c>
      <c r="B6123" s="1" t="str">
        <f>HYPERLINK("https://asmlis.vasa.lt/Dashboard/Served?ServiceDateFrom=2025-11-24&amp;ServiceDateTo=2025-11-24&amp;DumpsterInvNr=13-L-117237", "13-L-117237")</f>
        <v>13-L-117237</v>
      </c>
      <c r="C6123">
        <v>0.12</v>
      </c>
      <c r="D6123" t="s">
        <v>8407</v>
      </c>
      <c r="E6123" t="s">
        <v>11</v>
      </c>
      <c r="G6123" t="s">
        <v>1912</v>
      </c>
      <c r="H6123" t="s">
        <v>432</v>
      </c>
    </row>
    <row r="6124" spans="1:8" hidden="1" x14ac:dyDescent="0.25">
      <c r="A6124" t="s">
        <v>8428</v>
      </c>
      <c r="B6124" s="1" t="str">
        <f>HYPERLINK("https://asmlis.vasa.lt/Dashboard/Served?ServiceDateFrom=2025-11-24&amp;ServiceDateTo=2025-11-24&amp;DumpsterInvNr=13-L-420997", "13-L-420997")</f>
        <v>13-L-420997</v>
      </c>
      <c r="C6124">
        <v>1.1000000000000001</v>
      </c>
      <c r="D6124" t="s">
        <v>1413</v>
      </c>
      <c r="E6124" t="s">
        <v>11</v>
      </c>
      <c r="G6124" t="s">
        <v>74</v>
      </c>
      <c r="H6124" t="s">
        <v>14</v>
      </c>
    </row>
    <row r="6125" spans="1:8" hidden="1" x14ac:dyDescent="0.25">
      <c r="A6125" t="s">
        <v>8429</v>
      </c>
      <c r="B6125" s="1" t="str">
        <f>HYPERLINK("https://asmlis.vasa.lt/Dashboard/Served?ServiceDateFrom=2025-11-24&amp;ServiceDateTo=2025-11-24&amp;DumpsterInvNr=13-L-103748", "13-L-103748")</f>
        <v>13-L-103748</v>
      </c>
      <c r="C6125">
        <v>1.1000000000000001</v>
      </c>
      <c r="D6125" t="s">
        <v>8303</v>
      </c>
      <c r="E6125" t="s">
        <v>11</v>
      </c>
      <c r="G6125" t="s">
        <v>430</v>
      </c>
      <c r="H6125" t="s">
        <v>432</v>
      </c>
    </row>
    <row r="6126" spans="1:8" hidden="1" x14ac:dyDescent="0.25">
      <c r="A6126" t="s">
        <v>8430</v>
      </c>
      <c r="B6126" s="1" t="str">
        <f>HYPERLINK("https://asmlis.vasa.lt/Dashboard/Served?ServiceDateFrom=2025-11-24&amp;ServiceDateTo=2025-11-24&amp;DumpsterInvNr=13-P-105369", "13-P-105369")</f>
        <v>13-P-105369</v>
      </c>
      <c r="C6126">
        <v>0.24</v>
      </c>
      <c r="D6126" t="s">
        <v>8407</v>
      </c>
      <c r="E6126" t="s">
        <v>11</v>
      </c>
      <c r="G6126" t="s">
        <v>1917</v>
      </c>
      <c r="H6126" t="s">
        <v>432</v>
      </c>
    </row>
    <row r="6127" spans="1:8" hidden="1" x14ac:dyDescent="0.25">
      <c r="A6127" t="s">
        <v>8431</v>
      </c>
      <c r="B6127" s="1" t="str">
        <f>HYPERLINK("https://asmlis.vasa.lt/Dashboard/Served?ServiceDateFrom=2025-11-24&amp;ServiceDateTo=2025-11-24&amp;DumpsterInvNr=13-P-411905", "13-P-411905")</f>
        <v>13-P-411905</v>
      </c>
      <c r="C6127">
        <v>0.24</v>
      </c>
      <c r="D6127" t="s">
        <v>8432</v>
      </c>
      <c r="E6127" t="s">
        <v>11</v>
      </c>
      <c r="G6127" t="s">
        <v>264</v>
      </c>
      <c r="H6127" t="s">
        <v>14</v>
      </c>
    </row>
    <row r="6128" spans="1:8" hidden="1" x14ac:dyDescent="0.25">
      <c r="A6128" t="s">
        <v>8433</v>
      </c>
      <c r="B6128" s="1" t="str">
        <f>HYPERLINK("https://asmlis.vasa.lt/Dashboard/Served?ServiceDateFrom=2025-11-24&amp;ServiceDateTo=2025-11-24&amp;DumpsterInvNr=13-P-211121", "13-P-211121")</f>
        <v>13-P-211121</v>
      </c>
      <c r="C6128">
        <v>0.24</v>
      </c>
      <c r="D6128" t="s">
        <v>8434</v>
      </c>
      <c r="E6128" t="s">
        <v>11</v>
      </c>
      <c r="G6128" t="s">
        <v>234</v>
      </c>
      <c r="H6128" t="s">
        <v>14</v>
      </c>
    </row>
    <row r="6129" spans="1:8" hidden="1" x14ac:dyDescent="0.25">
      <c r="A6129" t="s">
        <v>8435</v>
      </c>
      <c r="B6129" s="1" t="str">
        <f>HYPERLINK("https://asmlis.vasa.lt/Dashboard/Served?ServiceDateFrom=2025-11-24&amp;ServiceDateTo=2025-11-24&amp;DumpsterInvNr=13-L-426897", "13-L-426897")</f>
        <v>13-L-426897</v>
      </c>
      <c r="C6129">
        <v>0.12</v>
      </c>
      <c r="D6129" t="s">
        <v>4145</v>
      </c>
      <c r="E6129" t="s">
        <v>11</v>
      </c>
      <c r="G6129" t="s">
        <v>74</v>
      </c>
      <c r="H6129" t="s">
        <v>14</v>
      </c>
    </row>
    <row r="6130" spans="1:8" hidden="1" x14ac:dyDescent="0.25">
      <c r="A6130" t="s">
        <v>8435</v>
      </c>
      <c r="B6130" s="1" t="str">
        <f>HYPERLINK("https://asmlis.vasa.lt/Dashboard/Served?ServiceDateFrom=2025-11-24&amp;ServiceDateTo=2025-11-24&amp;DumpsterInvNr=13-P-115357", "13-P-115357")</f>
        <v>13-P-115357</v>
      </c>
      <c r="C6130">
        <v>1.1000000000000001</v>
      </c>
      <c r="D6130" t="s">
        <v>8437</v>
      </c>
      <c r="E6130" t="s">
        <v>11</v>
      </c>
      <c r="G6130" t="s">
        <v>1917</v>
      </c>
      <c r="H6130" t="s">
        <v>432</v>
      </c>
    </row>
    <row r="6131" spans="1:8" hidden="1" x14ac:dyDescent="0.25">
      <c r="A6131" t="s">
        <v>8438</v>
      </c>
      <c r="B6131" s="1" t="str">
        <f>HYPERLINK("https://asmlis.vasa.lt/Dashboard/Served?ServiceDateFrom=2025-11-24&amp;ServiceDateTo=2025-11-24&amp;DumpsterInvNr=13-L-220834", "13-L-220834")</f>
        <v>13-L-220834</v>
      </c>
      <c r="C6131">
        <v>0.24</v>
      </c>
      <c r="D6131" t="s">
        <v>5530</v>
      </c>
      <c r="E6131" t="s">
        <v>11</v>
      </c>
      <c r="G6131" t="s">
        <v>936</v>
      </c>
      <c r="H6131" t="s">
        <v>938</v>
      </c>
    </row>
    <row r="6132" spans="1:8" hidden="1" x14ac:dyDescent="0.25">
      <c r="A6132" t="s">
        <v>8439</v>
      </c>
      <c r="B6132" s="1" t="str">
        <f>HYPERLINK("https://asmlis.vasa.lt/Dashboard/Served?ServiceDateFrom=2025-11-24&amp;ServiceDateTo=2025-11-24&amp;DumpsterInvNr=13-L-319710", "13-L-319710")</f>
        <v>13-L-319710</v>
      </c>
      <c r="C6132">
        <v>1.1000000000000001</v>
      </c>
      <c r="D6132" t="s">
        <v>8384</v>
      </c>
      <c r="E6132" t="s">
        <v>11</v>
      </c>
      <c r="G6132" t="s">
        <v>9</v>
      </c>
      <c r="H6132" t="s">
        <v>14</v>
      </c>
    </row>
    <row r="6133" spans="1:8" hidden="1" x14ac:dyDescent="0.25">
      <c r="A6133" t="s">
        <v>8440</v>
      </c>
      <c r="B6133" s="1" t="str">
        <f>HYPERLINK("https://asmlis.vasa.lt/Dashboard/Served?ServiceDateFrom=2025-11-24&amp;ServiceDateTo=2025-11-24&amp;DumpsterInvNr=13-L-211088", "13-L-211088")</f>
        <v>13-L-211088</v>
      </c>
      <c r="C6133">
        <v>0.66</v>
      </c>
      <c r="D6133" t="s">
        <v>1525</v>
      </c>
      <c r="E6133" t="s">
        <v>11</v>
      </c>
      <c r="G6133" t="s">
        <v>936</v>
      </c>
      <c r="H6133" t="s">
        <v>938</v>
      </c>
    </row>
    <row r="6134" spans="1:8" hidden="1" x14ac:dyDescent="0.25">
      <c r="A6134" t="s">
        <v>8441</v>
      </c>
      <c r="B6134" s="1" t="str">
        <f>HYPERLINK("https://asmlis.vasa.lt/Dashboard/Served?ServiceDateFrom=2025-11-24&amp;ServiceDateTo=2025-11-24&amp;DumpsterInvNr=13-L-422441", "13-L-422441")</f>
        <v>13-L-422441</v>
      </c>
      <c r="C6134">
        <v>1.1000000000000001</v>
      </c>
      <c r="D6134" t="s">
        <v>8261</v>
      </c>
      <c r="E6134" t="s">
        <v>11</v>
      </c>
      <c r="F6134" t="s">
        <v>13</v>
      </c>
      <c r="G6134" t="s">
        <v>74</v>
      </c>
      <c r="H6134" t="s">
        <v>14</v>
      </c>
    </row>
    <row r="6135" spans="1:8" hidden="1" x14ac:dyDescent="0.25">
      <c r="A6135" t="s">
        <v>8442</v>
      </c>
      <c r="B6135" s="1" t="str">
        <f>HYPERLINK("https://asmlis.vasa.lt/Dashboard/Served?ServiceDateFrom=2025-11-24&amp;ServiceDateTo=2025-11-24&amp;DumpsterInvNr=13-L-419475", "13-L-419475")</f>
        <v>13-L-419475</v>
      </c>
      <c r="C6135">
        <v>1.1000000000000001</v>
      </c>
      <c r="D6135" t="s">
        <v>8261</v>
      </c>
      <c r="E6135" t="s">
        <v>11</v>
      </c>
      <c r="F6135" t="s">
        <v>13</v>
      </c>
      <c r="G6135" t="s">
        <v>74</v>
      </c>
      <c r="H6135" t="s">
        <v>14</v>
      </c>
    </row>
    <row r="6136" spans="1:8" hidden="1" x14ac:dyDescent="0.25">
      <c r="A6136" t="s">
        <v>8442</v>
      </c>
      <c r="B6136" s="1" t="str">
        <f>HYPERLINK("https://asmlis.vasa.lt/Dashboard/Served?ServiceDateFrom=2025-11-24&amp;ServiceDateTo=2025-11-24&amp;DumpsterInvNr=13-P-200141", "13-P-200141")</f>
        <v>13-P-200141</v>
      </c>
      <c r="C6136">
        <v>2.5</v>
      </c>
      <c r="D6136" t="s">
        <v>8443</v>
      </c>
      <c r="E6136" t="s">
        <v>11</v>
      </c>
      <c r="G6136" t="s">
        <v>234</v>
      </c>
      <c r="H6136" t="s">
        <v>14</v>
      </c>
    </row>
    <row r="6137" spans="1:8" hidden="1" x14ac:dyDescent="0.25">
      <c r="A6137" t="s">
        <v>8442</v>
      </c>
      <c r="B6137" s="1" t="str">
        <f>HYPERLINK("https://asmlis.vasa.lt/Dashboard/Served?ServiceDateFrom=2025-11-24&amp;ServiceDateTo=2025-11-24&amp;DumpsterInvNr=13-P-404429", "13-P-404429")</f>
        <v>13-P-404429</v>
      </c>
      <c r="C6137">
        <v>0.24</v>
      </c>
      <c r="D6137" t="s">
        <v>8444</v>
      </c>
      <c r="E6137" t="s">
        <v>11</v>
      </c>
      <c r="F6137" t="s">
        <v>1209</v>
      </c>
      <c r="G6137" t="s">
        <v>264</v>
      </c>
      <c r="H6137" t="s">
        <v>14</v>
      </c>
    </row>
    <row r="6138" spans="1:8" hidden="1" x14ac:dyDescent="0.25">
      <c r="A6138" t="s">
        <v>8446</v>
      </c>
      <c r="B6138" s="1" t="str">
        <f>HYPERLINK("https://asmlis.vasa.lt/Dashboard/Served?ServiceDateFrom=2025-11-24&amp;ServiceDateTo=2025-11-24&amp;DumpsterInvNr=13-L-139464", "13-L-139464")</f>
        <v>13-L-139464</v>
      </c>
      <c r="C6138">
        <v>5</v>
      </c>
      <c r="D6138" t="s">
        <v>8447</v>
      </c>
      <c r="E6138" t="s">
        <v>11</v>
      </c>
      <c r="F6138" t="s">
        <v>13</v>
      </c>
      <c r="G6138" t="s">
        <v>430</v>
      </c>
      <c r="H6138" t="s">
        <v>432</v>
      </c>
    </row>
    <row r="6139" spans="1:8" hidden="1" x14ac:dyDescent="0.25">
      <c r="A6139" t="s">
        <v>8446</v>
      </c>
      <c r="B6139" s="1" t="str">
        <f>HYPERLINK("https://asmlis.vasa.lt/Dashboard/Served?ServiceDateFrom=2025-11-24&amp;ServiceDateTo=2025-11-24&amp;DumpsterInvNr=13-L-422598", "13-L-422598")</f>
        <v>13-L-422598</v>
      </c>
      <c r="C6139">
        <v>1.1000000000000001</v>
      </c>
      <c r="D6139" t="s">
        <v>1317</v>
      </c>
      <c r="E6139" t="s">
        <v>11</v>
      </c>
      <c r="G6139" t="s">
        <v>74</v>
      </c>
      <c r="H6139" t="s">
        <v>14</v>
      </c>
    </row>
    <row r="6140" spans="1:8" hidden="1" x14ac:dyDescent="0.25">
      <c r="A6140" t="s">
        <v>8448</v>
      </c>
      <c r="B6140" s="1" t="str">
        <f>HYPERLINK("https://asmlis.vasa.lt/Dashboard/Served?ServiceDateFrom=2025-11-24&amp;ServiceDateTo=2025-11-24&amp;DumpsterInvNr=13-L-419472", "13-L-419472")</f>
        <v>13-L-419472</v>
      </c>
      <c r="C6140">
        <v>1.1000000000000001</v>
      </c>
      <c r="D6140" t="s">
        <v>8261</v>
      </c>
      <c r="E6140" t="s">
        <v>11</v>
      </c>
      <c r="F6140" t="s">
        <v>13</v>
      </c>
      <c r="G6140" t="s">
        <v>74</v>
      </c>
      <c r="H6140" t="s">
        <v>14</v>
      </c>
    </row>
    <row r="6141" spans="1:8" hidden="1" x14ac:dyDescent="0.25">
      <c r="A6141" t="s">
        <v>8449</v>
      </c>
      <c r="B6141" s="1" t="str">
        <f>HYPERLINK("https://asmlis.vasa.lt/Dashboard/Served?ServiceDateFrom=2025-11-24&amp;ServiceDateTo=2025-11-24&amp;DumpsterInvNr=13-L-419484", "13-L-419484")</f>
        <v>13-L-419484</v>
      </c>
      <c r="C6141">
        <v>1.1000000000000001</v>
      </c>
      <c r="D6141" t="s">
        <v>8261</v>
      </c>
      <c r="E6141" t="s">
        <v>11</v>
      </c>
      <c r="G6141" t="s">
        <v>74</v>
      </c>
      <c r="H6141" t="s">
        <v>14</v>
      </c>
    </row>
    <row r="6142" spans="1:8" hidden="1" x14ac:dyDescent="0.25">
      <c r="A6142" t="s">
        <v>8450</v>
      </c>
      <c r="B6142" s="1" t="str">
        <f>HYPERLINK("https://asmlis.vasa.lt/Dashboard/Served?ServiceDateFrom=2025-11-24&amp;ServiceDateTo=2025-11-24&amp;DumpsterInvNr=13-P-304053", "13-P-304053")</f>
        <v>13-P-304053</v>
      </c>
      <c r="C6142">
        <v>5</v>
      </c>
      <c r="D6142" t="s">
        <v>8421</v>
      </c>
      <c r="E6142" t="s">
        <v>11</v>
      </c>
      <c r="F6142" t="s">
        <v>13</v>
      </c>
      <c r="G6142" t="s">
        <v>412</v>
      </c>
      <c r="H6142" t="s">
        <v>14</v>
      </c>
    </row>
    <row r="6143" spans="1:8" hidden="1" x14ac:dyDescent="0.25">
      <c r="A6143" t="s">
        <v>8451</v>
      </c>
      <c r="B6143" s="1" t="str">
        <f>HYPERLINK("https://asmlis.vasa.lt/Dashboard/Served?ServiceDateFrom=2025-11-24&amp;ServiceDateTo=2025-11-24&amp;DumpsterInvNr=13-P-500756", "13-P-500756")</f>
        <v>13-P-500756</v>
      </c>
      <c r="C6143">
        <v>5</v>
      </c>
      <c r="D6143" t="s">
        <v>8452</v>
      </c>
      <c r="E6143" t="s">
        <v>11</v>
      </c>
      <c r="F6143" t="s">
        <v>13</v>
      </c>
      <c r="G6143" t="s">
        <v>2178</v>
      </c>
      <c r="H6143" t="s">
        <v>432</v>
      </c>
    </row>
    <row r="6144" spans="1:8" hidden="1" x14ac:dyDescent="0.25">
      <c r="A6144" t="s">
        <v>8453</v>
      </c>
      <c r="B6144" s="1" t="str">
        <f>HYPERLINK("https://asmlis.vasa.lt/Dashboard/Served?ServiceDateFrom=2025-11-24&amp;ServiceDateTo=2025-11-24&amp;DumpsterInvNr=13-P-304052", "13-P-304052")</f>
        <v>13-P-304052</v>
      </c>
      <c r="C6144">
        <v>5</v>
      </c>
      <c r="D6144" t="s">
        <v>8421</v>
      </c>
      <c r="E6144" t="s">
        <v>11</v>
      </c>
      <c r="F6144" t="s">
        <v>13</v>
      </c>
      <c r="G6144" t="s">
        <v>412</v>
      </c>
      <c r="H6144" t="s">
        <v>14</v>
      </c>
    </row>
    <row r="6145" spans="1:8" hidden="1" x14ac:dyDescent="0.25">
      <c r="A6145" t="s">
        <v>8454</v>
      </c>
      <c r="B6145" s="1" t="str">
        <f>HYPERLINK("https://asmlis.vasa.lt/Dashboard/Served?ServiceDateFrom=2025-11-24&amp;ServiceDateTo=2025-11-24&amp;DumpsterInvNr=13-L-317837", "13-L-317837")</f>
        <v>13-L-317837</v>
      </c>
      <c r="C6145">
        <v>1.1000000000000001</v>
      </c>
      <c r="D6145" t="s">
        <v>8455</v>
      </c>
      <c r="E6145" t="s">
        <v>11</v>
      </c>
      <c r="G6145" t="s">
        <v>9</v>
      </c>
      <c r="H6145" t="s">
        <v>14</v>
      </c>
    </row>
    <row r="6146" spans="1:8" hidden="1" x14ac:dyDescent="0.25">
      <c r="A6146" t="s">
        <v>8456</v>
      </c>
      <c r="B6146" s="1" t="str">
        <f>HYPERLINK("https://asmlis.vasa.lt/Dashboard/Served?ServiceDateFrom=2025-11-24&amp;ServiceDateTo=2025-11-24&amp;DumpsterInvNr=13-P-300816", "13-P-300816")</f>
        <v>13-P-300816</v>
      </c>
      <c r="C6146">
        <v>1.1000000000000001</v>
      </c>
      <c r="D6146" t="s">
        <v>3069</v>
      </c>
      <c r="E6146" t="s">
        <v>11</v>
      </c>
      <c r="G6146" t="s">
        <v>412</v>
      </c>
      <c r="H6146" t="s">
        <v>14</v>
      </c>
    </row>
    <row r="6147" spans="1:8" hidden="1" x14ac:dyDescent="0.25">
      <c r="A6147" t="s">
        <v>8457</v>
      </c>
      <c r="B6147" s="1" t="str">
        <f>HYPERLINK("https://asmlis.vasa.lt/Dashboard/Served?ServiceDateFrom=2025-11-24&amp;ServiceDateTo=2025-11-24&amp;DumpsterInvNr=13-L-224139", "13-L-224139")</f>
        <v>13-L-224139</v>
      </c>
      <c r="C6147">
        <v>1.1000000000000001</v>
      </c>
      <c r="D6147" t="s">
        <v>8458</v>
      </c>
      <c r="E6147" t="s">
        <v>11</v>
      </c>
      <c r="G6147" t="s">
        <v>936</v>
      </c>
      <c r="H6147" t="s">
        <v>938</v>
      </c>
    </row>
    <row r="6148" spans="1:8" hidden="1" x14ac:dyDescent="0.25">
      <c r="A6148" t="s">
        <v>8459</v>
      </c>
      <c r="B6148" s="1" t="str">
        <f>HYPERLINK("https://asmlis.vasa.lt/Dashboard/Served?ServiceDateFrom=2025-11-24&amp;ServiceDateTo=2025-11-24&amp;DumpsterInvNr=13-L-418961", "13-L-418961")</f>
        <v>13-L-418961</v>
      </c>
      <c r="C6148">
        <v>5</v>
      </c>
      <c r="D6148" t="s">
        <v>8417</v>
      </c>
      <c r="E6148" t="s">
        <v>11</v>
      </c>
      <c r="F6148" t="s">
        <v>13</v>
      </c>
      <c r="G6148" t="s">
        <v>74</v>
      </c>
      <c r="H6148" t="s">
        <v>14</v>
      </c>
    </row>
    <row r="6149" spans="1:8" hidden="1" x14ac:dyDescent="0.25">
      <c r="A6149" t="s">
        <v>8460</v>
      </c>
      <c r="B6149" s="1" t="str">
        <f>HYPERLINK("https://asmlis.vasa.lt/Dashboard/Served?ServiceDateFrom=2025-11-24&amp;ServiceDateTo=2025-11-24&amp;DumpsterInvNr=13-L-145851", "13-L-145851")</f>
        <v>13-L-145851</v>
      </c>
      <c r="C6149">
        <v>5</v>
      </c>
      <c r="D6149" t="s">
        <v>8461</v>
      </c>
      <c r="E6149" t="s">
        <v>11</v>
      </c>
      <c r="F6149" t="s">
        <v>13</v>
      </c>
      <c r="G6149" t="s">
        <v>1912</v>
      </c>
      <c r="H6149" t="s">
        <v>432</v>
      </c>
    </row>
    <row r="6150" spans="1:8" hidden="1" x14ac:dyDescent="0.25">
      <c r="A6150" t="s">
        <v>8460</v>
      </c>
      <c r="B6150" s="1" t="str">
        <f>HYPERLINK("https://asmlis.vasa.lt/Dashboard/Served?ServiceDateFrom=2025-11-24&amp;ServiceDateTo=2025-11-24&amp;DumpsterInvNr=13-P-205152", "13-P-205152")</f>
        <v>13-P-205152</v>
      </c>
      <c r="C6150">
        <v>0.24</v>
      </c>
      <c r="D6150" t="s">
        <v>8462</v>
      </c>
      <c r="E6150" t="s">
        <v>11</v>
      </c>
      <c r="G6150" t="s">
        <v>234</v>
      </c>
      <c r="H6150" t="s">
        <v>14</v>
      </c>
    </row>
    <row r="6151" spans="1:8" hidden="1" x14ac:dyDescent="0.25">
      <c r="A6151" t="s">
        <v>8460</v>
      </c>
      <c r="B6151" s="1" t="str">
        <f>HYPERLINK("https://asmlis.vasa.lt/Dashboard/Served?ServiceDateFrom=2025-11-24&amp;ServiceDateTo=2025-11-24&amp;DumpsterInvNr=13-S-206478", "13-S-206478")</f>
        <v>13-S-206478</v>
      </c>
      <c r="C6151">
        <v>0.12</v>
      </c>
      <c r="D6151" t="s">
        <v>8462</v>
      </c>
      <c r="E6151" t="s">
        <v>11</v>
      </c>
      <c r="G6151" t="s">
        <v>234</v>
      </c>
      <c r="H6151" t="s">
        <v>14</v>
      </c>
    </row>
    <row r="6152" spans="1:8" hidden="1" x14ac:dyDescent="0.25">
      <c r="A6152" t="s">
        <v>8463</v>
      </c>
      <c r="B6152" s="1" t="str">
        <f>HYPERLINK("https://asmlis.vasa.lt/Dashboard/Served?ServiceDateFrom=2025-11-24&amp;ServiceDateTo=2025-11-24&amp;DumpsterInvNr=13-P-415943", "13-P-415943")</f>
        <v>13-P-415943</v>
      </c>
      <c r="C6152">
        <v>0.24</v>
      </c>
      <c r="D6152" t="s">
        <v>8464</v>
      </c>
      <c r="E6152" t="s">
        <v>11</v>
      </c>
      <c r="G6152" t="s">
        <v>264</v>
      </c>
      <c r="H6152" t="s">
        <v>14</v>
      </c>
    </row>
    <row r="6153" spans="1:8" hidden="1" x14ac:dyDescent="0.25">
      <c r="A6153" t="s">
        <v>8463</v>
      </c>
      <c r="B6153" s="1" t="str">
        <f>HYPERLINK("https://asmlis.vasa.lt/Dashboard/Served?ServiceDateFrom=2025-11-24&amp;ServiceDateTo=2025-11-24&amp;DumpsterInvNr=13-P-213093", "13-P-213093")</f>
        <v>13-P-213093</v>
      </c>
      <c r="C6153">
        <v>0.24</v>
      </c>
      <c r="D6153" t="s">
        <v>8465</v>
      </c>
      <c r="E6153" t="s">
        <v>11</v>
      </c>
      <c r="G6153" t="s">
        <v>234</v>
      </c>
      <c r="H6153" t="s">
        <v>14</v>
      </c>
    </row>
    <row r="6154" spans="1:8" hidden="1" x14ac:dyDescent="0.25">
      <c r="A6154" t="s">
        <v>8171</v>
      </c>
      <c r="B6154" s="1" t="str">
        <f>HYPERLINK("https://asmlis.vasa.lt/Dashboard/Served?ServiceDateFrom=2025-11-24&amp;ServiceDateTo=2025-11-24&amp;DumpsterInvNr=13-P-415928", "13-P-415928")</f>
        <v>13-P-415928</v>
      </c>
      <c r="C6154">
        <v>0.24</v>
      </c>
      <c r="D6154" t="s">
        <v>8466</v>
      </c>
      <c r="E6154" t="s">
        <v>11</v>
      </c>
      <c r="G6154" t="s">
        <v>264</v>
      </c>
      <c r="H6154" t="s">
        <v>14</v>
      </c>
    </row>
    <row r="6155" spans="1:8" hidden="1" x14ac:dyDescent="0.25">
      <c r="A6155" t="s">
        <v>8244</v>
      </c>
      <c r="B6155" s="1" t="str">
        <f>HYPERLINK("https://asmlis.vasa.lt/Dashboard/Served?ServiceDateFrom=2025-11-24&amp;ServiceDateTo=2025-11-24&amp;DumpsterInvNr=13-L-222071", "13-L-222071")</f>
        <v>13-L-222071</v>
      </c>
      <c r="C6155">
        <v>1.1000000000000001</v>
      </c>
      <c r="D6155" t="s">
        <v>8458</v>
      </c>
      <c r="E6155" t="s">
        <v>11</v>
      </c>
      <c r="G6155" t="s">
        <v>936</v>
      </c>
      <c r="H6155" t="s">
        <v>938</v>
      </c>
    </row>
    <row r="6156" spans="1:8" hidden="1" x14ac:dyDescent="0.25">
      <c r="A6156" t="s">
        <v>8467</v>
      </c>
      <c r="B6156" s="1" t="str">
        <f>HYPERLINK("https://asmlis.vasa.lt/Dashboard/Served?ServiceDateFrom=2025-11-24&amp;ServiceDateTo=2025-11-24&amp;DumpsterInvNr=13-L-424366", "13-L-424366")</f>
        <v>13-L-424366</v>
      </c>
      <c r="C6156">
        <v>1.1000000000000001</v>
      </c>
      <c r="D6156" t="s">
        <v>1413</v>
      </c>
      <c r="E6156" t="s">
        <v>11</v>
      </c>
      <c r="G6156" t="s">
        <v>74</v>
      </c>
      <c r="H6156" t="s">
        <v>14</v>
      </c>
    </row>
    <row r="6157" spans="1:8" hidden="1" x14ac:dyDescent="0.25">
      <c r="A6157" t="s">
        <v>8467</v>
      </c>
      <c r="B6157" s="1" t="str">
        <f>HYPERLINK("https://asmlis.vasa.lt/Dashboard/Served?ServiceDateFrom=2025-11-24&amp;ServiceDateTo=2025-11-24&amp;DumpsterInvNr=13-P-115679", "13-P-115679")</f>
        <v>13-P-115679</v>
      </c>
      <c r="C6157">
        <v>1.1000000000000001</v>
      </c>
      <c r="D6157" t="s">
        <v>8468</v>
      </c>
      <c r="E6157" t="s">
        <v>11</v>
      </c>
      <c r="G6157" t="s">
        <v>1917</v>
      </c>
      <c r="H6157" t="s">
        <v>432</v>
      </c>
    </row>
    <row r="6158" spans="1:8" hidden="1" x14ac:dyDescent="0.25">
      <c r="A6158" t="s">
        <v>8469</v>
      </c>
      <c r="B6158" s="1" t="str">
        <f>HYPERLINK("https://asmlis.vasa.lt/Dashboard/Served?ServiceDateFrom=2025-11-24&amp;ServiceDateTo=2025-11-24&amp;DumpsterInvNr=13-L-319709", "13-L-319709")</f>
        <v>13-L-319709</v>
      </c>
      <c r="C6158">
        <v>1.1000000000000001</v>
      </c>
      <c r="D6158" t="s">
        <v>8384</v>
      </c>
      <c r="E6158" t="s">
        <v>11</v>
      </c>
      <c r="G6158" t="s">
        <v>9</v>
      </c>
      <c r="H6158" t="s">
        <v>14</v>
      </c>
    </row>
    <row r="6159" spans="1:8" hidden="1" x14ac:dyDescent="0.25">
      <c r="A6159" t="s">
        <v>8471</v>
      </c>
      <c r="B6159" s="1" t="str">
        <f>HYPERLINK("https://asmlis.vasa.lt/Dashboard/Served?ServiceDateFrom=2025-11-24&amp;ServiceDateTo=2025-11-24&amp;DumpsterInvNr=13-P-416446", "13-P-416446")</f>
        <v>13-P-416446</v>
      </c>
      <c r="C6159">
        <v>1.1000000000000001</v>
      </c>
      <c r="D6159" t="s">
        <v>119</v>
      </c>
      <c r="E6159" t="s">
        <v>11</v>
      </c>
      <c r="G6159" t="s">
        <v>264</v>
      </c>
      <c r="H6159" t="s">
        <v>14</v>
      </c>
    </row>
    <row r="6160" spans="1:8" hidden="1" x14ac:dyDescent="0.25">
      <c r="A6160" t="s">
        <v>8072</v>
      </c>
      <c r="B6160" s="1" t="str">
        <f>HYPERLINK("https://asmlis.vasa.lt/Dashboard/Served?ServiceDateFrom=2025-11-24&amp;ServiceDateTo=2025-11-24&amp;DumpsterInvNr=13-L-422676", "13-L-422676")</f>
        <v>13-L-422676</v>
      </c>
      <c r="C6160">
        <v>0.24</v>
      </c>
      <c r="D6160" t="s">
        <v>8472</v>
      </c>
      <c r="E6160" t="s">
        <v>11</v>
      </c>
      <c r="G6160" t="s">
        <v>74</v>
      </c>
      <c r="H6160" t="s">
        <v>14</v>
      </c>
    </row>
    <row r="6161" spans="1:8" hidden="1" x14ac:dyDescent="0.25">
      <c r="A6161" t="s">
        <v>8473</v>
      </c>
      <c r="B6161" s="1" t="str">
        <f>HYPERLINK("https://asmlis.vasa.lt/Dashboard/Served?ServiceDateFrom=2025-11-24&amp;ServiceDateTo=2025-11-24&amp;DumpsterInvNr=13-P-401664", "13-P-401664")</f>
        <v>13-P-401664</v>
      </c>
      <c r="C6161">
        <v>2.5</v>
      </c>
      <c r="D6161" t="s">
        <v>8474</v>
      </c>
      <c r="E6161" t="s">
        <v>11</v>
      </c>
      <c r="F6161" t="s">
        <v>13</v>
      </c>
      <c r="G6161" t="s">
        <v>264</v>
      </c>
      <c r="H6161" t="s">
        <v>14</v>
      </c>
    </row>
    <row r="6162" spans="1:8" hidden="1" x14ac:dyDescent="0.25">
      <c r="A6162" t="s">
        <v>8475</v>
      </c>
      <c r="B6162" s="1" t="str">
        <f>HYPERLINK("https://asmlis.vasa.lt/Dashboard/Served?ServiceDateFrom=2025-11-24&amp;ServiceDateTo=2025-11-24&amp;DumpsterInvNr=13-P-208661", "13-P-208661")</f>
        <v>13-P-208661</v>
      </c>
      <c r="C6162">
        <v>0.24</v>
      </c>
      <c r="D6162" t="s">
        <v>8476</v>
      </c>
      <c r="E6162" t="s">
        <v>11</v>
      </c>
      <c r="G6162" t="s">
        <v>234</v>
      </c>
      <c r="H6162" t="s">
        <v>14</v>
      </c>
    </row>
    <row r="6163" spans="1:8" hidden="1" x14ac:dyDescent="0.25">
      <c r="A6163" t="s">
        <v>8475</v>
      </c>
      <c r="B6163" s="1" t="str">
        <f>HYPERLINK("https://asmlis.vasa.lt/Dashboard/Served?ServiceDateFrom=2025-11-24&amp;ServiceDateTo=2025-11-24&amp;DumpsterInvNr=13-P-415742", "13-P-415742")</f>
        <v>13-P-415742</v>
      </c>
      <c r="C6163">
        <v>2.5</v>
      </c>
      <c r="D6163" t="s">
        <v>8474</v>
      </c>
      <c r="E6163" t="s">
        <v>11</v>
      </c>
      <c r="F6163" t="s">
        <v>13</v>
      </c>
      <c r="G6163" t="s">
        <v>264</v>
      </c>
      <c r="H6163" t="s">
        <v>14</v>
      </c>
    </row>
    <row r="6164" spans="1:8" hidden="1" x14ac:dyDescent="0.25">
      <c r="A6164" t="s">
        <v>8477</v>
      </c>
      <c r="B6164" s="1" t="str">
        <f>HYPERLINK("https://asmlis.vasa.lt/Dashboard/Served?ServiceDateFrom=2025-11-24&amp;ServiceDateTo=2025-11-24&amp;DumpsterInvNr=13-L-421539", "13-L-421539")</f>
        <v>13-L-421539</v>
      </c>
      <c r="C6164">
        <v>1.1000000000000001</v>
      </c>
      <c r="D6164" t="s">
        <v>1317</v>
      </c>
      <c r="E6164" t="s">
        <v>11</v>
      </c>
      <c r="F6164" t="s">
        <v>13</v>
      </c>
      <c r="G6164" t="s">
        <v>74</v>
      </c>
      <c r="H6164" t="s">
        <v>14</v>
      </c>
    </row>
    <row r="6165" spans="1:8" hidden="1" x14ac:dyDescent="0.25">
      <c r="A6165" t="s">
        <v>8478</v>
      </c>
      <c r="B6165" s="1" t="str">
        <f>HYPERLINK("https://asmlis.vasa.lt/Dashboard/Served?ServiceDateFrom=2025-11-24&amp;ServiceDateTo=2025-11-24&amp;DumpsterInvNr=13-P-415858", "13-P-415858")</f>
        <v>13-P-415858</v>
      </c>
      <c r="C6165">
        <v>0.24</v>
      </c>
      <c r="D6165" t="s">
        <v>8479</v>
      </c>
      <c r="E6165" t="s">
        <v>11</v>
      </c>
      <c r="G6165" t="s">
        <v>264</v>
      </c>
      <c r="H6165" t="s">
        <v>14</v>
      </c>
    </row>
    <row r="6166" spans="1:8" hidden="1" x14ac:dyDescent="0.25">
      <c r="A6166" t="s">
        <v>8053</v>
      </c>
      <c r="B6166" s="1" t="str">
        <f>HYPERLINK("https://asmlis.vasa.lt/Dashboard/Served?ServiceDateFrom=2025-11-24&amp;ServiceDateTo=2025-11-24&amp;DumpsterInvNr=13-L-423671", "13-L-423671")</f>
        <v>13-L-423671</v>
      </c>
      <c r="C6166">
        <v>1.1000000000000001</v>
      </c>
      <c r="D6166" t="s">
        <v>1317</v>
      </c>
      <c r="E6166" t="s">
        <v>11</v>
      </c>
      <c r="F6166" t="s">
        <v>13</v>
      </c>
      <c r="G6166" t="s">
        <v>74</v>
      </c>
      <c r="H6166" t="s">
        <v>14</v>
      </c>
    </row>
    <row r="6167" spans="1:8" hidden="1" x14ac:dyDescent="0.25">
      <c r="A6167" t="s">
        <v>7248</v>
      </c>
      <c r="B6167" s="1" t="str">
        <f>HYPERLINK("https://asmlis.vasa.lt/Dashboard/Served?ServiceDateFrom=2025-11-24&amp;ServiceDateTo=2025-11-24&amp;DumpsterInvNr=13-P-300809", "13-P-300809")</f>
        <v>13-P-300809</v>
      </c>
      <c r="C6167">
        <v>1.1000000000000001</v>
      </c>
      <c r="D6167" t="s">
        <v>3069</v>
      </c>
      <c r="E6167" t="s">
        <v>11</v>
      </c>
      <c r="F6167" t="s">
        <v>13</v>
      </c>
      <c r="G6167" t="s">
        <v>412</v>
      </c>
      <c r="H6167" t="s">
        <v>14</v>
      </c>
    </row>
    <row r="6168" spans="1:8" hidden="1" x14ac:dyDescent="0.25">
      <c r="A6168" t="s">
        <v>7429</v>
      </c>
      <c r="B6168" s="1" t="str">
        <f>HYPERLINK("https://asmlis.vasa.lt/Dashboard/Served?ServiceDateFrom=2025-11-24&amp;ServiceDateTo=2025-11-24&amp;DumpsterInvNr=13-P-102368", "13-P-102368")</f>
        <v>13-P-102368</v>
      </c>
      <c r="C6168">
        <v>5</v>
      </c>
      <c r="D6168" t="s">
        <v>2719</v>
      </c>
      <c r="E6168" t="s">
        <v>11</v>
      </c>
      <c r="F6168" t="s">
        <v>13</v>
      </c>
      <c r="G6168" t="s">
        <v>1917</v>
      </c>
      <c r="H6168" t="s">
        <v>432</v>
      </c>
    </row>
    <row r="6169" spans="1:8" hidden="1" x14ac:dyDescent="0.25">
      <c r="A6169" t="s">
        <v>8028</v>
      </c>
      <c r="B6169" s="1" t="str">
        <f>HYPERLINK("https://asmlis.vasa.lt/Dashboard/Served?ServiceDateFrom=2025-11-24&amp;ServiceDateTo=2025-11-24&amp;DumpsterInvNr=13-L-213423", "13-L-213423")</f>
        <v>13-L-213423</v>
      </c>
      <c r="C6169">
        <v>0.24</v>
      </c>
      <c r="D6169" t="s">
        <v>5372</v>
      </c>
      <c r="E6169" t="s">
        <v>11</v>
      </c>
      <c r="F6169" t="s">
        <v>13</v>
      </c>
      <c r="G6169" t="s">
        <v>936</v>
      </c>
      <c r="H6169" t="s">
        <v>938</v>
      </c>
    </row>
    <row r="6170" spans="1:8" hidden="1" x14ac:dyDescent="0.25">
      <c r="A6170" t="s">
        <v>8004</v>
      </c>
      <c r="B6170" s="1" t="str">
        <f>HYPERLINK("https://asmlis.vasa.lt/Dashboard/Served?ServiceDateFrom=2025-11-24&amp;ServiceDateTo=2025-11-24&amp;DumpsterInvNr=13-P-411644", "13-P-411644")</f>
        <v>13-P-411644</v>
      </c>
      <c r="C6170">
        <v>0.24</v>
      </c>
      <c r="D6170" t="s">
        <v>8480</v>
      </c>
      <c r="E6170" t="s">
        <v>11</v>
      </c>
      <c r="G6170" t="s">
        <v>264</v>
      </c>
      <c r="H6170" t="s">
        <v>14</v>
      </c>
    </row>
    <row r="6171" spans="1:8" hidden="1" x14ac:dyDescent="0.25">
      <c r="A6171" t="s">
        <v>8077</v>
      </c>
      <c r="B6171" s="1" t="str">
        <f>HYPERLINK("https://asmlis.vasa.lt/Dashboard/Served?ServiceDateFrom=2025-11-24&amp;ServiceDateTo=2025-11-24&amp;DumpsterInvNr=13-P-102367", "13-P-102367")</f>
        <v>13-P-102367</v>
      </c>
      <c r="C6171">
        <v>5</v>
      </c>
      <c r="D6171" t="s">
        <v>2789</v>
      </c>
      <c r="E6171" t="s">
        <v>11</v>
      </c>
      <c r="F6171" t="s">
        <v>13</v>
      </c>
      <c r="G6171" t="s">
        <v>1917</v>
      </c>
      <c r="H6171" t="s">
        <v>432</v>
      </c>
    </row>
    <row r="6172" spans="1:8" hidden="1" x14ac:dyDescent="0.25">
      <c r="A6172" t="s">
        <v>8481</v>
      </c>
      <c r="B6172" s="1" t="str">
        <f>HYPERLINK("https://asmlis.vasa.lt/Dashboard/Served?ServiceDateFrom=2025-11-24&amp;ServiceDateTo=2025-11-24&amp;DumpsterInvNr=13-L-135801", "13-L-135801")</f>
        <v>13-L-135801</v>
      </c>
      <c r="C6172">
        <v>5</v>
      </c>
      <c r="D6172" t="s">
        <v>8483</v>
      </c>
      <c r="E6172" t="s">
        <v>11</v>
      </c>
      <c r="F6172" t="s">
        <v>13</v>
      </c>
      <c r="G6172" t="s">
        <v>430</v>
      </c>
      <c r="H6172" t="s">
        <v>432</v>
      </c>
    </row>
    <row r="6173" spans="1:8" hidden="1" x14ac:dyDescent="0.25">
      <c r="A6173" t="s">
        <v>8278</v>
      </c>
      <c r="B6173" s="1" t="str">
        <f>HYPERLINK("https://asmlis.vasa.lt/Dashboard/Served?ServiceDateFrom=2025-11-24&amp;ServiceDateTo=2025-11-24&amp;DumpsterInvNr=13-P-401464", "13-P-401464")</f>
        <v>13-P-401464</v>
      </c>
      <c r="C6173">
        <v>2.5</v>
      </c>
      <c r="D6173" t="s">
        <v>137</v>
      </c>
      <c r="E6173" t="s">
        <v>11</v>
      </c>
      <c r="F6173" t="s">
        <v>13</v>
      </c>
      <c r="G6173" t="s">
        <v>264</v>
      </c>
      <c r="H6173" t="s">
        <v>14</v>
      </c>
    </row>
    <row r="6174" spans="1:8" hidden="1" x14ac:dyDescent="0.25">
      <c r="A6174" t="s">
        <v>8120</v>
      </c>
      <c r="B6174" s="1" t="str">
        <f>HYPERLINK("https://asmlis.vasa.lt/Dashboard/Served?ServiceDateFrom=2025-11-24&amp;ServiceDateTo=2025-11-24&amp;DumpsterInvNr=13-L-319707", "13-L-319707")</f>
        <v>13-L-319707</v>
      </c>
      <c r="C6174">
        <v>1.1000000000000001</v>
      </c>
      <c r="D6174" t="s">
        <v>8384</v>
      </c>
      <c r="E6174" t="s">
        <v>11</v>
      </c>
      <c r="F6174" t="s">
        <v>13</v>
      </c>
      <c r="G6174" t="s">
        <v>9</v>
      </c>
      <c r="H6174" t="s">
        <v>14</v>
      </c>
    </row>
    <row r="6175" spans="1:8" hidden="1" x14ac:dyDescent="0.25">
      <c r="A6175" t="s">
        <v>8120</v>
      </c>
      <c r="B6175" s="1" t="str">
        <f>HYPERLINK("https://asmlis.vasa.lt/Dashboard/Served?ServiceDateFrom=2025-11-24&amp;ServiceDateTo=2025-11-24&amp;DumpsterInvNr=13-P-401592", "13-P-401592")</f>
        <v>13-P-401592</v>
      </c>
      <c r="C6175">
        <v>2.5</v>
      </c>
      <c r="D6175" t="s">
        <v>137</v>
      </c>
      <c r="E6175" t="s">
        <v>11</v>
      </c>
      <c r="F6175" t="s">
        <v>13</v>
      </c>
      <c r="G6175" t="s">
        <v>264</v>
      </c>
      <c r="H6175" t="s">
        <v>14</v>
      </c>
    </row>
    <row r="6176" spans="1:8" hidden="1" x14ac:dyDescent="0.25">
      <c r="A6176" t="s">
        <v>7989</v>
      </c>
      <c r="B6176" s="1" t="str">
        <f>HYPERLINK("https://asmlis.vasa.lt/Dashboard/Served?ServiceDateFrom=2025-11-24&amp;ServiceDateTo=2025-11-24&amp;DumpsterInvNr=DGA-ZALVARIS", "DGA-ZALVARIS")</f>
        <v>DGA-ZALVARIS</v>
      </c>
      <c r="C6176">
        <v>1</v>
      </c>
      <c r="D6176" t="s">
        <v>8484</v>
      </c>
      <c r="E6176" t="s">
        <v>12</v>
      </c>
      <c r="F6176" t="s">
        <v>13</v>
      </c>
      <c r="G6176" t="s">
        <v>6763</v>
      </c>
      <c r="H6176" t="s">
        <v>6765</v>
      </c>
    </row>
    <row r="6177" spans="1:8" hidden="1" x14ac:dyDescent="0.25">
      <c r="A6177" t="s">
        <v>8485</v>
      </c>
      <c r="B6177" s="1" t="str">
        <f>HYPERLINK("https://asmlis.vasa.lt/Dashboard/Served?ServiceDateFrom=2025-11-24&amp;ServiceDateTo=2025-11-24&amp;DumpsterInvNr=13-L-211072", "13-L-211072")</f>
        <v>13-L-211072</v>
      </c>
      <c r="C6177">
        <v>1.1000000000000001</v>
      </c>
      <c r="D6177" t="s">
        <v>1525</v>
      </c>
      <c r="E6177" t="s">
        <v>11</v>
      </c>
      <c r="G6177" t="s">
        <v>936</v>
      </c>
      <c r="H6177" t="s">
        <v>938</v>
      </c>
    </row>
    <row r="6178" spans="1:8" hidden="1" x14ac:dyDescent="0.25">
      <c r="A6178" t="s">
        <v>8486</v>
      </c>
      <c r="B6178" s="1" t="str">
        <f>HYPERLINK("https://asmlis.vasa.lt/Dashboard/Served?ServiceDateFrom=2025-11-24&amp;ServiceDateTo=2025-11-24&amp;DumpsterInvNr=13-P-409026", "13-P-409026")</f>
        <v>13-P-409026</v>
      </c>
      <c r="C6178">
        <v>1.1000000000000001</v>
      </c>
      <c r="D6178" t="s">
        <v>119</v>
      </c>
      <c r="E6178" t="s">
        <v>11</v>
      </c>
      <c r="G6178" t="s">
        <v>264</v>
      </c>
      <c r="H6178" t="s">
        <v>14</v>
      </c>
    </row>
    <row r="6179" spans="1:8" hidden="1" x14ac:dyDescent="0.25">
      <c r="A6179" t="s">
        <v>8015</v>
      </c>
      <c r="B6179" s="1" t="str">
        <f>HYPERLINK("https://asmlis.vasa.lt/Dashboard/Served?ServiceDateFrom=2025-11-24&amp;ServiceDateTo=2025-11-24&amp;DumpsterInvNr=13-P-412841", "13-P-412841")</f>
        <v>13-P-412841</v>
      </c>
      <c r="C6179">
        <v>0.24</v>
      </c>
      <c r="D6179" t="s">
        <v>8480</v>
      </c>
      <c r="E6179" t="s">
        <v>11</v>
      </c>
      <c r="G6179" t="s">
        <v>264</v>
      </c>
      <c r="H6179" t="s">
        <v>14</v>
      </c>
    </row>
    <row r="6180" spans="1:8" hidden="1" x14ac:dyDescent="0.25">
      <c r="A6180" t="s">
        <v>8487</v>
      </c>
      <c r="B6180" s="1" t="str">
        <f>HYPERLINK("https://asmlis.vasa.lt/Dashboard/Served?ServiceDateFrom=2025-11-24&amp;ServiceDateTo=2025-11-24&amp;DumpsterInvNr=13-L-424236", "13-L-424236")</f>
        <v>13-L-424236</v>
      </c>
      <c r="C6180">
        <v>5</v>
      </c>
      <c r="D6180" t="s">
        <v>5328</v>
      </c>
      <c r="E6180" t="s">
        <v>11</v>
      </c>
      <c r="F6180" t="s">
        <v>13</v>
      </c>
      <c r="G6180" t="s">
        <v>74</v>
      </c>
      <c r="H6180" t="s">
        <v>14</v>
      </c>
    </row>
    <row r="6181" spans="1:8" hidden="1" x14ac:dyDescent="0.25">
      <c r="A6181" t="s">
        <v>8488</v>
      </c>
      <c r="B6181" s="1" t="str">
        <f>HYPERLINK("https://asmlis.vasa.lt/Dashboard/Served?ServiceDateFrom=2025-11-24&amp;ServiceDateTo=2025-11-24&amp;DumpsterInvNr=13-L-224502", "13-L-224502")</f>
        <v>13-L-224502</v>
      </c>
      <c r="C6181">
        <v>5</v>
      </c>
      <c r="D6181" t="s">
        <v>1153</v>
      </c>
      <c r="E6181" t="s">
        <v>11</v>
      </c>
      <c r="G6181" t="s">
        <v>936</v>
      </c>
      <c r="H6181" t="s">
        <v>938</v>
      </c>
    </row>
    <row r="6182" spans="1:8" hidden="1" x14ac:dyDescent="0.25">
      <c r="A6182" t="s">
        <v>8488</v>
      </c>
      <c r="B6182" s="1" t="str">
        <f>HYPERLINK("https://asmlis.vasa.lt/Dashboard/Served?ServiceDateFrom=2025-11-24&amp;ServiceDateTo=2025-11-24&amp;DumpsterInvNr=13-L-415131", "13-L-415131")</f>
        <v>13-L-415131</v>
      </c>
      <c r="C6182">
        <v>5</v>
      </c>
      <c r="D6182" t="s">
        <v>8489</v>
      </c>
      <c r="E6182" t="s">
        <v>11</v>
      </c>
      <c r="F6182" t="s">
        <v>13</v>
      </c>
      <c r="G6182" t="s">
        <v>74</v>
      </c>
      <c r="H6182" t="s">
        <v>14</v>
      </c>
    </row>
    <row r="6183" spans="1:8" hidden="1" x14ac:dyDescent="0.25">
      <c r="A6183" t="s">
        <v>8230</v>
      </c>
      <c r="B6183" s="1" t="str">
        <f>HYPERLINK("https://asmlis.vasa.lt/Dashboard/Served?ServiceDateFrom=2025-11-24&amp;ServiceDateTo=2025-11-24&amp;DumpsterInvNr=13-P-411618", "13-P-411618")</f>
        <v>13-P-411618</v>
      </c>
      <c r="C6183">
        <v>0.24</v>
      </c>
      <c r="D6183" t="s">
        <v>8490</v>
      </c>
      <c r="E6183" t="s">
        <v>11</v>
      </c>
      <c r="G6183" t="s">
        <v>264</v>
      </c>
      <c r="H6183" t="s">
        <v>14</v>
      </c>
    </row>
    <row r="6184" spans="1:8" hidden="1" x14ac:dyDescent="0.25">
      <c r="A6184" t="s">
        <v>8491</v>
      </c>
      <c r="B6184" s="1" t="str">
        <f>HYPERLINK("https://asmlis.vasa.lt/Dashboard/Served?ServiceDateFrom=2025-11-24&amp;ServiceDateTo=2025-11-24&amp;DumpsterInvNr=13-L-225872", "13-L-225872")</f>
        <v>13-L-225872</v>
      </c>
      <c r="C6184">
        <v>1.1000000000000001</v>
      </c>
      <c r="D6184" t="s">
        <v>8492</v>
      </c>
      <c r="E6184" t="s">
        <v>11</v>
      </c>
      <c r="G6184" t="s">
        <v>936</v>
      </c>
      <c r="H6184" t="s">
        <v>938</v>
      </c>
    </row>
    <row r="6185" spans="1:8" hidden="1" x14ac:dyDescent="0.25">
      <c r="A6185" t="s">
        <v>8493</v>
      </c>
      <c r="B6185" s="1" t="str">
        <f>HYPERLINK("https://asmlis.vasa.lt/Dashboard/Served?ServiceDateFrom=2025-11-24&amp;ServiceDateTo=2025-11-24&amp;DumpsterInvNr=13-L-412600", "13-L-412600")</f>
        <v>13-L-412600</v>
      </c>
      <c r="C6185">
        <v>1.1000000000000001</v>
      </c>
      <c r="D6185" t="s">
        <v>8494</v>
      </c>
      <c r="E6185" t="s">
        <v>11</v>
      </c>
      <c r="F6185" t="s">
        <v>13</v>
      </c>
      <c r="G6185" t="s">
        <v>74</v>
      </c>
      <c r="H6185" t="s">
        <v>14</v>
      </c>
    </row>
    <row r="6186" spans="1:8" hidden="1" x14ac:dyDescent="0.25">
      <c r="A6186" t="s">
        <v>8103</v>
      </c>
      <c r="B6186" s="1" t="str">
        <f>HYPERLINK("https://asmlis.vasa.lt/Dashboard/Served?ServiceDateFrom=2025-11-24&amp;ServiceDateTo=2025-11-24&amp;DumpsterInvNr=13-L-224747", "13-L-224747")</f>
        <v>13-L-224747</v>
      </c>
      <c r="C6186">
        <v>1.1000000000000001</v>
      </c>
      <c r="D6186" t="s">
        <v>1525</v>
      </c>
      <c r="E6186" t="s">
        <v>11</v>
      </c>
      <c r="G6186" t="s">
        <v>936</v>
      </c>
      <c r="H6186" t="s">
        <v>938</v>
      </c>
    </row>
    <row r="6187" spans="1:8" hidden="1" x14ac:dyDescent="0.25">
      <c r="A6187" t="s">
        <v>8495</v>
      </c>
      <c r="B6187" s="1" t="str">
        <f>HYPERLINK("https://asmlis.vasa.lt/Dashboard/Served?ServiceDateFrom=2025-11-24&amp;ServiceDateTo=2025-11-24&amp;DumpsterInvNr=13-L-412564", "13-L-412564")</f>
        <v>13-L-412564</v>
      </c>
      <c r="C6187">
        <v>1.1000000000000001</v>
      </c>
      <c r="D6187" t="s">
        <v>8494</v>
      </c>
      <c r="E6187" t="s">
        <v>11</v>
      </c>
      <c r="F6187" t="s">
        <v>13</v>
      </c>
      <c r="G6187" t="s">
        <v>74</v>
      </c>
      <c r="H6187" t="s">
        <v>14</v>
      </c>
    </row>
    <row r="6188" spans="1:8" hidden="1" x14ac:dyDescent="0.25">
      <c r="A6188" t="s">
        <v>8176</v>
      </c>
      <c r="B6188" s="1" t="str">
        <f>HYPERLINK("https://asmlis.vasa.lt/Dashboard/Served?ServiceDateFrom=2025-11-24&amp;ServiceDateTo=2025-11-24&amp;DumpsterInvNr=13-L-118362", "13-L-118362")</f>
        <v>13-L-118362</v>
      </c>
      <c r="C6188">
        <v>0.24</v>
      </c>
      <c r="D6188" t="s">
        <v>8496</v>
      </c>
      <c r="E6188" t="s">
        <v>11</v>
      </c>
      <c r="G6188" t="s">
        <v>1912</v>
      </c>
      <c r="H6188" t="s">
        <v>432</v>
      </c>
    </row>
    <row r="6189" spans="1:8" hidden="1" x14ac:dyDescent="0.25">
      <c r="A6189" t="s">
        <v>8176</v>
      </c>
      <c r="B6189" s="1" t="str">
        <f>HYPERLINK("https://asmlis.vasa.lt/Dashboard/Served?ServiceDateFrom=2025-11-24&amp;ServiceDateTo=2025-11-24&amp;DumpsterInvNr=13-S-207842", "13-S-207842")</f>
        <v>13-S-207842</v>
      </c>
      <c r="C6189">
        <v>3</v>
      </c>
      <c r="D6189" t="s">
        <v>8497</v>
      </c>
      <c r="E6189" t="s">
        <v>11</v>
      </c>
      <c r="G6189" t="s">
        <v>234</v>
      </c>
      <c r="H6189" t="s">
        <v>14</v>
      </c>
    </row>
    <row r="6190" spans="1:8" hidden="1" x14ac:dyDescent="0.25">
      <c r="A6190" t="s">
        <v>8498</v>
      </c>
      <c r="B6190" s="1" t="str">
        <f>HYPERLINK("https://asmlis.vasa.lt/Dashboard/Served?ServiceDateFrom=2025-11-24&amp;ServiceDateTo=2025-11-24&amp;DumpsterInvNr=13-L-419887", "13-L-419887")</f>
        <v>13-L-419887</v>
      </c>
      <c r="C6190">
        <v>1.1000000000000001</v>
      </c>
      <c r="D6190" t="s">
        <v>8494</v>
      </c>
      <c r="E6190" t="s">
        <v>11</v>
      </c>
      <c r="F6190" t="s">
        <v>13</v>
      </c>
      <c r="G6190" t="s">
        <v>74</v>
      </c>
      <c r="H6190" t="s">
        <v>14</v>
      </c>
    </row>
    <row r="6191" spans="1:8" hidden="1" x14ac:dyDescent="0.25">
      <c r="A6191" t="s">
        <v>8498</v>
      </c>
      <c r="B6191" s="1" t="str">
        <f>HYPERLINK("https://asmlis.vasa.lt/Dashboard/Served?ServiceDateFrom=2025-11-24&amp;ServiceDateTo=2025-11-24&amp;DumpsterInvNr=13-P-211164", "13-P-211164")</f>
        <v>13-P-211164</v>
      </c>
      <c r="C6191">
        <v>0.24</v>
      </c>
      <c r="D6191" t="s">
        <v>8499</v>
      </c>
      <c r="E6191" t="s">
        <v>11</v>
      </c>
      <c r="G6191" t="s">
        <v>234</v>
      </c>
      <c r="H6191" t="s">
        <v>14</v>
      </c>
    </row>
    <row r="6192" spans="1:8" hidden="1" x14ac:dyDescent="0.25">
      <c r="A6192" t="s">
        <v>8500</v>
      </c>
      <c r="B6192" s="1" t="str">
        <f>HYPERLINK("https://asmlis.vasa.lt/Dashboard/Served?ServiceDateFrom=2025-11-24&amp;ServiceDateTo=2025-11-24&amp;DumpsterInvNr=13-P-101208", "13-P-101208")</f>
        <v>13-P-101208</v>
      </c>
      <c r="C6192">
        <v>0.24</v>
      </c>
      <c r="D6192" t="s">
        <v>8496</v>
      </c>
      <c r="E6192" t="s">
        <v>11</v>
      </c>
      <c r="G6192" t="s">
        <v>1917</v>
      </c>
      <c r="H6192" t="s">
        <v>432</v>
      </c>
    </row>
    <row r="6193" spans="1:8" hidden="1" x14ac:dyDescent="0.25">
      <c r="A6193" t="s">
        <v>8138</v>
      </c>
      <c r="B6193" s="1" t="str">
        <f>HYPERLINK("https://asmlis.vasa.lt/Dashboard/Served?ServiceDateFrom=2025-11-24&amp;ServiceDateTo=2025-11-24&amp;DumpsterInvNr=13-L-412565", "13-L-412565")</f>
        <v>13-L-412565</v>
      </c>
      <c r="C6193">
        <v>1.1000000000000001</v>
      </c>
      <c r="D6193" t="s">
        <v>8494</v>
      </c>
      <c r="E6193" t="s">
        <v>11</v>
      </c>
      <c r="F6193" t="s">
        <v>13</v>
      </c>
      <c r="G6193" t="s">
        <v>74</v>
      </c>
      <c r="H6193" t="s">
        <v>14</v>
      </c>
    </row>
    <row r="6194" spans="1:8" hidden="1" x14ac:dyDescent="0.25">
      <c r="A6194" t="s">
        <v>8501</v>
      </c>
      <c r="B6194" s="1" t="str">
        <f>HYPERLINK("https://asmlis.vasa.lt/Dashboard/Served?ServiceDateFrom=2025-11-24&amp;ServiceDateTo=2025-11-24&amp;DumpsterInvNr=13-M-204695", "13-M-204695")</f>
        <v>13-M-204695</v>
      </c>
      <c r="C6194">
        <v>0.12</v>
      </c>
      <c r="D6194" t="s">
        <v>8502</v>
      </c>
      <c r="E6194" t="s">
        <v>11</v>
      </c>
      <c r="G6194" t="s">
        <v>4876</v>
      </c>
      <c r="H6194" t="s">
        <v>938</v>
      </c>
    </row>
    <row r="6195" spans="1:8" hidden="1" x14ac:dyDescent="0.25">
      <c r="A6195" t="s">
        <v>8503</v>
      </c>
      <c r="B6195" s="1" t="str">
        <f>HYPERLINK("https://asmlis.vasa.lt/Dashboard/Served?ServiceDateFrom=2025-11-24&amp;ServiceDateTo=2025-11-24&amp;DumpsterInvNr=13-P-415145", "13-P-415145")</f>
        <v>13-P-415145</v>
      </c>
      <c r="C6195">
        <v>0.24</v>
      </c>
      <c r="D6195" t="s">
        <v>8504</v>
      </c>
      <c r="E6195" t="s">
        <v>11</v>
      </c>
      <c r="G6195" t="s">
        <v>264</v>
      </c>
      <c r="H6195" t="s">
        <v>14</v>
      </c>
    </row>
    <row r="6196" spans="1:8" hidden="1" x14ac:dyDescent="0.25">
      <c r="A6196" t="s">
        <v>8505</v>
      </c>
      <c r="B6196" s="1" t="str">
        <f>HYPERLINK("https://asmlis.vasa.lt/Dashboard/Served?ServiceDateFrom=2025-11-24&amp;ServiceDateTo=2025-11-24&amp;DumpsterInvNr=13-M-204746", "13-M-204746")</f>
        <v>13-M-204746</v>
      </c>
      <c r="C6196">
        <v>0.12</v>
      </c>
      <c r="D6196" t="s">
        <v>8506</v>
      </c>
      <c r="E6196" t="s">
        <v>11</v>
      </c>
      <c r="G6196" t="s">
        <v>4876</v>
      </c>
      <c r="H6196" t="s">
        <v>938</v>
      </c>
    </row>
    <row r="6197" spans="1:8" hidden="1" x14ac:dyDescent="0.25">
      <c r="A6197" t="s">
        <v>8507</v>
      </c>
      <c r="B6197" s="1" t="str">
        <f>HYPERLINK("https://asmlis.vasa.lt/Dashboard/Served?ServiceDateFrom=2025-11-24&amp;ServiceDateTo=2025-11-24&amp;DumpsterInvNr=13-L-209608", "13-L-209608")</f>
        <v>13-L-209608</v>
      </c>
      <c r="C6197">
        <v>0.24</v>
      </c>
      <c r="D6197" t="s">
        <v>4061</v>
      </c>
      <c r="E6197" t="s">
        <v>11</v>
      </c>
      <c r="G6197" t="s">
        <v>936</v>
      </c>
      <c r="H6197" t="s">
        <v>938</v>
      </c>
    </row>
    <row r="6198" spans="1:8" hidden="1" x14ac:dyDescent="0.25">
      <c r="A6198" t="s">
        <v>8508</v>
      </c>
      <c r="B6198" s="1" t="str">
        <f>HYPERLINK("https://asmlis.vasa.lt/Dashboard/Served?ServiceDateFrom=2025-11-24&amp;ServiceDateTo=2025-11-24&amp;DumpsterInvNr=13-L-117607", "13-L-117607")</f>
        <v>13-L-117607</v>
      </c>
      <c r="C6198">
        <v>0.12</v>
      </c>
      <c r="D6198" t="s">
        <v>8509</v>
      </c>
      <c r="E6198" t="s">
        <v>11</v>
      </c>
      <c r="G6198" t="s">
        <v>1912</v>
      </c>
      <c r="H6198" t="s">
        <v>432</v>
      </c>
    </row>
    <row r="6199" spans="1:8" hidden="1" x14ac:dyDescent="0.25">
      <c r="A6199" t="s">
        <v>8510</v>
      </c>
      <c r="B6199" s="1" t="str">
        <f>HYPERLINK("https://asmlis.vasa.lt/Dashboard/Served?ServiceDateFrom=2025-11-24&amp;ServiceDateTo=2025-11-24&amp;DumpsterInvNr=13-L-425362", "13-L-425362")</f>
        <v>13-L-425362</v>
      </c>
      <c r="C6199">
        <v>1.1000000000000001</v>
      </c>
      <c r="D6199" t="s">
        <v>873</v>
      </c>
      <c r="E6199" t="s">
        <v>11</v>
      </c>
      <c r="G6199" t="s">
        <v>74</v>
      </c>
      <c r="H6199" t="s">
        <v>14</v>
      </c>
    </row>
    <row r="6200" spans="1:8" hidden="1" x14ac:dyDescent="0.25">
      <c r="A6200" t="s">
        <v>8511</v>
      </c>
      <c r="B6200" s="1" t="str">
        <f>HYPERLINK("https://asmlis.vasa.lt/Dashboard/Served?ServiceDateFrom=2025-11-24&amp;ServiceDateTo=2025-11-24&amp;DumpsterInvNr=13-M-204913", "13-M-204913")</f>
        <v>13-M-204913</v>
      </c>
      <c r="C6200">
        <v>0.12</v>
      </c>
      <c r="D6200" t="s">
        <v>8512</v>
      </c>
      <c r="E6200" t="s">
        <v>11</v>
      </c>
      <c r="F6200" t="s">
        <v>1209</v>
      </c>
      <c r="G6200" t="s">
        <v>4876</v>
      </c>
      <c r="H6200" t="s">
        <v>938</v>
      </c>
    </row>
    <row r="6201" spans="1:8" hidden="1" x14ac:dyDescent="0.25">
      <c r="A6201" t="s">
        <v>8513</v>
      </c>
      <c r="B6201" s="1" t="str">
        <f>HYPERLINK("https://asmlis.vasa.lt/Dashboard/Served?ServiceDateFrom=2025-11-24&amp;ServiceDateTo=2025-11-24&amp;DumpsterInvNr=13-L-314667", "13-L-314667")</f>
        <v>13-L-314667</v>
      </c>
      <c r="C6201">
        <v>1.1000000000000001</v>
      </c>
      <c r="D6201" t="s">
        <v>8514</v>
      </c>
      <c r="E6201" t="s">
        <v>11</v>
      </c>
      <c r="G6201" t="s">
        <v>9</v>
      </c>
      <c r="H6201" t="s">
        <v>14</v>
      </c>
    </row>
    <row r="6202" spans="1:8" hidden="1" x14ac:dyDescent="0.25">
      <c r="A6202" t="s">
        <v>8515</v>
      </c>
      <c r="B6202" s="1" t="str">
        <f>HYPERLINK("https://asmlis.vasa.lt/Dashboard/Served?ServiceDateFrom=2025-11-24&amp;ServiceDateTo=2025-11-24&amp;DumpsterInvNr=13-P-412098", "13-P-412098")</f>
        <v>13-P-412098</v>
      </c>
      <c r="C6202">
        <v>0.24</v>
      </c>
      <c r="D6202" t="s">
        <v>8391</v>
      </c>
      <c r="E6202" t="s">
        <v>11</v>
      </c>
      <c r="G6202" t="s">
        <v>264</v>
      </c>
      <c r="H6202" t="s">
        <v>14</v>
      </c>
    </row>
    <row r="6203" spans="1:8" hidden="1" x14ac:dyDescent="0.25">
      <c r="A6203" t="s">
        <v>8516</v>
      </c>
      <c r="B6203" s="1" t="str">
        <f>HYPERLINK("https://asmlis.vasa.lt/Dashboard/Served?ServiceDateFrom=2025-11-24&amp;ServiceDateTo=2025-11-24&amp;DumpsterInvNr=13-L-208244", "13-L-208244")</f>
        <v>13-L-208244</v>
      </c>
      <c r="C6203">
        <v>0.24</v>
      </c>
      <c r="D6203" t="s">
        <v>8517</v>
      </c>
      <c r="E6203" t="s">
        <v>11</v>
      </c>
      <c r="G6203" t="s">
        <v>936</v>
      </c>
      <c r="H6203" t="s">
        <v>938</v>
      </c>
    </row>
    <row r="6204" spans="1:8" hidden="1" x14ac:dyDescent="0.25">
      <c r="A6204" t="s">
        <v>8518</v>
      </c>
      <c r="B6204" s="1" t="str">
        <f>HYPERLINK("https://asmlis.vasa.lt/Dashboard/Served?ServiceDateFrom=2025-11-24&amp;ServiceDateTo=2025-11-24&amp;DumpsterInvNr=13-P-103664", "13-P-103664")</f>
        <v>13-P-103664</v>
      </c>
      <c r="C6204">
        <v>0.24</v>
      </c>
      <c r="D6204" t="s">
        <v>8509</v>
      </c>
      <c r="E6204" t="s">
        <v>11</v>
      </c>
      <c r="G6204" t="s">
        <v>1917</v>
      </c>
      <c r="H6204" t="s">
        <v>432</v>
      </c>
    </row>
    <row r="6205" spans="1:8" hidden="1" x14ac:dyDescent="0.25">
      <c r="A6205" t="s">
        <v>8520</v>
      </c>
      <c r="B6205" s="1" t="str">
        <f>HYPERLINK("https://asmlis.vasa.lt/Dashboard/Served?ServiceDateFrom=2025-11-24&amp;ServiceDateTo=2025-11-24&amp;DumpsterInvNr=13-L-427045", "13-L-427045")</f>
        <v>13-L-427045</v>
      </c>
      <c r="C6205">
        <v>1.1000000000000001</v>
      </c>
      <c r="D6205" t="s">
        <v>873</v>
      </c>
      <c r="E6205" t="s">
        <v>11</v>
      </c>
      <c r="G6205" t="s">
        <v>74</v>
      </c>
      <c r="H6205" t="s">
        <v>14</v>
      </c>
    </row>
    <row r="6206" spans="1:8" hidden="1" x14ac:dyDescent="0.25">
      <c r="A6206" t="s">
        <v>8521</v>
      </c>
      <c r="B6206" s="1" t="str">
        <f>HYPERLINK("https://asmlis.vasa.lt/Dashboard/Served?ServiceDateFrom=2025-11-24&amp;ServiceDateTo=2025-11-24&amp;DumpsterInvNr=13-L-415124", "13-L-415124")</f>
        <v>13-L-415124</v>
      </c>
      <c r="C6206">
        <v>5</v>
      </c>
      <c r="D6206" t="s">
        <v>1786</v>
      </c>
      <c r="E6206" t="s">
        <v>11</v>
      </c>
      <c r="G6206" t="s">
        <v>74</v>
      </c>
      <c r="H6206" t="s">
        <v>14</v>
      </c>
    </row>
    <row r="6207" spans="1:8" hidden="1" x14ac:dyDescent="0.25">
      <c r="A6207" t="s">
        <v>8522</v>
      </c>
      <c r="B6207" s="1" t="str">
        <f>HYPERLINK("https://asmlis.vasa.lt/Dashboard/Served?ServiceDateFrom=2025-11-24&amp;ServiceDateTo=2025-11-24&amp;DumpsterInvNr=13-P-205298", "13-P-205298")</f>
        <v>13-P-205298</v>
      </c>
      <c r="C6207">
        <v>0.24</v>
      </c>
      <c r="D6207" t="s">
        <v>8523</v>
      </c>
      <c r="E6207" t="s">
        <v>11</v>
      </c>
      <c r="G6207" t="s">
        <v>234</v>
      </c>
      <c r="H6207" t="s">
        <v>14</v>
      </c>
    </row>
    <row r="6208" spans="1:8" hidden="1" x14ac:dyDescent="0.25">
      <c r="A6208" t="s">
        <v>8524</v>
      </c>
      <c r="B6208" s="1" t="str">
        <f>HYPERLINK("https://asmlis.vasa.lt/Dashboard/Served?ServiceDateFrom=2025-11-24&amp;ServiceDateTo=2025-11-24&amp;DumpsterInvNr=13-L-211308", "13-L-211308")</f>
        <v>13-L-211308</v>
      </c>
      <c r="C6208">
        <v>0.24</v>
      </c>
      <c r="D6208" t="s">
        <v>8517</v>
      </c>
      <c r="E6208" t="s">
        <v>11</v>
      </c>
      <c r="F6208" t="s">
        <v>13</v>
      </c>
      <c r="G6208" t="s">
        <v>936</v>
      </c>
      <c r="H6208" t="s">
        <v>938</v>
      </c>
    </row>
    <row r="6209" spans="1:10" hidden="1" x14ac:dyDescent="0.25">
      <c r="A6209" t="s">
        <v>8525</v>
      </c>
      <c r="B6209" s="1" t="str">
        <f>HYPERLINK("https://asmlis.vasa.lt/Dashboard/Served?ServiceDateFrom=2025-11-24&amp;ServiceDateTo=2025-11-24&amp;DumpsterInvNr=13-M-206039", "13-M-206039")</f>
        <v>13-M-206039</v>
      </c>
      <c r="C6209">
        <v>0.12</v>
      </c>
      <c r="D6209" t="s">
        <v>8526</v>
      </c>
      <c r="E6209" t="s">
        <v>11</v>
      </c>
      <c r="G6209" t="s">
        <v>4876</v>
      </c>
      <c r="H6209" t="s">
        <v>938</v>
      </c>
    </row>
    <row r="6210" spans="1:10" hidden="1" x14ac:dyDescent="0.25">
      <c r="A6210" t="s">
        <v>8239</v>
      </c>
      <c r="B6210" s="1" t="str">
        <f>HYPERLINK("https://asmlis.vasa.lt/Dashboard/Served?ServiceDateFrom=2025-11-24&amp;ServiceDateTo=2025-11-24&amp;DumpsterInvNr=13-L-425217", "13-L-425217")</f>
        <v>13-L-425217</v>
      </c>
      <c r="C6210">
        <v>1.1000000000000001</v>
      </c>
      <c r="D6210" t="s">
        <v>873</v>
      </c>
      <c r="E6210" t="s">
        <v>11</v>
      </c>
      <c r="F6210" t="s">
        <v>13</v>
      </c>
      <c r="G6210" t="s">
        <v>74</v>
      </c>
      <c r="H6210" t="s">
        <v>14</v>
      </c>
    </row>
    <row r="6211" spans="1:10" hidden="1" x14ac:dyDescent="0.25">
      <c r="A6211" t="s">
        <v>8265</v>
      </c>
      <c r="B6211" s="1" t="str">
        <f>HYPERLINK("https://asmlis.vasa.lt/Dashboard/Served?ServiceDateFrom=2025-11-24&amp;ServiceDateTo=2025-11-24&amp;DumpsterInvNr=13-P-302235", "13-P-302235")</f>
        <v>13-P-302235</v>
      </c>
      <c r="C6211">
        <v>1.1000000000000001</v>
      </c>
      <c r="D6211" t="s">
        <v>3182</v>
      </c>
      <c r="E6211" t="s">
        <v>11</v>
      </c>
      <c r="G6211" t="s">
        <v>412</v>
      </c>
      <c r="H6211" t="s">
        <v>14</v>
      </c>
    </row>
    <row r="6212" spans="1:10" hidden="1" x14ac:dyDescent="0.25">
      <c r="A6212" t="s">
        <v>8527</v>
      </c>
      <c r="B6212" s="1" t="str">
        <f>HYPERLINK("https://asmlis.vasa.lt/Dashboard/Served?ServiceDateFrom=2025-11-24&amp;ServiceDateTo=2025-11-24&amp;DumpsterInvNr=13-P-416344", "13-P-416344")</f>
        <v>13-P-416344</v>
      </c>
      <c r="C6212">
        <v>0.12</v>
      </c>
      <c r="D6212" t="s">
        <v>8528</v>
      </c>
      <c r="E6212" t="s">
        <v>11</v>
      </c>
      <c r="F6212" t="s">
        <v>1209</v>
      </c>
      <c r="G6212" t="s">
        <v>264</v>
      </c>
      <c r="H6212" t="s">
        <v>14</v>
      </c>
    </row>
    <row r="6213" spans="1:10" hidden="1" x14ac:dyDescent="0.25">
      <c r="A6213" t="s">
        <v>8529</v>
      </c>
      <c r="B6213" s="1" t="str">
        <f>HYPERLINK("https://asmlis.vasa.lt/Dashboard/Served?ServiceDateFrom=2025-11-24&amp;ServiceDateTo=2025-11-24&amp;DumpsterInvNr=13-L-426885", "13-L-426885")</f>
        <v>13-L-426885</v>
      </c>
      <c r="C6213">
        <v>0.12</v>
      </c>
      <c r="D6213" t="s">
        <v>8530</v>
      </c>
      <c r="E6213" t="s">
        <v>11</v>
      </c>
      <c r="G6213" t="s">
        <v>74</v>
      </c>
      <c r="H6213" t="s">
        <v>14</v>
      </c>
    </row>
    <row r="6214" spans="1:10" x14ac:dyDescent="0.25">
      <c r="A6214" t="s">
        <v>8531</v>
      </c>
      <c r="B6214" s="1" t="str">
        <f>HYPERLINK("https://asmlis.vasa.lt/Dashboard/Served?ServiceDateFrom=2025-11-24&amp;ServiceDateTo=2025-11-24&amp;DumpsterInvNr=13-P-212461", "13-P-212461")</f>
        <v>13-P-212461</v>
      </c>
      <c r="C6214">
        <v>0.24</v>
      </c>
      <c r="D6214" t="s">
        <v>8532</v>
      </c>
      <c r="E6214" t="s">
        <v>11</v>
      </c>
      <c r="F6214" t="s">
        <v>1215</v>
      </c>
      <c r="G6214" t="s">
        <v>234</v>
      </c>
      <c r="H6214" t="s">
        <v>14</v>
      </c>
      <c r="J6214" t="s">
        <v>17511</v>
      </c>
    </row>
    <row r="6215" spans="1:10" hidden="1" x14ac:dyDescent="0.25">
      <c r="A6215" t="s">
        <v>8533</v>
      </c>
      <c r="B6215" s="1" t="str">
        <f>HYPERLINK("https://asmlis.vasa.lt/Dashboard/Served?ServiceDateFrom=2025-11-24&amp;ServiceDateTo=2025-11-24&amp;DumpsterInvNr=13-P-411762", "13-P-411762")</f>
        <v>13-P-411762</v>
      </c>
      <c r="C6215">
        <v>0.24</v>
      </c>
      <c r="D6215" t="s">
        <v>8534</v>
      </c>
      <c r="E6215" t="s">
        <v>11</v>
      </c>
      <c r="G6215" t="s">
        <v>264</v>
      </c>
      <c r="H6215" t="s">
        <v>14</v>
      </c>
    </row>
    <row r="6216" spans="1:10" hidden="1" x14ac:dyDescent="0.25">
      <c r="A6216" t="s">
        <v>8533</v>
      </c>
      <c r="B6216" s="1" t="str">
        <f>HYPERLINK("https://asmlis.vasa.lt/Dashboard/Served?ServiceDateFrom=2025-11-24&amp;ServiceDateTo=2025-11-24&amp;DumpsterInvNr=13-P-302173", "13-P-302173")</f>
        <v>13-P-302173</v>
      </c>
      <c r="C6216">
        <v>1.1000000000000001</v>
      </c>
      <c r="D6216" t="s">
        <v>3182</v>
      </c>
      <c r="E6216" t="s">
        <v>11</v>
      </c>
      <c r="G6216" t="s">
        <v>412</v>
      </c>
      <c r="H6216" t="s">
        <v>14</v>
      </c>
    </row>
    <row r="6217" spans="1:10" hidden="1" x14ac:dyDescent="0.25">
      <c r="A6217" t="s">
        <v>8535</v>
      </c>
      <c r="B6217" s="1" t="str">
        <f>HYPERLINK("https://asmlis.vasa.lt/Dashboard/Served?ServiceDateFrom=2025-11-24&amp;ServiceDateTo=2025-11-24&amp;DumpsterInvNr=13-L-128129", "13-L-128129")</f>
        <v>13-L-128129</v>
      </c>
      <c r="C6217">
        <v>0.24</v>
      </c>
      <c r="D6217" t="s">
        <v>8536</v>
      </c>
      <c r="E6217" t="s">
        <v>11</v>
      </c>
      <c r="G6217" t="s">
        <v>1912</v>
      </c>
      <c r="H6217" t="s">
        <v>432</v>
      </c>
    </row>
    <row r="6218" spans="1:10" hidden="1" x14ac:dyDescent="0.25">
      <c r="A6218" t="s">
        <v>8537</v>
      </c>
      <c r="B6218" s="1" t="str">
        <f>HYPERLINK("https://asmlis.vasa.lt/Dashboard/Served?ServiceDateFrom=2025-11-24&amp;ServiceDateTo=2025-11-24&amp;DumpsterInvNr=13-L-216786", "13-L-216786")</f>
        <v>13-L-216786</v>
      </c>
      <c r="C6218">
        <v>1.1000000000000001</v>
      </c>
      <c r="D6218" t="s">
        <v>1525</v>
      </c>
      <c r="E6218" t="s">
        <v>11</v>
      </c>
      <c r="G6218" t="s">
        <v>936</v>
      </c>
      <c r="H6218" t="s">
        <v>938</v>
      </c>
    </row>
    <row r="6219" spans="1:10" hidden="1" x14ac:dyDescent="0.25">
      <c r="A6219" t="s">
        <v>8538</v>
      </c>
      <c r="B6219" s="1" t="str">
        <f>HYPERLINK("https://asmlis.vasa.lt/Dashboard/Served?ServiceDateFrom=2025-11-24&amp;ServiceDateTo=2025-11-24&amp;DumpsterInvNr=13-L-144430", "13-L-144430")</f>
        <v>13-L-144430</v>
      </c>
      <c r="C6219">
        <v>5</v>
      </c>
      <c r="D6219" t="s">
        <v>8539</v>
      </c>
      <c r="E6219" t="s">
        <v>11</v>
      </c>
      <c r="F6219" t="s">
        <v>13</v>
      </c>
      <c r="G6219" t="s">
        <v>430</v>
      </c>
      <c r="H6219" t="s">
        <v>432</v>
      </c>
    </row>
    <row r="6220" spans="1:10" hidden="1" x14ac:dyDescent="0.25">
      <c r="A6220" t="s">
        <v>8541</v>
      </c>
      <c r="B6220" s="1" t="str">
        <f>HYPERLINK("https://asmlis.vasa.lt/Dashboard/Served?ServiceDateFrom=2025-11-24&amp;ServiceDateTo=2025-11-24&amp;DumpsterInvNr=13-P-103652", "13-P-103652")</f>
        <v>13-P-103652</v>
      </c>
      <c r="C6220">
        <v>0.24</v>
      </c>
      <c r="D6220" t="s">
        <v>8536</v>
      </c>
      <c r="E6220" t="s">
        <v>11</v>
      </c>
      <c r="G6220" t="s">
        <v>1917</v>
      </c>
      <c r="H6220" t="s">
        <v>432</v>
      </c>
    </row>
    <row r="6221" spans="1:10" hidden="1" x14ac:dyDescent="0.25">
      <c r="A6221" t="s">
        <v>8543</v>
      </c>
      <c r="B6221" s="1" t="str">
        <f>HYPERLINK("https://asmlis.vasa.lt/Dashboard/Served?ServiceDateFrom=2025-11-24&amp;ServiceDateTo=2025-11-24&amp;DumpsterInvNr=13-P-415531", "13-P-415531")</f>
        <v>13-P-415531</v>
      </c>
      <c r="C6221">
        <v>0.66</v>
      </c>
      <c r="D6221" t="s">
        <v>8544</v>
      </c>
      <c r="E6221" t="s">
        <v>11</v>
      </c>
      <c r="F6221" t="s">
        <v>13</v>
      </c>
      <c r="G6221" t="s">
        <v>264</v>
      </c>
      <c r="H6221" t="s">
        <v>14</v>
      </c>
    </row>
    <row r="6222" spans="1:10" x14ac:dyDescent="0.25">
      <c r="A6222" t="s">
        <v>8545</v>
      </c>
      <c r="B6222" s="1" t="str">
        <f>HYPERLINK("https://asmlis.vasa.lt/Dashboard/Served?ServiceDateFrom=2025-11-24&amp;ServiceDateTo=2025-11-24&amp;DumpsterInvNr=13-P-208665", "13-P-208665")</f>
        <v>13-P-208665</v>
      </c>
      <c r="C6222">
        <v>0.24</v>
      </c>
      <c r="D6222" t="s">
        <v>8546</v>
      </c>
      <c r="E6222" t="s">
        <v>11</v>
      </c>
      <c r="F6222" t="s">
        <v>1215</v>
      </c>
      <c r="G6222" t="s">
        <v>234</v>
      </c>
      <c r="H6222" t="s">
        <v>14</v>
      </c>
      <c r="J6222" t="s">
        <v>17511</v>
      </c>
    </row>
    <row r="6223" spans="1:10" hidden="1" x14ac:dyDescent="0.25">
      <c r="A6223" t="s">
        <v>8547</v>
      </c>
      <c r="B6223" s="1" t="str">
        <f>HYPERLINK("https://asmlis.vasa.lt/Dashboard/Served?ServiceDateFrom=2025-11-24&amp;ServiceDateTo=2025-11-24&amp;DumpsterInvNr=13-P-412082", "13-P-412082")</f>
        <v>13-P-412082</v>
      </c>
      <c r="C6223">
        <v>0.24</v>
      </c>
      <c r="D6223" t="s">
        <v>8548</v>
      </c>
      <c r="E6223" t="s">
        <v>11</v>
      </c>
      <c r="G6223" t="s">
        <v>264</v>
      </c>
      <c r="H6223" t="s">
        <v>14</v>
      </c>
    </row>
    <row r="6224" spans="1:10" hidden="1" x14ac:dyDescent="0.25">
      <c r="A6224" t="s">
        <v>8549</v>
      </c>
      <c r="B6224" s="1" t="str">
        <f>HYPERLINK("https://asmlis.vasa.lt/Dashboard/Served?ServiceDateFrom=2025-11-24&amp;ServiceDateTo=2025-11-24&amp;DumpsterInvNr=13-L-404660", "13-L-404660")</f>
        <v>13-L-404660</v>
      </c>
      <c r="C6224">
        <v>0.12</v>
      </c>
      <c r="D6224" t="s">
        <v>8550</v>
      </c>
      <c r="E6224" t="s">
        <v>11</v>
      </c>
      <c r="G6224" t="s">
        <v>74</v>
      </c>
      <c r="H6224" t="s">
        <v>14</v>
      </c>
    </row>
    <row r="6225" spans="1:10" hidden="1" x14ac:dyDescent="0.25">
      <c r="A6225" t="s">
        <v>8549</v>
      </c>
      <c r="B6225" s="1" t="str">
        <f>HYPERLINK("https://asmlis.vasa.lt/Dashboard/Served?ServiceDateFrom=2025-11-24&amp;ServiceDateTo=2025-11-24&amp;DumpsterInvNr=13-P-500543", "13-P-500543")</f>
        <v>13-P-500543</v>
      </c>
      <c r="C6225">
        <v>5</v>
      </c>
      <c r="D6225" t="s">
        <v>8551</v>
      </c>
      <c r="E6225" t="s">
        <v>11</v>
      </c>
      <c r="F6225" t="s">
        <v>13</v>
      </c>
      <c r="G6225" t="s">
        <v>2178</v>
      </c>
      <c r="H6225" t="s">
        <v>432</v>
      </c>
    </row>
    <row r="6226" spans="1:10" hidden="1" x14ac:dyDescent="0.25">
      <c r="A6226" t="s">
        <v>8552</v>
      </c>
      <c r="B6226" s="1" t="str">
        <f>HYPERLINK("https://asmlis.vasa.lt/Dashboard/Served?ServiceDateFrom=2025-11-24&amp;ServiceDateTo=2025-11-24&amp;DumpsterInvNr=13-L-107008", "13-L-107008")</f>
        <v>13-L-107008</v>
      </c>
      <c r="C6226">
        <v>0.77</v>
      </c>
      <c r="D6226" t="s">
        <v>8553</v>
      </c>
      <c r="E6226" t="s">
        <v>11</v>
      </c>
      <c r="G6226" t="s">
        <v>1912</v>
      </c>
      <c r="H6226" t="s">
        <v>432</v>
      </c>
    </row>
    <row r="6227" spans="1:10" hidden="1" x14ac:dyDescent="0.25">
      <c r="A6227" t="s">
        <v>8552</v>
      </c>
      <c r="B6227" s="1" t="str">
        <f>HYPERLINK("https://asmlis.vasa.lt/Dashboard/Served?ServiceDateFrom=2025-11-24&amp;ServiceDateTo=2025-11-24&amp;DumpsterInvNr=13-P-302607", "13-P-302607")</f>
        <v>13-P-302607</v>
      </c>
      <c r="C6227">
        <v>5</v>
      </c>
      <c r="D6227" t="s">
        <v>3460</v>
      </c>
      <c r="E6227" t="s">
        <v>11</v>
      </c>
      <c r="G6227" t="s">
        <v>412</v>
      </c>
      <c r="H6227" t="s">
        <v>14</v>
      </c>
    </row>
    <row r="6228" spans="1:10" hidden="1" x14ac:dyDescent="0.25">
      <c r="A6228" t="s">
        <v>8554</v>
      </c>
      <c r="B6228" s="1" t="str">
        <f>HYPERLINK("https://asmlis.vasa.lt/Dashboard/Served?ServiceDateFrom=2025-11-24&amp;ServiceDateTo=2025-11-24&amp;DumpsterInvNr=13-M-204337", "13-M-204337")</f>
        <v>13-M-204337</v>
      </c>
      <c r="C6228">
        <v>0.12</v>
      </c>
      <c r="D6228" t="s">
        <v>8555</v>
      </c>
      <c r="E6228" t="s">
        <v>11</v>
      </c>
      <c r="G6228" t="s">
        <v>4876</v>
      </c>
      <c r="H6228" t="s">
        <v>938</v>
      </c>
    </row>
    <row r="6229" spans="1:10" x14ac:dyDescent="0.25">
      <c r="A6229" t="s">
        <v>8556</v>
      </c>
      <c r="B6229" s="1" t="str">
        <f>HYPERLINK("https://asmlis.vasa.lt/Dashboard/Served?ServiceDateFrom=2025-11-24&amp;ServiceDateTo=2025-11-24&amp;DumpsterInvNr=13-P-209787", "13-P-209787")</f>
        <v>13-P-209787</v>
      </c>
      <c r="C6229">
        <v>0.24</v>
      </c>
      <c r="D6229" t="s">
        <v>8557</v>
      </c>
      <c r="E6229" t="s">
        <v>11</v>
      </c>
      <c r="F6229" t="s">
        <v>1215</v>
      </c>
      <c r="G6229" t="s">
        <v>234</v>
      </c>
      <c r="H6229" t="s">
        <v>14</v>
      </c>
      <c r="J6229" t="s">
        <v>17511</v>
      </c>
    </row>
    <row r="6230" spans="1:10" hidden="1" x14ac:dyDescent="0.25">
      <c r="A6230" t="s">
        <v>8558</v>
      </c>
      <c r="B6230" s="1" t="str">
        <f>HYPERLINK("https://asmlis.vasa.lt/Dashboard/Served?ServiceDateFrom=2025-11-24&amp;ServiceDateTo=2025-11-24&amp;DumpsterInvNr=13-L-425669", "13-L-425669")</f>
        <v>13-L-425669</v>
      </c>
      <c r="C6230">
        <v>1.1000000000000001</v>
      </c>
      <c r="D6230" t="s">
        <v>8559</v>
      </c>
      <c r="E6230" t="s">
        <v>11</v>
      </c>
      <c r="G6230" t="s">
        <v>74</v>
      </c>
      <c r="H6230" t="s">
        <v>14</v>
      </c>
    </row>
    <row r="6231" spans="1:10" hidden="1" x14ac:dyDescent="0.25">
      <c r="A6231" t="s">
        <v>8558</v>
      </c>
      <c r="B6231" s="1" t="str">
        <f>HYPERLINK("https://asmlis.vasa.lt/Dashboard/Served?ServiceDateFrom=2025-11-24&amp;ServiceDateTo=2025-11-24&amp;DumpsterInvNr=13-L-222586", "13-L-222586")</f>
        <v>13-L-222586</v>
      </c>
      <c r="C6231">
        <v>0.24</v>
      </c>
      <c r="D6231" t="s">
        <v>4107</v>
      </c>
      <c r="E6231" t="s">
        <v>11</v>
      </c>
      <c r="G6231" t="s">
        <v>936</v>
      </c>
      <c r="H6231" t="s">
        <v>938</v>
      </c>
    </row>
    <row r="6232" spans="1:10" hidden="1" x14ac:dyDescent="0.25">
      <c r="A6232" t="s">
        <v>8558</v>
      </c>
      <c r="B6232" s="1" t="str">
        <f>HYPERLINK("https://asmlis.vasa.lt/Dashboard/Served?ServiceDateFrom=2025-11-24&amp;ServiceDateTo=2025-11-24&amp;DumpsterInvNr=13-M-202296", "13-M-202296")</f>
        <v>13-M-202296</v>
      </c>
      <c r="C6232">
        <v>0.12</v>
      </c>
      <c r="D6232" t="s">
        <v>8560</v>
      </c>
      <c r="E6232" t="s">
        <v>11</v>
      </c>
      <c r="F6232" t="s">
        <v>1209</v>
      </c>
      <c r="G6232" t="s">
        <v>4876</v>
      </c>
      <c r="H6232" t="s">
        <v>938</v>
      </c>
    </row>
    <row r="6233" spans="1:10" hidden="1" x14ac:dyDescent="0.25">
      <c r="A6233" t="s">
        <v>8561</v>
      </c>
      <c r="B6233" s="1" t="str">
        <f>HYPERLINK("https://asmlis.vasa.lt/Dashboard/Served?ServiceDateFrom=2025-11-24&amp;ServiceDateTo=2025-11-24&amp;DumpsterInvNr=13-L-411831", "13-L-411831")</f>
        <v>13-L-411831</v>
      </c>
      <c r="C6233">
        <v>0.24</v>
      </c>
      <c r="D6233" t="s">
        <v>8562</v>
      </c>
      <c r="E6233" t="s">
        <v>11</v>
      </c>
      <c r="G6233" t="s">
        <v>74</v>
      </c>
      <c r="H6233" t="s">
        <v>14</v>
      </c>
    </row>
    <row r="6234" spans="1:10" hidden="1" x14ac:dyDescent="0.25">
      <c r="A6234" t="s">
        <v>7136</v>
      </c>
      <c r="B6234" s="1" t="str">
        <f>HYPERLINK("https://asmlis.vasa.lt/Dashboard/Served?ServiceDateFrom=2025-11-24&amp;ServiceDateTo=2025-11-24&amp;DumpsterInvNr=13-P-211286", "13-P-211286")</f>
        <v>13-P-211286</v>
      </c>
      <c r="C6234">
        <v>0.24</v>
      </c>
      <c r="D6234" t="s">
        <v>8563</v>
      </c>
      <c r="E6234" t="s">
        <v>11</v>
      </c>
      <c r="G6234" t="s">
        <v>234</v>
      </c>
      <c r="H6234" t="s">
        <v>14</v>
      </c>
    </row>
    <row r="6235" spans="1:10" hidden="1" x14ac:dyDescent="0.25">
      <c r="A6235" t="s">
        <v>8564</v>
      </c>
      <c r="B6235" s="1" t="str">
        <f>HYPERLINK("https://asmlis.vasa.lt/Dashboard/Served?ServiceDateFrom=2025-11-24&amp;ServiceDateTo=2025-11-24&amp;DumpsterInvNr=13-P-411686", "13-P-411686")</f>
        <v>13-P-411686</v>
      </c>
      <c r="C6235">
        <v>0.24</v>
      </c>
      <c r="D6235" t="s">
        <v>8565</v>
      </c>
      <c r="E6235" t="s">
        <v>11</v>
      </c>
      <c r="G6235" t="s">
        <v>264</v>
      </c>
      <c r="H6235" t="s">
        <v>14</v>
      </c>
    </row>
    <row r="6236" spans="1:10" hidden="1" x14ac:dyDescent="0.25">
      <c r="A6236" t="s">
        <v>8564</v>
      </c>
      <c r="B6236" s="1" t="str">
        <f>HYPERLINK("https://asmlis.vasa.lt/Dashboard/Served?ServiceDateFrom=2025-11-24&amp;ServiceDateTo=2025-11-24&amp;DumpsterInvNr=13-P-401444", "13-P-401444")</f>
        <v>13-P-401444</v>
      </c>
      <c r="C6236">
        <v>0.24</v>
      </c>
      <c r="D6236" t="s">
        <v>8566</v>
      </c>
      <c r="E6236" t="s">
        <v>11</v>
      </c>
      <c r="G6236" t="s">
        <v>264</v>
      </c>
      <c r="H6236" t="s">
        <v>14</v>
      </c>
    </row>
    <row r="6237" spans="1:10" hidden="1" x14ac:dyDescent="0.25">
      <c r="A6237" t="s">
        <v>8567</v>
      </c>
      <c r="B6237" s="1" t="str">
        <f>HYPERLINK("https://asmlis.vasa.lt/Dashboard/Served?ServiceDateFrom=2025-11-24&amp;ServiceDateTo=2025-11-24&amp;DumpsterInvNr=13-M-202165", "13-M-202165")</f>
        <v>13-M-202165</v>
      </c>
      <c r="C6237">
        <v>0.12</v>
      </c>
      <c r="D6237" t="s">
        <v>8568</v>
      </c>
      <c r="E6237" t="s">
        <v>11</v>
      </c>
      <c r="F6237" t="s">
        <v>1209</v>
      </c>
      <c r="G6237" t="s">
        <v>4876</v>
      </c>
      <c r="H6237" t="s">
        <v>938</v>
      </c>
    </row>
    <row r="6238" spans="1:10" hidden="1" x14ac:dyDescent="0.25">
      <c r="A6238" t="s">
        <v>8569</v>
      </c>
      <c r="B6238" s="1" t="str">
        <f>HYPERLINK("https://asmlis.vasa.lt/Dashboard/Served?ServiceDateFrom=2025-11-24&amp;ServiceDateTo=2025-11-24&amp;DumpsterInvNr=13-M-204703", "13-M-204703")</f>
        <v>13-M-204703</v>
      </c>
      <c r="C6238">
        <v>0.12</v>
      </c>
      <c r="D6238" t="s">
        <v>8570</v>
      </c>
      <c r="E6238" t="s">
        <v>11</v>
      </c>
      <c r="F6238" t="s">
        <v>1209</v>
      </c>
      <c r="G6238" t="s">
        <v>4876</v>
      </c>
      <c r="H6238" t="s">
        <v>938</v>
      </c>
    </row>
    <row r="6239" spans="1:10" hidden="1" x14ac:dyDescent="0.25">
      <c r="A6239" t="s">
        <v>8572</v>
      </c>
      <c r="B6239" s="1" t="str">
        <f>HYPERLINK("https://asmlis.vasa.lt/Dashboard/Served?ServiceDateFrom=2025-11-24&amp;ServiceDateTo=2025-11-24&amp;DumpsterInvNr=13-L-424026", "13-L-424026")</f>
        <v>13-L-424026</v>
      </c>
      <c r="C6239">
        <v>1.1000000000000001</v>
      </c>
      <c r="D6239" t="s">
        <v>8559</v>
      </c>
      <c r="E6239" t="s">
        <v>11</v>
      </c>
      <c r="G6239" t="s">
        <v>74</v>
      </c>
      <c r="H6239" t="s">
        <v>14</v>
      </c>
    </row>
    <row r="6240" spans="1:10" hidden="1" x14ac:dyDescent="0.25">
      <c r="A6240" t="s">
        <v>8573</v>
      </c>
      <c r="B6240" s="1" t="str">
        <f>HYPERLINK("https://asmlis.vasa.lt/Dashboard/Served?ServiceDateFrom=2025-11-24&amp;ServiceDateTo=2025-11-24&amp;DumpsterInvNr=13-L-214258", "13-L-214258")</f>
        <v>13-L-214258</v>
      </c>
      <c r="C6240">
        <v>0.77</v>
      </c>
      <c r="D6240" t="s">
        <v>1525</v>
      </c>
      <c r="E6240" t="s">
        <v>11</v>
      </c>
      <c r="G6240" t="s">
        <v>936</v>
      </c>
      <c r="H6240" t="s">
        <v>938</v>
      </c>
    </row>
    <row r="6241" spans="1:10" hidden="1" x14ac:dyDescent="0.25">
      <c r="A6241" t="s">
        <v>8575</v>
      </c>
      <c r="B6241" s="1" t="str">
        <f>HYPERLINK("https://asmlis.vasa.lt/Dashboard/Served?ServiceDateFrom=2025-11-24&amp;ServiceDateTo=2025-11-24&amp;DumpsterInvNr=13-M-202378", "13-M-202378")</f>
        <v>13-M-202378</v>
      </c>
      <c r="C6241">
        <v>0.12</v>
      </c>
      <c r="D6241" t="s">
        <v>8576</v>
      </c>
      <c r="E6241" t="s">
        <v>11</v>
      </c>
      <c r="F6241" t="s">
        <v>1209</v>
      </c>
      <c r="G6241" t="s">
        <v>4876</v>
      </c>
      <c r="H6241" t="s">
        <v>938</v>
      </c>
    </row>
    <row r="6242" spans="1:10" hidden="1" x14ac:dyDescent="0.25">
      <c r="A6242" t="s">
        <v>8577</v>
      </c>
      <c r="B6242" s="1" t="str">
        <f>HYPERLINK("https://asmlis.vasa.lt/Dashboard/Served?ServiceDateFrom=2025-11-24&amp;ServiceDateTo=2025-11-24&amp;DumpsterInvNr=13-L-223224", "13-L-223224")</f>
        <v>13-L-223224</v>
      </c>
      <c r="C6242">
        <v>1.1000000000000001</v>
      </c>
      <c r="D6242" t="s">
        <v>8578</v>
      </c>
      <c r="E6242" t="s">
        <v>11</v>
      </c>
      <c r="G6242" t="s">
        <v>936</v>
      </c>
      <c r="H6242" t="s">
        <v>938</v>
      </c>
    </row>
    <row r="6243" spans="1:10" hidden="1" x14ac:dyDescent="0.25">
      <c r="A6243" t="s">
        <v>8579</v>
      </c>
      <c r="B6243" s="1" t="str">
        <f>HYPERLINK("https://asmlis.vasa.lt/Dashboard/Served?ServiceDateFrom=2025-11-24&amp;ServiceDateTo=2025-11-24&amp;DumpsterInvNr=13-M-204050", "13-M-204050")</f>
        <v>13-M-204050</v>
      </c>
      <c r="C6243">
        <v>0.12</v>
      </c>
      <c r="D6243" t="s">
        <v>8580</v>
      </c>
      <c r="E6243" t="s">
        <v>11</v>
      </c>
      <c r="F6243" t="s">
        <v>1209</v>
      </c>
      <c r="G6243" t="s">
        <v>4876</v>
      </c>
      <c r="H6243" t="s">
        <v>938</v>
      </c>
    </row>
    <row r="6244" spans="1:10" hidden="1" x14ac:dyDescent="0.25">
      <c r="A6244" t="s">
        <v>8582</v>
      </c>
      <c r="B6244" s="1" t="str">
        <f>HYPERLINK("https://asmlis.vasa.lt/Dashboard/Served?ServiceDateFrom=2025-11-24&amp;ServiceDateTo=2025-11-24&amp;DumpsterInvNr=13-P-413085", "13-P-413085")</f>
        <v>13-P-413085</v>
      </c>
      <c r="C6244">
        <v>0.24</v>
      </c>
      <c r="D6244" t="s">
        <v>8583</v>
      </c>
      <c r="E6244" t="s">
        <v>11</v>
      </c>
      <c r="F6244" t="s">
        <v>1209</v>
      </c>
      <c r="G6244" t="s">
        <v>264</v>
      </c>
      <c r="H6244" t="s">
        <v>14</v>
      </c>
    </row>
    <row r="6245" spans="1:10" hidden="1" x14ac:dyDescent="0.25">
      <c r="A6245" t="s">
        <v>8585</v>
      </c>
      <c r="B6245" s="1" t="str">
        <f>HYPERLINK("https://asmlis.vasa.lt/Dashboard/Served?ServiceDateFrom=2025-11-24&amp;ServiceDateTo=2025-11-24&amp;DumpsterInvNr=13-M-204702", "13-M-204702")</f>
        <v>13-M-204702</v>
      </c>
      <c r="C6245">
        <v>0.12</v>
      </c>
      <c r="D6245" t="s">
        <v>8587</v>
      </c>
      <c r="E6245" t="s">
        <v>11</v>
      </c>
      <c r="F6245" t="s">
        <v>1209</v>
      </c>
      <c r="G6245" t="s">
        <v>4876</v>
      </c>
      <c r="H6245" t="s">
        <v>938</v>
      </c>
    </row>
    <row r="6246" spans="1:10" x14ac:dyDescent="0.25">
      <c r="A6246" t="s">
        <v>8585</v>
      </c>
      <c r="B6246" s="1" t="str">
        <f>HYPERLINK("https://asmlis.vasa.lt/Dashboard/Served?ServiceDateFrom=2025-11-24&amp;ServiceDateTo=2025-11-24&amp;DumpsterInvNr=13-P-402425", "13-P-402425")</f>
        <v>13-P-402425</v>
      </c>
      <c r="C6246">
        <v>5</v>
      </c>
      <c r="D6246" t="s">
        <v>8588</v>
      </c>
      <c r="E6246" t="s">
        <v>11</v>
      </c>
      <c r="F6246" t="s">
        <v>1215</v>
      </c>
      <c r="G6246" t="s">
        <v>264</v>
      </c>
      <c r="H6246" t="s">
        <v>14</v>
      </c>
      <c r="J6246" t="s">
        <v>17511</v>
      </c>
    </row>
    <row r="6247" spans="1:10" hidden="1" x14ac:dyDescent="0.25">
      <c r="A6247" t="s">
        <v>8589</v>
      </c>
      <c r="B6247" s="1" t="str">
        <f>HYPERLINK("https://asmlis.vasa.lt/Dashboard/Served?ServiceDateFrom=2025-11-24&amp;ServiceDateTo=2025-11-24&amp;DumpsterInvNr=13-L-202351", "13-L-202351")</f>
        <v>13-L-202351</v>
      </c>
      <c r="C6247">
        <v>0.24</v>
      </c>
      <c r="D6247" t="s">
        <v>8590</v>
      </c>
      <c r="E6247" t="s">
        <v>11</v>
      </c>
      <c r="G6247" t="s">
        <v>936</v>
      </c>
      <c r="H6247" t="s">
        <v>938</v>
      </c>
    </row>
    <row r="6248" spans="1:10" hidden="1" x14ac:dyDescent="0.25">
      <c r="A6248" t="s">
        <v>8591</v>
      </c>
      <c r="B6248" s="1" t="str">
        <f>HYPERLINK("https://asmlis.vasa.lt/Dashboard/Served?ServiceDateFrom=2025-11-24&amp;ServiceDateTo=2025-11-24&amp;DumpsterInvNr=13-P-302238", "13-P-302238")</f>
        <v>13-P-302238</v>
      </c>
      <c r="C6248">
        <v>1.1000000000000001</v>
      </c>
      <c r="D6248" t="s">
        <v>3182</v>
      </c>
      <c r="E6248" t="s">
        <v>11</v>
      </c>
      <c r="F6248" t="s">
        <v>13</v>
      </c>
      <c r="G6248" t="s">
        <v>412</v>
      </c>
      <c r="H6248" t="s">
        <v>14</v>
      </c>
    </row>
    <row r="6249" spans="1:10" hidden="1" x14ac:dyDescent="0.25">
      <c r="A6249" t="s">
        <v>8592</v>
      </c>
      <c r="B6249" s="1" t="str">
        <f>HYPERLINK("https://asmlis.vasa.lt/Dashboard/Served?ServiceDateFrom=2025-11-24&amp;ServiceDateTo=2025-11-24&amp;DumpsterInvNr=13-M-202180", "13-M-202180")</f>
        <v>13-M-202180</v>
      </c>
      <c r="C6249">
        <v>0.12</v>
      </c>
      <c r="D6249" t="s">
        <v>8576</v>
      </c>
      <c r="E6249" t="s">
        <v>11</v>
      </c>
      <c r="F6249" t="s">
        <v>1209</v>
      </c>
      <c r="G6249" t="s">
        <v>4876</v>
      </c>
      <c r="H6249" t="s">
        <v>938</v>
      </c>
    </row>
    <row r="6250" spans="1:10" hidden="1" x14ac:dyDescent="0.25">
      <c r="A6250" t="s">
        <v>8594</v>
      </c>
      <c r="B6250" s="1" t="str">
        <f>HYPERLINK("https://asmlis.vasa.lt/Dashboard/Served?ServiceDateFrom=2025-11-24&amp;ServiceDateTo=2025-11-24&amp;DumpsterInvNr=13-L-206188", "13-L-206188")</f>
        <v>13-L-206188</v>
      </c>
      <c r="C6250">
        <v>0.12</v>
      </c>
      <c r="D6250" t="s">
        <v>5318</v>
      </c>
      <c r="E6250" t="s">
        <v>11</v>
      </c>
      <c r="G6250" t="s">
        <v>936</v>
      </c>
      <c r="H6250" t="s">
        <v>938</v>
      </c>
    </row>
    <row r="6251" spans="1:10" hidden="1" x14ac:dyDescent="0.25">
      <c r="A6251" t="s">
        <v>8595</v>
      </c>
      <c r="B6251" s="1" t="str">
        <f>HYPERLINK("https://asmlis.vasa.lt/Dashboard/Served?ServiceDateFrom=2025-11-24&amp;ServiceDateTo=2025-11-24&amp;DumpsterInvNr=13-P-209779", "13-P-209779")</f>
        <v>13-P-209779</v>
      </c>
      <c r="C6251">
        <v>0.24</v>
      </c>
      <c r="D6251" t="s">
        <v>8596</v>
      </c>
      <c r="E6251" t="s">
        <v>11</v>
      </c>
      <c r="G6251" t="s">
        <v>234</v>
      </c>
      <c r="H6251" t="s">
        <v>14</v>
      </c>
    </row>
    <row r="6252" spans="1:10" hidden="1" x14ac:dyDescent="0.25">
      <c r="A6252" t="s">
        <v>8595</v>
      </c>
      <c r="B6252" s="1" t="str">
        <f>HYPERLINK("https://asmlis.vasa.lt/Dashboard/Served?ServiceDateFrom=2025-11-24&amp;ServiceDateTo=2025-11-24&amp;DumpsterInvNr=13-P-302233", "13-P-302233")</f>
        <v>13-P-302233</v>
      </c>
      <c r="C6252">
        <v>1.1000000000000001</v>
      </c>
      <c r="D6252" t="s">
        <v>3182</v>
      </c>
      <c r="E6252" t="s">
        <v>11</v>
      </c>
      <c r="F6252" t="s">
        <v>13</v>
      </c>
      <c r="G6252" t="s">
        <v>412</v>
      </c>
      <c r="H6252" t="s">
        <v>14</v>
      </c>
    </row>
    <row r="6253" spans="1:10" hidden="1" x14ac:dyDescent="0.25">
      <c r="A6253" t="s">
        <v>8350</v>
      </c>
      <c r="B6253" s="1" t="str">
        <f>HYPERLINK("https://asmlis.vasa.lt/Dashboard/Served?ServiceDateFrom=2025-11-24&amp;ServiceDateTo=2025-11-24&amp;DumpsterInvNr=13-P-212610", "13-P-212610")</f>
        <v>13-P-212610</v>
      </c>
      <c r="C6253">
        <v>1.1000000000000001</v>
      </c>
      <c r="D6253" t="s">
        <v>8597</v>
      </c>
      <c r="E6253" t="s">
        <v>11</v>
      </c>
      <c r="F6253" t="s">
        <v>13</v>
      </c>
      <c r="G6253" t="s">
        <v>234</v>
      </c>
      <c r="H6253" t="s">
        <v>14</v>
      </c>
    </row>
    <row r="6254" spans="1:10" hidden="1" x14ac:dyDescent="0.25">
      <c r="A6254" t="s">
        <v>8352</v>
      </c>
      <c r="B6254" s="1" t="str">
        <f>HYPERLINK("https://asmlis.vasa.lt/Dashboard/Served?ServiceDateFrom=2025-11-24&amp;ServiceDateTo=2025-11-24&amp;DumpsterInvNr=13-P-302172", "13-P-302172")</f>
        <v>13-P-302172</v>
      </c>
      <c r="C6254">
        <v>1.1000000000000001</v>
      </c>
      <c r="D6254" t="s">
        <v>3182</v>
      </c>
      <c r="E6254" t="s">
        <v>11</v>
      </c>
      <c r="F6254" t="s">
        <v>13</v>
      </c>
      <c r="G6254" t="s">
        <v>412</v>
      </c>
      <c r="H6254" t="s">
        <v>14</v>
      </c>
    </row>
    <row r="6255" spans="1:10" hidden="1" x14ac:dyDescent="0.25">
      <c r="A6255" t="s">
        <v>8598</v>
      </c>
      <c r="B6255" s="1" t="str">
        <f>HYPERLINK("https://asmlis.vasa.lt/Dashboard/Served?ServiceDateFrom=2025-11-24&amp;ServiceDateTo=2025-11-24&amp;DumpsterInvNr=13-L-223184", "13-L-223184")</f>
        <v>13-L-223184</v>
      </c>
      <c r="C6255">
        <v>0.77</v>
      </c>
      <c r="D6255" t="s">
        <v>8578</v>
      </c>
      <c r="E6255" t="s">
        <v>11</v>
      </c>
      <c r="G6255" t="s">
        <v>936</v>
      </c>
      <c r="H6255" t="s">
        <v>938</v>
      </c>
    </row>
    <row r="6256" spans="1:10" hidden="1" x14ac:dyDescent="0.25">
      <c r="A6256" t="s">
        <v>8599</v>
      </c>
      <c r="B6256" s="1" t="str">
        <f>HYPERLINK("https://asmlis.vasa.lt/Dashboard/Served?ServiceDateFrom=2025-11-24&amp;ServiceDateTo=2025-11-24&amp;DumpsterInvNr=13-L-314658", "13-L-314658")</f>
        <v>13-L-314658</v>
      </c>
      <c r="C6256">
        <v>1.1000000000000001</v>
      </c>
      <c r="D6256" t="s">
        <v>8514</v>
      </c>
      <c r="E6256" t="s">
        <v>11</v>
      </c>
      <c r="G6256" t="s">
        <v>9</v>
      </c>
      <c r="H6256" t="s">
        <v>14</v>
      </c>
    </row>
    <row r="6257" spans="1:8" hidden="1" x14ac:dyDescent="0.25">
      <c r="A6257" t="s">
        <v>8600</v>
      </c>
      <c r="B6257" s="1" t="str">
        <f>HYPERLINK("https://asmlis.vasa.lt/Dashboard/Served?ServiceDateFrom=2025-11-24&amp;ServiceDateTo=2025-11-24&amp;DumpsterInvNr=13-M-204322", "13-M-204322")</f>
        <v>13-M-204322</v>
      </c>
      <c r="C6257">
        <v>0.12</v>
      </c>
      <c r="D6257" t="s">
        <v>8601</v>
      </c>
      <c r="E6257" t="s">
        <v>11</v>
      </c>
      <c r="F6257" t="s">
        <v>1209</v>
      </c>
      <c r="G6257" t="s">
        <v>4876</v>
      </c>
      <c r="H6257" t="s">
        <v>938</v>
      </c>
    </row>
    <row r="6258" spans="1:8" hidden="1" x14ac:dyDescent="0.25">
      <c r="A6258" t="s">
        <v>8603</v>
      </c>
      <c r="B6258" s="1" t="str">
        <f>HYPERLINK("https://asmlis.vasa.lt/Dashboard/Served?ServiceDateFrom=2025-11-24&amp;ServiceDateTo=2025-11-24&amp;DumpsterInvNr=13-L-211004", "13-L-211004")</f>
        <v>13-L-211004</v>
      </c>
      <c r="C6258">
        <v>5</v>
      </c>
      <c r="D6258" t="s">
        <v>8604</v>
      </c>
      <c r="E6258" t="s">
        <v>11</v>
      </c>
      <c r="G6258" t="s">
        <v>936</v>
      </c>
      <c r="H6258" t="s">
        <v>938</v>
      </c>
    </row>
    <row r="6259" spans="1:8" hidden="1" x14ac:dyDescent="0.25">
      <c r="A6259" t="s">
        <v>8606</v>
      </c>
      <c r="B6259" s="1" t="str">
        <f>HYPERLINK("https://asmlis.vasa.lt/Dashboard/Served?ServiceDateFrom=2025-11-24&amp;ServiceDateTo=2025-11-24&amp;DumpsterInvNr=13-S-208651", "13-S-208651")</f>
        <v>13-S-208651</v>
      </c>
      <c r="C6259">
        <v>0.12</v>
      </c>
      <c r="D6259" t="s">
        <v>8476</v>
      </c>
      <c r="E6259" t="s">
        <v>11</v>
      </c>
      <c r="F6259" t="s">
        <v>1209</v>
      </c>
      <c r="G6259" t="s">
        <v>234</v>
      </c>
      <c r="H6259" t="s">
        <v>14</v>
      </c>
    </row>
    <row r="6260" spans="1:8" hidden="1" x14ac:dyDescent="0.25">
      <c r="A6260" t="s">
        <v>8607</v>
      </c>
      <c r="B6260" s="1" t="str">
        <f>HYPERLINK("https://asmlis.vasa.lt/Dashboard/Served?ServiceDateFrom=2025-11-24&amp;ServiceDateTo=2025-11-24&amp;DumpsterInvNr=13-L-314685", "13-L-314685")</f>
        <v>13-L-314685</v>
      </c>
      <c r="C6260">
        <v>1.1000000000000001</v>
      </c>
      <c r="D6260" t="s">
        <v>8514</v>
      </c>
      <c r="E6260" t="s">
        <v>11</v>
      </c>
      <c r="F6260" t="s">
        <v>13</v>
      </c>
      <c r="G6260" t="s">
        <v>9</v>
      </c>
      <c r="H6260" t="s">
        <v>14</v>
      </c>
    </row>
    <row r="6261" spans="1:8" hidden="1" x14ac:dyDescent="0.25">
      <c r="A6261" t="s">
        <v>8608</v>
      </c>
      <c r="B6261" s="1" t="str">
        <f>HYPERLINK("https://asmlis.vasa.lt/Dashboard/Served?ServiceDateFrom=2025-11-24&amp;ServiceDateTo=2025-11-24&amp;DumpsterInvNr=13-L-139732", "13-L-139732")</f>
        <v>13-L-139732</v>
      </c>
      <c r="C6261">
        <v>5</v>
      </c>
      <c r="D6261" t="s">
        <v>8609</v>
      </c>
      <c r="E6261" t="s">
        <v>11</v>
      </c>
      <c r="F6261" t="s">
        <v>13</v>
      </c>
      <c r="G6261" t="s">
        <v>430</v>
      </c>
      <c r="H6261" t="s">
        <v>432</v>
      </c>
    </row>
    <row r="6262" spans="1:8" hidden="1" x14ac:dyDescent="0.25">
      <c r="A6262" t="s">
        <v>8610</v>
      </c>
      <c r="B6262" s="1" t="str">
        <f>HYPERLINK("https://asmlis.vasa.lt/Dashboard/Served?ServiceDateFrom=2025-11-24&amp;ServiceDateTo=2025-11-24&amp;DumpsterInvNr=13-L-425245", "13-L-425245")</f>
        <v>13-L-425245</v>
      </c>
      <c r="C6262">
        <v>1.1000000000000001</v>
      </c>
      <c r="D6262" t="s">
        <v>8611</v>
      </c>
      <c r="E6262" t="s">
        <v>11</v>
      </c>
      <c r="F6262" t="s">
        <v>13</v>
      </c>
      <c r="G6262" t="s">
        <v>74</v>
      </c>
      <c r="H6262" t="s">
        <v>14</v>
      </c>
    </row>
    <row r="6263" spans="1:8" hidden="1" x14ac:dyDescent="0.25">
      <c r="A6263" t="s">
        <v>8610</v>
      </c>
      <c r="B6263" s="1" t="str">
        <f>HYPERLINK("https://asmlis.vasa.lt/Dashboard/Served?ServiceDateFrom=2025-11-24&amp;ServiceDateTo=2025-11-24&amp;DumpsterInvNr=13-S-207695", "13-S-207695")</f>
        <v>13-S-207695</v>
      </c>
      <c r="C6263">
        <v>3</v>
      </c>
      <c r="D6263" t="s">
        <v>8612</v>
      </c>
      <c r="E6263" t="s">
        <v>11</v>
      </c>
      <c r="G6263" t="s">
        <v>234</v>
      </c>
      <c r="H6263" t="s">
        <v>14</v>
      </c>
    </row>
    <row r="6264" spans="1:8" hidden="1" x14ac:dyDescent="0.25">
      <c r="A6264" t="s">
        <v>8613</v>
      </c>
      <c r="B6264" s="1" t="str">
        <f>HYPERLINK("https://asmlis.vasa.lt/Dashboard/Served?ServiceDateFrom=2025-11-24&amp;ServiceDateTo=2025-11-24&amp;DumpsterInvNr=13-L-105313", "13-L-105313")</f>
        <v>13-L-105313</v>
      </c>
      <c r="C6264">
        <v>1.1000000000000001</v>
      </c>
      <c r="D6264" t="s">
        <v>8615</v>
      </c>
      <c r="E6264" t="s">
        <v>11</v>
      </c>
      <c r="G6264" t="s">
        <v>430</v>
      </c>
      <c r="H6264" t="s">
        <v>432</v>
      </c>
    </row>
    <row r="6265" spans="1:8" hidden="1" x14ac:dyDescent="0.25">
      <c r="A6265" t="s">
        <v>8613</v>
      </c>
      <c r="B6265" s="1" t="str">
        <f>HYPERLINK("https://asmlis.vasa.lt/Dashboard/Served?ServiceDateFrom=2025-11-24&amp;ServiceDateTo=2025-11-24&amp;DumpsterInvNr=13-L-207556", "13-L-207556")</f>
        <v>13-L-207556</v>
      </c>
      <c r="C6265">
        <v>0.24</v>
      </c>
      <c r="D6265" t="s">
        <v>1525</v>
      </c>
      <c r="E6265" t="s">
        <v>11</v>
      </c>
      <c r="G6265" t="s">
        <v>936</v>
      </c>
      <c r="H6265" t="s">
        <v>938</v>
      </c>
    </row>
    <row r="6266" spans="1:8" hidden="1" x14ac:dyDescent="0.25">
      <c r="A6266" t="s">
        <v>8613</v>
      </c>
      <c r="B6266" s="1" t="str">
        <f>HYPERLINK("https://asmlis.vasa.lt/Dashboard/Served?ServiceDateFrom=2025-11-24&amp;ServiceDateTo=2025-11-24&amp;DumpsterInvNr=13-L-145856", "13-L-145856")</f>
        <v>13-L-145856</v>
      </c>
      <c r="C6266">
        <v>5</v>
      </c>
      <c r="D6266" t="s">
        <v>8617</v>
      </c>
      <c r="E6266" t="s">
        <v>11</v>
      </c>
      <c r="F6266" t="s">
        <v>13</v>
      </c>
      <c r="G6266" t="s">
        <v>1912</v>
      </c>
      <c r="H6266" t="s">
        <v>432</v>
      </c>
    </row>
    <row r="6267" spans="1:8" hidden="1" x14ac:dyDescent="0.25">
      <c r="A6267" t="s">
        <v>8619</v>
      </c>
      <c r="B6267" s="1" t="str">
        <f>HYPERLINK("https://asmlis.vasa.lt/Dashboard/Served?ServiceDateFrom=2025-11-24&amp;ServiceDateTo=2025-11-24&amp;DumpsterInvNr=13-L-419751", "13-L-419751")</f>
        <v>13-L-419751</v>
      </c>
      <c r="C6267">
        <v>1.1000000000000001</v>
      </c>
      <c r="D6267" t="s">
        <v>8611</v>
      </c>
      <c r="E6267" t="s">
        <v>11</v>
      </c>
      <c r="F6267" t="s">
        <v>13</v>
      </c>
      <c r="G6267" t="s">
        <v>74</v>
      </c>
      <c r="H6267" t="s">
        <v>14</v>
      </c>
    </row>
    <row r="6268" spans="1:8" hidden="1" x14ac:dyDescent="0.25">
      <c r="A6268" t="s">
        <v>8620</v>
      </c>
      <c r="B6268" s="1" t="str">
        <f>HYPERLINK("https://asmlis.vasa.lt/Dashboard/Served?ServiceDateFrom=2025-11-24&amp;ServiceDateTo=2025-11-24&amp;DumpsterInvNr=13-M-202344", "13-M-202344")</f>
        <v>13-M-202344</v>
      </c>
      <c r="C6268">
        <v>0.12</v>
      </c>
      <c r="D6268" t="s">
        <v>8621</v>
      </c>
      <c r="E6268" t="s">
        <v>11</v>
      </c>
      <c r="G6268" t="s">
        <v>4876</v>
      </c>
      <c r="H6268" t="s">
        <v>938</v>
      </c>
    </row>
    <row r="6269" spans="1:8" hidden="1" x14ac:dyDescent="0.25">
      <c r="A6269" t="s">
        <v>8622</v>
      </c>
      <c r="B6269" s="1" t="str">
        <f>HYPERLINK("https://asmlis.vasa.lt/Dashboard/Served?ServiceDateFrom=2025-11-24&amp;ServiceDateTo=2025-11-24&amp;DumpsterInvNr=13-L-314684", "13-L-314684")</f>
        <v>13-L-314684</v>
      </c>
      <c r="C6269">
        <v>1.1000000000000001</v>
      </c>
      <c r="D6269" t="s">
        <v>8514</v>
      </c>
      <c r="E6269" t="s">
        <v>11</v>
      </c>
      <c r="F6269" t="s">
        <v>13</v>
      </c>
      <c r="G6269" t="s">
        <v>9</v>
      </c>
      <c r="H6269" t="s">
        <v>14</v>
      </c>
    </row>
    <row r="6270" spans="1:8" hidden="1" x14ac:dyDescent="0.25">
      <c r="A6270" t="s">
        <v>8623</v>
      </c>
      <c r="B6270" s="1" t="str">
        <f>HYPERLINK("https://asmlis.vasa.lt/Dashboard/Served?ServiceDateFrom=2025-11-24&amp;ServiceDateTo=2025-11-24&amp;DumpsterInvNr=13-L-310817", "13-L-310817")</f>
        <v>13-L-310817</v>
      </c>
      <c r="C6270">
        <v>0.66</v>
      </c>
      <c r="D6270" t="s">
        <v>8624</v>
      </c>
      <c r="E6270" t="s">
        <v>11</v>
      </c>
      <c r="G6270" t="s">
        <v>9</v>
      </c>
      <c r="H6270" t="s">
        <v>14</v>
      </c>
    </row>
    <row r="6271" spans="1:8" hidden="1" x14ac:dyDescent="0.25">
      <c r="A6271" t="s">
        <v>8625</v>
      </c>
      <c r="B6271" s="1" t="str">
        <f>HYPERLINK("https://asmlis.vasa.lt/Dashboard/Served?ServiceDateFrom=2025-11-24&amp;ServiceDateTo=2025-11-24&amp;DumpsterInvNr=13-L-314663", "13-L-314663")</f>
        <v>13-L-314663</v>
      </c>
      <c r="C6271">
        <v>1.1000000000000001</v>
      </c>
      <c r="D6271" t="s">
        <v>8514</v>
      </c>
      <c r="E6271" t="s">
        <v>11</v>
      </c>
      <c r="F6271" t="s">
        <v>13</v>
      </c>
      <c r="G6271" t="s">
        <v>9</v>
      </c>
      <c r="H6271" t="s">
        <v>14</v>
      </c>
    </row>
    <row r="6272" spans="1:8" hidden="1" x14ac:dyDescent="0.25">
      <c r="A6272" t="s">
        <v>8626</v>
      </c>
      <c r="B6272" s="1" t="str">
        <f>HYPERLINK("https://asmlis.vasa.lt/Dashboard/Served?ServiceDateFrom=2025-11-24&amp;ServiceDateTo=2025-11-24&amp;DumpsterInvNr=13-L-314664", "13-L-314664")</f>
        <v>13-L-314664</v>
      </c>
      <c r="C6272">
        <v>1.1000000000000001</v>
      </c>
      <c r="D6272" t="s">
        <v>8514</v>
      </c>
      <c r="E6272" t="s">
        <v>11</v>
      </c>
      <c r="F6272" t="s">
        <v>13</v>
      </c>
      <c r="G6272" t="s">
        <v>9</v>
      </c>
      <c r="H6272" t="s">
        <v>14</v>
      </c>
    </row>
    <row r="6273" spans="1:10" hidden="1" x14ac:dyDescent="0.25">
      <c r="A6273" t="s">
        <v>8627</v>
      </c>
      <c r="B6273" s="1" t="str">
        <f>HYPERLINK("https://asmlis.vasa.lt/Dashboard/Served?ServiceDateFrom=2025-11-24&amp;ServiceDateTo=2025-11-24&amp;DumpsterInvNr=13-P-408706", "13-P-408706")</f>
        <v>13-P-408706</v>
      </c>
      <c r="C6273">
        <v>0.66</v>
      </c>
      <c r="D6273" t="s">
        <v>8628</v>
      </c>
      <c r="E6273" t="s">
        <v>11</v>
      </c>
      <c r="G6273" t="s">
        <v>264</v>
      </c>
      <c r="H6273" t="s">
        <v>14</v>
      </c>
    </row>
    <row r="6274" spans="1:10" hidden="1" x14ac:dyDescent="0.25">
      <c r="A6274" t="s">
        <v>8382</v>
      </c>
      <c r="B6274" s="1" t="str">
        <f>HYPERLINK("https://asmlis.vasa.lt/Dashboard/Served?ServiceDateFrom=2025-11-24&amp;ServiceDateTo=2025-11-24&amp;DumpsterInvNr=13-L-318651", "13-L-318651")</f>
        <v>13-L-318651</v>
      </c>
      <c r="C6274">
        <v>1.1000000000000001</v>
      </c>
      <c r="D6274" t="s">
        <v>8514</v>
      </c>
      <c r="E6274" t="s">
        <v>11</v>
      </c>
      <c r="F6274" t="s">
        <v>13</v>
      </c>
      <c r="G6274" t="s">
        <v>9</v>
      </c>
      <c r="H6274" t="s">
        <v>14</v>
      </c>
    </row>
    <row r="6275" spans="1:10" hidden="1" x14ac:dyDescent="0.25">
      <c r="A6275" t="s">
        <v>8629</v>
      </c>
      <c r="B6275" s="1" t="str">
        <f>HYPERLINK("https://asmlis.vasa.lt/Dashboard/Served?ServiceDateFrom=2025-11-24&amp;ServiceDateTo=2025-11-24&amp;DumpsterInvNr=13-L-221704", "13-L-221704")</f>
        <v>13-L-221704</v>
      </c>
      <c r="C6275">
        <v>1.1000000000000001</v>
      </c>
      <c r="D6275" t="s">
        <v>8630</v>
      </c>
      <c r="E6275" t="s">
        <v>11</v>
      </c>
      <c r="G6275" t="s">
        <v>936</v>
      </c>
      <c r="H6275" t="s">
        <v>938</v>
      </c>
    </row>
    <row r="6276" spans="1:10" hidden="1" x14ac:dyDescent="0.25">
      <c r="A6276" t="s">
        <v>8631</v>
      </c>
      <c r="B6276" s="1" t="str">
        <f>HYPERLINK("https://asmlis.vasa.lt/Dashboard/Served?ServiceDateFrom=2025-11-24&amp;ServiceDateTo=2025-11-24&amp;DumpsterInvNr=13-L-314688", "13-L-314688")</f>
        <v>13-L-314688</v>
      </c>
      <c r="C6276">
        <v>1.1000000000000001</v>
      </c>
      <c r="D6276" t="s">
        <v>8514</v>
      </c>
      <c r="E6276" t="s">
        <v>11</v>
      </c>
      <c r="F6276" t="s">
        <v>13</v>
      </c>
      <c r="G6276" t="s">
        <v>9</v>
      </c>
      <c r="H6276" t="s">
        <v>14</v>
      </c>
    </row>
    <row r="6277" spans="1:10" x14ac:dyDescent="0.25">
      <c r="A6277" t="s">
        <v>8632</v>
      </c>
      <c r="B6277" s="1" t="str">
        <f>HYPERLINK("https://asmlis.vasa.lt/Dashboard/Served?ServiceDateFrom=2025-11-24&amp;ServiceDateTo=2025-11-24&amp;DumpsterInvNr=13-L-419714", "13-L-419714")</f>
        <v>13-L-419714</v>
      </c>
      <c r="C6277">
        <v>0.24</v>
      </c>
      <c r="D6277" t="s">
        <v>8633</v>
      </c>
      <c r="E6277" t="s">
        <v>11</v>
      </c>
      <c r="F6277" t="s">
        <v>1215</v>
      </c>
      <c r="G6277" t="s">
        <v>74</v>
      </c>
      <c r="H6277" t="s">
        <v>14</v>
      </c>
      <c r="J6277" t="s">
        <v>17511</v>
      </c>
    </row>
    <row r="6278" spans="1:10" hidden="1" x14ac:dyDescent="0.25">
      <c r="A6278" t="s">
        <v>8635</v>
      </c>
      <c r="B6278" s="1" t="str">
        <f>HYPERLINK("https://asmlis.vasa.lt/Dashboard/Served?ServiceDateFrom=2025-11-24&amp;ServiceDateTo=2025-11-24&amp;DumpsterInvNr=13-L-314686", "13-L-314686")</f>
        <v>13-L-314686</v>
      </c>
      <c r="C6278">
        <v>1.1000000000000001</v>
      </c>
      <c r="D6278" t="s">
        <v>8514</v>
      </c>
      <c r="E6278" t="s">
        <v>11</v>
      </c>
      <c r="F6278" t="s">
        <v>13</v>
      </c>
      <c r="G6278" t="s">
        <v>9</v>
      </c>
      <c r="H6278" t="s">
        <v>14</v>
      </c>
    </row>
    <row r="6279" spans="1:10" hidden="1" x14ac:dyDescent="0.25">
      <c r="A6279" t="s">
        <v>8636</v>
      </c>
      <c r="B6279" s="1" t="str">
        <f>HYPERLINK("https://asmlis.vasa.lt/Dashboard/Served?ServiceDateFrom=2025-11-24&amp;ServiceDateTo=2025-11-24&amp;DumpsterInvNr=13-L-314687", "13-L-314687")</f>
        <v>13-L-314687</v>
      </c>
      <c r="C6279">
        <v>1.1000000000000001</v>
      </c>
      <c r="D6279" t="s">
        <v>8514</v>
      </c>
      <c r="E6279" t="s">
        <v>11</v>
      </c>
      <c r="F6279" t="s">
        <v>13</v>
      </c>
      <c r="G6279" t="s">
        <v>9</v>
      </c>
      <c r="H6279" t="s">
        <v>14</v>
      </c>
    </row>
    <row r="6280" spans="1:10" hidden="1" x14ac:dyDescent="0.25">
      <c r="A6280" t="s">
        <v>8637</v>
      </c>
      <c r="B6280" s="1" t="str">
        <f>HYPERLINK("https://asmlis.vasa.lt/Dashboard/Served?ServiceDateFrom=2025-11-24&amp;ServiceDateTo=2025-11-24&amp;DumpsterInvNr=13-M-202343", "13-M-202343")</f>
        <v>13-M-202343</v>
      </c>
      <c r="C6280">
        <v>0.12</v>
      </c>
      <c r="D6280" t="s">
        <v>8638</v>
      </c>
      <c r="E6280" t="s">
        <v>11</v>
      </c>
      <c r="G6280" t="s">
        <v>4876</v>
      </c>
      <c r="H6280" t="s">
        <v>938</v>
      </c>
    </row>
    <row r="6281" spans="1:10" hidden="1" x14ac:dyDescent="0.25">
      <c r="A6281" t="s">
        <v>8639</v>
      </c>
      <c r="B6281" s="1" t="str">
        <f>HYPERLINK("https://asmlis.vasa.lt/Dashboard/Served?ServiceDateFrom=2025-11-24&amp;ServiceDateTo=2025-11-24&amp;DumpsterInvNr=13-M-205171", "13-M-205171")</f>
        <v>13-M-205171</v>
      </c>
      <c r="C6281">
        <v>0.12</v>
      </c>
      <c r="D6281" t="s">
        <v>8640</v>
      </c>
      <c r="E6281" t="s">
        <v>11</v>
      </c>
      <c r="F6281" t="s">
        <v>1209</v>
      </c>
      <c r="G6281" t="s">
        <v>4876</v>
      </c>
      <c r="H6281" t="s">
        <v>938</v>
      </c>
    </row>
    <row r="6282" spans="1:10" hidden="1" x14ac:dyDescent="0.25">
      <c r="A6282" t="s">
        <v>8634</v>
      </c>
      <c r="B6282" s="1" t="str">
        <f>HYPERLINK("https://asmlis.vasa.lt/Dashboard/Served?ServiceDateFrom=2025-11-24&amp;ServiceDateTo=2025-11-24&amp;DumpsterInvNr=13-L-144431", "13-L-144431")</f>
        <v>13-L-144431</v>
      </c>
      <c r="C6282">
        <v>5</v>
      </c>
      <c r="D6282" t="s">
        <v>8641</v>
      </c>
      <c r="E6282" t="s">
        <v>11</v>
      </c>
      <c r="F6282" t="s">
        <v>13</v>
      </c>
      <c r="G6282" t="s">
        <v>430</v>
      </c>
      <c r="H6282" t="s">
        <v>432</v>
      </c>
    </row>
    <row r="6283" spans="1:10" x14ac:dyDescent="0.25">
      <c r="A6283" t="s">
        <v>8642</v>
      </c>
      <c r="B6283" s="1" t="str">
        <f>HYPERLINK("https://asmlis.vasa.lt/Dashboard/Served?ServiceDateFrom=2025-11-24&amp;ServiceDateTo=2025-11-24&amp;DumpsterInvNr=13-L-425292", "13-L-425292")</f>
        <v>13-L-425292</v>
      </c>
      <c r="C6283">
        <v>0.24</v>
      </c>
      <c r="D6283" t="s">
        <v>8643</v>
      </c>
      <c r="E6283" t="s">
        <v>11</v>
      </c>
      <c r="F6283" t="s">
        <v>1215</v>
      </c>
      <c r="G6283" t="s">
        <v>74</v>
      </c>
      <c r="H6283" t="s">
        <v>14</v>
      </c>
      <c r="J6283" t="s">
        <v>17511</v>
      </c>
    </row>
    <row r="6284" spans="1:10" hidden="1" x14ac:dyDescent="0.25">
      <c r="A6284" t="s">
        <v>8644</v>
      </c>
      <c r="B6284" s="1" t="str">
        <f>HYPERLINK("https://asmlis.vasa.lt/Dashboard/Served?ServiceDateFrom=2025-11-24&amp;ServiceDateTo=2025-11-24&amp;DumpsterInvNr=13-L-300112", "13-L-300112")</f>
        <v>13-L-300112</v>
      </c>
      <c r="C6284">
        <v>1.1000000000000001</v>
      </c>
      <c r="D6284" t="s">
        <v>8645</v>
      </c>
      <c r="E6284" t="s">
        <v>11</v>
      </c>
      <c r="G6284" t="s">
        <v>9</v>
      </c>
      <c r="H6284" t="s">
        <v>14</v>
      </c>
    </row>
    <row r="6285" spans="1:10" hidden="1" x14ac:dyDescent="0.25">
      <c r="A6285" t="s">
        <v>8646</v>
      </c>
      <c r="B6285" s="1" t="str">
        <f>HYPERLINK("https://asmlis.vasa.lt/Dashboard/Served?ServiceDateFrom=2025-11-24&amp;ServiceDateTo=2025-11-24&amp;DumpsterInvNr=13-L-135800", "13-L-135800")</f>
        <v>13-L-135800</v>
      </c>
      <c r="C6285">
        <v>5</v>
      </c>
      <c r="D6285" t="s">
        <v>8647</v>
      </c>
      <c r="E6285" t="s">
        <v>11</v>
      </c>
      <c r="F6285" t="s">
        <v>13</v>
      </c>
      <c r="G6285" t="s">
        <v>430</v>
      </c>
      <c r="H6285" t="s">
        <v>432</v>
      </c>
    </row>
    <row r="6286" spans="1:10" hidden="1" x14ac:dyDescent="0.25">
      <c r="A6286" t="s">
        <v>8649</v>
      </c>
      <c r="B6286" s="1" t="str">
        <f>HYPERLINK("https://asmlis.vasa.lt/Dashboard/Served?ServiceDateFrom=2025-11-24&amp;ServiceDateTo=2025-11-24&amp;DumpsterInvNr=13-P-203783", "13-P-203783")</f>
        <v>13-P-203783</v>
      </c>
      <c r="C6286">
        <v>0.24</v>
      </c>
      <c r="D6286" t="s">
        <v>8650</v>
      </c>
      <c r="E6286" t="s">
        <v>11</v>
      </c>
      <c r="G6286" t="s">
        <v>234</v>
      </c>
      <c r="H6286" t="s">
        <v>14</v>
      </c>
    </row>
    <row r="6287" spans="1:10" hidden="1" x14ac:dyDescent="0.25">
      <c r="A6287" t="s">
        <v>8649</v>
      </c>
      <c r="B6287" s="1" t="str">
        <f>HYPERLINK("https://asmlis.vasa.lt/Dashboard/Served?ServiceDateFrom=2025-11-24&amp;ServiceDateTo=2025-11-24&amp;DumpsterInvNr=13-S-209608", "13-S-209608")</f>
        <v>13-S-209608</v>
      </c>
      <c r="C6287">
        <v>0.12</v>
      </c>
      <c r="D6287" t="s">
        <v>8650</v>
      </c>
      <c r="E6287" t="s">
        <v>11</v>
      </c>
      <c r="G6287" t="s">
        <v>234</v>
      </c>
      <c r="H6287" t="s">
        <v>14</v>
      </c>
    </row>
    <row r="6288" spans="1:10" hidden="1" x14ac:dyDescent="0.25">
      <c r="A6288" t="s">
        <v>8651</v>
      </c>
      <c r="B6288" s="1" t="str">
        <f>HYPERLINK("https://asmlis.vasa.lt/Dashboard/Served?ServiceDateFrom=2025-11-24&amp;ServiceDateTo=2025-11-24&amp;DumpsterInvNr=13-P-415868", "13-P-415868")</f>
        <v>13-P-415868</v>
      </c>
      <c r="C6288">
        <v>0.24</v>
      </c>
      <c r="D6288" t="s">
        <v>8652</v>
      </c>
      <c r="E6288" t="s">
        <v>11</v>
      </c>
      <c r="G6288" t="s">
        <v>264</v>
      </c>
      <c r="H6288" t="s">
        <v>14</v>
      </c>
    </row>
    <row r="6289" spans="1:10" hidden="1" x14ac:dyDescent="0.25">
      <c r="A6289" t="s">
        <v>8653</v>
      </c>
      <c r="B6289" s="1" t="str">
        <f>HYPERLINK("https://asmlis.vasa.lt/Dashboard/Served?ServiceDateFrom=2025-11-24&amp;ServiceDateTo=2025-11-24&amp;DumpsterInvNr=13-L-426578", "13-L-426578")</f>
        <v>13-L-426578</v>
      </c>
      <c r="C6289">
        <v>1.1000000000000001</v>
      </c>
      <c r="D6289" t="s">
        <v>1481</v>
      </c>
      <c r="E6289" t="s">
        <v>11</v>
      </c>
      <c r="G6289" t="s">
        <v>74</v>
      </c>
      <c r="H6289" t="s">
        <v>14</v>
      </c>
    </row>
    <row r="6290" spans="1:10" x14ac:dyDescent="0.25">
      <c r="A6290" t="s">
        <v>8654</v>
      </c>
      <c r="B6290" s="1" t="str">
        <f>HYPERLINK("https://asmlis.vasa.lt/Dashboard/Served?ServiceDateFrom=2025-11-24&amp;ServiceDateTo=2025-11-24&amp;DumpsterInvNr=13-L-421620", "13-L-421620")</f>
        <v>13-L-421620</v>
      </c>
      <c r="C6290">
        <v>0.24</v>
      </c>
      <c r="D6290" t="s">
        <v>8655</v>
      </c>
      <c r="E6290" t="s">
        <v>11</v>
      </c>
      <c r="F6290" t="s">
        <v>1215</v>
      </c>
      <c r="G6290" t="s">
        <v>74</v>
      </c>
      <c r="H6290" t="s">
        <v>14</v>
      </c>
      <c r="J6290" t="s">
        <v>17511</v>
      </c>
    </row>
    <row r="6291" spans="1:10" hidden="1" x14ac:dyDescent="0.25">
      <c r="A6291" t="s">
        <v>8656</v>
      </c>
      <c r="B6291" s="1" t="str">
        <f>HYPERLINK("https://asmlis.vasa.lt/Dashboard/Served?ServiceDateFrom=2025-11-24&amp;ServiceDateTo=2025-11-24&amp;DumpsterInvNr=13-L-216455", "13-L-216455")</f>
        <v>13-L-216455</v>
      </c>
      <c r="C6291">
        <v>0.77</v>
      </c>
      <c r="D6291" t="s">
        <v>8316</v>
      </c>
      <c r="E6291" t="s">
        <v>11</v>
      </c>
      <c r="G6291" t="s">
        <v>936</v>
      </c>
      <c r="H6291" t="s">
        <v>938</v>
      </c>
    </row>
    <row r="6292" spans="1:10" hidden="1" x14ac:dyDescent="0.25">
      <c r="A6292" t="s">
        <v>8656</v>
      </c>
      <c r="B6292" s="1" t="str">
        <f>HYPERLINK("https://asmlis.vasa.lt/Dashboard/Served?ServiceDateFrom=2025-11-24&amp;ServiceDateTo=2025-11-24&amp;DumpsterInvNr=13-P-102370", "13-P-102370")</f>
        <v>13-P-102370</v>
      </c>
      <c r="C6292">
        <v>5</v>
      </c>
      <c r="D6292" t="s">
        <v>2882</v>
      </c>
      <c r="E6292" t="s">
        <v>11</v>
      </c>
      <c r="F6292" t="s">
        <v>13</v>
      </c>
      <c r="G6292" t="s">
        <v>1917</v>
      </c>
      <c r="H6292" t="s">
        <v>432</v>
      </c>
    </row>
    <row r="6293" spans="1:10" hidden="1" x14ac:dyDescent="0.25">
      <c r="A6293" t="s">
        <v>8656</v>
      </c>
      <c r="B6293" s="1" t="str">
        <f>HYPERLINK("https://asmlis.vasa.lt/Dashboard/Served?ServiceDateFrom=2025-11-24&amp;ServiceDateTo=2025-11-24&amp;DumpsterInvNr=13-P-204899", "13-P-204899")</f>
        <v>13-P-204899</v>
      </c>
      <c r="C6293">
        <v>0.24</v>
      </c>
      <c r="D6293" t="s">
        <v>8657</v>
      </c>
      <c r="E6293" t="s">
        <v>11</v>
      </c>
      <c r="G6293" t="s">
        <v>234</v>
      </c>
      <c r="H6293" t="s">
        <v>14</v>
      </c>
    </row>
    <row r="6294" spans="1:10" hidden="1" x14ac:dyDescent="0.25">
      <c r="A6294" t="s">
        <v>8658</v>
      </c>
      <c r="B6294" s="1" t="str">
        <f>HYPERLINK("https://asmlis.vasa.lt/Dashboard/Served?ServiceDateFrom=2025-11-24&amp;ServiceDateTo=2025-11-24&amp;DumpsterInvNr=13-P-102369", "13-P-102369")</f>
        <v>13-P-102369</v>
      </c>
      <c r="C6294">
        <v>5</v>
      </c>
      <c r="D6294" t="s">
        <v>2882</v>
      </c>
      <c r="E6294" t="s">
        <v>11</v>
      </c>
      <c r="F6294" t="s">
        <v>13</v>
      </c>
      <c r="G6294" t="s">
        <v>1917</v>
      </c>
      <c r="H6294" t="s">
        <v>432</v>
      </c>
    </row>
    <row r="6295" spans="1:10" hidden="1" x14ac:dyDescent="0.25">
      <c r="A6295" t="s">
        <v>8659</v>
      </c>
      <c r="B6295" s="1" t="str">
        <f>HYPERLINK("https://asmlis.vasa.lt/Dashboard/Served?ServiceDateFrom=2025-11-24&amp;ServiceDateTo=2025-11-24&amp;DumpsterInvNr=13-L-423608", "13-L-423608")</f>
        <v>13-L-423608</v>
      </c>
      <c r="C6295">
        <v>1.1000000000000001</v>
      </c>
      <c r="D6295" t="s">
        <v>1481</v>
      </c>
      <c r="E6295" t="s">
        <v>11</v>
      </c>
      <c r="G6295" t="s">
        <v>74</v>
      </c>
      <c r="H6295" t="s">
        <v>14</v>
      </c>
    </row>
    <row r="6296" spans="1:10" hidden="1" x14ac:dyDescent="0.25">
      <c r="A6296" t="s">
        <v>8660</v>
      </c>
      <c r="B6296" s="1" t="str">
        <f>HYPERLINK("https://asmlis.vasa.lt/Dashboard/Served?ServiceDateFrom=2025-11-24&amp;ServiceDateTo=2025-11-24&amp;DumpsterInvNr=13-L-210371", "13-L-210371")</f>
        <v>13-L-210371</v>
      </c>
      <c r="C6296">
        <v>1.1000000000000001</v>
      </c>
      <c r="D6296" t="s">
        <v>1525</v>
      </c>
      <c r="E6296" t="s">
        <v>11</v>
      </c>
      <c r="G6296" t="s">
        <v>936</v>
      </c>
      <c r="H6296" t="s">
        <v>938</v>
      </c>
    </row>
    <row r="6297" spans="1:10" hidden="1" x14ac:dyDescent="0.25">
      <c r="A6297" t="s">
        <v>8662</v>
      </c>
      <c r="B6297" s="1" t="str">
        <f>HYPERLINK("https://asmlis.vasa.lt/Dashboard/Served?ServiceDateFrom=2025-11-24&amp;ServiceDateTo=2025-11-24&amp;DumpsterInvNr=13-L-316805", "13-L-316805")</f>
        <v>13-L-316805</v>
      </c>
      <c r="C6297">
        <v>1.1000000000000001</v>
      </c>
      <c r="D6297" t="s">
        <v>8645</v>
      </c>
      <c r="E6297" t="s">
        <v>11</v>
      </c>
      <c r="G6297" t="s">
        <v>9</v>
      </c>
      <c r="H6297" t="s">
        <v>14</v>
      </c>
    </row>
    <row r="6298" spans="1:10" x14ac:dyDescent="0.25">
      <c r="A6298" t="s">
        <v>8664</v>
      </c>
      <c r="B6298" s="1" t="str">
        <f>HYPERLINK("https://asmlis.vasa.lt/Dashboard/Served?ServiceDateFrom=2025-11-24&amp;ServiceDateTo=2025-11-24&amp;DumpsterInvNr=13-L-425926", "13-L-425926")</f>
        <v>13-L-425926</v>
      </c>
      <c r="C6298">
        <v>0.24</v>
      </c>
      <c r="D6298" t="s">
        <v>8665</v>
      </c>
      <c r="E6298" t="s">
        <v>11</v>
      </c>
      <c r="F6298" t="s">
        <v>1215</v>
      </c>
      <c r="G6298" t="s">
        <v>74</v>
      </c>
      <c r="H6298" t="s">
        <v>14</v>
      </c>
      <c r="J6298" t="s">
        <v>17511</v>
      </c>
    </row>
    <row r="6299" spans="1:10" hidden="1" x14ac:dyDescent="0.25">
      <c r="A6299" t="s">
        <v>8666</v>
      </c>
      <c r="B6299" s="1" t="str">
        <f>HYPERLINK("https://asmlis.vasa.lt/Dashboard/Served?ServiceDateFrom=2025-11-24&amp;ServiceDateTo=2025-11-24&amp;DumpsterInvNr=13-T-000157", "13-T-000157")</f>
        <v>13-T-000157</v>
      </c>
      <c r="C6299">
        <v>2.5</v>
      </c>
      <c r="D6299" t="s">
        <v>5439</v>
      </c>
      <c r="E6299" t="s">
        <v>11</v>
      </c>
      <c r="F6299" t="s">
        <v>13</v>
      </c>
      <c r="G6299" t="s">
        <v>1899</v>
      </c>
      <c r="H6299" t="s">
        <v>432</v>
      </c>
    </row>
    <row r="6300" spans="1:10" hidden="1" x14ac:dyDescent="0.25">
      <c r="A6300" t="s">
        <v>8666</v>
      </c>
      <c r="B6300" s="1" t="str">
        <f>HYPERLINK("https://asmlis.vasa.lt/Dashboard/Served?ServiceDateFrom=2025-11-24&amp;ServiceDateTo=2025-11-24&amp;DumpsterInvNr=13-S-208554", "13-S-208554")</f>
        <v>13-S-208554</v>
      </c>
      <c r="C6300">
        <v>0.12</v>
      </c>
      <c r="D6300" t="s">
        <v>8657</v>
      </c>
      <c r="E6300" t="s">
        <v>11</v>
      </c>
      <c r="G6300" t="s">
        <v>234</v>
      </c>
      <c r="H6300" t="s">
        <v>14</v>
      </c>
    </row>
    <row r="6301" spans="1:10" hidden="1" x14ac:dyDescent="0.25">
      <c r="A6301" t="s">
        <v>8667</v>
      </c>
      <c r="B6301" s="1" t="str">
        <f>HYPERLINK("https://asmlis.vasa.lt/Dashboard/Served?ServiceDateFrom=2025-11-24&amp;ServiceDateTo=2025-11-24&amp;DumpsterInvNr=13-T-000165", "13-T-000165")</f>
        <v>13-T-000165</v>
      </c>
      <c r="C6301">
        <v>2.5</v>
      </c>
      <c r="D6301" t="s">
        <v>5439</v>
      </c>
      <c r="E6301" t="s">
        <v>11</v>
      </c>
      <c r="F6301" t="s">
        <v>13</v>
      </c>
      <c r="G6301" t="s">
        <v>1899</v>
      </c>
      <c r="H6301" t="s">
        <v>432</v>
      </c>
    </row>
    <row r="6302" spans="1:10" hidden="1" x14ac:dyDescent="0.25">
      <c r="A6302" t="s">
        <v>8668</v>
      </c>
      <c r="B6302" s="1" t="str">
        <f>HYPERLINK("https://asmlis.vasa.lt/Dashboard/Served?ServiceDateFrom=2025-11-24&amp;ServiceDateTo=2025-11-24&amp;DumpsterInvNr=13-M-206052", "13-M-206052")</f>
        <v>13-M-206052</v>
      </c>
      <c r="C6302">
        <v>0.12</v>
      </c>
      <c r="D6302" t="s">
        <v>8669</v>
      </c>
      <c r="E6302" t="s">
        <v>11</v>
      </c>
      <c r="G6302" t="s">
        <v>4876</v>
      </c>
      <c r="H6302" t="s">
        <v>938</v>
      </c>
    </row>
    <row r="6303" spans="1:10" hidden="1" x14ac:dyDescent="0.25">
      <c r="A6303" t="s">
        <v>8670</v>
      </c>
      <c r="B6303" s="1" t="str">
        <f>HYPERLINK("https://asmlis.vasa.lt/Dashboard/Served?ServiceDateFrom=2025-11-24&amp;ServiceDateTo=2025-11-24&amp;DumpsterInvNr=13-L-420214", "13-L-420214")</f>
        <v>13-L-420214</v>
      </c>
      <c r="C6303">
        <v>5</v>
      </c>
      <c r="D6303" t="s">
        <v>8671</v>
      </c>
      <c r="E6303" t="s">
        <v>11</v>
      </c>
      <c r="G6303" t="s">
        <v>74</v>
      </c>
      <c r="H6303" t="s">
        <v>14</v>
      </c>
    </row>
    <row r="6304" spans="1:10" hidden="1" x14ac:dyDescent="0.25">
      <c r="A6304" t="s">
        <v>8672</v>
      </c>
      <c r="B6304" s="1" t="str">
        <f>HYPERLINK("https://asmlis.vasa.lt/Dashboard/Served?ServiceDateFrom=2025-11-24&amp;ServiceDateTo=2025-11-24&amp;DumpsterInvNr=13-P-414662", "13-P-414662")</f>
        <v>13-P-414662</v>
      </c>
      <c r="C6304">
        <v>0.24</v>
      </c>
      <c r="D6304" t="s">
        <v>8673</v>
      </c>
      <c r="E6304" t="s">
        <v>11</v>
      </c>
      <c r="G6304" t="s">
        <v>264</v>
      </c>
      <c r="H6304" t="s">
        <v>14</v>
      </c>
    </row>
    <row r="6305" spans="1:10" hidden="1" x14ac:dyDescent="0.25">
      <c r="A6305" t="s">
        <v>8340</v>
      </c>
      <c r="B6305" s="1" t="str">
        <f>HYPERLINK("https://asmlis.vasa.lt/Dashboard/Served?ServiceDateFrom=2025-11-24&amp;ServiceDateTo=2025-11-24&amp;DumpsterInvNr=13-L-307918", "13-L-307918")</f>
        <v>13-L-307918</v>
      </c>
      <c r="C6305">
        <v>0.77</v>
      </c>
      <c r="D6305" t="s">
        <v>8645</v>
      </c>
      <c r="E6305" t="s">
        <v>11</v>
      </c>
      <c r="G6305" t="s">
        <v>9</v>
      </c>
      <c r="H6305" t="s">
        <v>14</v>
      </c>
    </row>
    <row r="6306" spans="1:10" x14ac:dyDescent="0.25">
      <c r="A6306" t="s">
        <v>8340</v>
      </c>
      <c r="B6306" s="1" t="str">
        <f>HYPERLINK("https://asmlis.vasa.lt/Dashboard/Served?ServiceDateFrom=2025-11-24&amp;ServiceDateTo=2025-11-24&amp;DumpsterInvNr=13-L-425030", "13-L-425030")</f>
        <v>13-L-425030</v>
      </c>
      <c r="C6306">
        <v>0.24</v>
      </c>
      <c r="D6306" t="s">
        <v>8674</v>
      </c>
      <c r="E6306" t="s">
        <v>11</v>
      </c>
      <c r="F6306" t="s">
        <v>1215</v>
      </c>
      <c r="G6306" t="s">
        <v>74</v>
      </c>
      <c r="H6306" t="s">
        <v>14</v>
      </c>
      <c r="J6306" t="s">
        <v>17511</v>
      </c>
    </row>
    <row r="6307" spans="1:10" hidden="1" x14ac:dyDescent="0.25">
      <c r="A6307" t="s">
        <v>8675</v>
      </c>
      <c r="B6307" s="1" t="str">
        <f>HYPERLINK("https://asmlis.vasa.lt/Dashboard/Served?ServiceDateFrom=2025-11-24&amp;ServiceDateTo=2025-11-24&amp;DumpsterInvNr=13-M-206099", "13-M-206099")</f>
        <v>13-M-206099</v>
      </c>
      <c r="C6307">
        <v>0.12</v>
      </c>
      <c r="D6307" t="s">
        <v>8676</v>
      </c>
      <c r="E6307" t="s">
        <v>11</v>
      </c>
      <c r="G6307" t="s">
        <v>4876</v>
      </c>
      <c r="H6307" t="s">
        <v>938</v>
      </c>
    </row>
    <row r="6308" spans="1:10" hidden="1" x14ac:dyDescent="0.25">
      <c r="A6308" t="s">
        <v>8677</v>
      </c>
      <c r="B6308" s="1" t="str">
        <f>HYPERLINK("https://asmlis.vasa.lt/Dashboard/Served?ServiceDateFrom=2025-11-24&amp;ServiceDateTo=2025-11-24&amp;DumpsterInvNr=13-L-416666", "13-L-416666")</f>
        <v>13-L-416666</v>
      </c>
      <c r="C6308">
        <v>0.24</v>
      </c>
      <c r="D6308" t="s">
        <v>8678</v>
      </c>
      <c r="E6308" t="s">
        <v>11</v>
      </c>
      <c r="F6308" t="s">
        <v>1209</v>
      </c>
      <c r="G6308" t="s">
        <v>74</v>
      </c>
      <c r="H6308" t="s">
        <v>14</v>
      </c>
    </row>
    <row r="6309" spans="1:10" hidden="1" x14ac:dyDescent="0.25">
      <c r="A6309" t="s">
        <v>8680</v>
      </c>
      <c r="B6309" s="1" t="str">
        <f>HYPERLINK("https://asmlis.vasa.lt/Dashboard/Served?ServiceDateFrom=2025-11-24&amp;ServiceDateTo=2025-11-24&amp;DumpsterInvNr=13-P-500752", "13-P-500752")</f>
        <v>13-P-500752</v>
      </c>
      <c r="C6309">
        <v>5</v>
      </c>
      <c r="D6309" t="s">
        <v>8681</v>
      </c>
      <c r="E6309" t="s">
        <v>11</v>
      </c>
      <c r="F6309" t="s">
        <v>13</v>
      </c>
      <c r="G6309" t="s">
        <v>2178</v>
      </c>
      <c r="H6309" t="s">
        <v>432</v>
      </c>
    </row>
    <row r="6310" spans="1:10" hidden="1" x14ac:dyDescent="0.25">
      <c r="A6310" t="s">
        <v>8683</v>
      </c>
      <c r="B6310" s="1" t="str">
        <f>HYPERLINK("https://asmlis.vasa.lt/Dashboard/Served?ServiceDateFrom=2025-11-24&amp;ServiceDateTo=2025-11-24&amp;DumpsterInvNr=13-L-213424", "13-L-213424")</f>
        <v>13-L-213424</v>
      </c>
      <c r="C6310">
        <v>0.24</v>
      </c>
      <c r="D6310" t="s">
        <v>5224</v>
      </c>
      <c r="E6310" t="s">
        <v>11</v>
      </c>
      <c r="F6310" t="s">
        <v>13</v>
      </c>
      <c r="G6310" t="s">
        <v>936</v>
      </c>
      <c r="H6310" t="s">
        <v>938</v>
      </c>
    </row>
    <row r="6311" spans="1:10" hidden="1" x14ac:dyDescent="0.25">
      <c r="A6311" t="s">
        <v>8684</v>
      </c>
      <c r="B6311" s="1" t="str">
        <f>HYPERLINK("https://asmlis.vasa.lt/Dashboard/Served?ServiceDateFrom=2025-11-24&amp;ServiceDateTo=2025-11-24&amp;DumpsterInvNr=13-L-221064", "13-L-221064")</f>
        <v>13-L-221064</v>
      </c>
      <c r="C6311">
        <v>5</v>
      </c>
      <c r="D6311" t="s">
        <v>8685</v>
      </c>
      <c r="E6311" t="s">
        <v>11</v>
      </c>
      <c r="G6311" t="s">
        <v>936</v>
      </c>
      <c r="H6311" t="s">
        <v>938</v>
      </c>
    </row>
    <row r="6312" spans="1:10" x14ac:dyDescent="0.25">
      <c r="A6312" t="s">
        <v>8686</v>
      </c>
      <c r="B6312" s="1" t="str">
        <f>HYPERLINK("https://asmlis.vasa.lt/Dashboard/Served?ServiceDateFrom=2025-11-24&amp;ServiceDateTo=2025-11-24&amp;DumpsterInvNr=13-P-415765", "13-P-415765")</f>
        <v>13-P-415765</v>
      </c>
      <c r="C6312">
        <v>2.5</v>
      </c>
      <c r="D6312" t="s">
        <v>1964</v>
      </c>
      <c r="E6312" t="s">
        <v>11</v>
      </c>
      <c r="F6312" t="s">
        <v>1215</v>
      </c>
      <c r="G6312" t="s">
        <v>264</v>
      </c>
      <c r="H6312" t="s">
        <v>14</v>
      </c>
      <c r="J6312" t="s">
        <v>17511</v>
      </c>
    </row>
    <row r="6313" spans="1:10" hidden="1" x14ac:dyDescent="0.25">
      <c r="A6313" t="s">
        <v>8687</v>
      </c>
      <c r="B6313" s="1" t="str">
        <f>HYPERLINK("https://asmlis.vasa.lt/Dashboard/Served?ServiceDateFrom=2025-11-24&amp;ServiceDateTo=2025-11-24&amp;DumpsterInvNr=13-L-213485", "13-L-213485")</f>
        <v>13-L-213485</v>
      </c>
      <c r="C6313">
        <v>0.24</v>
      </c>
      <c r="D6313" t="s">
        <v>5191</v>
      </c>
      <c r="E6313" t="s">
        <v>11</v>
      </c>
      <c r="F6313" t="s">
        <v>13</v>
      </c>
      <c r="G6313" t="s">
        <v>936</v>
      </c>
      <c r="H6313" t="s">
        <v>938</v>
      </c>
    </row>
    <row r="6314" spans="1:10" hidden="1" x14ac:dyDescent="0.25">
      <c r="A6314" t="s">
        <v>8688</v>
      </c>
      <c r="B6314" s="1" t="str">
        <f>HYPERLINK("https://asmlis.vasa.lt/Dashboard/Served?ServiceDateFrom=2025-11-24&amp;ServiceDateTo=2025-11-24&amp;DumpsterInvNr=13-L-123096", "13-L-123096")</f>
        <v>13-L-123096</v>
      </c>
      <c r="C6314">
        <v>1.1000000000000001</v>
      </c>
      <c r="D6314" t="s">
        <v>8689</v>
      </c>
      <c r="E6314" t="s">
        <v>11</v>
      </c>
      <c r="G6314" t="s">
        <v>1912</v>
      </c>
      <c r="H6314" t="s">
        <v>432</v>
      </c>
    </row>
    <row r="6315" spans="1:10" hidden="1" x14ac:dyDescent="0.25">
      <c r="A6315" t="s">
        <v>8688</v>
      </c>
      <c r="B6315" s="1" t="str">
        <f>HYPERLINK("https://asmlis.vasa.lt/Dashboard/Served?ServiceDateFrom=2025-11-24&amp;ServiceDateTo=2025-11-24&amp;DumpsterInvNr=13-P-413081", "13-P-413081")</f>
        <v>13-P-413081</v>
      </c>
      <c r="C6315">
        <v>0.24</v>
      </c>
      <c r="D6315" t="s">
        <v>8690</v>
      </c>
      <c r="E6315" t="s">
        <v>11</v>
      </c>
      <c r="G6315" t="s">
        <v>264</v>
      </c>
      <c r="H6315" t="s">
        <v>14</v>
      </c>
    </row>
    <row r="6316" spans="1:10" hidden="1" x14ac:dyDescent="0.25">
      <c r="A6316" t="s">
        <v>8691</v>
      </c>
      <c r="B6316" s="1" t="str">
        <f>HYPERLINK("https://asmlis.vasa.lt/Dashboard/Served?ServiceDateFrom=2025-11-24&amp;ServiceDateTo=2025-11-24&amp;DumpsterInvNr=13-L-142182", "13-L-142182")</f>
        <v>13-L-142182</v>
      </c>
      <c r="C6316">
        <v>0.24</v>
      </c>
      <c r="D6316" t="s">
        <v>8692</v>
      </c>
      <c r="E6316" t="s">
        <v>11</v>
      </c>
      <c r="G6316" t="s">
        <v>1912</v>
      </c>
      <c r="H6316" t="s">
        <v>432</v>
      </c>
    </row>
    <row r="6317" spans="1:10" hidden="1" x14ac:dyDescent="0.25">
      <c r="A6317" t="s">
        <v>8691</v>
      </c>
      <c r="B6317" s="1" t="str">
        <f>HYPERLINK("https://asmlis.vasa.lt/Dashboard/Served?ServiceDateFrom=2025-11-24&amp;ServiceDateTo=2025-11-24&amp;DumpsterInvNr=13-P-103671", "13-P-103671")</f>
        <v>13-P-103671</v>
      </c>
      <c r="C6317">
        <v>0.24</v>
      </c>
      <c r="D6317" t="s">
        <v>8692</v>
      </c>
      <c r="E6317" t="s">
        <v>11</v>
      </c>
      <c r="G6317" t="s">
        <v>1917</v>
      </c>
      <c r="H6317" t="s">
        <v>432</v>
      </c>
    </row>
    <row r="6318" spans="1:10" hidden="1" x14ac:dyDescent="0.25">
      <c r="A6318" t="s">
        <v>8694</v>
      </c>
      <c r="B6318" s="1" t="str">
        <f>HYPERLINK("https://asmlis.vasa.lt/Dashboard/Served?ServiceDateFrom=2025-11-24&amp;ServiceDateTo=2025-11-24&amp;DumpsterInvNr=13-L-214506", "13-L-214506")</f>
        <v>13-L-214506</v>
      </c>
      <c r="C6318">
        <v>1.1000000000000001</v>
      </c>
      <c r="D6318" t="s">
        <v>8695</v>
      </c>
      <c r="E6318" t="s">
        <v>11</v>
      </c>
      <c r="G6318" t="s">
        <v>936</v>
      </c>
      <c r="H6318" t="s">
        <v>938</v>
      </c>
    </row>
    <row r="6319" spans="1:10" hidden="1" x14ac:dyDescent="0.25">
      <c r="A6319" t="s">
        <v>8696</v>
      </c>
      <c r="B6319" s="1" t="str">
        <f>HYPERLINK("https://asmlis.vasa.lt/Dashboard/Served?ServiceDateFrom=2025-11-24&amp;ServiceDateTo=2025-11-24&amp;DumpsterInvNr=13-S-207858", "13-S-207858")</f>
        <v>13-S-207858</v>
      </c>
      <c r="C6319">
        <v>3</v>
      </c>
      <c r="D6319" t="s">
        <v>8697</v>
      </c>
      <c r="E6319" t="s">
        <v>11</v>
      </c>
      <c r="G6319" t="s">
        <v>234</v>
      </c>
      <c r="H6319" t="s">
        <v>14</v>
      </c>
    </row>
    <row r="6320" spans="1:10" hidden="1" x14ac:dyDescent="0.25">
      <c r="A6320" t="s">
        <v>8698</v>
      </c>
      <c r="B6320" s="1" t="str">
        <f>HYPERLINK("https://asmlis.vasa.lt/Dashboard/Served?ServiceDateFrom=2025-11-24&amp;ServiceDateTo=2025-11-24&amp;DumpsterInvNr=13-L-416806", "13-L-416806")</f>
        <v>13-L-416806</v>
      </c>
      <c r="C6320">
        <v>0.24</v>
      </c>
      <c r="D6320" t="s">
        <v>8678</v>
      </c>
      <c r="E6320" t="s">
        <v>11</v>
      </c>
      <c r="F6320" t="s">
        <v>1209</v>
      </c>
      <c r="G6320" t="s">
        <v>74</v>
      </c>
      <c r="H6320" t="s">
        <v>14</v>
      </c>
    </row>
    <row r="6321" spans="1:8" hidden="1" x14ac:dyDescent="0.25">
      <c r="A6321" t="s">
        <v>8699</v>
      </c>
      <c r="B6321" s="1" t="str">
        <f>HYPERLINK("https://asmlis.vasa.lt/Dashboard/Served?ServiceDateFrom=2025-11-24&amp;ServiceDateTo=2025-11-24&amp;DumpsterInvNr=13-P-115356", "13-P-115356")</f>
        <v>13-P-115356</v>
      </c>
      <c r="C6321">
        <v>1.1000000000000001</v>
      </c>
      <c r="D6321" t="s">
        <v>8700</v>
      </c>
      <c r="E6321" t="s">
        <v>11</v>
      </c>
      <c r="G6321" t="s">
        <v>1917</v>
      </c>
      <c r="H6321" t="s">
        <v>432</v>
      </c>
    </row>
    <row r="6322" spans="1:8" hidden="1" x14ac:dyDescent="0.25">
      <c r="A6322" t="s">
        <v>8701</v>
      </c>
      <c r="B6322" s="1" t="str">
        <f>HYPERLINK("https://asmlis.vasa.lt/Dashboard/Served?ServiceDateFrom=2025-11-24&amp;ServiceDateTo=2025-11-24&amp;DumpsterInvNr=13-P-400585", "13-P-400585")</f>
        <v>13-P-400585</v>
      </c>
      <c r="C6322">
        <v>5</v>
      </c>
      <c r="D6322" t="s">
        <v>8702</v>
      </c>
      <c r="E6322" t="s">
        <v>11</v>
      </c>
      <c r="F6322" t="s">
        <v>13</v>
      </c>
      <c r="G6322" t="s">
        <v>264</v>
      </c>
      <c r="H6322" t="s">
        <v>14</v>
      </c>
    </row>
    <row r="6323" spans="1:8" hidden="1" x14ac:dyDescent="0.25">
      <c r="A6323" t="s">
        <v>8703</v>
      </c>
      <c r="B6323" s="1" t="str">
        <f>HYPERLINK("https://asmlis.vasa.lt/Dashboard/Served?ServiceDateFrom=2025-11-24&amp;ServiceDateTo=2025-11-24&amp;DumpsterInvNr=13-L-208045", "13-L-208045")</f>
        <v>13-L-208045</v>
      </c>
      <c r="C6323">
        <v>1.1000000000000001</v>
      </c>
      <c r="D6323" t="s">
        <v>8695</v>
      </c>
      <c r="E6323" t="s">
        <v>11</v>
      </c>
      <c r="G6323" t="s">
        <v>936</v>
      </c>
      <c r="H6323" t="s">
        <v>938</v>
      </c>
    </row>
    <row r="6324" spans="1:8" hidden="1" x14ac:dyDescent="0.25">
      <c r="A6324" t="s">
        <v>8703</v>
      </c>
      <c r="B6324" s="1" t="str">
        <f>HYPERLINK("https://asmlis.vasa.lt/Dashboard/Served?ServiceDateFrom=2025-11-24&amp;ServiceDateTo=2025-11-24&amp;DumpsterInvNr=13-P-500542", "13-P-500542")</f>
        <v>13-P-500542</v>
      </c>
      <c r="C6324">
        <v>5</v>
      </c>
      <c r="D6324" t="s">
        <v>8704</v>
      </c>
      <c r="E6324" t="s">
        <v>11</v>
      </c>
      <c r="F6324" t="s">
        <v>13</v>
      </c>
      <c r="G6324" t="s">
        <v>2178</v>
      </c>
      <c r="H6324" t="s">
        <v>432</v>
      </c>
    </row>
    <row r="6325" spans="1:8" hidden="1" x14ac:dyDescent="0.25">
      <c r="A6325" t="s">
        <v>8705</v>
      </c>
      <c r="B6325" s="1" t="str">
        <f>HYPERLINK("https://asmlis.vasa.lt/Dashboard/Served?ServiceDateFrom=2025-11-24&amp;ServiceDateTo=2025-11-24&amp;DumpsterInvNr=DGA-ZALVARIS", "DGA-ZALVARIS")</f>
        <v>DGA-ZALVARIS</v>
      </c>
      <c r="C6325">
        <v>1</v>
      </c>
      <c r="D6325" t="s">
        <v>5363</v>
      </c>
      <c r="E6325" t="s">
        <v>12</v>
      </c>
      <c r="F6325" t="s">
        <v>13</v>
      </c>
      <c r="G6325" t="s">
        <v>6763</v>
      </c>
      <c r="H6325" t="s">
        <v>6765</v>
      </c>
    </row>
    <row r="6326" spans="1:8" hidden="1" x14ac:dyDescent="0.25">
      <c r="A6326" t="s">
        <v>8679</v>
      </c>
      <c r="B6326" s="1" t="str">
        <f>HYPERLINK("https://asmlis.vasa.lt/Dashboard/Served?ServiceDateFrom=2025-11-24&amp;ServiceDateTo=2025-11-24&amp;DumpsterInvNr=13-P-400377", "13-P-400377")</f>
        <v>13-P-400377</v>
      </c>
      <c r="C6326">
        <v>0.24</v>
      </c>
      <c r="D6326" t="s">
        <v>8706</v>
      </c>
      <c r="E6326" t="s">
        <v>11</v>
      </c>
      <c r="G6326" t="s">
        <v>264</v>
      </c>
      <c r="H6326" t="s">
        <v>14</v>
      </c>
    </row>
    <row r="6327" spans="1:8" hidden="1" x14ac:dyDescent="0.25">
      <c r="A6327" t="s">
        <v>8707</v>
      </c>
      <c r="B6327" s="1" t="str">
        <f>HYPERLINK("https://asmlis.vasa.lt/Dashboard/Served?ServiceDateFrom=2025-11-24&amp;ServiceDateTo=2025-11-24&amp;DumpsterInvNr=13-L-225111", "13-L-225111")</f>
        <v>13-L-225111</v>
      </c>
      <c r="C6327">
        <v>0.24</v>
      </c>
      <c r="D6327" t="s">
        <v>5258</v>
      </c>
      <c r="E6327" t="s">
        <v>11</v>
      </c>
      <c r="G6327" t="s">
        <v>936</v>
      </c>
      <c r="H6327" t="s">
        <v>938</v>
      </c>
    </row>
    <row r="6328" spans="1:8" hidden="1" x14ac:dyDescent="0.25">
      <c r="A6328" t="s">
        <v>8708</v>
      </c>
      <c r="B6328" s="1" t="str">
        <f>HYPERLINK("https://asmlis.vasa.lt/Dashboard/Served?ServiceDateFrom=2025-11-24&amp;ServiceDateTo=2025-11-24&amp;DumpsterInvNr=13-L-314831", "13-L-314831")</f>
        <v>13-L-314831</v>
      </c>
      <c r="C6328">
        <v>5</v>
      </c>
      <c r="D6328" t="s">
        <v>530</v>
      </c>
      <c r="E6328" t="s">
        <v>11</v>
      </c>
      <c r="F6328" t="s">
        <v>13</v>
      </c>
      <c r="G6328" t="s">
        <v>9</v>
      </c>
      <c r="H6328" t="s">
        <v>14</v>
      </c>
    </row>
    <row r="6329" spans="1:8" hidden="1" x14ac:dyDescent="0.25">
      <c r="A6329" t="s">
        <v>8709</v>
      </c>
      <c r="B6329" s="1" t="str">
        <f>HYPERLINK("https://asmlis.vasa.lt/Dashboard/Served?ServiceDateFrom=2025-11-24&amp;ServiceDateTo=2025-11-24&amp;DumpsterInvNr=13-P-205253", "13-P-205253")</f>
        <v>13-P-205253</v>
      </c>
      <c r="C6329">
        <v>0.24</v>
      </c>
      <c r="D6329" t="s">
        <v>8710</v>
      </c>
      <c r="E6329" t="s">
        <v>11</v>
      </c>
      <c r="G6329" t="s">
        <v>234</v>
      </c>
      <c r="H6329" t="s">
        <v>14</v>
      </c>
    </row>
    <row r="6330" spans="1:8" hidden="1" x14ac:dyDescent="0.25">
      <c r="A6330" t="s">
        <v>8711</v>
      </c>
      <c r="B6330" s="1" t="str">
        <f>HYPERLINK("https://asmlis.vasa.lt/Dashboard/Served?ServiceDateFrom=2025-11-24&amp;ServiceDateTo=2025-11-24&amp;DumpsterInvNr=13-L-425924", "13-L-425924")</f>
        <v>13-L-425924</v>
      </c>
      <c r="C6330">
        <v>1.1000000000000001</v>
      </c>
      <c r="D6330" t="s">
        <v>8712</v>
      </c>
      <c r="E6330" t="s">
        <v>11</v>
      </c>
      <c r="F6330" t="s">
        <v>13</v>
      </c>
      <c r="G6330" t="s">
        <v>74</v>
      </c>
      <c r="H6330" t="s">
        <v>14</v>
      </c>
    </row>
    <row r="6331" spans="1:8" hidden="1" x14ac:dyDescent="0.25">
      <c r="A6331" t="s">
        <v>8711</v>
      </c>
      <c r="B6331" s="1" t="str">
        <f>HYPERLINK("https://asmlis.vasa.lt/Dashboard/Served?ServiceDateFrom=2025-11-24&amp;ServiceDateTo=2025-11-24&amp;DumpsterInvNr=13-L-117610", "13-L-117610")</f>
        <v>13-L-117610</v>
      </c>
      <c r="C6331">
        <v>0.12</v>
      </c>
      <c r="D6331" t="s">
        <v>8713</v>
      </c>
      <c r="E6331" t="s">
        <v>11</v>
      </c>
      <c r="G6331" t="s">
        <v>1912</v>
      </c>
      <c r="H6331" t="s">
        <v>432</v>
      </c>
    </row>
    <row r="6332" spans="1:8" hidden="1" x14ac:dyDescent="0.25">
      <c r="A6332" t="s">
        <v>8715</v>
      </c>
      <c r="B6332" s="1" t="str">
        <f>HYPERLINK("https://asmlis.vasa.lt/Dashboard/Served?ServiceDateFrom=2025-11-24&amp;ServiceDateTo=2025-11-24&amp;DumpsterInvNr=13-P-211959", "13-P-211959")</f>
        <v>13-P-211959</v>
      </c>
      <c r="C6332">
        <v>0.24</v>
      </c>
      <c r="D6332" t="s">
        <v>8716</v>
      </c>
      <c r="E6332" t="s">
        <v>11</v>
      </c>
      <c r="G6332" t="s">
        <v>234</v>
      </c>
      <c r="H6332" t="s">
        <v>14</v>
      </c>
    </row>
    <row r="6333" spans="1:8" hidden="1" x14ac:dyDescent="0.25">
      <c r="A6333" t="s">
        <v>8717</v>
      </c>
      <c r="B6333" s="1" t="str">
        <f>HYPERLINK("https://asmlis.vasa.lt/Dashboard/Served?ServiceDateFrom=2025-11-24&amp;ServiceDateTo=2025-11-24&amp;DumpsterInvNr=13-P-103654", "13-P-103654")</f>
        <v>13-P-103654</v>
      </c>
      <c r="C6333">
        <v>0.24</v>
      </c>
      <c r="D6333" t="s">
        <v>8713</v>
      </c>
      <c r="E6333" t="s">
        <v>11</v>
      </c>
      <c r="G6333" t="s">
        <v>1917</v>
      </c>
      <c r="H6333" t="s">
        <v>432</v>
      </c>
    </row>
    <row r="6334" spans="1:8" hidden="1" x14ac:dyDescent="0.25">
      <c r="A6334" t="s">
        <v>8717</v>
      </c>
      <c r="B6334" s="1" t="str">
        <f>HYPERLINK("https://asmlis.vasa.lt/Dashboard/Served?ServiceDateFrom=2025-11-24&amp;ServiceDateTo=2025-11-24&amp;DumpsterInvNr=13-M-206023", "13-M-206023")</f>
        <v>13-M-206023</v>
      </c>
      <c r="C6334">
        <v>0.12</v>
      </c>
      <c r="D6334" t="s">
        <v>8718</v>
      </c>
      <c r="E6334" t="s">
        <v>11</v>
      </c>
      <c r="G6334" t="s">
        <v>4876</v>
      </c>
      <c r="H6334" t="s">
        <v>938</v>
      </c>
    </row>
    <row r="6335" spans="1:8" hidden="1" x14ac:dyDescent="0.25">
      <c r="A6335" t="s">
        <v>8719</v>
      </c>
      <c r="B6335" s="1" t="str">
        <f>HYPERLINK("https://asmlis.vasa.lt/Dashboard/Served?ServiceDateFrom=2025-11-24&amp;ServiceDateTo=2025-11-24&amp;DumpsterInvNr=13-L-426758", "13-L-426758")</f>
        <v>13-L-426758</v>
      </c>
      <c r="C6335">
        <v>1.1000000000000001</v>
      </c>
      <c r="D6335" t="s">
        <v>8712</v>
      </c>
      <c r="E6335" t="s">
        <v>11</v>
      </c>
      <c r="F6335" t="s">
        <v>13</v>
      </c>
      <c r="G6335" t="s">
        <v>74</v>
      </c>
      <c r="H6335" t="s">
        <v>14</v>
      </c>
    </row>
    <row r="6336" spans="1:8" hidden="1" x14ac:dyDescent="0.25">
      <c r="A6336" t="s">
        <v>8720</v>
      </c>
      <c r="B6336" s="1" t="str">
        <f>HYPERLINK("https://asmlis.vasa.lt/Dashboard/Served?ServiceDateFrom=2025-11-24&amp;ServiceDateTo=2025-11-24&amp;DumpsterInvNr=13-M-206996", "13-M-206996")</f>
        <v>13-M-206996</v>
      </c>
      <c r="C6336">
        <v>0.12</v>
      </c>
      <c r="D6336" t="s">
        <v>8721</v>
      </c>
      <c r="E6336" t="s">
        <v>11</v>
      </c>
      <c r="G6336" t="s">
        <v>4876</v>
      </c>
      <c r="H6336" t="s">
        <v>938</v>
      </c>
    </row>
    <row r="6337" spans="1:10" hidden="1" x14ac:dyDescent="0.25">
      <c r="A6337" t="s">
        <v>8722</v>
      </c>
      <c r="B6337" s="1" t="str">
        <f>HYPERLINK("https://asmlis.vasa.lt/Dashboard/Served?ServiceDateFrom=2025-11-24&amp;ServiceDateTo=2025-11-24&amp;DumpsterInvNr=13-P-413195", "13-P-413195")</f>
        <v>13-P-413195</v>
      </c>
      <c r="C6337">
        <v>0.24</v>
      </c>
      <c r="D6337" t="s">
        <v>8723</v>
      </c>
      <c r="E6337" t="s">
        <v>11</v>
      </c>
      <c r="G6337" t="s">
        <v>264</v>
      </c>
      <c r="H6337" t="s">
        <v>14</v>
      </c>
    </row>
    <row r="6338" spans="1:10" hidden="1" x14ac:dyDescent="0.25">
      <c r="A6338" t="s">
        <v>8724</v>
      </c>
      <c r="B6338" s="1" t="str">
        <f>HYPERLINK("https://asmlis.vasa.lt/Dashboard/Served?ServiceDateFrom=2025-11-24&amp;ServiceDateTo=2025-11-24&amp;DumpsterInvNr=13-L-426825", "13-L-426825")</f>
        <v>13-L-426825</v>
      </c>
      <c r="C6338">
        <v>1.1000000000000001</v>
      </c>
      <c r="D6338" t="s">
        <v>8725</v>
      </c>
      <c r="E6338" t="s">
        <v>11</v>
      </c>
      <c r="G6338" t="s">
        <v>74</v>
      </c>
      <c r="H6338" t="s">
        <v>14</v>
      </c>
    </row>
    <row r="6339" spans="1:10" hidden="1" x14ac:dyDescent="0.25">
      <c r="A6339" t="s">
        <v>8724</v>
      </c>
      <c r="B6339" s="1" t="str">
        <f>HYPERLINK("https://asmlis.vasa.lt/Dashboard/Served?ServiceDateFrom=2025-11-24&amp;ServiceDateTo=2025-11-24&amp;DumpsterInvNr=13-L-310677", "13-L-310677")</f>
        <v>13-L-310677</v>
      </c>
      <c r="C6339">
        <v>0.77</v>
      </c>
      <c r="D6339" t="s">
        <v>8726</v>
      </c>
      <c r="E6339" t="s">
        <v>11</v>
      </c>
      <c r="G6339" t="s">
        <v>9</v>
      </c>
      <c r="H6339" t="s">
        <v>14</v>
      </c>
    </row>
    <row r="6340" spans="1:10" hidden="1" x14ac:dyDescent="0.25">
      <c r="A6340" t="s">
        <v>8727</v>
      </c>
      <c r="B6340" s="1" t="str">
        <f>HYPERLINK("https://asmlis.vasa.lt/Dashboard/Served?ServiceDateFrom=2025-11-24&amp;ServiceDateTo=2025-11-24&amp;DumpsterInvNr=13-L-124885", "13-L-124885")</f>
        <v>13-L-124885</v>
      </c>
      <c r="C6340">
        <v>0.66</v>
      </c>
      <c r="D6340" t="s">
        <v>8728</v>
      </c>
      <c r="E6340" t="s">
        <v>11</v>
      </c>
      <c r="G6340" t="s">
        <v>430</v>
      </c>
      <c r="H6340" t="s">
        <v>432</v>
      </c>
    </row>
    <row r="6341" spans="1:10" hidden="1" x14ac:dyDescent="0.25">
      <c r="A6341" t="s">
        <v>8729</v>
      </c>
      <c r="B6341" s="1" t="str">
        <f>HYPERLINK("https://asmlis.vasa.lt/Dashboard/Served?ServiceDateFrom=2025-11-24&amp;ServiceDateTo=2025-11-24&amp;DumpsterInvNr=13-P-210802", "13-P-210802")</f>
        <v>13-P-210802</v>
      </c>
      <c r="C6341">
        <v>0.24</v>
      </c>
      <c r="D6341" t="s">
        <v>8730</v>
      </c>
      <c r="E6341" t="s">
        <v>11</v>
      </c>
      <c r="G6341" t="s">
        <v>234</v>
      </c>
      <c r="H6341" t="s">
        <v>14</v>
      </c>
    </row>
    <row r="6342" spans="1:10" hidden="1" x14ac:dyDescent="0.25">
      <c r="A6342" t="s">
        <v>8731</v>
      </c>
      <c r="B6342" s="1" t="str">
        <f>HYPERLINK("https://asmlis.vasa.lt/Dashboard/Served?ServiceDateFrom=2025-11-24&amp;ServiceDateTo=2025-11-24&amp;DumpsterInvNr=13-L-202183", "13-L-202183")</f>
        <v>13-L-202183</v>
      </c>
      <c r="C6342">
        <v>0.24</v>
      </c>
      <c r="D6342" t="s">
        <v>5298</v>
      </c>
      <c r="E6342" t="s">
        <v>11</v>
      </c>
      <c r="F6342" t="s">
        <v>1209</v>
      </c>
      <c r="G6342" t="s">
        <v>936</v>
      </c>
      <c r="H6342" t="s">
        <v>938</v>
      </c>
    </row>
    <row r="6343" spans="1:10" hidden="1" x14ac:dyDescent="0.25">
      <c r="A6343" t="s">
        <v>8732</v>
      </c>
      <c r="B6343" s="1" t="str">
        <f>HYPERLINK("https://asmlis.vasa.lt/Dashboard/Served?ServiceDateFrom=2025-11-24&amp;ServiceDateTo=2025-11-24&amp;DumpsterInvNr=13-P-404404", "13-P-404404")</f>
        <v>13-P-404404</v>
      </c>
      <c r="C6343">
        <v>0.24</v>
      </c>
      <c r="D6343" t="s">
        <v>8733</v>
      </c>
      <c r="E6343" t="s">
        <v>11</v>
      </c>
      <c r="G6343" t="s">
        <v>264</v>
      </c>
      <c r="H6343" t="s">
        <v>14</v>
      </c>
    </row>
    <row r="6344" spans="1:10" hidden="1" x14ac:dyDescent="0.25">
      <c r="A6344" t="s">
        <v>8734</v>
      </c>
      <c r="B6344" s="1" t="str">
        <f>HYPERLINK("https://asmlis.vasa.lt/Dashboard/Served?ServiceDateFrom=2025-11-24&amp;ServiceDateTo=2025-11-24&amp;DumpsterInvNr=13-P-306762", "13-P-306762")</f>
        <v>13-P-306762</v>
      </c>
      <c r="C6344">
        <v>1.1000000000000001</v>
      </c>
      <c r="D6344" t="s">
        <v>7789</v>
      </c>
      <c r="E6344" t="s">
        <v>11</v>
      </c>
      <c r="G6344" t="s">
        <v>412</v>
      </c>
      <c r="H6344" t="s">
        <v>14</v>
      </c>
    </row>
    <row r="6345" spans="1:10" hidden="1" x14ac:dyDescent="0.25">
      <c r="A6345" t="s">
        <v>8735</v>
      </c>
      <c r="B6345" s="1" t="str">
        <f>HYPERLINK("https://asmlis.vasa.lt/Dashboard/Served?ServiceDateFrom=2025-11-24&amp;ServiceDateTo=2025-11-24&amp;DumpsterInvNr=13-L-221422", "13-L-221422")</f>
        <v>13-L-221422</v>
      </c>
      <c r="C6345">
        <v>5</v>
      </c>
      <c r="D6345" t="s">
        <v>8736</v>
      </c>
      <c r="E6345" t="s">
        <v>11</v>
      </c>
      <c r="F6345" t="s">
        <v>8737</v>
      </c>
      <c r="G6345" t="s">
        <v>936</v>
      </c>
      <c r="H6345" t="s">
        <v>938</v>
      </c>
      <c r="J6345" t="s">
        <v>17516</v>
      </c>
    </row>
    <row r="6346" spans="1:10" hidden="1" x14ac:dyDescent="0.25">
      <c r="A6346" t="s">
        <v>8735</v>
      </c>
      <c r="B6346" s="1" t="str">
        <f>HYPERLINK("https://asmlis.vasa.lt/Dashboard/Served?ServiceDateFrom=2025-11-24&amp;ServiceDateTo=2025-11-24&amp;DumpsterInvNr=13-P-211240", "13-P-211240")</f>
        <v>13-P-211240</v>
      </c>
      <c r="C6346">
        <v>0.24</v>
      </c>
      <c r="D6346" t="s">
        <v>8739</v>
      </c>
      <c r="E6346" t="s">
        <v>11</v>
      </c>
      <c r="G6346" t="s">
        <v>234</v>
      </c>
      <c r="H6346" t="s">
        <v>14</v>
      </c>
    </row>
    <row r="6347" spans="1:10" hidden="1" x14ac:dyDescent="0.25">
      <c r="A6347" t="s">
        <v>8738</v>
      </c>
      <c r="B6347" s="1" t="str">
        <f>HYPERLINK("https://asmlis.vasa.lt/Dashboard/Served?ServiceDateFrom=2025-11-24&amp;ServiceDateTo=2025-11-24&amp;DumpsterInvNr=13-M-204394", "13-M-204394")</f>
        <v>13-M-204394</v>
      </c>
      <c r="C6347">
        <v>0.12</v>
      </c>
      <c r="D6347" t="s">
        <v>8740</v>
      </c>
      <c r="E6347" t="s">
        <v>11</v>
      </c>
      <c r="F6347" t="s">
        <v>1209</v>
      </c>
      <c r="G6347" t="s">
        <v>4876</v>
      </c>
      <c r="H6347" t="s">
        <v>938</v>
      </c>
    </row>
    <row r="6348" spans="1:10" hidden="1" x14ac:dyDescent="0.25">
      <c r="A6348" t="s">
        <v>8742</v>
      </c>
      <c r="B6348" s="1" t="str">
        <f>HYPERLINK("https://asmlis.vasa.lt/Dashboard/Served?ServiceDateFrom=2025-11-24&amp;ServiceDateTo=2025-11-24&amp;DumpsterInvNr=13-P-402407", "13-P-402407")</f>
        <v>13-P-402407</v>
      </c>
      <c r="C6348">
        <v>1.1000000000000001</v>
      </c>
      <c r="D6348" t="s">
        <v>8743</v>
      </c>
      <c r="E6348" t="s">
        <v>11</v>
      </c>
      <c r="G6348" t="s">
        <v>264</v>
      </c>
      <c r="H6348" t="s">
        <v>14</v>
      </c>
    </row>
    <row r="6349" spans="1:10" hidden="1" x14ac:dyDescent="0.25">
      <c r="A6349" t="s">
        <v>8744</v>
      </c>
      <c r="B6349" s="1" t="str">
        <f>HYPERLINK("https://asmlis.vasa.lt/Dashboard/Served?ServiceDateFrom=2025-11-24&amp;ServiceDateTo=2025-11-24&amp;DumpsterInvNr=13-L-138400", "13-L-138400")</f>
        <v>13-L-138400</v>
      </c>
      <c r="C6349">
        <v>0.24</v>
      </c>
      <c r="D6349" t="s">
        <v>8745</v>
      </c>
      <c r="E6349" t="s">
        <v>11</v>
      </c>
      <c r="G6349" t="s">
        <v>1912</v>
      </c>
      <c r="H6349" t="s">
        <v>432</v>
      </c>
    </row>
    <row r="6350" spans="1:10" hidden="1" x14ac:dyDescent="0.25">
      <c r="A6350" t="s">
        <v>8746</v>
      </c>
      <c r="B6350" s="1" t="str">
        <f>HYPERLINK("https://asmlis.vasa.lt/Dashboard/Served?ServiceDateFrom=2025-11-24&amp;ServiceDateTo=2025-11-24&amp;DumpsterInvNr=13-P-113325", "13-P-113325")</f>
        <v>13-P-113325</v>
      </c>
      <c r="C6350">
        <v>0.24</v>
      </c>
      <c r="D6350" t="s">
        <v>8745</v>
      </c>
      <c r="E6350" t="s">
        <v>11</v>
      </c>
      <c r="G6350" t="s">
        <v>1917</v>
      </c>
      <c r="H6350" t="s">
        <v>432</v>
      </c>
    </row>
    <row r="6351" spans="1:10" hidden="1" x14ac:dyDescent="0.25">
      <c r="A6351" t="s">
        <v>8747</v>
      </c>
      <c r="B6351" s="1" t="str">
        <f>HYPERLINK("https://asmlis.vasa.lt/Dashboard/Served?ServiceDateFrom=2025-11-24&amp;ServiceDateTo=2025-11-24&amp;DumpsterInvNr=13-L-225944", "13-L-225944")</f>
        <v>13-L-225944</v>
      </c>
      <c r="C6351">
        <v>0.66</v>
      </c>
      <c r="D6351" t="s">
        <v>8748</v>
      </c>
      <c r="E6351" t="s">
        <v>11</v>
      </c>
      <c r="G6351" t="s">
        <v>936</v>
      </c>
      <c r="H6351" t="s">
        <v>938</v>
      </c>
    </row>
    <row r="6352" spans="1:10" hidden="1" x14ac:dyDescent="0.25">
      <c r="A6352" t="s">
        <v>8747</v>
      </c>
      <c r="B6352" s="1" t="str">
        <f>HYPERLINK("https://asmlis.vasa.lt/Dashboard/Served?ServiceDateFrom=2025-11-24&amp;ServiceDateTo=2025-11-24&amp;DumpsterInvNr=13-L-227580", "13-L-227580")</f>
        <v>13-L-227580</v>
      </c>
      <c r="C6352">
        <v>0.24</v>
      </c>
      <c r="D6352" t="s">
        <v>1522</v>
      </c>
      <c r="E6352" t="s">
        <v>11</v>
      </c>
      <c r="F6352" t="s">
        <v>13</v>
      </c>
      <c r="G6352" t="s">
        <v>936</v>
      </c>
      <c r="H6352" t="s">
        <v>938</v>
      </c>
    </row>
    <row r="6353" spans="1:8" hidden="1" x14ac:dyDescent="0.25">
      <c r="A6353" t="s">
        <v>8749</v>
      </c>
      <c r="B6353" s="1" t="str">
        <f>HYPERLINK("https://asmlis.vasa.lt/Dashboard/Served?ServiceDateFrom=2025-11-24&amp;ServiceDateTo=2025-11-24&amp;DumpsterInvNr=13-L-422013", "13-L-422013")</f>
        <v>13-L-422013</v>
      </c>
      <c r="C6353">
        <v>5</v>
      </c>
      <c r="D6353" t="s">
        <v>8750</v>
      </c>
      <c r="E6353" t="s">
        <v>11</v>
      </c>
      <c r="F6353" t="s">
        <v>13</v>
      </c>
      <c r="G6353" t="s">
        <v>74</v>
      </c>
      <c r="H6353" t="s">
        <v>14</v>
      </c>
    </row>
    <row r="6354" spans="1:8" hidden="1" x14ac:dyDescent="0.25">
      <c r="A6354" t="s">
        <v>8749</v>
      </c>
      <c r="B6354" s="1" t="str">
        <f>HYPERLINK("https://asmlis.vasa.lt/Dashboard/Served?ServiceDateFrom=2025-11-24&amp;ServiceDateTo=2025-11-24&amp;DumpsterInvNr=13-L-117613", "13-L-117613")</f>
        <v>13-L-117613</v>
      </c>
      <c r="C6354">
        <v>0.24</v>
      </c>
      <c r="D6354" t="s">
        <v>8751</v>
      </c>
      <c r="E6354" t="s">
        <v>11</v>
      </c>
      <c r="G6354" t="s">
        <v>1912</v>
      </c>
      <c r="H6354" t="s">
        <v>432</v>
      </c>
    </row>
    <row r="6355" spans="1:8" hidden="1" x14ac:dyDescent="0.25">
      <c r="A6355" t="s">
        <v>8752</v>
      </c>
      <c r="B6355" s="1" t="str">
        <f>HYPERLINK("https://asmlis.vasa.lt/Dashboard/Served?ServiceDateFrom=2025-11-24&amp;ServiceDateTo=2025-11-24&amp;DumpsterInvNr=13-P-500751", "13-P-500751")</f>
        <v>13-P-500751</v>
      </c>
      <c r="C6355">
        <v>5</v>
      </c>
      <c r="D6355" t="s">
        <v>8753</v>
      </c>
      <c r="E6355" t="s">
        <v>11</v>
      </c>
      <c r="F6355" t="s">
        <v>13</v>
      </c>
      <c r="G6355" t="s">
        <v>2178</v>
      </c>
      <c r="H6355" t="s">
        <v>432</v>
      </c>
    </row>
    <row r="6356" spans="1:8" hidden="1" x14ac:dyDescent="0.25">
      <c r="A6356" t="s">
        <v>8754</v>
      </c>
      <c r="B6356" s="1" t="str">
        <f>HYPERLINK("https://asmlis.vasa.lt/Dashboard/Served?ServiceDateFrom=2025-11-24&amp;ServiceDateTo=2025-11-24&amp;DumpsterInvNr=13-L-317290", "13-L-317290")</f>
        <v>13-L-317290</v>
      </c>
      <c r="C6356">
        <v>0.77</v>
      </c>
      <c r="D6356" t="s">
        <v>8726</v>
      </c>
      <c r="E6356" t="s">
        <v>11</v>
      </c>
      <c r="F6356" t="s">
        <v>13</v>
      </c>
      <c r="G6356" t="s">
        <v>9</v>
      </c>
      <c r="H6356" t="s">
        <v>14</v>
      </c>
    </row>
    <row r="6357" spans="1:8" hidden="1" x14ac:dyDescent="0.25">
      <c r="A6357" t="s">
        <v>8755</v>
      </c>
      <c r="B6357" s="1" t="str">
        <f>HYPERLINK("https://asmlis.vasa.lt/Dashboard/Served?ServiceDateFrom=2025-11-24&amp;ServiceDateTo=2025-11-24&amp;DumpsterInvNr=13-M-206090", "13-M-206090")</f>
        <v>13-M-206090</v>
      </c>
      <c r="C6357">
        <v>0.12</v>
      </c>
      <c r="D6357" t="s">
        <v>8757</v>
      </c>
      <c r="E6357" t="s">
        <v>11</v>
      </c>
      <c r="F6357" t="s">
        <v>1209</v>
      </c>
      <c r="G6357" t="s">
        <v>4876</v>
      </c>
      <c r="H6357" t="s">
        <v>938</v>
      </c>
    </row>
    <row r="6358" spans="1:8" hidden="1" x14ac:dyDescent="0.25">
      <c r="A6358" t="s">
        <v>8758</v>
      </c>
      <c r="B6358" s="1" t="str">
        <f>HYPERLINK("https://asmlis.vasa.lt/Dashboard/Served?ServiceDateFrom=2025-11-24&amp;ServiceDateTo=2025-11-24&amp;DumpsterInvNr=13-P-411878", "13-P-411878")</f>
        <v>13-P-411878</v>
      </c>
      <c r="C6358">
        <v>0.24</v>
      </c>
      <c r="D6358" t="s">
        <v>8759</v>
      </c>
      <c r="E6358" t="s">
        <v>11</v>
      </c>
      <c r="G6358" t="s">
        <v>264</v>
      </c>
      <c r="H6358" t="s">
        <v>14</v>
      </c>
    </row>
    <row r="6359" spans="1:8" hidden="1" x14ac:dyDescent="0.25">
      <c r="A6359" t="s">
        <v>8758</v>
      </c>
      <c r="B6359" s="1" t="str">
        <f>HYPERLINK("https://asmlis.vasa.lt/Dashboard/Served?ServiceDateFrom=2025-11-24&amp;ServiceDateTo=2025-11-24&amp;DumpsterInvNr=13-P-212513", "13-P-212513")</f>
        <v>13-P-212513</v>
      </c>
      <c r="C6359">
        <v>0.24</v>
      </c>
      <c r="D6359" t="s">
        <v>8760</v>
      </c>
      <c r="E6359" t="s">
        <v>11</v>
      </c>
      <c r="G6359" t="s">
        <v>234</v>
      </c>
      <c r="H6359" t="s">
        <v>14</v>
      </c>
    </row>
    <row r="6360" spans="1:8" hidden="1" x14ac:dyDescent="0.25">
      <c r="A6360" t="s">
        <v>8761</v>
      </c>
      <c r="B6360" s="1" t="str">
        <f>HYPERLINK("https://asmlis.vasa.lt/Dashboard/Served?ServiceDateFrom=2025-11-24&amp;ServiceDateTo=2025-11-24&amp;DumpsterInvNr=13-P-414562", "13-P-414562")</f>
        <v>13-P-414562</v>
      </c>
      <c r="C6360">
        <v>0.24</v>
      </c>
      <c r="D6360" t="s">
        <v>8762</v>
      </c>
      <c r="E6360" t="s">
        <v>11</v>
      </c>
      <c r="G6360" t="s">
        <v>264</v>
      </c>
      <c r="H6360" t="s">
        <v>14</v>
      </c>
    </row>
    <row r="6361" spans="1:8" hidden="1" x14ac:dyDescent="0.25">
      <c r="A6361" t="s">
        <v>8761</v>
      </c>
      <c r="B6361" s="1" t="str">
        <f>HYPERLINK("https://asmlis.vasa.lt/Dashboard/Served?ServiceDateFrom=2025-11-24&amp;ServiceDateTo=2025-11-24&amp;DumpsterInvNr=13-S-206747", "13-S-206747")</f>
        <v>13-S-206747</v>
      </c>
      <c r="C6361">
        <v>0.12</v>
      </c>
      <c r="D6361" t="s">
        <v>8760</v>
      </c>
      <c r="E6361" t="s">
        <v>11</v>
      </c>
      <c r="F6361" t="s">
        <v>1209</v>
      </c>
      <c r="G6361" t="s">
        <v>234</v>
      </c>
      <c r="H6361" t="s">
        <v>14</v>
      </c>
    </row>
    <row r="6362" spans="1:8" hidden="1" x14ac:dyDescent="0.25">
      <c r="A6362" t="s">
        <v>8764</v>
      </c>
      <c r="B6362" s="1" t="str">
        <f>HYPERLINK("https://asmlis.vasa.lt/Dashboard/Served?ServiceDateFrom=2025-11-24&amp;ServiceDateTo=2025-11-24&amp;DumpsterInvNr=13-L-138399", "13-L-138399")</f>
        <v>13-L-138399</v>
      </c>
      <c r="C6362">
        <v>0.24</v>
      </c>
      <c r="D6362" t="s">
        <v>8765</v>
      </c>
      <c r="E6362" t="s">
        <v>11</v>
      </c>
      <c r="G6362" t="s">
        <v>1912</v>
      </c>
      <c r="H6362" t="s">
        <v>432</v>
      </c>
    </row>
    <row r="6363" spans="1:8" hidden="1" x14ac:dyDescent="0.25">
      <c r="A6363" t="s">
        <v>8767</v>
      </c>
      <c r="B6363" s="1" t="str">
        <f>HYPERLINK("https://asmlis.vasa.lt/Dashboard/Served?ServiceDateFrom=2025-11-24&amp;ServiceDateTo=2025-11-24&amp;DumpsterInvNr=13-L-215748", "13-L-215748")</f>
        <v>13-L-215748</v>
      </c>
      <c r="C6363">
        <v>1.1000000000000001</v>
      </c>
      <c r="D6363" t="s">
        <v>8768</v>
      </c>
      <c r="E6363" t="s">
        <v>11</v>
      </c>
      <c r="G6363" t="s">
        <v>936</v>
      </c>
      <c r="H6363" t="s">
        <v>938</v>
      </c>
    </row>
    <row r="6364" spans="1:8" hidden="1" x14ac:dyDescent="0.25">
      <c r="A6364" t="s">
        <v>8769</v>
      </c>
      <c r="B6364" s="1" t="str">
        <f>HYPERLINK("https://asmlis.vasa.lt/Dashboard/Served?ServiceDateFrom=2025-11-24&amp;ServiceDateTo=2025-11-24&amp;DumpsterInvNr=13-L-138398", "13-L-138398")</f>
        <v>13-L-138398</v>
      </c>
      <c r="C6364">
        <v>0.24</v>
      </c>
      <c r="D6364" t="s">
        <v>8770</v>
      </c>
      <c r="E6364" t="s">
        <v>11</v>
      </c>
      <c r="G6364" t="s">
        <v>1912</v>
      </c>
      <c r="H6364" t="s">
        <v>432</v>
      </c>
    </row>
    <row r="6365" spans="1:8" hidden="1" x14ac:dyDescent="0.25">
      <c r="A6365" t="s">
        <v>8771</v>
      </c>
      <c r="B6365" s="1" t="str">
        <f>HYPERLINK("https://asmlis.vasa.lt/Dashboard/Served?ServiceDateFrom=2025-11-24&amp;ServiceDateTo=2025-11-24&amp;DumpsterInvNr=13-P-306829", "13-P-306829")</f>
        <v>13-P-306829</v>
      </c>
      <c r="C6365">
        <v>1.1000000000000001</v>
      </c>
      <c r="D6365" t="s">
        <v>7871</v>
      </c>
      <c r="E6365" t="s">
        <v>11</v>
      </c>
      <c r="F6365" t="s">
        <v>13</v>
      </c>
      <c r="G6365" t="s">
        <v>412</v>
      </c>
      <c r="H6365" t="s">
        <v>14</v>
      </c>
    </row>
    <row r="6366" spans="1:8" hidden="1" x14ac:dyDescent="0.25">
      <c r="A6366" t="s">
        <v>8772</v>
      </c>
      <c r="B6366" s="1" t="str">
        <f>HYPERLINK("https://asmlis.vasa.lt/Dashboard/Served?ServiceDateFrom=2025-11-24&amp;ServiceDateTo=2025-11-24&amp;DumpsterInvNr=13-M-204714", "13-M-204714")</f>
        <v>13-M-204714</v>
      </c>
      <c r="C6366">
        <v>0.12</v>
      </c>
      <c r="D6366" t="s">
        <v>8773</v>
      </c>
      <c r="E6366" t="s">
        <v>11</v>
      </c>
      <c r="F6366" t="s">
        <v>1209</v>
      </c>
      <c r="G6366" t="s">
        <v>4876</v>
      </c>
      <c r="H6366" t="s">
        <v>938</v>
      </c>
    </row>
    <row r="6367" spans="1:8" hidden="1" x14ac:dyDescent="0.25">
      <c r="A6367" t="s">
        <v>8774</v>
      </c>
      <c r="B6367" s="1" t="str">
        <f>HYPERLINK("https://asmlis.vasa.lt/Dashboard/Served?ServiceDateFrom=2025-11-24&amp;ServiceDateTo=2025-11-24&amp;DumpsterInvNr=13-L-208637", "13-L-208637")</f>
        <v>13-L-208637</v>
      </c>
      <c r="C6367">
        <v>0.77</v>
      </c>
      <c r="D6367" t="s">
        <v>1525</v>
      </c>
      <c r="E6367" t="s">
        <v>11</v>
      </c>
      <c r="G6367" t="s">
        <v>936</v>
      </c>
      <c r="H6367" t="s">
        <v>938</v>
      </c>
    </row>
    <row r="6368" spans="1:8" hidden="1" x14ac:dyDescent="0.25">
      <c r="A6368" t="s">
        <v>8775</v>
      </c>
      <c r="B6368" s="1" t="str">
        <f>HYPERLINK("https://asmlis.vasa.lt/Dashboard/Served?ServiceDateFrom=2025-11-24&amp;ServiceDateTo=2025-11-24&amp;DumpsterInvNr=13-L-144432", "13-L-144432")</f>
        <v>13-L-144432</v>
      </c>
      <c r="C6368">
        <v>5</v>
      </c>
      <c r="D6368" t="s">
        <v>8776</v>
      </c>
      <c r="E6368" t="s">
        <v>11</v>
      </c>
      <c r="F6368" t="s">
        <v>13</v>
      </c>
      <c r="G6368" t="s">
        <v>430</v>
      </c>
      <c r="H6368" t="s">
        <v>432</v>
      </c>
    </row>
    <row r="6369" spans="1:10" hidden="1" x14ac:dyDescent="0.25">
      <c r="A6369" t="s">
        <v>8777</v>
      </c>
      <c r="B6369" s="1" t="str">
        <f>HYPERLINK("https://asmlis.vasa.lt/Dashboard/Served?ServiceDateFrom=2025-11-24&amp;ServiceDateTo=2025-11-24&amp;DumpsterInvNr=13-L-222626", "13-L-222626")</f>
        <v>13-L-222626</v>
      </c>
      <c r="C6369">
        <v>0.12</v>
      </c>
      <c r="D6369" t="s">
        <v>4850</v>
      </c>
      <c r="E6369" t="s">
        <v>11</v>
      </c>
      <c r="G6369" t="s">
        <v>936</v>
      </c>
      <c r="H6369" t="s">
        <v>938</v>
      </c>
    </row>
    <row r="6370" spans="1:10" hidden="1" x14ac:dyDescent="0.25">
      <c r="A6370" t="s">
        <v>8778</v>
      </c>
      <c r="B6370" s="1" t="str">
        <f>HYPERLINK("https://asmlis.vasa.lt/Dashboard/Served?ServiceDateFrom=2025-11-24&amp;ServiceDateTo=2025-11-24&amp;DumpsterInvNr=13-P-103619", "13-P-103619")</f>
        <v>13-P-103619</v>
      </c>
      <c r="C6370">
        <v>0.24</v>
      </c>
      <c r="D6370" t="s">
        <v>8779</v>
      </c>
      <c r="E6370" t="s">
        <v>11</v>
      </c>
      <c r="G6370" t="s">
        <v>1917</v>
      </c>
      <c r="H6370" t="s">
        <v>432</v>
      </c>
    </row>
    <row r="6371" spans="1:10" hidden="1" x14ac:dyDescent="0.25">
      <c r="A6371" t="s">
        <v>8780</v>
      </c>
      <c r="B6371" s="1" t="str">
        <f>HYPERLINK("https://asmlis.vasa.lt/Dashboard/Served?ServiceDateFrom=2025-11-24&amp;ServiceDateTo=2025-11-24&amp;DumpsterInvNr=13-L-135799", "13-L-135799")</f>
        <v>13-L-135799</v>
      </c>
      <c r="C6371">
        <v>5</v>
      </c>
      <c r="D6371" t="s">
        <v>8781</v>
      </c>
      <c r="E6371" t="s">
        <v>11</v>
      </c>
      <c r="F6371" t="s">
        <v>13</v>
      </c>
      <c r="G6371" t="s">
        <v>430</v>
      </c>
      <c r="H6371" t="s">
        <v>432</v>
      </c>
    </row>
    <row r="6372" spans="1:10" hidden="1" x14ac:dyDescent="0.25">
      <c r="A6372" t="s">
        <v>8782</v>
      </c>
      <c r="B6372" s="1" t="str">
        <f>HYPERLINK("https://asmlis.vasa.lt/Dashboard/Served?ServiceDateFrom=2025-11-24&amp;ServiceDateTo=2025-11-24&amp;DumpsterInvNr=13-P-404403", "13-P-404403")</f>
        <v>13-P-404403</v>
      </c>
      <c r="C6372">
        <v>0.24</v>
      </c>
      <c r="D6372" t="s">
        <v>8783</v>
      </c>
      <c r="E6372" t="s">
        <v>11</v>
      </c>
      <c r="G6372" t="s">
        <v>264</v>
      </c>
      <c r="H6372" t="s">
        <v>14</v>
      </c>
    </row>
    <row r="6373" spans="1:10" hidden="1" x14ac:dyDescent="0.25">
      <c r="A6373" t="s">
        <v>8784</v>
      </c>
      <c r="B6373" s="1" t="str">
        <f>HYPERLINK("https://asmlis.vasa.lt/Dashboard/Served?ServiceDateFrom=2025-11-24&amp;ServiceDateTo=2025-11-24&amp;DumpsterInvNr=13-L-426220", "13-L-426220")</f>
        <v>13-L-426220</v>
      </c>
      <c r="C6373">
        <v>0.24</v>
      </c>
      <c r="D6373" t="s">
        <v>8785</v>
      </c>
      <c r="E6373" t="s">
        <v>11</v>
      </c>
      <c r="G6373" t="s">
        <v>74</v>
      </c>
      <c r="H6373" t="s">
        <v>14</v>
      </c>
    </row>
    <row r="6374" spans="1:10" hidden="1" x14ac:dyDescent="0.25">
      <c r="A6374" t="s">
        <v>8786</v>
      </c>
      <c r="B6374" s="1" t="str">
        <f>HYPERLINK("https://asmlis.vasa.lt/Dashboard/Served?ServiceDateFrom=2025-11-24&amp;ServiceDateTo=2025-11-24&amp;DumpsterInvNr=13-L-114845", "13-L-114845")</f>
        <v>13-L-114845</v>
      </c>
      <c r="C6374">
        <v>0.24</v>
      </c>
      <c r="D6374" t="s">
        <v>8779</v>
      </c>
      <c r="E6374" t="s">
        <v>11</v>
      </c>
      <c r="G6374" t="s">
        <v>1912</v>
      </c>
      <c r="H6374" t="s">
        <v>432</v>
      </c>
    </row>
    <row r="6375" spans="1:10" hidden="1" x14ac:dyDescent="0.25">
      <c r="A6375" t="s">
        <v>8787</v>
      </c>
      <c r="B6375" s="1" t="str">
        <f>HYPERLINK("https://asmlis.vasa.lt/Dashboard/Served?ServiceDateFrom=2025-11-24&amp;ServiceDateTo=2025-11-24&amp;DumpsterInvNr=13-P-302295", "13-P-302295")</f>
        <v>13-P-302295</v>
      </c>
      <c r="C6375">
        <v>5</v>
      </c>
      <c r="D6375" t="s">
        <v>8788</v>
      </c>
      <c r="E6375" t="s">
        <v>11</v>
      </c>
      <c r="G6375" t="s">
        <v>412</v>
      </c>
      <c r="H6375" t="s">
        <v>14</v>
      </c>
    </row>
    <row r="6376" spans="1:10" hidden="1" x14ac:dyDescent="0.25">
      <c r="A6376" t="s">
        <v>8789</v>
      </c>
      <c r="B6376" s="1" t="str">
        <f>HYPERLINK("https://asmlis.vasa.lt/Dashboard/Served?ServiceDateFrom=2025-11-24&amp;ServiceDateTo=2025-11-24&amp;DumpsterInvNr=13-L-209083", "13-L-209083")</f>
        <v>13-L-209083</v>
      </c>
      <c r="C6376">
        <v>0.24</v>
      </c>
      <c r="D6376" t="s">
        <v>4915</v>
      </c>
      <c r="E6376" t="s">
        <v>11</v>
      </c>
      <c r="F6376" t="s">
        <v>13</v>
      </c>
      <c r="G6376" t="s">
        <v>936</v>
      </c>
      <c r="H6376" t="s">
        <v>938</v>
      </c>
    </row>
    <row r="6377" spans="1:10" hidden="1" x14ac:dyDescent="0.25">
      <c r="A6377" t="s">
        <v>8790</v>
      </c>
      <c r="B6377" s="1" t="str">
        <f>HYPERLINK("https://asmlis.vasa.lt/Dashboard/Served?ServiceDateFrom=2025-11-24&amp;ServiceDateTo=2025-11-24&amp;DumpsterInvNr=13-M-204261", "13-M-204261")</f>
        <v>13-M-204261</v>
      </c>
      <c r="C6377">
        <v>0.12</v>
      </c>
      <c r="D6377" t="s">
        <v>8791</v>
      </c>
      <c r="E6377" t="s">
        <v>11</v>
      </c>
      <c r="G6377" t="s">
        <v>4876</v>
      </c>
      <c r="H6377" t="s">
        <v>938</v>
      </c>
    </row>
    <row r="6378" spans="1:10" x14ac:dyDescent="0.25">
      <c r="A6378" t="s">
        <v>8663</v>
      </c>
      <c r="B6378" s="1" t="str">
        <f>HYPERLINK("https://asmlis.vasa.lt/Dashboard/Served?ServiceDateFrom=2025-11-24&amp;ServiceDateTo=2025-11-24&amp;DumpsterInvNr=13-P-400289", "13-P-400289")</f>
        <v>13-P-400289</v>
      </c>
      <c r="C6378">
        <v>0.24</v>
      </c>
      <c r="D6378" t="s">
        <v>8792</v>
      </c>
      <c r="E6378" t="s">
        <v>11</v>
      </c>
      <c r="F6378" t="s">
        <v>1215</v>
      </c>
      <c r="G6378" t="s">
        <v>264</v>
      </c>
      <c r="H6378" t="s">
        <v>14</v>
      </c>
      <c r="J6378" t="s">
        <v>17511</v>
      </c>
    </row>
    <row r="6379" spans="1:10" x14ac:dyDescent="0.25">
      <c r="A6379" t="s">
        <v>8663</v>
      </c>
      <c r="B6379" s="1" t="str">
        <f>HYPERLINK("https://asmlis.vasa.lt/Dashboard/Served?ServiceDateFrom=2025-11-24&amp;ServiceDateTo=2025-11-24&amp;DumpsterInvNr=13-P-400288", "13-P-400288")</f>
        <v>13-P-400288</v>
      </c>
      <c r="C6379">
        <v>0.24</v>
      </c>
      <c r="D6379" t="s">
        <v>8793</v>
      </c>
      <c r="E6379" t="s">
        <v>11</v>
      </c>
      <c r="F6379" t="s">
        <v>1215</v>
      </c>
      <c r="G6379" t="s">
        <v>264</v>
      </c>
      <c r="H6379" t="s">
        <v>14</v>
      </c>
      <c r="J6379" t="s">
        <v>17511</v>
      </c>
    </row>
    <row r="6380" spans="1:10" x14ac:dyDescent="0.25">
      <c r="A6380" t="s">
        <v>8663</v>
      </c>
      <c r="B6380" s="1" t="str">
        <f>HYPERLINK("https://asmlis.vasa.lt/Dashboard/Served?ServiceDateFrom=2025-11-24&amp;ServiceDateTo=2025-11-24&amp;DumpsterInvNr=13-P-404407", "13-P-404407")</f>
        <v>13-P-404407</v>
      </c>
      <c r="C6380">
        <v>0.24</v>
      </c>
      <c r="D6380" t="s">
        <v>8794</v>
      </c>
      <c r="E6380" t="s">
        <v>11</v>
      </c>
      <c r="F6380" t="s">
        <v>1215</v>
      </c>
      <c r="G6380" t="s">
        <v>264</v>
      </c>
      <c r="H6380" t="s">
        <v>14</v>
      </c>
      <c r="J6380" t="s">
        <v>17511</v>
      </c>
    </row>
    <row r="6381" spans="1:10" x14ac:dyDescent="0.25">
      <c r="A6381" t="s">
        <v>8663</v>
      </c>
      <c r="B6381" s="1" t="str">
        <f>HYPERLINK("https://asmlis.vasa.lt/Dashboard/Served?ServiceDateFrom=2025-11-24&amp;ServiceDateTo=2025-11-24&amp;DumpsterInvNr=13-P-404406", "13-P-404406")</f>
        <v>13-P-404406</v>
      </c>
      <c r="C6381">
        <v>0.24</v>
      </c>
      <c r="D6381" t="s">
        <v>8795</v>
      </c>
      <c r="E6381" t="s">
        <v>11</v>
      </c>
      <c r="F6381" t="s">
        <v>1215</v>
      </c>
      <c r="G6381" t="s">
        <v>264</v>
      </c>
      <c r="H6381" t="s">
        <v>14</v>
      </c>
      <c r="J6381" t="s">
        <v>17511</v>
      </c>
    </row>
    <row r="6382" spans="1:10" x14ac:dyDescent="0.25">
      <c r="A6382" t="s">
        <v>8663</v>
      </c>
      <c r="B6382" s="1" t="str">
        <f>HYPERLINK("https://asmlis.vasa.lt/Dashboard/Served?ServiceDateFrom=2025-11-24&amp;ServiceDateTo=2025-11-24&amp;DumpsterInvNr=13-P-400313", "13-P-400313")</f>
        <v>13-P-400313</v>
      </c>
      <c r="C6382">
        <v>0.24</v>
      </c>
      <c r="D6382" t="s">
        <v>8796</v>
      </c>
      <c r="E6382" t="s">
        <v>11</v>
      </c>
      <c r="F6382" t="s">
        <v>1215</v>
      </c>
      <c r="G6382" t="s">
        <v>264</v>
      </c>
      <c r="H6382" t="s">
        <v>14</v>
      </c>
      <c r="J6382" t="s">
        <v>17511</v>
      </c>
    </row>
    <row r="6383" spans="1:10" x14ac:dyDescent="0.25">
      <c r="A6383" t="s">
        <v>8663</v>
      </c>
      <c r="B6383" s="1" t="str">
        <f>HYPERLINK("https://asmlis.vasa.lt/Dashboard/Served?ServiceDateFrom=2025-11-24&amp;ServiceDateTo=2025-11-24&amp;DumpsterInvNr=13-P-404408", "13-P-404408")</f>
        <v>13-P-404408</v>
      </c>
      <c r="C6383">
        <v>0.24</v>
      </c>
      <c r="D6383" t="s">
        <v>8797</v>
      </c>
      <c r="E6383" t="s">
        <v>11</v>
      </c>
      <c r="F6383" t="s">
        <v>1215</v>
      </c>
      <c r="G6383" t="s">
        <v>264</v>
      </c>
      <c r="H6383" t="s">
        <v>14</v>
      </c>
      <c r="J6383" t="s">
        <v>17511</v>
      </c>
    </row>
    <row r="6384" spans="1:10" x14ac:dyDescent="0.25">
      <c r="A6384" t="s">
        <v>8663</v>
      </c>
      <c r="B6384" s="1" t="str">
        <f>HYPERLINK("https://asmlis.vasa.lt/Dashboard/Served?ServiceDateFrom=2025-11-24&amp;ServiceDateTo=2025-11-24&amp;DumpsterInvNr=13-P-400282", "13-P-400282")</f>
        <v>13-P-400282</v>
      </c>
      <c r="C6384">
        <v>0.24</v>
      </c>
      <c r="D6384" t="s">
        <v>8798</v>
      </c>
      <c r="E6384" t="s">
        <v>11</v>
      </c>
      <c r="F6384" t="s">
        <v>1215</v>
      </c>
      <c r="G6384" t="s">
        <v>264</v>
      </c>
      <c r="H6384" t="s">
        <v>14</v>
      </c>
      <c r="J6384" t="s">
        <v>17511</v>
      </c>
    </row>
    <row r="6385" spans="1:8" hidden="1" x14ac:dyDescent="0.25">
      <c r="A6385" t="s">
        <v>8799</v>
      </c>
      <c r="B6385" s="1" t="str">
        <f>HYPERLINK("https://asmlis.vasa.lt/Dashboard/Served?ServiceDateFrom=2025-11-24&amp;ServiceDateTo=2025-11-24&amp;DumpsterInvNr=13-P-111091", "13-P-111091")</f>
        <v>13-P-111091</v>
      </c>
      <c r="C6385">
        <v>1.1000000000000001</v>
      </c>
      <c r="D6385" t="s">
        <v>8800</v>
      </c>
      <c r="E6385" t="s">
        <v>11</v>
      </c>
      <c r="G6385" t="s">
        <v>1917</v>
      </c>
      <c r="H6385" t="s">
        <v>432</v>
      </c>
    </row>
    <row r="6386" spans="1:8" hidden="1" x14ac:dyDescent="0.25">
      <c r="A6386" t="s">
        <v>8801</v>
      </c>
      <c r="B6386" s="1" t="str">
        <f>HYPERLINK("https://asmlis.vasa.lt/Dashboard/Served?ServiceDateFrom=2025-11-24&amp;ServiceDateTo=2025-11-24&amp;DumpsterInvNr=13-P-404402", "13-P-404402")</f>
        <v>13-P-404402</v>
      </c>
      <c r="C6386">
        <v>0.24</v>
      </c>
      <c r="D6386" t="s">
        <v>8802</v>
      </c>
      <c r="E6386" t="s">
        <v>11</v>
      </c>
      <c r="G6386" t="s">
        <v>264</v>
      </c>
      <c r="H6386" t="s">
        <v>14</v>
      </c>
    </row>
    <row r="6387" spans="1:8" hidden="1" x14ac:dyDescent="0.25">
      <c r="A6387" t="s">
        <v>8605</v>
      </c>
      <c r="B6387" s="1" t="str">
        <f>HYPERLINK("https://asmlis.vasa.lt/Dashboard/Served?ServiceDateFrom=2025-11-24&amp;ServiceDateTo=2025-11-24&amp;DumpsterInvNr=13-L-303479", "13-L-303479")</f>
        <v>13-L-303479</v>
      </c>
      <c r="C6387">
        <v>0.77</v>
      </c>
      <c r="D6387" t="s">
        <v>8803</v>
      </c>
      <c r="E6387" t="s">
        <v>11</v>
      </c>
      <c r="G6387" t="s">
        <v>9</v>
      </c>
      <c r="H6387" t="s">
        <v>14</v>
      </c>
    </row>
    <row r="6388" spans="1:8" hidden="1" x14ac:dyDescent="0.25">
      <c r="A6388" t="s">
        <v>8804</v>
      </c>
      <c r="B6388" s="1" t="str">
        <f>HYPERLINK("https://asmlis.vasa.lt/Dashboard/Served?ServiceDateFrom=2025-11-24&amp;ServiceDateTo=2025-11-24&amp;DumpsterInvNr=13-P-211958", "13-P-211958")</f>
        <v>13-P-211958</v>
      </c>
      <c r="C6388">
        <v>0.24</v>
      </c>
      <c r="D6388" t="s">
        <v>8805</v>
      </c>
      <c r="E6388" t="s">
        <v>11</v>
      </c>
      <c r="G6388" t="s">
        <v>234</v>
      </c>
      <c r="H6388" t="s">
        <v>14</v>
      </c>
    </row>
    <row r="6389" spans="1:8" hidden="1" x14ac:dyDescent="0.25">
      <c r="A6389" t="s">
        <v>8806</v>
      </c>
      <c r="B6389" s="1" t="str">
        <f>HYPERLINK("https://asmlis.vasa.lt/Dashboard/Served?ServiceDateFrom=2025-11-24&amp;ServiceDateTo=2025-11-24&amp;DumpsterInvNr=13-L-314597", "13-L-314597")</f>
        <v>13-L-314597</v>
      </c>
      <c r="C6389">
        <v>0.77</v>
      </c>
      <c r="D6389" t="s">
        <v>2963</v>
      </c>
      <c r="E6389" t="s">
        <v>11</v>
      </c>
      <c r="G6389" t="s">
        <v>9</v>
      </c>
      <c r="H6389" t="s">
        <v>14</v>
      </c>
    </row>
    <row r="6390" spans="1:8" hidden="1" x14ac:dyDescent="0.25">
      <c r="A6390" t="s">
        <v>8807</v>
      </c>
      <c r="B6390" s="1" t="str">
        <f>HYPERLINK("https://asmlis.vasa.lt/Dashboard/Served?ServiceDateFrom=2025-11-24&amp;ServiceDateTo=2025-11-24&amp;DumpsterInvNr=13-L-426074", "13-L-426074")</f>
        <v>13-L-426074</v>
      </c>
      <c r="C6390">
        <v>1.1000000000000001</v>
      </c>
      <c r="D6390" t="s">
        <v>8712</v>
      </c>
      <c r="E6390" t="s">
        <v>11</v>
      </c>
      <c r="G6390" t="s">
        <v>74</v>
      </c>
      <c r="H6390" t="s">
        <v>14</v>
      </c>
    </row>
    <row r="6391" spans="1:8" hidden="1" x14ac:dyDescent="0.25">
      <c r="A6391" t="s">
        <v>8807</v>
      </c>
      <c r="B6391" s="1" t="str">
        <f>HYPERLINK("https://asmlis.vasa.lt/Dashboard/Served?ServiceDateFrom=2025-11-24&amp;ServiceDateTo=2025-11-24&amp;DumpsterInvNr=13-L-222105", "13-L-222105")</f>
        <v>13-L-222105</v>
      </c>
      <c r="C6391">
        <v>0.24</v>
      </c>
      <c r="D6391" t="s">
        <v>1525</v>
      </c>
      <c r="E6391" t="s">
        <v>11</v>
      </c>
      <c r="G6391" t="s">
        <v>936</v>
      </c>
      <c r="H6391" t="s">
        <v>938</v>
      </c>
    </row>
    <row r="6392" spans="1:8" hidden="1" x14ac:dyDescent="0.25">
      <c r="A6392" t="s">
        <v>8571</v>
      </c>
      <c r="B6392" s="1" t="str">
        <f>HYPERLINK("https://asmlis.vasa.lt/Dashboard/Served?ServiceDateFrom=2025-11-24&amp;ServiceDateTo=2025-11-24&amp;DumpsterInvNr=13-P-302832", "13-P-302832")</f>
        <v>13-P-302832</v>
      </c>
      <c r="C6392">
        <v>0.24</v>
      </c>
      <c r="D6392" t="s">
        <v>7932</v>
      </c>
      <c r="E6392" t="s">
        <v>11</v>
      </c>
      <c r="G6392" t="s">
        <v>412</v>
      </c>
      <c r="H6392" t="s">
        <v>14</v>
      </c>
    </row>
    <row r="6393" spans="1:8" hidden="1" x14ac:dyDescent="0.25">
      <c r="A6393" t="s">
        <v>8808</v>
      </c>
      <c r="B6393" s="1" t="str">
        <f>HYPERLINK("https://asmlis.vasa.lt/Dashboard/Served?ServiceDateFrom=2025-11-24&amp;ServiceDateTo=2025-11-24&amp;DumpsterInvNr=13-L-139892", "13-L-139892")</f>
        <v>13-L-139892</v>
      </c>
      <c r="C6393">
        <v>5</v>
      </c>
      <c r="D6393" t="s">
        <v>8809</v>
      </c>
      <c r="E6393" t="s">
        <v>11</v>
      </c>
      <c r="F6393" t="s">
        <v>13</v>
      </c>
      <c r="G6393" t="s">
        <v>1912</v>
      </c>
      <c r="H6393" t="s">
        <v>432</v>
      </c>
    </row>
    <row r="6394" spans="1:8" hidden="1" x14ac:dyDescent="0.25">
      <c r="A6394" t="s">
        <v>8808</v>
      </c>
      <c r="B6394" s="1" t="str">
        <f>HYPERLINK("https://asmlis.vasa.lt/Dashboard/Served?ServiceDateFrom=2025-11-24&amp;ServiceDateTo=2025-11-24&amp;DumpsterInvNr=13-P-414515", "13-P-414515")</f>
        <v>13-P-414515</v>
      </c>
      <c r="C6394">
        <v>0.24</v>
      </c>
      <c r="D6394" t="s">
        <v>8810</v>
      </c>
      <c r="E6394" t="s">
        <v>11</v>
      </c>
      <c r="F6394" t="s">
        <v>1209</v>
      </c>
      <c r="G6394" t="s">
        <v>264</v>
      </c>
      <c r="H6394" t="s">
        <v>14</v>
      </c>
    </row>
    <row r="6395" spans="1:8" hidden="1" x14ac:dyDescent="0.25">
      <c r="A6395" t="s">
        <v>8581</v>
      </c>
      <c r="B6395" s="1" t="str">
        <f>HYPERLINK("https://asmlis.vasa.lt/Dashboard/Served?ServiceDateFrom=2025-11-24&amp;ServiceDateTo=2025-11-24&amp;DumpsterInvNr=13-M-204756", "13-M-204756")</f>
        <v>13-M-204756</v>
      </c>
      <c r="C6395">
        <v>0.12</v>
      </c>
      <c r="D6395" t="s">
        <v>8811</v>
      </c>
      <c r="E6395" t="s">
        <v>11</v>
      </c>
      <c r="F6395" t="s">
        <v>1209</v>
      </c>
      <c r="G6395" t="s">
        <v>4876</v>
      </c>
      <c r="H6395" t="s">
        <v>938</v>
      </c>
    </row>
    <row r="6396" spans="1:8" hidden="1" x14ac:dyDescent="0.25">
      <c r="A6396" t="s">
        <v>8593</v>
      </c>
      <c r="B6396" s="1" t="str">
        <f>HYPERLINK("https://asmlis.vasa.lt/Dashboard/Served?ServiceDateFrom=2025-11-24&amp;ServiceDateTo=2025-11-24&amp;DumpsterInvNr=13-L-223078", "13-L-223078")</f>
        <v>13-L-223078</v>
      </c>
      <c r="C6396">
        <v>5</v>
      </c>
      <c r="D6396" t="s">
        <v>8813</v>
      </c>
      <c r="E6396" t="s">
        <v>11</v>
      </c>
      <c r="G6396" t="s">
        <v>936</v>
      </c>
      <c r="H6396" t="s">
        <v>938</v>
      </c>
    </row>
    <row r="6397" spans="1:8" hidden="1" x14ac:dyDescent="0.25">
      <c r="A6397" t="s">
        <v>8593</v>
      </c>
      <c r="B6397" s="1" t="str">
        <f>HYPERLINK("https://asmlis.vasa.lt/Dashboard/Served?ServiceDateFrom=2025-11-24&amp;ServiceDateTo=2025-11-24&amp;DumpsterInvNr=13-S-207211", "13-S-207211")</f>
        <v>13-S-207211</v>
      </c>
      <c r="C6397">
        <v>0.12</v>
      </c>
      <c r="D6397" t="s">
        <v>8814</v>
      </c>
      <c r="E6397" t="s">
        <v>11</v>
      </c>
      <c r="F6397" t="s">
        <v>1209</v>
      </c>
      <c r="G6397" t="s">
        <v>234</v>
      </c>
      <c r="H6397" t="s">
        <v>14</v>
      </c>
    </row>
    <row r="6398" spans="1:8" hidden="1" x14ac:dyDescent="0.25">
      <c r="A6398" t="s">
        <v>8816</v>
      </c>
      <c r="B6398" s="1" t="str">
        <f>HYPERLINK("https://asmlis.vasa.lt/Dashboard/Served?ServiceDateFrom=2025-11-24&amp;ServiceDateTo=2025-11-24&amp;DumpsterInvNr=13-L-317456", "13-L-317456")</f>
        <v>13-L-317456</v>
      </c>
      <c r="C6398">
        <v>5</v>
      </c>
      <c r="D6398" t="s">
        <v>562</v>
      </c>
      <c r="E6398" t="s">
        <v>11</v>
      </c>
      <c r="F6398" t="s">
        <v>13</v>
      </c>
      <c r="G6398" t="s">
        <v>9</v>
      </c>
      <c r="H6398" t="s">
        <v>14</v>
      </c>
    </row>
    <row r="6399" spans="1:8" hidden="1" x14ac:dyDescent="0.25">
      <c r="A6399" t="s">
        <v>8817</v>
      </c>
      <c r="B6399" s="1" t="str">
        <f>HYPERLINK("https://asmlis.vasa.lt/Dashboard/Served?ServiceDateFrom=2025-11-24&amp;ServiceDateTo=2025-11-24&amp;DumpsterInvNr=13-P-211977", "13-P-211977")</f>
        <v>13-P-211977</v>
      </c>
      <c r="C6399">
        <v>0.24</v>
      </c>
      <c r="D6399" t="s">
        <v>8818</v>
      </c>
      <c r="E6399" t="s">
        <v>11</v>
      </c>
      <c r="F6399" t="s">
        <v>1209</v>
      </c>
      <c r="G6399" t="s">
        <v>234</v>
      </c>
      <c r="H6399" t="s">
        <v>14</v>
      </c>
    </row>
    <row r="6400" spans="1:8" hidden="1" x14ac:dyDescent="0.25">
      <c r="A6400" t="s">
        <v>8819</v>
      </c>
      <c r="B6400" s="1" t="str">
        <f>HYPERLINK("https://asmlis.vasa.lt/Dashboard/Served?ServiceDateFrom=2025-11-24&amp;ServiceDateTo=2025-11-24&amp;DumpsterInvNr=13-L-424162", "13-L-424162")</f>
        <v>13-L-424162</v>
      </c>
      <c r="C6400">
        <v>1.1000000000000001</v>
      </c>
      <c r="D6400" t="s">
        <v>8712</v>
      </c>
      <c r="E6400" t="s">
        <v>11</v>
      </c>
      <c r="G6400" t="s">
        <v>74</v>
      </c>
      <c r="H6400" t="s">
        <v>14</v>
      </c>
    </row>
    <row r="6401" spans="1:10" hidden="1" x14ac:dyDescent="0.25">
      <c r="A6401" t="s">
        <v>8820</v>
      </c>
      <c r="B6401" s="1" t="str">
        <f>HYPERLINK("https://asmlis.vasa.lt/Dashboard/Served?ServiceDateFrom=2025-11-24&amp;ServiceDateTo=2025-11-24&amp;DumpsterInvNr=13-T-000150", "13-T-000150")</f>
        <v>13-T-000150</v>
      </c>
      <c r="C6401">
        <v>2.5</v>
      </c>
      <c r="D6401" t="s">
        <v>3826</v>
      </c>
      <c r="E6401" t="s">
        <v>11</v>
      </c>
      <c r="F6401" t="s">
        <v>13</v>
      </c>
      <c r="G6401" t="s">
        <v>1899</v>
      </c>
      <c r="H6401" t="s">
        <v>432</v>
      </c>
    </row>
    <row r="6402" spans="1:10" hidden="1" x14ac:dyDescent="0.25">
      <c r="A6402" t="s">
        <v>8821</v>
      </c>
      <c r="B6402" s="1" t="str">
        <f>HYPERLINK("https://asmlis.vasa.lt/Dashboard/Served?ServiceDateFrom=2025-11-24&amp;ServiceDateTo=2025-11-24&amp;DumpsterInvNr=13-P-302834", "13-P-302834")</f>
        <v>13-P-302834</v>
      </c>
      <c r="C6402">
        <v>0.24</v>
      </c>
      <c r="D6402" t="s">
        <v>7932</v>
      </c>
      <c r="E6402" t="s">
        <v>11</v>
      </c>
      <c r="F6402" t="s">
        <v>13</v>
      </c>
      <c r="G6402" t="s">
        <v>412</v>
      </c>
      <c r="H6402" t="s">
        <v>14</v>
      </c>
    </row>
    <row r="6403" spans="1:10" hidden="1" x14ac:dyDescent="0.25">
      <c r="A6403" t="s">
        <v>8602</v>
      </c>
      <c r="B6403" s="1" t="str">
        <f>HYPERLINK("https://asmlis.vasa.lt/Dashboard/Served?ServiceDateFrom=2025-11-24&amp;ServiceDateTo=2025-11-24&amp;DumpsterInvNr=13-P-413970", "13-P-413970")</f>
        <v>13-P-413970</v>
      </c>
      <c r="C6403">
        <v>5</v>
      </c>
      <c r="D6403" t="s">
        <v>8822</v>
      </c>
      <c r="E6403" t="s">
        <v>11</v>
      </c>
      <c r="F6403" t="s">
        <v>13</v>
      </c>
      <c r="G6403" t="s">
        <v>264</v>
      </c>
      <c r="H6403" t="s">
        <v>14</v>
      </c>
    </row>
    <row r="6404" spans="1:10" hidden="1" x14ac:dyDescent="0.25">
      <c r="A6404" t="s">
        <v>8741</v>
      </c>
      <c r="B6404" s="1" t="str">
        <f>HYPERLINK("https://asmlis.vasa.lt/Dashboard/Served?ServiceDateFrom=2025-11-24&amp;ServiceDateTo=2025-11-24&amp;DumpsterInvNr=13-P-103672", "13-P-103672")</f>
        <v>13-P-103672</v>
      </c>
      <c r="C6404">
        <v>0.24</v>
      </c>
      <c r="D6404" t="s">
        <v>8765</v>
      </c>
      <c r="E6404" t="s">
        <v>11</v>
      </c>
      <c r="F6404" t="s">
        <v>1209</v>
      </c>
      <c r="G6404" t="s">
        <v>1917</v>
      </c>
      <c r="H6404" t="s">
        <v>432</v>
      </c>
    </row>
    <row r="6405" spans="1:10" hidden="1" x14ac:dyDescent="0.25">
      <c r="A6405" t="s">
        <v>8823</v>
      </c>
      <c r="B6405" s="1" t="str">
        <f>HYPERLINK("https://asmlis.vasa.lt/Dashboard/Served?ServiceDateFrom=2025-11-24&amp;ServiceDateTo=2025-11-24&amp;DumpsterInvNr=13-S-211231", "13-S-211231")</f>
        <v>13-S-211231</v>
      </c>
      <c r="C6405">
        <v>3</v>
      </c>
      <c r="D6405" t="s">
        <v>8825</v>
      </c>
      <c r="E6405" t="s">
        <v>11</v>
      </c>
      <c r="G6405" t="s">
        <v>234</v>
      </c>
      <c r="H6405" t="s">
        <v>14</v>
      </c>
    </row>
    <row r="6406" spans="1:10" hidden="1" x14ac:dyDescent="0.25">
      <c r="A6406" t="s">
        <v>8826</v>
      </c>
      <c r="B6406" s="1" t="str">
        <f>HYPERLINK("https://asmlis.vasa.lt/Dashboard/Served?ServiceDateFrom=2025-11-24&amp;ServiceDateTo=2025-11-24&amp;DumpsterInvNr=13-L-138397", "13-L-138397")</f>
        <v>13-L-138397</v>
      </c>
      <c r="C6406">
        <v>0.24</v>
      </c>
      <c r="D6406" t="s">
        <v>8827</v>
      </c>
      <c r="E6406" t="s">
        <v>11</v>
      </c>
      <c r="F6406" t="s">
        <v>1209</v>
      </c>
      <c r="G6406" t="s">
        <v>1912</v>
      </c>
      <c r="H6406" t="s">
        <v>432</v>
      </c>
    </row>
    <row r="6407" spans="1:10" hidden="1" x14ac:dyDescent="0.25">
      <c r="A6407" t="s">
        <v>8828</v>
      </c>
      <c r="B6407" s="1" t="str">
        <f>HYPERLINK("https://asmlis.vasa.lt/Dashboard/Served?ServiceDateFrom=2025-11-24&amp;ServiceDateTo=2025-11-24&amp;DumpsterInvNr=13-S-210652", "13-S-210652")</f>
        <v>13-S-210652</v>
      </c>
      <c r="C6407">
        <v>0.12</v>
      </c>
      <c r="D6407" t="s">
        <v>8730</v>
      </c>
      <c r="E6407" t="s">
        <v>11</v>
      </c>
      <c r="G6407" t="s">
        <v>234</v>
      </c>
      <c r="H6407" t="s">
        <v>14</v>
      </c>
    </row>
    <row r="6408" spans="1:10" hidden="1" x14ac:dyDescent="0.25">
      <c r="A6408" t="s">
        <v>8829</v>
      </c>
      <c r="B6408" s="1" t="str">
        <f>HYPERLINK("https://asmlis.vasa.lt/Dashboard/Served?ServiceDateFrom=2025-11-24&amp;ServiceDateTo=2025-11-24&amp;DumpsterInvNr=13-T-000149", "13-T-000149")</f>
        <v>13-T-000149</v>
      </c>
      <c r="C6408">
        <v>2.5</v>
      </c>
      <c r="D6408" t="s">
        <v>3826</v>
      </c>
      <c r="E6408" t="s">
        <v>11</v>
      </c>
      <c r="F6408" t="s">
        <v>13</v>
      </c>
      <c r="G6408" t="s">
        <v>1899</v>
      </c>
      <c r="H6408" t="s">
        <v>432</v>
      </c>
    </row>
    <row r="6409" spans="1:10" hidden="1" x14ac:dyDescent="0.25">
      <c r="A6409" t="s">
        <v>8830</v>
      </c>
      <c r="B6409" s="1" t="str">
        <f>HYPERLINK("https://asmlis.vasa.lt/Dashboard/Served?ServiceDateFrom=2025-11-24&amp;ServiceDateTo=2025-11-24&amp;DumpsterInvNr=13-L-117612", "13-L-117612")</f>
        <v>13-L-117612</v>
      </c>
      <c r="C6409">
        <v>0.24</v>
      </c>
      <c r="D6409" t="s">
        <v>8831</v>
      </c>
      <c r="E6409" t="s">
        <v>11</v>
      </c>
      <c r="F6409" t="s">
        <v>1209</v>
      </c>
      <c r="G6409" t="s">
        <v>1912</v>
      </c>
      <c r="H6409" t="s">
        <v>432</v>
      </c>
    </row>
    <row r="6410" spans="1:10" x14ac:dyDescent="0.25">
      <c r="A6410" t="s">
        <v>8832</v>
      </c>
      <c r="B6410" s="1" t="str">
        <f>HYPERLINK("https://asmlis.vasa.lt/Dashboard/Served?ServiceDateFrom=2025-11-24&amp;ServiceDateTo=2025-11-24&amp;DumpsterInvNr=13-L-139465", "13-L-139465")</f>
        <v>13-L-139465</v>
      </c>
      <c r="C6410">
        <v>5</v>
      </c>
      <c r="D6410" t="s">
        <v>8833</v>
      </c>
      <c r="E6410" t="s">
        <v>11</v>
      </c>
      <c r="F6410" t="s">
        <v>2491</v>
      </c>
      <c r="G6410" t="s">
        <v>430</v>
      </c>
      <c r="H6410" t="s">
        <v>432</v>
      </c>
      <c r="J6410" t="s">
        <v>17511</v>
      </c>
    </row>
    <row r="6411" spans="1:10" hidden="1" x14ac:dyDescent="0.25">
      <c r="A6411" t="s">
        <v>8834</v>
      </c>
      <c r="B6411" s="1" t="str">
        <f>HYPERLINK("https://asmlis.vasa.lt/Dashboard/Served?ServiceDateFrom=2025-11-24&amp;ServiceDateTo=2025-11-24&amp;DumpsterInvNr=13-P-404405", "13-P-404405")</f>
        <v>13-P-404405</v>
      </c>
      <c r="C6411">
        <v>0.24</v>
      </c>
      <c r="D6411" t="s">
        <v>8835</v>
      </c>
      <c r="E6411" t="s">
        <v>11</v>
      </c>
      <c r="G6411" t="s">
        <v>264</v>
      </c>
      <c r="H6411" t="s">
        <v>14</v>
      </c>
    </row>
    <row r="6412" spans="1:10" hidden="1" x14ac:dyDescent="0.25">
      <c r="A6412" t="s">
        <v>8836</v>
      </c>
      <c r="B6412" s="1" t="str">
        <f>HYPERLINK("https://asmlis.vasa.lt/Dashboard/Served?ServiceDateFrom=2025-11-24&amp;ServiceDateTo=2025-11-24&amp;DumpsterInvNr=13-P-103653", "13-P-103653")</f>
        <v>13-P-103653</v>
      </c>
      <c r="C6412">
        <v>0.24</v>
      </c>
      <c r="D6412" t="s">
        <v>8770</v>
      </c>
      <c r="E6412" t="s">
        <v>11</v>
      </c>
      <c r="F6412" t="s">
        <v>1209</v>
      </c>
      <c r="G6412" t="s">
        <v>1917</v>
      </c>
      <c r="H6412" t="s">
        <v>432</v>
      </c>
    </row>
    <row r="6413" spans="1:10" hidden="1" x14ac:dyDescent="0.25">
      <c r="A6413" t="s">
        <v>8838</v>
      </c>
      <c r="B6413" s="1" t="str">
        <f>HYPERLINK("https://asmlis.vasa.lt/Dashboard/Served?ServiceDateFrom=2025-11-24&amp;ServiceDateTo=2025-11-24&amp;DumpsterInvNr=13-L-105325", "13-L-105325")</f>
        <v>13-L-105325</v>
      </c>
      <c r="C6413">
        <v>1.1000000000000001</v>
      </c>
      <c r="D6413" t="s">
        <v>8839</v>
      </c>
      <c r="E6413" t="s">
        <v>11</v>
      </c>
      <c r="G6413" t="s">
        <v>430</v>
      </c>
      <c r="H6413" t="s">
        <v>432</v>
      </c>
    </row>
    <row r="6414" spans="1:10" hidden="1" x14ac:dyDescent="0.25">
      <c r="A6414" t="s">
        <v>8840</v>
      </c>
      <c r="B6414" s="1" t="str">
        <f>HYPERLINK("https://asmlis.vasa.lt/Dashboard/Served?ServiceDateFrom=2025-11-24&amp;ServiceDateTo=2025-11-24&amp;DumpsterInvNr=13-L-220991", "13-L-220991")</f>
        <v>13-L-220991</v>
      </c>
      <c r="C6414">
        <v>1.1000000000000001</v>
      </c>
      <c r="D6414" t="s">
        <v>1525</v>
      </c>
      <c r="E6414" t="s">
        <v>11</v>
      </c>
      <c r="G6414" t="s">
        <v>936</v>
      </c>
      <c r="H6414" t="s">
        <v>938</v>
      </c>
    </row>
    <row r="6415" spans="1:10" hidden="1" x14ac:dyDescent="0.25">
      <c r="A6415" t="s">
        <v>8841</v>
      </c>
      <c r="B6415" s="1" t="str">
        <f>HYPERLINK("https://asmlis.vasa.lt/Dashboard/Served?ServiceDateFrom=2025-11-24&amp;ServiceDateTo=2025-11-24&amp;DumpsterInvNr=13-P-102366", "13-P-102366")</f>
        <v>13-P-102366</v>
      </c>
      <c r="C6415">
        <v>5</v>
      </c>
      <c r="D6415" t="s">
        <v>2979</v>
      </c>
      <c r="E6415" t="s">
        <v>11</v>
      </c>
      <c r="F6415" t="s">
        <v>13</v>
      </c>
      <c r="G6415" t="s">
        <v>1917</v>
      </c>
      <c r="H6415" t="s">
        <v>432</v>
      </c>
    </row>
    <row r="6416" spans="1:10" hidden="1" x14ac:dyDescent="0.25">
      <c r="A6416" t="s">
        <v>8842</v>
      </c>
      <c r="B6416" s="1" t="str">
        <f>HYPERLINK("https://asmlis.vasa.lt/Dashboard/Served?ServiceDateFrom=2025-11-24&amp;ServiceDateTo=2025-11-24&amp;DumpsterInvNr=13-L-421612", "13-L-421612")</f>
        <v>13-L-421612</v>
      </c>
      <c r="C6416">
        <v>1.1000000000000001</v>
      </c>
      <c r="D6416" t="s">
        <v>8712</v>
      </c>
      <c r="E6416" t="s">
        <v>11</v>
      </c>
      <c r="G6416" t="s">
        <v>74</v>
      </c>
      <c r="H6416" t="s">
        <v>14</v>
      </c>
    </row>
    <row r="6417" spans="1:8" hidden="1" x14ac:dyDescent="0.25">
      <c r="A6417" t="s">
        <v>8843</v>
      </c>
      <c r="B6417" s="1" t="str">
        <f>HYPERLINK("https://asmlis.vasa.lt/Dashboard/Served?ServiceDateFrom=2025-11-24&amp;ServiceDateTo=2025-11-24&amp;DumpsterInvNr=13-P-208386", "13-P-208386")</f>
        <v>13-P-208386</v>
      </c>
      <c r="C6417">
        <v>1.1000000000000001</v>
      </c>
      <c r="D6417" t="s">
        <v>8844</v>
      </c>
      <c r="E6417" t="s">
        <v>11</v>
      </c>
      <c r="F6417" t="s">
        <v>13</v>
      </c>
      <c r="G6417" t="s">
        <v>234</v>
      </c>
      <c r="H6417" t="s">
        <v>14</v>
      </c>
    </row>
    <row r="6418" spans="1:8" hidden="1" x14ac:dyDescent="0.25">
      <c r="A6418" t="s">
        <v>8845</v>
      </c>
      <c r="B6418" s="1" t="str">
        <f>HYPERLINK("https://asmlis.vasa.lt/Dashboard/Served?ServiceDateFrom=2025-11-24&amp;ServiceDateTo=2025-11-24&amp;DumpsterInvNr=13-L-422054", "13-L-422054")</f>
        <v>13-L-422054</v>
      </c>
      <c r="C6418">
        <v>5</v>
      </c>
      <c r="D6418" t="s">
        <v>8846</v>
      </c>
      <c r="E6418" t="s">
        <v>11</v>
      </c>
      <c r="G6418" t="s">
        <v>74</v>
      </c>
      <c r="H6418" t="s">
        <v>14</v>
      </c>
    </row>
    <row r="6419" spans="1:8" hidden="1" x14ac:dyDescent="0.25">
      <c r="A6419" t="s">
        <v>8847</v>
      </c>
      <c r="B6419" s="1" t="str">
        <f>HYPERLINK("https://asmlis.vasa.lt/Dashboard/Served?ServiceDateFrom=2025-11-24&amp;ServiceDateTo=2025-11-24&amp;DumpsterInvNr=13-P-508007", "13-P-508007")</f>
        <v>13-P-508007</v>
      </c>
      <c r="C6419">
        <v>5</v>
      </c>
      <c r="D6419" t="s">
        <v>5116</v>
      </c>
      <c r="E6419" t="s">
        <v>11</v>
      </c>
      <c r="F6419" t="s">
        <v>13</v>
      </c>
      <c r="G6419" t="s">
        <v>2178</v>
      </c>
      <c r="H6419" t="s">
        <v>432</v>
      </c>
    </row>
    <row r="6420" spans="1:8" hidden="1" x14ac:dyDescent="0.25">
      <c r="A6420" t="s">
        <v>8848</v>
      </c>
      <c r="B6420" s="1" t="str">
        <f>HYPERLINK("https://asmlis.vasa.lt/Dashboard/Served?ServiceDateFrom=2025-11-24&amp;ServiceDateTo=2025-11-24&amp;DumpsterInvNr=13-L-419717", "13-L-419717")</f>
        <v>13-L-419717</v>
      </c>
      <c r="C6420">
        <v>0.24</v>
      </c>
      <c r="D6420" t="s">
        <v>8849</v>
      </c>
      <c r="E6420" t="s">
        <v>11</v>
      </c>
      <c r="G6420" t="s">
        <v>74</v>
      </c>
      <c r="H6420" t="s">
        <v>14</v>
      </c>
    </row>
    <row r="6421" spans="1:8" hidden="1" x14ac:dyDescent="0.25">
      <c r="A6421" t="s">
        <v>8850</v>
      </c>
      <c r="B6421" s="1" t="str">
        <f>HYPERLINK("https://asmlis.vasa.lt/Dashboard/Served?ServiceDateFrom=2025-11-24&amp;ServiceDateTo=2025-11-24&amp;DumpsterInvNr=13-L-424364", "13-L-424364")</f>
        <v>13-L-424364</v>
      </c>
      <c r="C6421">
        <v>0.24</v>
      </c>
      <c r="D6421" t="s">
        <v>8851</v>
      </c>
      <c r="E6421" t="s">
        <v>11</v>
      </c>
      <c r="G6421" t="s">
        <v>74</v>
      </c>
      <c r="H6421" t="s">
        <v>14</v>
      </c>
    </row>
    <row r="6422" spans="1:8" hidden="1" x14ac:dyDescent="0.25">
      <c r="A6422" t="s">
        <v>8852</v>
      </c>
      <c r="B6422" s="1" t="str">
        <f>HYPERLINK("https://asmlis.vasa.lt/Dashboard/Served?ServiceDateFrom=2025-11-24&amp;ServiceDateTo=2025-11-24&amp;DumpsterInvNr=13-L-424163", "13-L-424163")</f>
        <v>13-L-424163</v>
      </c>
      <c r="C6422">
        <v>1.1000000000000001</v>
      </c>
      <c r="D6422" t="s">
        <v>8712</v>
      </c>
      <c r="E6422" t="s">
        <v>11</v>
      </c>
      <c r="F6422" t="s">
        <v>13</v>
      </c>
      <c r="G6422" t="s">
        <v>74</v>
      </c>
      <c r="H6422" t="s">
        <v>14</v>
      </c>
    </row>
    <row r="6423" spans="1:8" hidden="1" x14ac:dyDescent="0.25">
      <c r="A6423" t="s">
        <v>8853</v>
      </c>
      <c r="B6423" s="1" t="str">
        <f>HYPERLINK("https://asmlis.vasa.lt/Dashboard/Served?ServiceDateFrom=2025-11-24&amp;ServiceDateTo=2025-11-24&amp;DumpsterInvNr=13-L-421140", "13-L-421140")</f>
        <v>13-L-421140</v>
      </c>
      <c r="C6423">
        <v>1.1000000000000001</v>
      </c>
      <c r="D6423" t="s">
        <v>8712</v>
      </c>
      <c r="E6423" t="s">
        <v>11</v>
      </c>
      <c r="F6423" t="s">
        <v>13</v>
      </c>
      <c r="G6423" t="s">
        <v>74</v>
      </c>
      <c r="H6423" t="s">
        <v>14</v>
      </c>
    </row>
    <row r="6424" spans="1:8" hidden="1" x14ac:dyDescent="0.25">
      <c r="A6424" t="s">
        <v>8853</v>
      </c>
      <c r="B6424" s="1" t="str">
        <f>HYPERLINK("https://asmlis.vasa.lt/Dashboard/Served?ServiceDateFrom=2025-11-24&amp;ServiceDateTo=2025-11-24&amp;DumpsterInvNr=13-M-208088", "13-M-208088")</f>
        <v>13-M-208088</v>
      </c>
      <c r="C6424">
        <v>0.12</v>
      </c>
      <c r="D6424" t="s">
        <v>8854</v>
      </c>
      <c r="E6424" t="s">
        <v>11</v>
      </c>
      <c r="G6424" t="s">
        <v>4876</v>
      </c>
      <c r="H6424" t="s">
        <v>938</v>
      </c>
    </row>
    <row r="6425" spans="1:8" hidden="1" x14ac:dyDescent="0.25">
      <c r="A6425" t="s">
        <v>8855</v>
      </c>
      <c r="B6425" s="1" t="str">
        <f>HYPERLINK("https://asmlis.vasa.lt/Dashboard/Served?ServiceDateFrom=2025-11-24&amp;ServiceDateTo=2025-11-24&amp;DumpsterInvNr=13-P-413879", "13-P-413879")</f>
        <v>13-P-413879</v>
      </c>
      <c r="C6425">
        <v>3</v>
      </c>
      <c r="D6425" t="s">
        <v>866</v>
      </c>
      <c r="E6425" t="s">
        <v>11</v>
      </c>
      <c r="F6425" t="s">
        <v>13</v>
      </c>
      <c r="G6425" t="s">
        <v>264</v>
      </c>
      <c r="H6425" t="s">
        <v>14</v>
      </c>
    </row>
    <row r="6426" spans="1:8" hidden="1" x14ac:dyDescent="0.25">
      <c r="A6426" t="s">
        <v>8856</v>
      </c>
      <c r="B6426" s="1" t="str">
        <f>HYPERLINK("https://asmlis.vasa.lt/Dashboard/Served?ServiceDateFrom=2025-11-24&amp;ServiceDateTo=2025-11-24&amp;DumpsterInvNr=13-L-424161", "13-L-424161")</f>
        <v>13-L-424161</v>
      </c>
      <c r="C6426">
        <v>1.1000000000000001</v>
      </c>
      <c r="D6426" t="s">
        <v>8712</v>
      </c>
      <c r="E6426" t="s">
        <v>11</v>
      </c>
      <c r="F6426" t="s">
        <v>13</v>
      </c>
      <c r="G6426" t="s">
        <v>74</v>
      </c>
      <c r="H6426" t="s">
        <v>14</v>
      </c>
    </row>
    <row r="6427" spans="1:8" hidden="1" x14ac:dyDescent="0.25">
      <c r="A6427" t="s">
        <v>8856</v>
      </c>
      <c r="B6427" s="1" t="str">
        <f>HYPERLINK("https://asmlis.vasa.lt/Dashboard/Served?ServiceDateFrom=2025-11-24&amp;ServiceDateTo=2025-11-24&amp;DumpsterInvNr=13-P-412933", "13-P-412933")</f>
        <v>13-P-412933</v>
      </c>
      <c r="C6427">
        <v>0.24</v>
      </c>
      <c r="D6427" t="s">
        <v>8857</v>
      </c>
      <c r="E6427" t="s">
        <v>11</v>
      </c>
      <c r="G6427" t="s">
        <v>264</v>
      </c>
      <c r="H6427" t="s">
        <v>14</v>
      </c>
    </row>
    <row r="6428" spans="1:8" hidden="1" x14ac:dyDescent="0.25">
      <c r="A6428" t="s">
        <v>8858</v>
      </c>
      <c r="B6428" s="1" t="str">
        <f>HYPERLINK("https://asmlis.vasa.lt/Dashboard/Served?ServiceDateFrom=2025-11-24&amp;ServiceDateTo=2025-11-24&amp;DumpsterInvNr=13-L-421613", "13-L-421613")</f>
        <v>13-L-421613</v>
      </c>
      <c r="C6428">
        <v>1.1000000000000001</v>
      </c>
      <c r="D6428" t="s">
        <v>8712</v>
      </c>
      <c r="E6428" t="s">
        <v>11</v>
      </c>
      <c r="F6428" t="s">
        <v>13</v>
      </c>
      <c r="G6428" t="s">
        <v>74</v>
      </c>
      <c r="H6428" t="s">
        <v>14</v>
      </c>
    </row>
    <row r="6429" spans="1:8" hidden="1" x14ac:dyDescent="0.25">
      <c r="A6429" t="s">
        <v>8859</v>
      </c>
      <c r="B6429" s="1" t="str">
        <f>HYPERLINK("https://asmlis.vasa.lt/Dashboard/Served?ServiceDateFrom=2025-11-24&amp;ServiceDateTo=2025-11-24&amp;DumpsterInvNr=13-L-421614", "13-L-421614")</f>
        <v>13-L-421614</v>
      </c>
      <c r="C6429">
        <v>1.1000000000000001</v>
      </c>
      <c r="D6429" t="s">
        <v>8712</v>
      </c>
      <c r="E6429" t="s">
        <v>11</v>
      </c>
      <c r="F6429" t="s">
        <v>13</v>
      </c>
      <c r="G6429" t="s">
        <v>74</v>
      </c>
      <c r="H6429" t="s">
        <v>14</v>
      </c>
    </row>
    <row r="6430" spans="1:8" hidden="1" x14ac:dyDescent="0.25">
      <c r="A6430" t="s">
        <v>8860</v>
      </c>
      <c r="B6430" s="1" t="str">
        <f>HYPERLINK("https://asmlis.vasa.lt/Dashboard/Served?ServiceDateFrom=2025-11-24&amp;ServiceDateTo=2025-11-24&amp;DumpsterInvNr=13-P-302298", "13-P-302298")</f>
        <v>13-P-302298</v>
      </c>
      <c r="C6430">
        <v>5</v>
      </c>
      <c r="D6430" t="s">
        <v>8861</v>
      </c>
      <c r="E6430" t="s">
        <v>11</v>
      </c>
      <c r="G6430" t="s">
        <v>412</v>
      </c>
      <c r="H6430" t="s">
        <v>14</v>
      </c>
    </row>
    <row r="6431" spans="1:8" hidden="1" x14ac:dyDescent="0.25">
      <c r="A6431" t="s">
        <v>8860</v>
      </c>
      <c r="B6431" s="1" t="str">
        <f>HYPERLINK("https://asmlis.vasa.lt/Dashboard/Served?ServiceDateFrom=2025-11-24&amp;ServiceDateTo=2025-11-24&amp;DumpsterInvNr=13-P-102365", "13-P-102365")</f>
        <v>13-P-102365</v>
      </c>
      <c r="C6431">
        <v>5</v>
      </c>
      <c r="D6431" t="s">
        <v>3059</v>
      </c>
      <c r="E6431" t="s">
        <v>11</v>
      </c>
      <c r="F6431" t="s">
        <v>13</v>
      </c>
      <c r="G6431" t="s">
        <v>1917</v>
      </c>
      <c r="H6431" t="s">
        <v>432</v>
      </c>
    </row>
    <row r="6432" spans="1:8" hidden="1" x14ac:dyDescent="0.25">
      <c r="A6432" t="s">
        <v>8862</v>
      </c>
      <c r="B6432" s="1" t="str">
        <f>HYPERLINK("https://asmlis.vasa.lt/Dashboard/Served?ServiceDateFrom=2025-11-24&amp;ServiceDateTo=2025-11-24&amp;DumpsterInvNr=13-L-224931", "13-L-224931")</f>
        <v>13-L-224931</v>
      </c>
      <c r="C6432">
        <v>1.1000000000000001</v>
      </c>
      <c r="D6432" t="s">
        <v>1525</v>
      </c>
      <c r="E6432" t="s">
        <v>11</v>
      </c>
      <c r="G6432" t="s">
        <v>936</v>
      </c>
      <c r="H6432" t="s">
        <v>938</v>
      </c>
    </row>
    <row r="6433" spans="1:8" hidden="1" x14ac:dyDescent="0.25">
      <c r="A6433" t="s">
        <v>8862</v>
      </c>
      <c r="B6433" s="1" t="str">
        <f>HYPERLINK("https://asmlis.vasa.lt/Dashboard/Served?ServiceDateFrom=2025-11-24&amp;ServiceDateTo=2025-11-24&amp;DumpsterInvNr=13-P-211972", "13-P-211972")</f>
        <v>13-P-211972</v>
      </c>
      <c r="C6433">
        <v>0.24</v>
      </c>
      <c r="D6433" t="s">
        <v>8863</v>
      </c>
      <c r="E6433" t="s">
        <v>11</v>
      </c>
      <c r="F6433" t="s">
        <v>1209</v>
      </c>
      <c r="G6433" t="s">
        <v>234</v>
      </c>
      <c r="H6433" t="s">
        <v>14</v>
      </c>
    </row>
    <row r="6434" spans="1:8" hidden="1" x14ac:dyDescent="0.25">
      <c r="A6434" t="s">
        <v>8864</v>
      </c>
      <c r="B6434" s="1" t="str">
        <f>HYPERLINK("https://asmlis.vasa.lt/Dashboard/Served?ServiceDateFrom=2025-11-24&amp;ServiceDateTo=2025-11-24&amp;DumpsterInvNr=13-L-113426", "13-L-113426")</f>
        <v>13-L-113426</v>
      </c>
      <c r="C6434">
        <v>0.24</v>
      </c>
      <c r="D6434" t="s">
        <v>8865</v>
      </c>
      <c r="E6434" t="s">
        <v>11</v>
      </c>
      <c r="G6434" t="s">
        <v>1912</v>
      </c>
      <c r="H6434" t="s">
        <v>432</v>
      </c>
    </row>
    <row r="6435" spans="1:8" hidden="1" x14ac:dyDescent="0.25">
      <c r="A6435" t="s">
        <v>8864</v>
      </c>
      <c r="B6435" s="1" t="str">
        <f>HYPERLINK("https://asmlis.vasa.lt/Dashboard/Served?ServiceDateFrom=2025-11-24&amp;ServiceDateTo=2025-11-24&amp;DumpsterInvNr=13-L-111225", "13-L-111225")</f>
        <v>13-L-111225</v>
      </c>
      <c r="C6435">
        <v>0.12</v>
      </c>
      <c r="D6435" t="s">
        <v>8866</v>
      </c>
      <c r="E6435" t="s">
        <v>11</v>
      </c>
      <c r="G6435" t="s">
        <v>1912</v>
      </c>
      <c r="H6435" t="s">
        <v>432</v>
      </c>
    </row>
    <row r="6436" spans="1:8" hidden="1" x14ac:dyDescent="0.25">
      <c r="A6436" t="s">
        <v>8867</v>
      </c>
      <c r="B6436" s="1" t="str">
        <f>HYPERLINK("https://asmlis.vasa.lt/Dashboard/Served?ServiceDateFrom=2025-11-24&amp;ServiceDateTo=2025-11-24&amp;DumpsterInvNr=13-L-426777", "13-L-426777")</f>
        <v>13-L-426777</v>
      </c>
      <c r="C6436">
        <v>1.1000000000000001</v>
      </c>
      <c r="D6436" t="s">
        <v>8712</v>
      </c>
      <c r="E6436" t="s">
        <v>11</v>
      </c>
      <c r="F6436" t="s">
        <v>13</v>
      </c>
      <c r="G6436" t="s">
        <v>74</v>
      </c>
      <c r="H6436" t="s">
        <v>14</v>
      </c>
    </row>
    <row r="6437" spans="1:8" hidden="1" x14ac:dyDescent="0.25">
      <c r="A6437" t="s">
        <v>8868</v>
      </c>
      <c r="B6437" s="1" t="str">
        <f>HYPERLINK("https://asmlis.vasa.lt/Dashboard/Served?ServiceDateFrom=2025-11-24&amp;ServiceDateTo=2025-11-24&amp;DumpsterInvNr=13-P-210678", "13-P-210678")</f>
        <v>13-P-210678</v>
      </c>
      <c r="C6437">
        <v>0.24</v>
      </c>
      <c r="D6437" t="s">
        <v>8869</v>
      </c>
      <c r="E6437" t="s">
        <v>11</v>
      </c>
      <c r="F6437" t="s">
        <v>1209</v>
      </c>
      <c r="G6437" t="s">
        <v>234</v>
      </c>
      <c r="H6437" t="s">
        <v>14</v>
      </c>
    </row>
    <row r="6438" spans="1:8" hidden="1" x14ac:dyDescent="0.25">
      <c r="A6438" t="s">
        <v>8868</v>
      </c>
      <c r="B6438" s="1" t="str">
        <f>HYPERLINK("https://asmlis.vasa.lt/Dashboard/Served?ServiceDateFrom=2025-11-24&amp;ServiceDateTo=2025-11-24&amp;DumpsterInvNr=13-S-210703", "13-S-210703")</f>
        <v>13-S-210703</v>
      </c>
      <c r="C6438">
        <v>0.12</v>
      </c>
      <c r="D6438" t="s">
        <v>8870</v>
      </c>
      <c r="E6438" t="s">
        <v>11</v>
      </c>
      <c r="F6438" t="s">
        <v>1209</v>
      </c>
      <c r="G6438" t="s">
        <v>234</v>
      </c>
      <c r="H6438" t="s">
        <v>14</v>
      </c>
    </row>
    <row r="6439" spans="1:8" hidden="1" x14ac:dyDescent="0.25">
      <c r="A6439" t="s">
        <v>8871</v>
      </c>
      <c r="B6439" s="1" t="str">
        <f>HYPERLINK("https://asmlis.vasa.lt/Dashboard/Served?ServiceDateFrom=2025-11-24&amp;ServiceDateTo=2025-11-24&amp;DumpsterInvNr=13-P-300128", "13-P-300128")</f>
        <v>13-P-300128</v>
      </c>
      <c r="C6439">
        <v>0.66</v>
      </c>
      <c r="D6439" t="s">
        <v>8872</v>
      </c>
      <c r="E6439" t="s">
        <v>11</v>
      </c>
      <c r="G6439" t="s">
        <v>412</v>
      </c>
      <c r="H6439" t="s">
        <v>14</v>
      </c>
    </row>
    <row r="6440" spans="1:8" hidden="1" x14ac:dyDescent="0.25">
      <c r="A6440" t="s">
        <v>8873</v>
      </c>
      <c r="B6440" s="1" t="str">
        <f>HYPERLINK("https://asmlis.vasa.lt/Dashboard/Served?ServiceDateFrom=2025-11-24&amp;ServiceDateTo=2025-11-24&amp;DumpsterInvNr=13-L-316909", "13-L-316909")</f>
        <v>13-L-316909</v>
      </c>
      <c r="C6440">
        <v>5</v>
      </c>
      <c r="D6440" t="s">
        <v>586</v>
      </c>
      <c r="E6440" t="s">
        <v>11</v>
      </c>
      <c r="F6440" t="s">
        <v>13</v>
      </c>
      <c r="G6440" t="s">
        <v>9</v>
      </c>
      <c r="H6440" t="s">
        <v>14</v>
      </c>
    </row>
    <row r="6441" spans="1:8" hidden="1" x14ac:dyDescent="0.25">
      <c r="A6441" t="s">
        <v>8874</v>
      </c>
      <c r="B6441" s="1" t="str">
        <f>HYPERLINK("https://asmlis.vasa.lt/Dashboard/Served?ServiceDateFrom=2025-11-24&amp;ServiceDateTo=2025-11-24&amp;DumpsterInvNr=13-L-421133", "13-L-421133")</f>
        <v>13-L-421133</v>
      </c>
      <c r="C6441">
        <v>1.1000000000000001</v>
      </c>
      <c r="D6441" t="s">
        <v>8712</v>
      </c>
      <c r="E6441" t="s">
        <v>11</v>
      </c>
      <c r="F6441" t="s">
        <v>13</v>
      </c>
      <c r="G6441" t="s">
        <v>74</v>
      </c>
      <c r="H6441" t="s">
        <v>14</v>
      </c>
    </row>
    <row r="6442" spans="1:8" hidden="1" x14ac:dyDescent="0.25">
      <c r="A6442" t="s">
        <v>8875</v>
      </c>
      <c r="B6442" s="1" t="str">
        <f>HYPERLINK("https://asmlis.vasa.lt/Dashboard/Served?ServiceDateFrom=2025-11-24&amp;ServiceDateTo=2025-11-24&amp;DumpsterInvNr=13-L-421177", "13-L-421177")</f>
        <v>13-L-421177</v>
      </c>
      <c r="C6442">
        <v>1.1000000000000001</v>
      </c>
      <c r="D6442" t="s">
        <v>8712</v>
      </c>
      <c r="E6442" t="s">
        <v>11</v>
      </c>
      <c r="F6442" t="s">
        <v>13</v>
      </c>
      <c r="G6442" t="s">
        <v>74</v>
      </c>
      <c r="H6442" t="s">
        <v>14</v>
      </c>
    </row>
    <row r="6443" spans="1:8" hidden="1" x14ac:dyDescent="0.25">
      <c r="A6443" t="s">
        <v>8876</v>
      </c>
      <c r="B6443" s="1" t="str">
        <f>HYPERLINK("https://asmlis.vasa.lt/Dashboard/Served?ServiceDateFrom=2025-11-24&amp;ServiceDateTo=2025-11-24&amp;DumpsterInvNr=13-L-404384", "13-L-404384")</f>
        <v>13-L-404384</v>
      </c>
      <c r="C6443">
        <v>0.24</v>
      </c>
      <c r="D6443" t="s">
        <v>8877</v>
      </c>
      <c r="E6443" t="s">
        <v>11</v>
      </c>
      <c r="G6443" t="s">
        <v>74</v>
      </c>
      <c r="H6443" t="s">
        <v>14</v>
      </c>
    </row>
    <row r="6444" spans="1:8" hidden="1" x14ac:dyDescent="0.25">
      <c r="A6444" t="s">
        <v>8878</v>
      </c>
      <c r="B6444" s="1" t="str">
        <f>HYPERLINK("https://asmlis.vasa.lt/Dashboard/Served?ServiceDateFrom=2025-11-24&amp;ServiceDateTo=2025-11-24&amp;DumpsterInvNr=13-S-207876", "13-S-207876")</f>
        <v>13-S-207876</v>
      </c>
      <c r="C6444">
        <v>3</v>
      </c>
      <c r="D6444" t="s">
        <v>8825</v>
      </c>
      <c r="E6444" t="s">
        <v>11</v>
      </c>
      <c r="G6444" t="s">
        <v>234</v>
      </c>
      <c r="H6444" t="s">
        <v>14</v>
      </c>
    </row>
    <row r="6445" spans="1:8" hidden="1" x14ac:dyDescent="0.25">
      <c r="A6445" t="s">
        <v>8879</v>
      </c>
      <c r="B6445" s="1" t="str">
        <f>HYPERLINK("https://asmlis.vasa.lt/Dashboard/Served?ServiceDateFrom=2025-11-24&amp;ServiceDateTo=2025-11-24&amp;DumpsterInvNr=13-P-110059", "13-P-110059")</f>
        <v>13-P-110059</v>
      </c>
      <c r="C6445">
        <v>0.12</v>
      </c>
      <c r="D6445" t="s">
        <v>8880</v>
      </c>
      <c r="E6445" t="s">
        <v>11</v>
      </c>
      <c r="G6445" t="s">
        <v>1917</v>
      </c>
      <c r="H6445" t="s">
        <v>432</v>
      </c>
    </row>
    <row r="6446" spans="1:8" hidden="1" x14ac:dyDescent="0.25">
      <c r="A6446" t="s">
        <v>8881</v>
      </c>
      <c r="B6446" s="1" t="str">
        <f>HYPERLINK("https://asmlis.vasa.lt/Dashboard/Served?ServiceDateFrom=2025-11-24&amp;ServiceDateTo=2025-11-24&amp;DumpsterInvNr=13-S-208511", "13-S-208511")</f>
        <v>13-S-208511</v>
      </c>
      <c r="C6446">
        <v>0.12</v>
      </c>
      <c r="D6446" t="s">
        <v>8716</v>
      </c>
      <c r="E6446" t="s">
        <v>11</v>
      </c>
      <c r="G6446" t="s">
        <v>234</v>
      </c>
      <c r="H6446" t="s">
        <v>14</v>
      </c>
    </row>
    <row r="6447" spans="1:8" hidden="1" x14ac:dyDescent="0.25">
      <c r="A6447" t="s">
        <v>8882</v>
      </c>
      <c r="B6447" s="1" t="str">
        <f>HYPERLINK("https://asmlis.vasa.lt/Dashboard/Served?ServiceDateFrom=2025-11-24&amp;ServiceDateTo=2025-11-24&amp;DumpsterInvNr=13-L-221156", "13-L-221156")</f>
        <v>13-L-221156</v>
      </c>
      <c r="C6447">
        <v>0.12</v>
      </c>
      <c r="D6447" t="s">
        <v>5047</v>
      </c>
      <c r="E6447" t="s">
        <v>11</v>
      </c>
      <c r="G6447" t="s">
        <v>936</v>
      </c>
      <c r="H6447" t="s">
        <v>938</v>
      </c>
    </row>
    <row r="6448" spans="1:8" hidden="1" x14ac:dyDescent="0.25">
      <c r="A6448" t="s">
        <v>8882</v>
      </c>
      <c r="B6448" s="1" t="str">
        <f>HYPERLINK("https://asmlis.vasa.lt/Dashboard/Served?ServiceDateFrom=2025-11-24&amp;ServiceDateTo=2025-11-24&amp;DumpsterInvNr=13-L-424165", "13-L-424165")</f>
        <v>13-L-424165</v>
      </c>
      <c r="C6448">
        <v>1.1000000000000001</v>
      </c>
      <c r="D6448" t="s">
        <v>8712</v>
      </c>
      <c r="E6448" t="s">
        <v>11</v>
      </c>
      <c r="F6448" t="s">
        <v>13</v>
      </c>
      <c r="G6448" t="s">
        <v>74</v>
      </c>
      <c r="H6448" t="s">
        <v>14</v>
      </c>
    </row>
    <row r="6449" spans="1:8" hidden="1" x14ac:dyDescent="0.25">
      <c r="A6449" t="s">
        <v>8883</v>
      </c>
      <c r="B6449" s="1" t="str">
        <f>HYPERLINK("https://asmlis.vasa.lt/Dashboard/Served?ServiceDateFrom=2025-11-24&amp;ServiceDateTo=2025-11-24&amp;DumpsterInvNr=13-L-212443", "13-L-212443")</f>
        <v>13-L-212443</v>
      </c>
      <c r="C6449">
        <v>1.1000000000000001</v>
      </c>
      <c r="D6449" t="s">
        <v>8884</v>
      </c>
      <c r="E6449" t="s">
        <v>11</v>
      </c>
      <c r="G6449" t="s">
        <v>936</v>
      </c>
      <c r="H6449" t="s">
        <v>938</v>
      </c>
    </row>
    <row r="6450" spans="1:8" hidden="1" x14ac:dyDescent="0.25">
      <c r="A6450" t="s">
        <v>8885</v>
      </c>
      <c r="B6450" s="1" t="str">
        <f>HYPERLINK("https://asmlis.vasa.lt/Dashboard/Served?ServiceDateFrom=2025-11-24&amp;ServiceDateTo=2025-11-24&amp;DumpsterInvNr=13-L-421616", "13-L-421616")</f>
        <v>13-L-421616</v>
      </c>
      <c r="C6450">
        <v>1.1000000000000001</v>
      </c>
      <c r="D6450" t="s">
        <v>8712</v>
      </c>
      <c r="E6450" t="s">
        <v>11</v>
      </c>
      <c r="F6450" t="s">
        <v>13</v>
      </c>
      <c r="G6450" t="s">
        <v>74</v>
      </c>
      <c r="H6450" t="s">
        <v>14</v>
      </c>
    </row>
    <row r="6451" spans="1:8" hidden="1" x14ac:dyDescent="0.25">
      <c r="A6451" t="s">
        <v>8886</v>
      </c>
      <c r="B6451" s="1" t="str">
        <f>HYPERLINK("https://asmlis.vasa.lt/Dashboard/Served?ServiceDateFrom=2025-11-24&amp;ServiceDateTo=2025-11-24&amp;DumpsterInvNr=13-P-208737", "13-P-208737")</f>
        <v>13-P-208737</v>
      </c>
      <c r="C6451">
        <v>0.24</v>
      </c>
      <c r="D6451" t="s">
        <v>8870</v>
      </c>
      <c r="E6451" t="s">
        <v>11</v>
      </c>
      <c r="F6451" t="s">
        <v>1209</v>
      </c>
      <c r="G6451" t="s">
        <v>234</v>
      </c>
      <c r="H6451" t="s">
        <v>14</v>
      </c>
    </row>
    <row r="6452" spans="1:8" hidden="1" x14ac:dyDescent="0.25">
      <c r="A6452" t="s">
        <v>8887</v>
      </c>
      <c r="B6452" s="1" t="str">
        <f>HYPERLINK("https://asmlis.vasa.lt/Dashboard/Served?ServiceDateFrom=2025-11-24&amp;ServiceDateTo=2025-11-24&amp;DumpsterInvNr=13-L-424365", "13-L-424365")</f>
        <v>13-L-424365</v>
      </c>
      <c r="C6452">
        <v>0.24</v>
      </c>
      <c r="D6452" t="s">
        <v>8851</v>
      </c>
      <c r="E6452" t="s">
        <v>11</v>
      </c>
      <c r="F6452" t="s">
        <v>1209</v>
      </c>
      <c r="G6452" t="s">
        <v>74</v>
      </c>
      <c r="H6452" t="s">
        <v>14</v>
      </c>
    </row>
    <row r="6453" spans="1:8" hidden="1" x14ac:dyDescent="0.25">
      <c r="A6453" t="s">
        <v>8888</v>
      </c>
      <c r="B6453" s="1" t="str">
        <f>HYPERLINK("https://asmlis.vasa.lt/Dashboard/Served?ServiceDateFrom=2025-11-24&amp;ServiceDateTo=2025-11-24&amp;DumpsterInvNr=13-L-140690", "13-L-140690")</f>
        <v>13-L-140690</v>
      </c>
      <c r="C6453">
        <v>0.66</v>
      </c>
      <c r="D6453" t="s">
        <v>8889</v>
      </c>
      <c r="E6453" t="s">
        <v>11</v>
      </c>
      <c r="G6453" t="s">
        <v>1912</v>
      </c>
      <c r="H6453" t="s">
        <v>432</v>
      </c>
    </row>
    <row r="6454" spans="1:8" hidden="1" x14ac:dyDescent="0.25">
      <c r="A6454" t="s">
        <v>8890</v>
      </c>
      <c r="B6454" s="1" t="str">
        <f>HYPERLINK("https://asmlis.vasa.lt/Dashboard/Served?ServiceDateFrom=2025-11-24&amp;ServiceDateTo=2025-11-24&amp;DumpsterInvNr=13-L-404385", "13-L-404385")</f>
        <v>13-L-404385</v>
      </c>
      <c r="C6454">
        <v>0.24</v>
      </c>
      <c r="D6454" t="s">
        <v>8891</v>
      </c>
      <c r="E6454" t="s">
        <v>11</v>
      </c>
      <c r="F6454" t="s">
        <v>1209</v>
      </c>
      <c r="G6454" t="s">
        <v>74</v>
      </c>
      <c r="H6454" t="s">
        <v>14</v>
      </c>
    </row>
    <row r="6455" spans="1:8" hidden="1" x14ac:dyDescent="0.25">
      <c r="A6455" t="s">
        <v>8892</v>
      </c>
      <c r="B6455" s="1" t="str">
        <f>HYPERLINK("https://asmlis.vasa.lt/Dashboard/Served?ServiceDateFrom=2025-11-24&amp;ServiceDateTo=2025-11-24&amp;DumpsterInvNr=13-P-400285", "13-P-400285")</f>
        <v>13-P-400285</v>
      </c>
      <c r="C6455">
        <v>0.24</v>
      </c>
      <c r="D6455" t="s">
        <v>8893</v>
      </c>
      <c r="E6455" t="s">
        <v>11</v>
      </c>
      <c r="G6455" t="s">
        <v>264</v>
      </c>
      <c r="H6455" t="s">
        <v>14</v>
      </c>
    </row>
    <row r="6456" spans="1:8" hidden="1" x14ac:dyDescent="0.25">
      <c r="A6456" t="s">
        <v>8894</v>
      </c>
      <c r="B6456" s="1" t="str">
        <f>HYPERLINK("https://asmlis.vasa.lt/Dashboard/Served?ServiceDateFrom=2025-11-24&amp;ServiceDateTo=2025-11-24&amp;DumpsterInvNr=13-L-212442", "13-L-212442")</f>
        <v>13-L-212442</v>
      </c>
      <c r="C6456">
        <v>1.1000000000000001</v>
      </c>
      <c r="D6456" t="s">
        <v>8884</v>
      </c>
      <c r="E6456" t="s">
        <v>11</v>
      </c>
      <c r="F6456" t="s">
        <v>13</v>
      </c>
      <c r="G6456" t="s">
        <v>936</v>
      </c>
      <c r="H6456" t="s">
        <v>938</v>
      </c>
    </row>
    <row r="6457" spans="1:8" hidden="1" x14ac:dyDescent="0.25">
      <c r="A6457" t="s">
        <v>8895</v>
      </c>
      <c r="B6457" s="1" t="str">
        <f>HYPERLINK("https://asmlis.vasa.lt/Dashboard/Served?ServiceDateFrom=2025-11-24&amp;ServiceDateTo=2025-11-24&amp;DumpsterInvNr=13-L-213486", "13-L-213486")</f>
        <v>13-L-213486</v>
      </c>
      <c r="C6457">
        <v>0.24</v>
      </c>
      <c r="D6457" t="s">
        <v>5038</v>
      </c>
      <c r="E6457" t="s">
        <v>11</v>
      </c>
      <c r="F6457" t="s">
        <v>1209</v>
      </c>
      <c r="G6457" t="s">
        <v>936</v>
      </c>
      <c r="H6457" t="s">
        <v>938</v>
      </c>
    </row>
    <row r="6458" spans="1:8" hidden="1" x14ac:dyDescent="0.25">
      <c r="A6458" t="s">
        <v>8896</v>
      </c>
      <c r="B6458" s="1" t="str">
        <f>HYPERLINK("https://asmlis.vasa.lt/Dashboard/Served?ServiceDateFrom=2025-11-24&amp;ServiceDateTo=2025-11-24&amp;DumpsterInvNr=13-P-400633", "13-P-400633")</f>
        <v>13-P-400633</v>
      </c>
      <c r="C6458">
        <v>5</v>
      </c>
      <c r="D6458" t="s">
        <v>1401</v>
      </c>
      <c r="E6458" t="s">
        <v>11</v>
      </c>
      <c r="F6458" t="s">
        <v>13</v>
      </c>
      <c r="G6458" t="s">
        <v>264</v>
      </c>
      <c r="H6458" t="s">
        <v>14</v>
      </c>
    </row>
    <row r="6459" spans="1:8" hidden="1" x14ac:dyDescent="0.25">
      <c r="A6459" t="s">
        <v>8897</v>
      </c>
      <c r="B6459" s="1" t="str">
        <f>HYPERLINK("https://asmlis.vasa.lt/Dashboard/Served?ServiceDateFrom=2025-11-24&amp;ServiceDateTo=2025-11-24&amp;DumpsterInvNr=13-P-103657", "13-P-103657")</f>
        <v>13-P-103657</v>
      </c>
      <c r="C6459">
        <v>0.24</v>
      </c>
      <c r="D6459" t="s">
        <v>8865</v>
      </c>
      <c r="E6459" t="s">
        <v>11</v>
      </c>
      <c r="F6459" t="s">
        <v>1209</v>
      </c>
      <c r="G6459" t="s">
        <v>1917</v>
      </c>
      <c r="H6459" t="s">
        <v>432</v>
      </c>
    </row>
    <row r="6460" spans="1:8" hidden="1" x14ac:dyDescent="0.25">
      <c r="A6460" t="s">
        <v>7488</v>
      </c>
      <c r="B6460" s="1" t="str">
        <f>HYPERLINK("https://asmlis.vasa.lt/Dashboard/Served?ServiceDateFrom=2025-11-24&amp;ServiceDateTo=2025-11-24&amp;DumpsterInvNr=13-L-419544", "13-L-419544")</f>
        <v>13-L-419544</v>
      </c>
      <c r="C6460">
        <v>1.1000000000000001</v>
      </c>
      <c r="D6460" t="s">
        <v>8899</v>
      </c>
      <c r="E6460" t="s">
        <v>11</v>
      </c>
      <c r="F6460" t="s">
        <v>13</v>
      </c>
      <c r="G6460" t="s">
        <v>74</v>
      </c>
      <c r="H6460" t="s">
        <v>14</v>
      </c>
    </row>
    <row r="6461" spans="1:8" hidden="1" x14ac:dyDescent="0.25">
      <c r="A6461" t="s">
        <v>7731</v>
      </c>
      <c r="B6461" s="1" t="str">
        <f>HYPERLINK("https://asmlis.vasa.lt/Dashboard/Served?ServiceDateFrom=2025-11-24&amp;ServiceDateTo=2025-11-24&amp;DumpsterInvNr=13-L-216040", "13-L-216040")</f>
        <v>13-L-216040</v>
      </c>
      <c r="C6461">
        <v>1.1000000000000001</v>
      </c>
      <c r="D6461" t="s">
        <v>8900</v>
      </c>
      <c r="E6461" t="s">
        <v>11</v>
      </c>
      <c r="G6461" t="s">
        <v>936</v>
      </c>
      <c r="H6461" t="s">
        <v>938</v>
      </c>
    </row>
    <row r="6462" spans="1:8" hidden="1" x14ac:dyDescent="0.25">
      <c r="A6462" t="s">
        <v>8901</v>
      </c>
      <c r="B6462" s="1" t="str">
        <f>HYPERLINK("https://asmlis.vasa.lt/Dashboard/Served?ServiceDateFrom=2025-11-24&amp;ServiceDateTo=2025-11-24&amp;DumpsterInvNr=13-L-426104", "13-L-426104")</f>
        <v>13-L-426104</v>
      </c>
      <c r="C6462">
        <v>1.1000000000000001</v>
      </c>
      <c r="D6462" t="s">
        <v>8899</v>
      </c>
      <c r="E6462" t="s">
        <v>11</v>
      </c>
      <c r="F6462" t="s">
        <v>13</v>
      </c>
      <c r="G6462" t="s">
        <v>74</v>
      </c>
      <c r="H6462" t="s">
        <v>14</v>
      </c>
    </row>
    <row r="6463" spans="1:8" hidden="1" x14ac:dyDescent="0.25">
      <c r="A6463" t="s">
        <v>8902</v>
      </c>
      <c r="B6463" s="1" t="str">
        <f>HYPERLINK("https://asmlis.vasa.lt/Dashboard/Served?ServiceDateFrom=2025-11-24&amp;ServiceDateTo=2025-11-24&amp;DumpsterInvNr=13-L-123916", "13-L-123916")</f>
        <v>13-L-123916</v>
      </c>
      <c r="C6463">
        <v>0.12</v>
      </c>
      <c r="D6463" t="s">
        <v>8880</v>
      </c>
      <c r="E6463" t="s">
        <v>11</v>
      </c>
      <c r="F6463" t="s">
        <v>1209</v>
      </c>
      <c r="G6463" t="s">
        <v>1912</v>
      </c>
      <c r="H6463" t="s">
        <v>432</v>
      </c>
    </row>
    <row r="6464" spans="1:8" hidden="1" x14ac:dyDescent="0.25">
      <c r="A6464" t="s">
        <v>8905</v>
      </c>
      <c r="B6464" s="1" t="str">
        <f>HYPERLINK("https://asmlis.vasa.lt/Dashboard/Served?ServiceDateFrom=2025-11-24&amp;ServiceDateTo=2025-11-24&amp;DumpsterInvNr=13-L-415892", "13-L-415892")</f>
        <v>13-L-415892</v>
      </c>
      <c r="C6464">
        <v>1.1000000000000001</v>
      </c>
      <c r="D6464" t="s">
        <v>8906</v>
      </c>
      <c r="E6464" t="s">
        <v>11</v>
      </c>
      <c r="G6464" t="s">
        <v>74</v>
      </c>
      <c r="H6464" t="s">
        <v>14</v>
      </c>
    </row>
    <row r="6465" spans="1:10" hidden="1" x14ac:dyDescent="0.25">
      <c r="A6465" t="s">
        <v>8907</v>
      </c>
      <c r="B6465" s="1" t="str">
        <f>HYPERLINK("https://asmlis.vasa.lt/Dashboard/Served?ServiceDateFrom=2025-11-24&amp;ServiceDateTo=2025-11-24&amp;DumpsterInvNr=13-L-111226", "13-L-111226")</f>
        <v>13-L-111226</v>
      </c>
      <c r="C6465">
        <v>0.12</v>
      </c>
      <c r="D6465" t="s">
        <v>8908</v>
      </c>
      <c r="E6465" t="s">
        <v>11</v>
      </c>
      <c r="G6465" t="s">
        <v>1912</v>
      </c>
      <c r="H6465" t="s">
        <v>432</v>
      </c>
    </row>
    <row r="6466" spans="1:10" hidden="1" x14ac:dyDescent="0.25">
      <c r="A6466" t="s">
        <v>8909</v>
      </c>
      <c r="B6466" s="1" t="str">
        <f>HYPERLINK("https://asmlis.vasa.lt/Dashboard/Served?ServiceDateFrom=2025-11-24&amp;ServiceDateTo=2025-11-24&amp;DumpsterInvNr=13-L-315513", "13-L-315513")</f>
        <v>13-L-315513</v>
      </c>
      <c r="C6466">
        <v>0.77</v>
      </c>
      <c r="D6466" t="s">
        <v>8910</v>
      </c>
      <c r="E6466" t="s">
        <v>11</v>
      </c>
      <c r="G6466" t="s">
        <v>9</v>
      </c>
      <c r="H6466" t="s">
        <v>14</v>
      </c>
    </row>
    <row r="6467" spans="1:10" hidden="1" x14ac:dyDescent="0.25">
      <c r="A6467" t="s">
        <v>8911</v>
      </c>
      <c r="B6467" s="1" t="str">
        <f>HYPERLINK("https://asmlis.vasa.lt/Dashboard/Served?ServiceDateFrom=2025-11-24&amp;ServiceDateTo=2025-11-24&amp;DumpsterInvNr=13-P-404410", "13-P-404410")</f>
        <v>13-P-404410</v>
      </c>
      <c r="C6467">
        <v>0.24</v>
      </c>
      <c r="D6467" t="s">
        <v>8912</v>
      </c>
      <c r="E6467" t="s">
        <v>11</v>
      </c>
      <c r="G6467" t="s">
        <v>264</v>
      </c>
      <c r="H6467" t="s">
        <v>14</v>
      </c>
    </row>
    <row r="6468" spans="1:10" x14ac:dyDescent="0.25">
      <c r="A6468" t="s">
        <v>8913</v>
      </c>
      <c r="B6468" s="1" t="str">
        <f>HYPERLINK("https://asmlis.vasa.lt/Dashboard/Served?ServiceDateFrom=2025-11-24&amp;ServiceDateTo=2025-11-24&amp;DumpsterInvNr=13-P-115359", "13-P-115359")</f>
        <v>13-P-115359</v>
      </c>
      <c r="C6468">
        <v>1.1000000000000001</v>
      </c>
      <c r="D6468" t="s">
        <v>8914</v>
      </c>
      <c r="E6468" t="s">
        <v>11</v>
      </c>
      <c r="F6468" t="s">
        <v>2491</v>
      </c>
      <c r="G6468" t="s">
        <v>1917</v>
      </c>
      <c r="H6468" t="s">
        <v>432</v>
      </c>
      <c r="J6468" t="s">
        <v>17511</v>
      </c>
    </row>
    <row r="6469" spans="1:10" hidden="1" x14ac:dyDescent="0.25">
      <c r="A6469" t="s">
        <v>8916</v>
      </c>
      <c r="B6469" s="1" t="str">
        <f>HYPERLINK("https://asmlis.vasa.lt/Dashboard/Served?ServiceDateFrom=2025-11-24&amp;ServiceDateTo=2025-11-24&amp;DumpsterInvNr=13-L-118104", "13-L-118104")</f>
        <v>13-L-118104</v>
      </c>
      <c r="C6469">
        <v>5</v>
      </c>
      <c r="D6469" t="s">
        <v>8917</v>
      </c>
      <c r="E6469" t="s">
        <v>11</v>
      </c>
      <c r="F6469" t="s">
        <v>13</v>
      </c>
      <c r="G6469" t="s">
        <v>1912</v>
      </c>
      <c r="H6469" t="s">
        <v>432</v>
      </c>
    </row>
    <row r="6470" spans="1:10" hidden="1" x14ac:dyDescent="0.25">
      <c r="A6470" t="s">
        <v>8915</v>
      </c>
      <c r="B6470" s="1" t="str">
        <f>HYPERLINK("https://asmlis.vasa.lt/Dashboard/Served?ServiceDateFrom=2025-11-24&amp;ServiceDateTo=2025-11-24&amp;DumpsterInvNr=13-L-207891", "13-L-207891")</f>
        <v>13-L-207891</v>
      </c>
      <c r="C6470">
        <v>0.77</v>
      </c>
      <c r="D6470" t="s">
        <v>8918</v>
      </c>
      <c r="E6470" t="s">
        <v>11</v>
      </c>
      <c r="G6470" t="s">
        <v>936</v>
      </c>
      <c r="H6470" t="s">
        <v>938</v>
      </c>
    </row>
    <row r="6471" spans="1:10" hidden="1" x14ac:dyDescent="0.25">
      <c r="A6471" t="s">
        <v>8919</v>
      </c>
      <c r="B6471" s="1" t="str">
        <f>HYPERLINK("https://asmlis.vasa.lt/Dashboard/Served?ServiceDateFrom=2025-11-24&amp;ServiceDateTo=2025-11-24&amp;DumpsterInvNr=13-L-118105", "13-L-118105")</f>
        <v>13-L-118105</v>
      </c>
      <c r="C6471">
        <v>5</v>
      </c>
      <c r="D6471" t="s">
        <v>8917</v>
      </c>
      <c r="E6471" t="s">
        <v>11</v>
      </c>
      <c r="F6471" t="s">
        <v>13</v>
      </c>
      <c r="G6471" t="s">
        <v>1912</v>
      </c>
      <c r="H6471" t="s">
        <v>432</v>
      </c>
    </row>
    <row r="6472" spans="1:10" hidden="1" x14ac:dyDescent="0.25">
      <c r="A6472" t="s">
        <v>8921</v>
      </c>
      <c r="B6472" s="1" t="str">
        <f>HYPERLINK("https://asmlis.vasa.lt/Dashboard/Served?ServiceDateFrom=2025-11-24&amp;ServiceDateTo=2025-11-24&amp;DumpsterInvNr=13-M-202345", "13-M-202345")</f>
        <v>13-M-202345</v>
      </c>
      <c r="C6472">
        <v>0.12</v>
      </c>
      <c r="D6472" t="s">
        <v>8922</v>
      </c>
      <c r="E6472" t="s">
        <v>11</v>
      </c>
      <c r="F6472" t="s">
        <v>1209</v>
      </c>
      <c r="G6472" t="s">
        <v>4876</v>
      </c>
      <c r="H6472" t="s">
        <v>938</v>
      </c>
    </row>
    <row r="6473" spans="1:10" hidden="1" x14ac:dyDescent="0.25">
      <c r="A6473" t="s">
        <v>8923</v>
      </c>
      <c r="B6473" s="1" t="str">
        <f>HYPERLINK("https://asmlis.vasa.lt/Dashboard/Served?ServiceDateFrom=2025-11-24&amp;ServiceDateTo=2025-11-24&amp;DumpsterInvNr=13-L-422014", "13-L-422014")</f>
        <v>13-L-422014</v>
      </c>
      <c r="C6473">
        <v>5</v>
      </c>
      <c r="D6473" t="s">
        <v>1849</v>
      </c>
      <c r="E6473" t="s">
        <v>11</v>
      </c>
      <c r="G6473" t="s">
        <v>74</v>
      </c>
      <c r="H6473" t="s">
        <v>14</v>
      </c>
    </row>
    <row r="6474" spans="1:10" hidden="1" x14ac:dyDescent="0.25">
      <c r="A6474" t="s">
        <v>8924</v>
      </c>
      <c r="B6474" s="1" t="str">
        <f>HYPERLINK("https://asmlis.vasa.lt/Dashboard/Served?ServiceDateFrom=2025-11-24&amp;ServiceDateTo=2025-11-24&amp;DumpsterInvNr=13-L-221755", "13-L-221755")</f>
        <v>13-L-221755</v>
      </c>
      <c r="C6474">
        <v>0.24</v>
      </c>
      <c r="D6474" t="s">
        <v>5003</v>
      </c>
      <c r="E6474" t="s">
        <v>11</v>
      </c>
      <c r="G6474" t="s">
        <v>936</v>
      </c>
      <c r="H6474" t="s">
        <v>938</v>
      </c>
    </row>
    <row r="6475" spans="1:10" hidden="1" x14ac:dyDescent="0.25">
      <c r="A6475" t="s">
        <v>8925</v>
      </c>
      <c r="B6475" s="1" t="str">
        <f>HYPERLINK("https://asmlis.vasa.lt/Dashboard/Served?ServiceDateFrom=2025-11-24&amp;ServiceDateTo=2025-11-24&amp;DumpsterInvNr=13-M-206044", "13-M-206044")</f>
        <v>13-M-206044</v>
      </c>
      <c r="C6475">
        <v>0.12</v>
      </c>
      <c r="D6475" t="s">
        <v>8926</v>
      </c>
      <c r="E6475" t="s">
        <v>11</v>
      </c>
      <c r="F6475" t="s">
        <v>1209</v>
      </c>
      <c r="G6475" t="s">
        <v>4876</v>
      </c>
      <c r="H6475" t="s">
        <v>938</v>
      </c>
    </row>
    <row r="6476" spans="1:10" hidden="1" x14ac:dyDescent="0.25">
      <c r="A6476" t="s">
        <v>8928</v>
      </c>
      <c r="B6476" s="1" t="str">
        <f>HYPERLINK("https://asmlis.vasa.lt/Dashboard/Served?ServiceDateFrom=2025-11-24&amp;ServiceDateTo=2025-11-24&amp;DumpsterInvNr=13-L-118106", "13-L-118106")</f>
        <v>13-L-118106</v>
      </c>
      <c r="C6476">
        <v>3</v>
      </c>
      <c r="D6476" t="s">
        <v>8917</v>
      </c>
      <c r="E6476" t="s">
        <v>11</v>
      </c>
      <c r="F6476" t="s">
        <v>13</v>
      </c>
      <c r="G6476" t="s">
        <v>1912</v>
      </c>
      <c r="H6476" t="s">
        <v>432</v>
      </c>
    </row>
    <row r="6477" spans="1:10" hidden="1" x14ac:dyDescent="0.25">
      <c r="A6477" t="s">
        <v>8929</v>
      </c>
      <c r="B6477" s="1" t="str">
        <f>HYPERLINK("https://asmlis.vasa.lt/Dashboard/Served?ServiceDateFrom=2025-11-24&amp;ServiceDateTo=2025-11-24&amp;DumpsterInvNr=13-P-207662", "13-P-207662")</f>
        <v>13-P-207662</v>
      </c>
      <c r="C6477">
        <v>5</v>
      </c>
      <c r="D6477" t="s">
        <v>8930</v>
      </c>
      <c r="E6477" t="s">
        <v>11</v>
      </c>
      <c r="F6477" t="s">
        <v>13</v>
      </c>
      <c r="G6477" t="s">
        <v>234</v>
      </c>
      <c r="H6477" t="s">
        <v>14</v>
      </c>
    </row>
    <row r="6478" spans="1:10" hidden="1" x14ac:dyDescent="0.25">
      <c r="A6478" t="s">
        <v>8931</v>
      </c>
      <c r="B6478" s="1" t="str">
        <f>HYPERLINK("https://asmlis.vasa.lt/Dashboard/Served?ServiceDateFrom=2025-11-24&amp;ServiceDateTo=2025-11-24&amp;DumpsterInvNr=13-L-214936", "13-L-214936")</f>
        <v>13-L-214936</v>
      </c>
      <c r="C6478">
        <v>0.24</v>
      </c>
      <c r="D6478" t="s">
        <v>5020</v>
      </c>
      <c r="E6478" t="s">
        <v>11</v>
      </c>
      <c r="G6478" t="s">
        <v>936</v>
      </c>
      <c r="H6478" t="s">
        <v>938</v>
      </c>
    </row>
    <row r="6479" spans="1:10" hidden="1" x14ac:dyDescent="0.25">
      <c r="A6479" t="s">
        <v>8932</v>
      </c>
      <c r="B6479" s="1" t="str">
        <f>HYPERLINK("https://asmlis.vasa.lt/Dashboard/Served?ServiceDateFrom=2025-11-24&amp;ServiceDateTo=2025-11-24&amp;DumpsterInvNr=13-L-316362", "13-L-316362")</f>
        <v>13-L-316362</v>
      </c>
      <c r="C6479">
        <v>0.77</v>
      </c>
      <c r="D6479" t="s">
        <v>8910</v>
      </c>
      <c r="E6479" t="s">
        <v>11</v>
      </c>
      <c r="G6479" t="s">
        <v>9</v>
      </c>
      <c r="H6479" t="s">
        <v>14</v>
      </c>
    </row>
    <row r="6480" spans="1:10" hidden="1" x14ac:dyDescent="0.25">
      <c r="A6480" t="s">
        <v>8932</v>
      </c>
      <c r="B6480" s="1" t="str">
        <f>HYPERLINK("https://asmlis.vasa.lt/Dashboard/Served?ServiceDateFrom=2025-11-24&amp;ServiceDateTo=2025-11-24&amp;DumpsterInvNr=13-M-202449", "13-M-202449")</f>
        <v>13-M-202449</v>
      </c>
      <c r="C6480">
        <v>0.12</v>
      </c>
      <c r="D6480" t="s">
        <v>8933</v>
      </c>
      <c r="E6480" t="s">
        <v>11</v>
      </c>
      <c r="F6480" t="s">
        <v>1209</v>
      </c>
      <c r="G6480" t="s">
        <v>4876</v>
      </c>
      <c r="H6480" t="s">
        <v>938</v>
      </c>
    </row>
    <row r="6481" spans="1:8" hidden="1" x14ac:dyDescent="0.25">
      <c r="A6481" t="s">
        <v>8934</v>
      </c>
      <c r="B6481" s="1" t="str">
        <f>HYPERLINK("https://asmlis.vasa.lt/Dashboard/Served?ServiceDateFrom=2025-11-24&amp;ServiceDateTo=2025-11-24&amp;DumpsterInvNr=13-L-135807", "13-L-135807")</f>
        <v>13-L-135807</v>
      </c>
      <c r="C6481">
        <v>5</v>
      </c>
      <c r="D6481" t="s">
        <v>8935</v>
      </c>
      <c r="E6481" t="s">
        <v>11</v>
      </c>
      <c r="F6481" t="s">
        <v>13</v>
      </c>
      <c r="G6481" t="s">
        <v>430</v>
      </c>
      <c r="H6481" t="s">
        <v>432</v>
      </c>
    </row>
    <row r="6482" spans="1:8" hidden="1" x14ac:dyDescent="0.25">
      <c r="A6482" t="s">
        <v>8936</v>
      </c>
      <c r="B6482" s="1" t="str">
        <f>HYPERLINK("https://asmlis.vasa.lt/Dashboard/Served?ServiceDateFrom=2025-11-24&amp;ServiceDateTo=2025-11-24&amp;DumpsterInvNr=13-L-110832", "13-L-110832")</f>
        <v>13-L-110832</v>
      </c>
      <c r="C6482">
        <v>0.24</v>
      </c>
      <c r="D6482" t="s">
        <v>8937</v>
      </c>
      <c r="E6482" t="s">
        <v>11</v>
      </c>
      <c r="G6482" t="s">
        <v>1912</v>
      </c>
      <c r="H6482" t="s">
        <v>432</v>
      </c>
    </row>
    <row r="6483" spans="1:8" hidden="1" x14ac:dyDescent="0.25">
      <c r="A6483" t="s">
        <v>8936</v>
      </c>
      <c r="B6483" s="1" t="str">
        <f>HYPERLINK("https://asmlis.vasa.lt/Dashboard/Served?ServiceDateFrom=2025-11-24&amp;ServiceDateTo=2025-11-24&amp;DumpsterInvNr=13-P-112153", "13-P-112153")</f>
        <v>13-P-112153</v>
      </c>
      <c r="C6483">
        <v>0.24</v>
      </c>
      <c r="D6483" t="s">
        <v>8937</v>
      </c>
      <c r="E6483" t="s">
        <v>11</v>
      </c>
      <c r="G6483" t="s">
        <v>1917</v>
      </c>
      <c r="H6483" t="s">
        <v>432</v>
      </c>
    </row>
    <row r="6484" spans="1:8" hidden="1" x14ac:dyDescent="0.25">
      <c r="A6484" t="s">
        <v>8939</v>
      </c>
      <c r="B6484" s="1" t="str">
        <f>HYPERLINK("https://asmlis.vasa.lt/Dashboard/Served?ServiceDateFrom=2025-11-24&amp;ServiceDateTo=2025-11-24&amp;DumpsterInvNr=13-P-404416", "13-P-404416")</f>
        <v>13-P-404416</v>
      </c>
      <c r="C6484">
        <v>0.24</v>
      </c>
      <c r="D6484" t="s">
        <v>8940</v>
      </c>
      <c r="E6484" t="s">
        <v>11</v>
      </c>
      <c r="G6484" t="s">
        <v>264</v>
      </c>
      <c r="H6484" t="s">
        <v>14</v>
      </c>
    </row>
    <row r="6485" spans="1:8" hidden="1" x14ac:dyDescent="0.25">
      <c r="A6485" t="s">
        <v>8941</v>
      </c>
      <c r="B6485" s="1" t="str">
        <f>HYPERLINK("https://asmlis.vasa.lt/Dashboard/Served?ServiceDateFrom=2025-11-24&amp;ServiceDateTo=2025-11-24&amp;DumpsterInvNr=13-P-213157", "13-P-213157")</f>
        <v>13-P-213157</v>
      </c>
      <c r="C6485">
        <v>1.1000000000000001</v>
      </c>
      <c r="D6485" t="s">
        <v>8942</v>
      </c>
      <c r="E6485" t="s">
        <v>11</v>
      </c>
      <c r="F6485" t="s">
        <v>13</v>
      </c>
      <c r="G6485" t="s">
        <v>234</v>
      </c>
      <c r="H6485" t="s">
        <v>14</v>
      </c>
    </row>
    <row r="6486" spans="1:8" hidden="1" x14ac:dyDescent="0.25">
      <c r="A6486" t="s">
        <v>8943</v>
      </c>
      <c r="B6486" s="1" t="str">
        <f>HYPERLINK("https://asmlis.vasa.lt/Dashboard/Served?ServiceDateFrom=2025-11-24&amp;ServiceDateTo=2025-11-24&amp;DumpsterInvNr=13-T-000279", "13-T-000279")</f>
        <v>13-T-000279</v>
      </c>
      <c r="C6486">
        <v>2.5</v>
      </c>
      <c r="D6486" t="s">
        <v>8945</v>
      </c>
      <c r="E6486" t="s">
        <v>11</v>
      </c>
      <c r="F6486" t="s">
        <v>13</v>
      </c>
      <c r="G6486" t="s">
        <v>1899</v>
      </c>
      <c r="H6486" t="s">
        <v>432</v>
      </c>
    </row>
    <row r="6487" spans="1:8" hidden="1" x14ac:dyDescent="0.25">
      <c r="A6487" t="s">
        <v>8946</v>
      </c>
      <c r="B6487" s="1" t="str">
        <f>HYPERLINK("https://asmlis.vasa.lt/Dashboard/Served?ServiceDateFrom=2025-11-24&amp;ServiceDateTo=2025-11-24&amp;DumpsterInvNr=13-L-215844", "13-L-215844")</f>
        <v>13-L-215844</v>
      </c>
      <c r="C6487">
        <v>1.1000000000000001</v>
      </c>
      <c r="D6487" t="s">
        <v>1525</v>
      </c>
      <c r="E6487" t="s">
        <v>11</v>
      </c>
      <c r="G6487" t="s">
        <v>936</v>
      </c>
      <c r="H6487" t="s">
        <v>938</v>
      </c>
    </row>
    <row r="6488" spans="1:8" hidden="1" x14ac:dyDescent="0.25">
      <c r="A6488" t="s">
        <v>8947</v>
      </c>
      <c r="B6488" s="1" t="str">
        <f>HYPERLINK("https://asmlis.vasa.lt/Dashboard/Served?ServiceDateFrom=2025-11-24&amp;ServiceDateTo=2025-11-24&amp;DumpsterInvNr=13-T-000280", "13-T-000280")</f>
        <v>13-T-000280</v>
      </c>
      <c r="C6488">
        <v>2.5</v>
      </c>
      <c r="D6488" t="s">
        <v>8945</v>
      </c>
      <c r="E6488" t="s">
        <v>11</v>
      </c>
      <c r="F6488" t="s">
        <v>13</v>
      </c>
      <c r="G6488" t="s">
        <v>1899</v>
      </c>
      <c r="H6488" t="s">
        <v>432</v>
      </c>
    </row>
    <row r="6489" spans="1:8" hidden="1" x14ac:dyDescent="0.25">
      <c r="A6489" t="s">
        <v>8948</v>
      </c>
      <c r="B6489" s="1" t="str">
        <f>HYPERLINK("https://asmlis.vasa.lt/Dashboard/Served?ServiceDateFrom=2025-11-24&amp;ServiceDateTo=2025-11-24&amp;DumpsterInvNr=13-L-225693", "13-L-225693")</f>
        <v>13-L-225693</v>
      </c>
      <c r="C6489">
        <v>0.24</v>
      </c>
      <c r="D6489" t="s">
        <v>4979</v>
      </c>
      <c r="E6489" t="s">
        <v>11</v>
      </c>
      <c r="G6489" t="s">
        <v>936</v>
      </c>
      <c r="H6489" t="s">
        <v>938</v>
      </c>
    </row>
    <row r="6490" spans="1:8" hidden="1" x14ac:dyDescent="0.25">
      <c r="A6490" t="s">
        <v>8948</v>
      </c>
      <c r="B6490" s="1" t="str">
        <f>HYPERLINK("https://asmlis.vasa.lt/Dashboard/Served?ServiceDateFrom=2025-11-24&amp;ServiceDateTo=2025-11-24&amp;DumpsterInvNr=13-P-211113", "13-P-211113")</f>
        <v>13-P-211113</v>
      </c>
      <c r="C6490">
        <v>0.24</v>
      </c>
      <c r="D6490" t="s">
        <v>8949</v>
      </c>
      <c r="E6490" t="s">
        <v>11</v>
      </c>
      <c r="G6490" t="s">
        <v>234</v>
      </c>
      <c r="H6490" t="s">
        <v>14</v>
      </c>
    </row>
    <row r="6491" spans="1:8" hidden="1" x14ac:dyDescent="0.25">
      <c r="A6491" t="s">
        <v>8950</v>
      </c>
      <c r="B6491" s="1" t="str">
        <f>HYPERLINK("https://asmlis.vasa.lt/Dashboard/Served?ServiceDateFrom=2025-11-24&amp;ServiceDateTo=2025-11-24&amp;DumpsterInvNr=13-P-112501", "13-P-112501")</f>
        <v>13-P-112501</v>
      </c>
      <c r="C6491">
        <v>0.24</v>
      </c>
      <c r="D6491" t="s">
        <v>8951</v>
      </c>
      <c r="E6491" t="s">
        <v>11</v>
      </c>
      <c r="F6491" t="s">
        <v>1209</v>
      </c>
      <c r="G6491" t="s">
        <v>1917</v>
      </c>
      <c r="H6491" t="s">
        <v>432</v>
      </c>
    </row>
    <row r="6492" spans="1:8" hidden="1" x14ac:dyDescent="0.25">
      <c r="A6492" t="s">
        <v>8950</v>
      </c>
      <c r="B6492" s="1" t="str">
        <f>HYPERLINK("https://asmlis.vasa.lt/Dashboard/Served?ServiceDateFrom=2025-11-24&amp;ServiceDateTo=2025-11-24&amp;DumpsterInvNr=13-L-105306", "13-L-105306")</f>
        <v>13-L-105306</v>
      </c>
      <c r="C6492">
        <v>0.66</v>
      </c>
      <c r="D6492" t="s">
        <v>8952</v>
      </c>
      <c r="E6492" t="s">
        <v>11</v>
      </c>
      <c r="G6492" t="s">
        <v>430</v>
      </c>
      <c r="H6492" t="s">
        <v>432</v>
      </c>
    </row>
    <row r="6493" spans="1:8" hidden="1" x14ac:dyDescent="0.25">
      <c r="A6493" t="s">
        <v>8953</v>
      </c>
      <c r="B6493" s="1" t="str">
        <f>HYPERLINK("https://asmlis.vasa.lt/Dashboard/Served?ServiceDateFrom=2025-11-24&amp;ServiceDateTo=2025-11-24&amp;DumpsterInvNr=13-L-138287", "13-L-138287")</f>
        <v>13-L-138287</v>
      </c>
      <c r="C6493">
        <v>0.24</v>
      </c>
      <c r="D6493" t="s">
        <v>8951</v>
      </c>
      <c r="E6493" t="s">
        <v>11</v>
      </c>
      <c r="F6493" t="s">
        <v>1209</v>
      </c>
      <c r="G6493" t="s">
        <v>1912</v>
      </c>
      <c r="H6493" t="s">
        <v>432</v>
      </c>
    </row>
    <row r="6494" spans="1:8" hidden="1" x14ac:dyDescent="0.25">
      <c r="A6494" t="s">
        <v>8955</v>
      </c>
      <c r="B6494" s="1" t="str">
        <f>HYPERLINK("https://asmlis.vasa.lt/Dashboard/Served?ServiceDateFrom=2025-11-24&amp;ServiceDateTo=2025-11-24&amp;DumpsterInvNr=13-S-207659", "13-S-207659")</f>
        <v>13-S-207659</v>
      </c>
      <c r="C6494">
        <v>0.12</v>
      </c>
      <c r="D6494" t="s">
        <v>8739</v>
      </c>
      <c r="E6494" t="s">
        <v>11</v>
      </c>
      <c r="F6494" t="s">
        <v>1209</v>
      </c>
      <c r="G6494" t="s">
        <v>234</v>
      </c>
      <c r="H6494" t="s">
        <v>14</v>
      </c>
    </row>
    <row r="6495" spans="1:8" hidden="1" x14ac:dyDescent="0.25">
      <c r="A6495" t="s">
        <v>8955</v>
      </c>
      <c r="B6495" s="1" t="str">
        <f>HYPERLINK("https://asmlis.vasa.lt/Dashboard/Served?ServiceDateFrom=2025-11-24&amp;ServiceDateTo=2025-11-24&amp;DumpsterInvNr=13-M-206092", "13-M-206092")</f>
        <v>13-M-206092</v>
      </c>
      <c r="C6495">
        <v>0.12</v>
      </c>
      <c r="D6495" t="s">
        <v>8956</v>
      </c>
      <c r="E6495" t="s">
        <v>11</v>
      </c>
      <c r="G6495" t="s">
        <v>4876</v>
      </c>
      <c r="H6495" t="s">
        <v>938</v>
      </c>
    </row>
    <row r="6496" spans="1:8" hidden="1" x14ac:dyDescent="0.25">
      <c r="A6496" t="s">
        <v>8957</v>
      </c>
      <c r="B6496" s="1" t="str">
        <f>HYPERLINK("https://asmlis.vasa.lt/Dashboard/Served?ServiceDateFrom=2025-11-24&amp;ServiceDateTo=2025-11-24&amp;DumpsterInvNr=13-P-408932", "13-P-408932")</f>
        <v>13-P-408932</v>
      </c>
      <c r="C6496">
        <v>1.1000000000000001</v>
      </c>
      <c r="D6496" t="s">
        <v>8958</v>
      </c>
      <c r="E6496" t="s">
        <v>11</v>
      </c>
      <c r="G6496" t="s">
        <v>264</v>
      </c>
      <c r="H6496" t="s">
        <v>14</v>
      </c>
    </row>
    <row r="6497" spans="1:10" hidden="1" x14ac:dyDescent="0.25">
      <c r="A6497" t="s">
        <v>8959</v>
      </c>
      <c r="B6497" s="1" t="str">
        <f>HYPERLINK("https://asmlis.vasa.lt/Dashboard/Served?ServiceDateFrom=2025-11-24&amp;ServiceDateTo=2025-11-24&amp;DumpsterInvNr=13-P-404409", "13-P-404409")</f>
        <v>13-P-404409</v>
      </c>
      <c r="C6497">
        <v>0.24</v>
      </c>
      <c r="D6497" t="s">
        <v>8960</v>
      </c>
      <c r="E6497" t="s">
        <v>11</v>
      </c>
      <c r="G6497" t="s">
        <v>264</v>
      </c>
      <c r="H6497" t="s">
        <v>14</v>
      </c>
    </row>
    <row r="6498" spans="1:10" hidden="1" x14ac:dyDescent="0.25">
      <c r="A6498" t="s">
        <v>8961</v>
      </c>
      <c r="B6498" s="1" t="str">
        <f>HYPERLINK("https://asmlis.vasa.lt/Dashboard/Served?ServiceDateFrom=2025-11-24&amp;ServiceDateTo=2025-11-24&amp;DumpsterInvNr=13-L-137755", "13-L-137755")</f>
        <v>13-L-137755</v>
      </c>
      <c r="C6498">
        <v>5</v>
      </c>
      <c r="D6498" t="s">
        <v>8962</v>
      </c>
      <c r="E6498" t="s">
        <v>11</v>
      </c>
      <c r="F6498" t="s">
        <v>13</v>
      </c>
      <c r="G6498" t="s">
        <v>430</v>
      </c>
      <c r="H6498" t="s">
        <v>432</v>
      </c>
    </row>
    <row r="6499" spans="1:10" hidden="1" x14ac:dyDescent="0.25">
      <c r="A6499" t="s">
        <v>8963</v>
      </c>
      <c r="B6499" s="1" t="str">
        <f>HYPERLINK("https://asmlis.vasa.lt/Dashboard/Served?ServiceDateFrom=2025-11-24&amp;ServiceDateTo=2025-11-24&amp;DumpsterInvNr=13-L-105305", "13-L-105305")</f>
        <v>13-L-105305</v>
      </c>
      <c r="C6499">
        <v>1.1000000000000001</v>
      </c>
      <c r="D6499" t="s">
        <v>8952</v>
      </c>
      <c r="E6499" t="s">
        <v>11</v>
      </c>
      <c r="G6499" t="s">
        <v>430</v>
      </c>
      <c r="H6499" t="s">
        <v>432</v>
      </c>
    </row>
    <row r="6500" spans="1:10" x14ac:dyDescent="0.25">
      <c r="A6500" t="s">
        <v>8964</v>
      </c>
      <c r="B6500" s="1" t="str">
        <f>HYPERLINK("https://asmlis.vasa.lt/Dashboard/Served?ServiceDateFrom=2025-11-24&amp;ServiceDateTo=2025-11-24&amp;DumpsterInvNr=13-L-422675", "13-L-422675")</f>
        <v>13-L-422675</v>
      </c>
      <c r="C6500">
        <v>0.24</v>
      </c>
      <c r="D6500" t="s">
        <v>8965</v>
      </c>
      <c r="E6500" t="s">
        <v>11</v>
      </c>
      <c r="F6500" t="s">
        <v>1215</v>
      </c>
      <c r="G6500" t="s">
        <v>74</v>
      </c>
      <c r="H6500" t="s">
        <v>14</v>
      </c>
      <c r="J6500" t="s">
        <v>17511</v>
      </c>
    </row>
    <row r="6501" spans="1:10" hidden="1" x14ac:dyDescent="0.25">
      <c r="A6501" t="s">
        <v>8964</v>
      </c>
      <c r="B6501" s="1" t="str">
        <f>HYPERLINK("https://asmlis.vasa.lt/Dashboard/Served?ServiceDateFrom=2025-11-24&amp;ServiceDateTo=2025-11-24&amp;DumpsterInvNr=13-L-221725", "13-L-221725")</f>
        <v>13-L-221725</v>
      </c>
      <c r="C6501">
        <v>1.1000000000000001</v>
      </c>
      <c r="D6501" t="s">
        <v>1522</v>
      </c>
      <c r="E6501" t="s">
        <v>11</v>
      </c>
      <c r="G6501" t="s">
        <v>936</v>
      </c>
      <c r="H6501" t="s">
        <v>938</v>
      </c>
    </row>
    <row r="6502" spans="1:10" hidden="1" x14ac:dyDescent="0.25">
      <c r="A6502" t="s">
        <v>8967</v>
      </c>
      <c r="B6502" s="1" t="str">
        <f>HYPERLINK("https://asmlis.vasa.lt/Dashboard/Served?ServiceDateFrom=2025-11-24&amp;ServiceDateTo=2025-11-24&amp;DumpsterInvNr=13-L-225185", "13-L-225185")</f>
        <v>13-L-225185</v>
      </c>
      <c r="C6502">
        <v>1.1000000000000001</v>
      </c>
      <c r="D6502" t="s">
        <v>235</v>
      </c>
      <c r="E6502" t="s">
        <v>11</v>
      </c>
      <c r="G6502" t="s">
        <v>936</v>
      </c>
      <c r="H6502" t="s">
        <v>938</v>
      </c>
    </row>
    <row r="6503" spans="1:10" hidden="1" x14ac:dyDescent="0.25">
      <c r="A6503" t="s">
        <v>8968</v>
      </c>
      <c r="B6503" s="1" t="str">
        <f>HYPERLINK("https://asmlis.vasa.lt/Dashboard/Served?ServiceDateFrom=2025-11-24&amp;ServiceDateTo=2025-11-24&amp;DumpsterInvNr=13-P-112232", "13-P-112232")</f>
        <v>13-P-112232</v>
      </c>
      <c r="C6503">
        <v>0.24</v>
      </c>
      <c r="D6503" t="s">
        <v>8908</v>
      </c>
      <c r="E6503" t="s">
        <v>11</v>
      </c>
      <c r="F6503" t="s">
        <v>1209</v>
      </c>
      <c r="G6503" t="s">
        <v>1917</v>
      </c>
      <c r="H6503" t="s">
        <v>432</v>
      </c>
    </row>
    <row r="6504" spans="1:10" hidden="1" x14ac:dyDescent="0.25">
      <c r="A6504" t="s">
        <v>8969</v>
      </c>
      <c r="B6504" s="1" t="str">
        <f>HYPERLINK("https://asmlis.vasa.lt/Dashboard/Served?ServiceDateFrom=2025-11-24&amp;ServiceDateTo=2025-11-24&amp;DumpsterInvNr=13-P-409031", "13-P-409031")</f>
        <v>13-P-409031</v>
      </c>
      <c r="C6504">
        <v>1.1000000000000001</v>
      </c>
      <c r="D6504" t="s">
        <v>8958</v>
      </c>
      <c r="E6504" t="s">
        <v>11</v>
      </c>
      <c r="G6504" t="s">
        <v>264</v>
      </c>
      <c r="H6504" t="s">
        <v>14</v>
      </c>
    </row>
    <row r="6505" spans="1:10" hidden="1" x14ac:dyDescent="0.25">
      <c r="A6505" t="s">
        <v>8970</v>
      </c>
      <c r="B6505" s="1" t="str">
        <f>HYPERLINK("https://asmlis.vasa.lt/Dashboard/Served?ServiceDateFrom=2025-11-24&amp;ServiceDateTo=2025-11-24&amp;DumpsterInvNr=13-L-118187", "13-L-118187")</f>
        <v>13-L-118187</v>
      </c>
      <c r="C6505">
        <v>0.12</v>
      </c>
      <c r="D6505" t="s">
        <v>8971</v>
      </c>
      <c r="E6505" t="s">
        <v>11</v>
      </c>
      <c r="G6505" t="s">
        <v>1912</v>
      </c>
      <c r="H6505" t="s">
        <v>432</v>
      </c>
    </row>
    <row r="6506" spans="1:10" hidden="1" x14ac:dyDescent="0.25">
      <c r="A6506" t="s">
        <v>8972</v>
      </c>
      <c r="B6506" s="1" t="str">
        <f>HYPERLINK("https://asmlis.vasa.lt/Dashboard/Served?ServiceDateFrom=2025-11-24&amp;ServiceDateTo=2025-11-24&amp;DumpsterInvNr=13-L-214109", "13-L-214109")</f>
        <v>13-L-214109</v>
      </c>
      <c r="C6506">
        <v>0.12</v>
      </c>
      <c r="D6506" t="s">
        <v>4967</v>
      </c>
      <c r="E6506" t="s">
        <v>11</v>
      </c>
      <c r="G6506" t="s">
        <v>936</v>
      </c>
      <c r="H6506" t="s">
        <v>938</v>
      </c>
    </row>
    <row r="6507" spans="1:10" hidden="1" x14ac:dyDescent="0.25">
      <c r="A6507" t="s">
        <v>8973</v>
      </c>
      <c r="B6507" s="1" t="str">
        <f>HYPERLINK("https://asmlis.vasa.lt/Dashboard/Served?ServiceDateFrom=2025-11-24&amp;ServiceDateTo=2025-11-24&amp;DumpsterInvNr=13-P-112504", "13-P-112504")</f>
        <v>13-P-112504</v>
      </c>
      <c r="C6507">
        <v>0.24</v>
      </c>
      <c r="D6507" t="s">
        <v>8971</v>
      </c>
      <c r="E6507" t="s">
        <v>11</v>
      </c>
      <c r="F6507" t="s">
        <v>1209</v>
      </c>
      <c r="G6507" t="s">
        <v>1917</v>
      </c>
      <c r="H6507" t="s">
        <v>432</v>
      </c>
    </row>
    <row r="6508" spans="1:10" hidden="1" x14ac:dyDescent="0.25">
      <c r="A6508" t="s">
        <v>8973</v>
      </c>
      <c r="B6508" s="1" t="str">
        <f>HYPERLINK("https://asmlis.vasa.lt/Dashboard/Served?ServiceDateFrom=2025-11-24&amp;ServiceDateTo=2025-11-24&amp;DumpsterInvNr=13-L-105307", "13-L-105307")</f>
        <v>13-L-105307</v>
      </c>
      <c r="C6508">
        <v>1.1000000000000001</v>
      </c>
      <c r="D6508" t="s">
        <v>8952</v>
      </c>
      <c r="E6508" t="s">
        <v>11</v>
      </c>
      <c r="G6508" t="s">
        <v>430</v>
      </c>
      <c r="H6508" t="s">
        <v>432</v>
      </c>
    </row>
    <row r="6509" spans="1:10" hidden="1" x14ac:dyDescent="0.25">
      <c r="A6509" t="s">
        <v>8974</v>
      </c>
      <c r="B6509" s="1" t="str">
        <f>HYPERLINK("https://asmlis.vasa.lt/Dashboard/Served?ServiceDateFrom=2025-11-24&amp;ServiceDateTo=2025-11-24&amp;DumpsterInvNr=13-L-227404", "13-L-227404")</f>
        <v>13-L-227404</v>
      </c>
      <c r="C6509">
        <v>1.1000000000000001</v>
      </c>
      <c r="D6509" t="s">
        <v>8884</v>
      </c>
      <c r="E6509" t="s">
        <v>11</v>
      </c>
      <c r="G6509" t="s">
        <v>936</v>
      </c>
      <c r="H6509" t="s">
        <v>938</v>
      </c>
    </row>
    <row r="6510" spans="1:10" x14ac:dyDescent="0.25">
      <c r="A6510" t="s">
        <v>8975</v>
      </c>
      <c r="B6510" s="1" t="str">
        <f>HYPERLINK("https://asmlis.vasa.lt/Dashboard/Served?ServiceDateFrom=2025-11-24&amp;ServiceDateTo=2025-11-24&amp;DumpsterInvNr=13-L-405804", "13-L-405804")</f>
        <v>13-L-405804</v>
      </c>
      <c r="C6510">
        <v>0.12</v>
      </c>
      <c r="D6510" t="s">
        <v>8976</v>
      </c>
      <c r="E6510" t="s">
        <v>11</v>
      </c>
      <c r="F6510" t="s">
        <v>1215</v>
      </c>
      <c r="G6510" t="s">
        <v>74</v>
      </c>
      <c r="H6510" t="s">
        <v>14</v>
      </c>
      <c r="J6510" t="s">
        <v>17511</v>
      </c>
    </row>
    <row r="6511" spans="1:10" hidden="1" x14ac:dyDescent="0.25">
      <c r="A6511" t="s">
        <v>8978</v>
      </c>
      <c r="B6511" s="1" t="str">
        <f>HYPERLINK("https://asmlis.vasa.lt/Dashboard/Served?ServiceDateFrom=2025-11-24&amp;ServiceDateTo=2025-11-24&amp;DumpsterInvNr=13-P-500747", "13-P-500747")</f>
        <v>13-P-500747</v>
      </c>
      <c r="C6511">
        <v>5</v>
      </c>
      <c r="D6511" t="s">
        <v>5363</v>
      </c>
      <c r="E6511" t="s">
        <v>11</v>
      </c>
      <c r="F6511" t="s">
        <v>13</v>
      </c>
      <c r="G6511" t="s">
        <v>2178</v>
      </c>
      <c r="H6511" t="s">
        <v>432</v>
      </c>
    </row>
    <row r="6512" spans="1:10" hidden="1" x14ac:dyDescent="0.25">
      <c r="A6512" t="s">
        <v>8977</v>
      </c>
      <c r="B6512" s="1" t="str">
        <f>HYPERLINK("https://asmlis.vasa.lt/Dashboard/Served?ServiceDateFrom=2025-11-24&amp;ServiceDateTo=2025-11-24&amp;DumpsterInvNr=13-P-102364", "13-P-102364")</f>
        <v>13-P-102364</v>
      </c>
      <c r="C6512">
        <v>5</v>
      </c>
      <c r="D6512" t="s">
        <v>3140</v>
      </c>
      <c r="E6512" t="s">
        <v>11</v>
      </c>
      <c r="F6512" t="s">
        <v>13</v>
      </c>
      <c r="G6512" t="s">
        <v>1917</v>
      </c>
      <c r="H6512" t="s">
        <v>432</v>
      </c>
    </row>
    <row r="6513" spans="1:10" hidden="1" x14ac:dyDescent="0.25">
      <c r="A6513" t="s">
        <v>8979</v>
      </c>
      <c r="B6513" s="1" t="str">
        <f>HYPERLINK("https://asmlis.vasa.lt/Dashboard/Served?ServiceDateFrom=2025-11-24&amp;ServiceDateTo=2025-11-24&amp;DumpsterInvNr=13-L-218245", "13-L-218245")</f>
        <v>13-L-218245</v>
      </c>
      <c r="C6513">
        <v>1.1000000000000001</v>
      </c>
      <c r="D6513" t="s">
        <v>235</v>
      </c>
      <c r="E6513" t="s">
        <v>11</v>
      </c>
      <c r="G6513" t="s">
        <v>936</v>
      </c>
      <c r="H6513" t="s">
        <v>938</v>
      </c>
    </row>
    <row r="6514" spans="1:10" hidden="1" x14ac:dyDescent="0.25">
      <c r="A6514" t="s">
        <v>8980</v>
      </c>
      <c r="B6514" s="1" t="str">
        <f>HYPERLINK("https://asmlis.vasa.lt/Dashboard/Served?ServiceDateFrom=2025-11-24&amp;ServiceDateTo=2025-11-24&amp;DumpsterInvNr=13-T-000264", "13-T-000264")</f>
        <v>13-T-000264</v>
      </c>
      <c r="C6514">
        <v>2.5</v>
      </c>
      <c r="D6514" t="s">
        <v>8981</v>
      </c>
      <c r="E6514" t="s">
        <v>11</v>
      </c>
      <c r="F6514" t="s">
        <v>13</v>
      </c>
      <c r="G6514" t="s">
        <v>1899</v>
      </c>
      <c r="H6514" t="s">
        <v>432</v>
      </c>
    </row>
    <row r="6515" spans="1:10" hidden="1" x14ac:dyDescent="0.25">
      <c r="A6515" t="s">
        <v>8982</v>
      </c>
      <c r="B6515" s="1" t="str">
        <f>HYPERLINK("https://asmlis.vasa.lt/Dashboard/Served?ServiceDateFrom=2025-11-24&amp;ServiceDateTo=2025-11-24&amp;DumpsterInvNr=13-L-219352", "13-L-219352")</f>
        <v>13-L-219352</v>
      </c>
      <c r="C6515">
        <v>0.24</v>
      </c>
      <c r="D6515" t="s">
        <v>4937</v>
      </c>
      <c r="E6515" t="s">
        <v>11</v>
      </c>
      <c r="F6515" t="s">
        <v>1209</v>
      </c>
      <c r="G6515" t="s">
        <v>936</v>
      </c>
      <c r="H6515" t="s">
        <v>938</v>
      </c>
    </row>
    <row r="6516" spans="1:10" hidden="1" x14ac:dyDescent="0.25">
      <c r="A6516" t="s">
        <v>8983</v>
      </c>
      <c r="B6516" s="1" t="str">
        <f>HYPERLINK("https://asmlis.vasa.lt/Dashboard/Served?ServiceDateFrom=2025-11-24&amp;ServiceDateTo=2025-11-24&amp;DumpsterInvNr=13-L-314840", "13-L-314840")</f>
        <v>13-L-314840</v>
      </c>
      <c r="C6516">
        <v>5</v>
      </c>
      <c r="D6516" t="s">
        <v>697</v>
      </c>
      <c r="E6516" t="s">
        <v>11</v>
      </c>
      <c r="F6516" t="s">
        <v>13</v>
      </c>
      <c r="G6516" t="s">
        <v>9</v>
      </c>
      <c r="H6516" t="s">
        <v>14</v>
      </c>
    </row>
    <row r="6517" spans="1:10" hidden="1" x14ac:dyDescent="0.25">
      <c r="A6517" t="s">
        <v>8984</v>
      </c>
      <c r="B6517" s="1" t="str">
        <f>HYPERLINK("https://asmlis.vasa.lt/Dashboard/Served?ServiceDateFrom=2025-11-24&amp;ServiceDateTo=2025-11-24&amp;DumpsterInvNr=13-L-315603", "13-L-315603")</f>
        <v>13-L-315603</v>
      </c>
      <c r="C6517">
        <v>5</v>
      </c>
      <c r="D6517" t="s">
        <v>697</v>
      </c>
      <c r="E6517" t="s">
        <v>11</v>
      </c>
      <c r="F6517" t="s">
        <v>13</v>
      </c>
      <c r="G6517" t="s">
        <v>9</v>
      </c>
      <c r="H6517" t="s">
        <v>14</v>
      </c>
    </row>
    <row r="6518" spans="1:10" hidden="1" x14ac:dyDescent="0.25">
      <c r="A6518" t="s">
        <v>8985</v>
      </c>
      <c r="B6518" s="1" t="str">
        <f>HYPERLINK("https://asmlis.vasa.lt/Dashboard/Served?ServiceDateFrom=2025-11-24&amp;ServiceDateTo=2025-11-24&amp;DumpsterInvNr=13-P-208698", "13-P-208698")</f>
        <v>13-P-208698</v>
      </c>
      <c r="C6518">
        <v>0.24</v>
      </c>
      <c r="D6518" t="s">
        <v>8986</v>
      </c>
      <c r="E6518" t="s">
        <v>11</v>
      </c>
      <c r="G6518" t="s">
        <v>234</v>
      </c>
      <c r="H6518" t="s">
        <v>14</v>
      </c>
    </row>
    <row r="6519" spans="1:10" x14ac:dyDescent="0.25">
      <c r="A6519" t="s">
        <v>8987</v>
      </c>
      <c r="B6519" s="1" t="str">
        <f>HYPERLINK("https://asmlis.vasa.lt/Dashboard/Served?ServiceDateFrom=2025-11-24&amp;ServiceDateTo=2025-11-24&amp;DumpsterInvNr=13-L-426479", "13-L-426479")</f>
        <v>13-L-426479</v>
      </c>
      <c r="C6519">
        <v>0.24</v>
      </c>
      <c r="D6519" t="s">
        <v>8085</v>
      </c>
      <c r="E6519" t="s">
        <v>11</v>
      </c>
      <c r="F6519" t="s">
        <v>1215</v>
      </c>
      <c r="G6519" t="s">
        <v>74</v>
      </c>
      <c r="H6519" t="s">
        <v>14</v>
      </c>
      <c r="J6519" t="s">
        <v>17511</v>
      </c>
    </row>
    <row r="6520" spans="1:10" hidden="1" x14ac:dyDescent="0.25">
      <c r="A6520" t="s">
        <v>8988</v>
      </c>
      <c r="B6520" s="1" t="str">
        <f>HYPERLINK("https://asmlis.vasa.lt/Dashboard/Served?ServiceDateFrom=2025-11-24&amp;ServiceDateTo=2025-11-24&amp;DumpsterInvNr=13-S-209589", "13-S-209589")</f>
        <v>13-S-209589</v>
      </c>
      <c r="C6520">
        <v>0.12</v>
      </c>
      <c r="D6520" t="s">
        <v>8986</v>
      </c>
      <c r="E6520" t="s">
        <v>11</v>
      </c>
      <c r="F6520" t="s">
        <v>1209</v>
      </c>
      <c r="G6520" t="s">
        <v>234</v>
      </c>
      <c r="H6520" t="s">
        <v>14</v>
      </c>
    </row>
    <row r="6521" spans="1:10" hidden="1" x14ac:dyDescent="0.25">
      <c r="A6521" t="s">
        <v>8989</v>
      </c>
      <c r="B6521" s="1" t="str">
        <f>HYPERLINK("https://asmlis.vasa.lt/Dashboard/Served?ServiceDateFrom=2025-11-24&amp;ServiceDateTo=2025-11-24&amp;DumpsterInvNr=13-L-416402", "13-L-416402")</f>
        <v>13-L-416402</v>
      </c>
      <c r="C6521">
        <v>0.24</v>
      </c>
      <c r="D6521" t="s">
        <v>8990</v>
      </c>
      <c r="E6521" t="s">
        <v>11</v>
      </c>
      <c r="G6521" t="s">
        <v>74</v>
      </c>
      <c r="H6521" t="s">
        <v>14</v>
      </c>
    </row>
    <row r="6522" spans="1:10" hidden="1" x14ac:dyDescent="0.25">
      <c r="A6522" t="s">
        <v>8989</v>
      </c>
      <c r="B6522" s="1" t="str">
        <f>HYPERLINK("https://asmlis.vasa.lt/Dashboard/Served?ServiceDateFrom=2025-11-24&amp;ServiceDateTo=2025-11-24&amp;DumpsterInvNr=13-L-401838", "13-L-401838")</f>
        <v>13-L-401838</v>
      </c>
      <c r="C6522">
        <v>0.24</v>
      </c>
      <c r="D6522" t="s">
        <v>8991</v>
      </c>
      <c r="E6522" t="s">
        <v>11</v>
      </c>
      <c r="G6522" t="s">
        <v>74</v>
      </c>
      <c r="H6522" t="s">
        <v>14</v>
      </c>
    </row>
    <row r="6523" spans="1:10" hidden="1" x14ac:dyDescent="0.25">
      <c r="A6523" t="s">
        <v>8992</v>
      </c>
      <c r="B6523" s="1" t="str">
        <f>HYPERLINK("https://asmlis.vasa.lt/Dashboard/Served?ServiceDateFrom=2025-11-24&amp;ServiceDateTo=2025-11-24&amp;DumpsterInvNr=13-P-500545", "13-P-500545")</f>
        <v>13-P-500545</v>
      </c>
      <c r="C6523">
        <v>5</v>
      </c>
      <c r="D6523" t="s">
        <v>8993</v>
      </c>
      <c r="E6523" t="s">
        <v>11</v>
      </c>
      <c r="F6523" t="s">
        <v>13</v>
      </c>
      <c r="G6523" t="s">
        <v>2178</v>
      </c>
      <c r="H6523" t="s">
        <v>432</v>
      </c>
    </row>
    <row r="6524" spans="1:10" hidden="1" x14ac:dyDescent="0.25">
      <c r="A6524" t="s">
        <v>8994</v>
      </c>
      <c r="B6524" s="1" t="str">
        <f>HYPERLINK("https://asmlis.vasa.lt/Dashboard/Served?ServiceDateFrom=2025-11-24&amp;ServiceDateTo=2025-11-24&amp;DumpsterInvNr=13-L-227605", "13-L-227605")</f>
        <v>13-L-227605</v>
      </c>
      <c r="C6524">
        <v>1.1000000000000001</v>
      </c>
      <c r="D6524" t="s">
        <v>235</v>
      </c>
      <c r="E6524" t="s">
        <v>11</v>
      </c>
      <c r="G6524" t="s">
        <v>936</v>
      </c>
      <c r="H6524" t="s">
        <v>938</v>
      </c>
    </row>
    <row r="6525" spans="1:10" hidden="1" x14ac:dyDescent="0.25">
      <c r="A6525" t="s">
        <v>8995</v>
      </c>
      <c r="B6525" s="1" t="str">
        <f>HYPERLINK("https://asmlis.vasa.lt/Dashboard/Served?ServiceDateFrom=2025-11-24&amp;ServiceDateTo=2025-11-24&amp;DumpsterInvNr=13-M-202342", "13-M-202342")</f>
        <v>13-M-202342</v>
      </c>
      <c r="C6525">
        <v>0.12</v>
      </c>
      <c r="D6525" t="s">
        <v>8996</v>
      </c>
      <c r="E6525" t="s">
        <v>11</v>
      </c>
      <c r="G6525" t="s">
        <v>4876</v>
      </c>
      <c r="H6525" t="s">
        <v>938</v>
      </c>
    </row>
    <row r="6526" spans="1:10" hidden="1" x14ac:dyDescent="0.25">
      <c r="A6526" t="s">
        <v>8997</v>
      </c>
      <c r="B6526" s="1" t="str">
        <f>HYPERLINK("https://asmlis.vasa.lt/Dashboard/Served?ServiceDateFrom=2025-11-24&amp;ServiceDateTo=2025-11-24&amp;DumpsterInvNr=13-L-135805", "13-L-135805")</f>
        <v>13-L-135805</v>
      </c>
      <c r="C6526">
        <v>5</v>
      </c>
      <c r="D6526" t="s">
        <v>8998</v>
      </c>
      <c r="E6526" t="s">
        <v>11</v>
      </c>
      <c r="F6526" t="s">
        <v>13</v>
      </c>
      <c r="G6526" t="s">
        <v>430</v>
      </c>
      <c r="H6526" t="s">
        <v>432</v>
      </c>
    </row>
    <row r="6527" spans="1:10" hidden="1" x14ac:dyDescent="0.25">
      <c r="A6527" t="s">
        <v>8999</v>
      </c>
      <c r="B6527" s="1" t="str">
        <f>HYPERLINK("https://asmlis.vasa.lt/Dashboard/Served?ServiceDateFrom=2025-11-24&amp;ServiceDateTo=2025-11-24&amp;DumpsterInvNr=13-L-123071", "13-L-123071")</f>
        <v>13-L-123071</v>
      </c>
      <c r="C6527">
        <v>1.1000000000000001</v>
      </c>
      <c r="D6527" t="s">
        <v>9000</v>
      </c>
      <c r="E6527" t="s">
        <v>11</v>
      </c>
      <c r="G6527" t="s">
        <v>1912</v>
      </c>
      <c r="H6527" t="s">
        <v>432</v>
      </c>
    </row>
    <row r="6528" spans="1:10" hidden="1" x14ac:dyDescent="0.25">
      <c r="A6528" t="s">
        <v>9002</v>
      </c>
      <c r="B6528" s="1" t="str">
        <f>HYPERLINK("https://asmlis.vasa.lt/Dashboard/Served?ServiceDateFrom=2025-11-24&amp;ServiceDateTo=2025-11-24&amp;DumpsterInvNr=13-L-401837", "13-L-401837")</f>
        <v>13-L-401837</v>
      </c>
      <c r="C6528">
        <v>0.24</v>
      </c>
      <c r="D6528" t="s">
        <v>9003</v>
      </c>
      <c r="E6528" t="s">
        <v>11</v>
      </c>
      <c r="G6528" t="s">
        <v>74</v>
      </c>
      <c r="H6528" t="s">
        <v>14</v>
      </c>
    </row>
    <row r="6529" spans="1:10" x14ac:dyDescent="0.25">
      <c r="A6529" t="s">
        <v>9004</v>
      </c>
      <c r="B6529" s="1" t="str">
        <f>HYPERLINK("https://asmlis.vasa.lt/Dashboard/Served?ServiceDateFrom=2025-11-24&amp;ServiceDateTo=2025-11-24&amp;DumpsterInvNr=13-L-414596", "13-L-414596")</f>
        <v>13-L-414596</v>
      </c>
      <c r="C6529">
        <v>0.24</v>
      </c>
      <c r="D6529" t="s">
        <v>9005</v>
      </c>
      <c r="E6529" t="s">
        <v>11</v>
      </c>
      <c r="F6529" t="s">
        <v>1215</v>
      </c>
      <c r="G6529" t="s">
        <v>74</v>
      </c>
      <c r="H6529" t="s">
        <v>14</v>
      </c>
      <c r="J6529" t="s">
        <v>17511</v>
      </c>
    </row>
    <row r="6530" spans="1:10" hidden="1" x14ac:dyDescent="0.25">
      <c r="A6530" t="s">
        <v>9006</v>
      </c>
      <c r="B6530" s="1" t="str">
        <f>HYPERLINK("https://asmlis.vasa.lt/Dashboard/Served?ServiceDateFrom=2025-11-24&amp;ServiceDateTo=2025-11-24&amp;DumpsterInvNr=13-P-408980", "13-P-408980")</f>
        <v>13-P-408980</v>
      </c>
      <c r="C6530">
        <v>1.1000000000000001</v>
      </c>
      <c r="D6530" t="s">
        <v>8958</v>
      </c>
      <c r="E6530" t="s">
        <v>11</v>
      </c>
      <c r="F6530" t="s">
        <v>13</v>
      </c>
      <c r="G6530" t="s">
        <v>264</v>
      </c>
      <c r="H6530" t="s">
        <v>14</v>
      </c>
    </row>
    <row r="6531" spans="1:10" x14ac:dyDescent="0.25">
      <c r="A6531" t="s">
        <v>9007</v>
      </c>
      <c r="B6531" s="1" t="str">
        <f>HYPERLINK("https://asmlis.vasa.lt/Dashboard/Served?ServiceDateFrom=2025-11-24&amp;ServiceDateTo=2025-11-24&amp;DumpsterInvNr=13-L-419322", "13-L-419322")</f>
        <v>13-L-419322</v>
      </c>
      <c r="C6531">
        <v>0.24</v>
      </c>
      <c r="D6531" t="s">
        <v>9008</v>
      </c>
      <c r="E6531" t="s">
        <v>11</v>
      </c>
      <c r="F6531" t="s">
        <v>1215</v>
      </c>
      <c r="G6531" t="s">
        <v>74</v>
      </c>
      <c r="H6531" t="s">
        <v>14</v>
      </c>
      <c r="J6531" t="s">
        <v>17511</v>
      </c>
    </row>
    <row r="6532" spans="1:10" hidden="1" x14ac:dyDescent="0.25">
      <c r="A6532" t="s">
        <v>9009</v>
      </c>
      <c r="B6532" s="1" t="str">
        <f>HYPERLINK("https://asmlis.vasa.lt/Dashboard/Served?ServiceDateFrom=2025-11-24&amp;ServiceDateTo=2025-11-24&amp;DumpsterInvNr=13-L-421070", "13-L-421070")</f>
        <v>13-L-421070</v>
      </c>
      <c r="C6532">
        <v>1.1000000000000001</v>
      </c>
      <c r="D6532" t="s">
        <v>9010</v>
      </c>
      <c r="E6532" t="s">
        <v>11</v>
      </c>
      <c r="G6532" t="s">
        <v>74</v>
      </c>
      <c r="H6532" t="s">
        <v>14</v>
      </c>
    </row>
    <row r="6533" spans="1:10" hidden="1" x14ac:dyDescent="0.25">
      <c r="A6533" t="s">
        <v>9011</v>
      </c>
      <c r="B6533" s="1" t="str">
        <f>HYPERLINK("https://asmlis.vasa.lt/Dashboard/Served?ServiceDateFrom=2025-11-24&amp;ServiceDateTo=2025-11-24&amp;DumpsterInvNr=13-L-111223", "13-L-111223")</f>
        <v>13-L-111223</v>
      </c>
      <c r="C6533">
        <v>0.12</v>
      </c>
      <c r="D6533" t="s">
        <v>9012</v>
      </c>
      <c r="E6533" t="s">
        <v>11</v>
      </c>
      <c r="G6533" t="s">
        <v>1912</v>
      </c>
      <c r="H6533" t="s">
        <v>432</v>
      </c>
    </row>
    <row r="6534" spans="1:10" x14ac:dyDescent="0.25">
      <c r="A6534" t="s">
        <v>9013</v>
      </c>
      <c r="B6534" s="1" t="str">
        <f>HYPERLINK("https://asmlis.vasa.lt/Dashboard/Served?ServiceDateFrom=2025-11-24&amp;ServiceDateTo=2025-11-24&amp;DumpsterInvNr=13-L-421888", "13-L-421888")</f>
        <v>13-L-421888</v>
      </c>
      <c r="C6534">
        <v>0.24</v>
      </c>
      <c r="D6534" t="s">
        <v>9015</v>
      </c>
      <c r="E6534" t="s">
        <v>11</v>
      </c>
      <c r="F6534" t="s">
        <v>1215</v>
      </c>
      <c r="G6534" t="s">
        <v>74</v>
      </c>
      <c r="H6534" t="s">
        <v>14</v>
      </c>
      <c r="J6534" t="s">
        <v>17511</v>
      </c>
    </row>
    <row r="6535" spans="1:10" hidden="1" x14ac:dyDescent="0.25">
      <c r="A6535" t="s">
        <v>9016</v>
      </c>
      <c r="B6535" s="1" t="str">
        <f>HYPERLINK("https://asmlis.vasa.lt/Dashboard/Served?ServiceDateFrom=2025-11-24&amp;ServiceDateTo=2025-11-24&amp;DumpsterInvNr=13-P-404417", "13-P-404417")</f>
        <v>13-P-404417</v>
      </c>
      <c r="C6535">
        <v>0.24</v>
      </c>
      <c r="D6535" t="s">
        <v>9017</v>
      </c>
      <c r="E6535" t="s">
        <v>11</v>
      </c>
      <c r="F6535" t="s">
        <v>1209</v>
      </c>
      <c r="G6535" t="s">
        <v>264</v>
      </c>
      <c r="H6535" t="s">
        <v>14</v>
      </c>
    </row>
    <row r="6536" spans="1:10" hidden="1" x14ac:dyDescent="0.25">
      <c r="A6536" t="s">
        <v>9019</v>
      </c>
      <c r="B6536" s="1" t="str">
        <f>HYPERLINK("https://asmlis.vasa.lt/Dashboard/Served?ServiceDateFrom=2025-11-24&amp;ServiceDateTo=2025-11-24&amp;DumpsterInvNr=13-P-404411", "13-P-404411")</f>
        <v>13-P-404411</v>
      </c>
      <c r="C6536">
        <v>0.24</v>
      </c>
      <c r="D6536" t="s">
        <v>9020</v>
      </c>
      <c r="E6536" t="s">
        <v>11</v>
      </c>
      <c r="F6536" t="s">
        <v>1209</v>
      </c>
      <c r="G6536" t="s">
        <v>264</v>
      </c>
      <c r="H6536" t="s">
        <v>14</v>
      </c>
    </row>
    <row r="6537" spans="1:10" hidden="1" x14ac:dyDescent="0.25">
      <c r="A6537" t="s">
        <v>9021</v>
      </c>
      <c r="B6537" s="1" t="str">
        <f>HYPERLINK("https://asmlis.vasa.lt/Dashboard/Served?ServiceDateFrom=2025-11-24&amp;ServiceDateTo=2025-11-24&amp;DumpsterInvNr=13-L-423281", "13-L-423281")</f>
        <v>13-L-423281</v>
      </c>
      <c r="C6537">
        <v>1.1000000000000001</v>
      </c>
      <c r="D6537" t="s">
        <v>9010</v>
      </c>
      <c r="E6537" t="s">
        <v>11</v>
      </c>
      <c r="G6537" t="s">
        <v>74</v>
      </c>
      <c r="H6537" t="s">
        <v>14</v>
      </c>
    </row>
    <row r="6538" spans="1:10" hidden="1" x14ac:dyDescent="0.25">
      <c r="A6538" t="s">
        <v>9021</v>
      </c>
      <c r="B6538" s="1" t="str">
        <f>HYPERLINK("https://asmlis.vasa.lt/Dashboard/Served?ServiceDateFrom=2025-11-24&amp;ServiceDateTo=2025-11-24&amp;DumpsterInvNr=13-P-400292", "13-P-400292")</f>
        <v>13-P-400292</v>
      </c>
      <c r="C6538">
        <v>0.24</v>
      </c>
      <c r="D6538" t="s">
        <v>9022</v>
      </c>
      <c r="E6538" t="s">
        <v>11</v>
      </c>
      <c r="F6538" t="s">
        <v>1209</v>
      </c>
      <c r="G6538" t="s">
        <v>264</v>
      </c>
      <c r="H6538" t="s">
        <v>14</v>
      </c>
    </row>
    <row r="6539" spans="1:10" hidden="1" x14ac:dyDescent="0.25">
      <c r="A6539" t="s">
        <v>9024</v>
      </c>
      <c r="B6539" s="1" t="str">
        <f>HYPERLINK("https://asmlis.vasa.lt/Dashboard/Served?ServiceDateFrom=2025-11-24&amp;ServiceDateTo=2025-11-24&amp;DumpsterInvNr=13-L-208638", "13-L-208638")</f>
        <v>13-L-208638</v>
      </c>
      <c r="C6539">
        <v>0.24</v>
      </c>
      <c r="D6539" t="s">
        <v>1525</v>
      </c>
      <c r="E6539" t="s">
        <v>11</v>
      </c>
      <c r="F6539" t="s">
        <v>13</v>
      </c>
      <c r="G6539" t="s">
        <v>936</v>
      </c>
      <c r="H6539" t="s">
        <v>938</v>
      </c>
    </row>
    <row r="6540" spans="1:10" hidden="1" x14ac:dyDescent="0.25">
      <c r="A6540" t="s">
        <v>9025</v>
      </c>
      <c r="B6540" s="1" t="str">
        <f>HYPERLINK("https://asmlis.vasa.lt/Dashboard/Served?ServiceDateFrom=2025-11-24&amp;ServiceDateTo=2025-11-24&amp;DumpsterInvNr=13-P-209731", "13-P-209731")</f>
        <v>13-P-209731</v>
      </c>
      <c r="C6540">
        <v>0.24</v>
      </c>
      <c r="D6540" t="s">
        <v>9026</v>
      </c>
      <c r="E6540" t="s">
        <v>11</v>
      </c>
      <c r="G6540" t="s">
        <v>234</v>
      </c>
      <c r="H6540" t="s">
        <v>14</v>
      </c>
    </row>
    <row r="6541" spans="1:10" hidden="1" x14ac:dyDescent="0.25">
      <c r="A6541" t="s">
        <v>9027</v>
      </c>
      <c r="B6541" s="1" t="str">
        <f>HYPERLINK("https://asmlis.vasa.lt/Dashboard/Served?ServiceDateFrom=2025-11-24&amp;ServiceDateTo=2025-11-24&amp;DumpsterInvNr=13-L-421800", "13-L-421800")</f>
        <v>13-L-421800</v>
      </c>
      <c r="C6541">
        <v>0.77</v>
      </c>
      <c r="D6541" t="s">
        <v>9028</v>
      </c>
      <c r="E6541" t="s">
        <v>11</v>
      </c>
      <c r="G6541" t="s">
        <v>74</v>
      </c>
      <c r="H6541" t="s">
        <v>14</v>
      </c>
    </row>
    <row r="6542" spans="1:10" hidden="1" x14ac:dyDescent="0.25">
      <c r="A6542" t="s">
        <v>8616</v>
      </c>
      <c r="B6542" s="1" t="str">
        <f>HYPERLINK("https://asmlis.vasa.lt/Dashboard/Served?ServiceDateFrom=2025-11-24&amp;ServiceDateTo=2025-11-24&amp;DumpsterInvNr=13-P-404414", "13-P-404414")</f>
        <v>13-P-404414</v>
      </c>
      <c r="C6542">
        <v>0.24</v>
      </c>
      <c r="D6542" t="s">
        <v>9029</v>
      </c>
      <c r="E6542" t="s">
        <v>11</v>
      </c>
      <c r="G6542" t="s">
        <v>264</v>
      </c>
      <c r="H6542" t="s">
        <v>14</v>
      </c>
    </row>
    <row r="6543" spans="1:10" hidden="1" x14ac:dyDescent="0.25">
      <c r="A6543" t="s">
        <v>9030</v>
      </c>
      <c r="B6543" s="1" t="str">
        <f>HYPERLINK("https://asmlis.vasa.lt/Dashboard/Served?ServiceDateFrom=2025-11-24&amp;ServiceDateTo=2025-11-24&amp;DumpsterInvNr=13-P-300765", "13-P-300765")</f>
        <v>13-P-300765</v>
      </c>
      <c r="C6543">
        <v>1.1000000000000001</v>
      </c>
      <c r="D6543" t="s">
        <v>289</v>
      </c>
      <c r="E6543" t="s">
        <v>11</v>
      </c>
      <c r="G6543" t="s">
        <v>412</v>
      </c>
      <c r="H6543" t="s">
        <v>14</v>
      </c>
    </row>
    <row r="6544" spans="1:10" hidden="1" x14ac:dyDescent="0.25">
      <c r="A6544" t="s">
        <v>9030</v>
      </c>
      <c r="B6544" s="1" t="str">
        <f>HYPERLINK("https://asmlis.vasa.lt/Dashboard/Served?ServiceDateFrom=2025-11-24&amp;ServiceDateTo=2025-11-24&amp;DumpsterInvNr=13-T-000119", "13-T-000119")</f>
        <v>13-T-000119</v>
      </c>
      <c r="C6544">
        <v>2.5</v>
      </c>
      <c r="D6544" t="s">
        <v>1127</v>
      </c>
      <c r="E6544" t="s">
        <v>11</v>
      </c>
      <c r="F6544" t="s">
        <v>13</v>
      </c>
      <c r="G6544" t="s">
        <v>1899</v>
      </c>
      <c r="H6544" t="s">
        <v>432</v>
      </c>
    </row>
    <row r="6545" spans="1:8" hidden="1" x14ac:dyDescent="0.25">
      <c r="A6545" t="s">
        <v>8540</v>
      </c>
      <c r="B6545" s="1" t="str">
        <f>HYPERLINK("https://asmlis.vasa.lt/Dashboard/Served?ServiceDateFrom=2025-11-24&amp;ServiceDateTo=2025-11-24&amp;DumpsterInvNr=13-M-206347", "13-M-206347")</f>
        <v>13-M-206347</v>
      </c>
      <c r="C6545">
        <v>0.12</v>
      </c>
      <c r="D6545" t="s">
        <v>9031</v>
      </c>
      <c r="E6545" t="s">
        <v>11</v>
      </c>
      <c r="F6545" t="s">
        <v>1209</v>
      </c>
      <c r="G6545" t="s">
        <v>4876</v>
      </c>
      <c r="H6545" t="s">
        <v>938</v>
      </c>
    </row>
    <row r="6546" spans="1:8" hidden="1" x14ac:dyDescent="0.25">
      <c r="A6546" t="s">
        <v>9033</v>
      </c>
      <c r="B6546" s="1" t="str">
        <f>HYPERLINK("https://asmlis.vasa.lt/Dashboard/Served?ServiceDateFrom=2025-11-24&amp;ServiceDateTo=2025-11-24&amp;DumpsterInvNr=13-T-000118", "13-T-000118")</f>
        <v>13-T-000118</v>
      </c>
      <c r="C6546">
        <v>2.5</v>
      </c>
      <c r="D6546" t="s">
        <v>1127</v>
      </c>
      <c r="E6546" t="s">
        <v>11</v>
      </c>
      <c r="F6546" t="s">
        <v>13</v>
      </c>
      <c r="G6546" t="s">
        <v>1899</v>
      </c>
      <c r="H6546" t="s">
        <v>432</v>
      </c>
    </row>
    <row r="6547" spans="1:8" hidden="1" x14ac:dyDescent="0.25">
      <c r="A6547" t="s">
        <v>8648</v>
      </c>
      <c r="B6547" s="1" t="str">
        <f>HYPERLINK("https://asmlis.vasa.lt/Dashboard/Served?ServiceDateFrom=2025-11-24&amp;ServiceDateTo=2025-11-24&amp;DumpsterInvNr=13-P-400485", "13-P-400485")</f>
        <v>13-P-400485</v>
      </c>
      <c r="C6547">
        <v>5</v>
      </c>
      <c r="D6547" t="s">
        <v>9034</v>
      </c>
      <c r="E6547" t="s">
        <v>11</v>
      </c>
      <c r="F6547" t="s">
        <v>13</v>
      </c>
      <c r="G6547" t="s">
        <v>264</v>
      </c>
      <c r="H6547" t="s">
        <v>14</v>
      </c>
    </row>
    <row r="6548" spans="1:8" hidden="1" x14ac:dyDescent="0.25">
      <c r="A6548" t="s">
        <v>8682</v>
      </c>
      <c r="B6548" s="1" t="str">
        <f>HYPERLINK("https://asmlis.vasa.lt/Dashboard/Served?ServiceDateFrom=2025-11-24&amp;ServiceDateTo=2025-11-24&amp;DumpsterInvNr=13-P-404412", "13-P-404412")</f>
        <v>13-P-404412</v>
      </c>
      <c r="C6548">
        <v>0.24</v>
      </c>
      <c r="D6548" t="s">
        <v>9035</v>
      </c>
      <c r="E6548" t="s">
        <v>11</v>
      </c>
      <c r="F6548" t="s">
        <v>1209</v>
      </c>
      <c r="G6548" t="s">
        <v>264</v>
      </c>
      <c r="H6548" t="s">
        <v>14</v>
      </c>
    </row>
    <row r="6549" spans="1:8" hidden="1" x14ac:dyDescent="0.25">
      <c r="A6549" t="s">
        <v>8519</v>
      </c>
      <c r="B6549" s="1" t="str">
        <f>HYPERLINK("https://asmlis.vasa.lt/Dashboard/Served?ServiceDateFrom=2025-11-24&amp;ServiceDateTo=2025-11-24&amp;DumpsterInvNr=13-M-204874", "13-M-204874")</f>
        <v>13-M-204874</v>
      </c>
      <c r="C6549">
        <v>0.12</v>
      </c>
      <c r="D6549" t="s">
        <v>9037</v>
      </c>
      <c r="E6549" t="s">
        <v>11</v>
      </c>
      <c r="F6549" t="s">
        <v>1209</v>
      </c>
      <c r="G6549" t="s">
        <v>4876</v>
      </c>
      <c r="H6549" t="s">
        <v>938</v>
      </c>
    </row>
    <row r="6550" spans="1:8" hidden="1" x14ac:dyDescent="0.25">
      <c r="A6550" t="s">
        <v>8542</v>
      </c>
      <c r="B6550" s="1" t="str">
        <f>HYPERLINK("https://asmlis.vasa.lt/Dashboard/Served?ServiceDateFrom=2025-11-24&amp;ServiceDateTo=2025-11-24&amp;DumpsterInvNr=13-P-306864", "13-P-306864")</f>
        <v>13-P-306864</v>
      </c>
      <c r="C6550">
        <v>1.1000000000000001</v>
      </c>
      <c r="D6550" t="s">
        <v>289</v>
      </c>
      <c r="E6550" t="s">
        <v>11</v>
      </c>
      <c r="F6550" t="s">
        <v>13</v>
      </c>
      <c r="G6550" t="s">
        <v>412</v>
      </c>
      <c r="H6550" t="s">
        <v>14</v>
      </c>
    </row>
    <row r="6551" spans="1:8" hidden="1" x14ac:dyDescent="0.25">
      <c r="A6551" t="s">
        <v>8693</v>
      </c>
      <c r="B6551" s="1" t="str">
        <f>HYPERLINK("https://asmlis.vasa.lt/Dashboard/Served?ServiceDateFrom=2025-11-24&amp;ServiceDateTo=2025-11-24&amp;DumpsterInvNr=13-L-216422", "13-L-216422")</f>
        <v>13-L-216422</v>
      </c>
      <c r="C6551">
        <v>1.1000000000000001</v>
      </c>
      <c r="D6551" t="s">
        <v>8884</v>
      </c>
      <c r="E6551" t="s">
        <v>11</v>
      </c>
      <c r="G6551" t="s">
        <v>936</v>
      </c>
      <c r="H6551" t="s">
        <v>938</v>
      </c>
    </row>
    <row r="6552" spans="1:8" hidden="1" x14ac:dyDescent="0.25">
      <c r="A6552" t="s">
        <v>8693</v>
      </c>
      <c r="B6552" s="1" t="str">
        <f>HYPERLINK("https://asmlis.vasa.lt/Dashboard/Served?ServiceDateFrom=2025-11-24&amp;ServiceDateTo=2025-11-24&amp;DumpsterInvNr=13-M-206100", "13-M-206100")</f>
        <v>13-M-206100</v>
      </c>
      <c r="C6552">
        <v>0.12</v>
      </c>
      <c r="D6552" t="s">
        <v>9038</v>
      </c>
      <c r="E6552" t="s">
        <v>11</v>
      </c>
      <c r="F6552" t="s">
        <v>1209</v>
      </c>
      <c r="G6552" t="s">
        <v>4876</v>
      </c>
      <c r="H6552" t="s">
        <v>938</v>
      </c>
    </row>
    <row r="6553" spans="1:8" hidden="1" x14ac:dyDescent="0.25">
      <c r="A6553" t="s">
        <v>8714</v>
      </c>
      <c r="B6553" s="1" t="str">
        <f>HYPERLINK("https://asmlis.vasa.lt/Dashboard/Served?ServiceDateFrom=2025-11-24&amp;ServiceDateTo=2025-11-24&amp;DumpsterInvNr=13-P-116344", "13-P-116344")</f>
        <v>13-P-116344</v>
      </c>
      <c r="C6553">
        <v>1.1000000000000001</v>
      </c>
      <c r="D6553" t="s">
        <v>9039</v>
      </c>
      <c r="E6553" t="s">
        <v>11</v>
      </c>
      <c r="G6553" t="s">
        <v>1917</v>
      </c>
      <c r="H6553" t="s">
        <v>432</v>
      </c>
    </row>
    <row r="6554" spans="1:8" hidden="1" x14ac:dyDescent="0.25">
      <c r="A6554" t="s">
        <v>8618</v>
      </c>
      <c r="B6554" s="1" t="str">
        <f>HYPERLINK("https://asmlis.vasa.lt/Dashboard/Served?ServiceDateFrom=2025-11-24&amp;ServiceDateTo=2025-11-24&amp;DumpsterInvNr=13-L-110657", "13-L-110657")</f>
        <v>13-L-110657</v>
      </c>
      <c r="C6554">
        <v>0.24</v>
      </c>
      <c r="D6554" t="s">
        <v>9042</v>
      </c>
      <c r="E6554" t="s">
        <v>11</v>
      </c>
      <c r="F6554" t="s">
        <v>1209</v>
      </c>
      <c r="G6554" t="s">
        <v>1912</v>
      </c>
      <c r="H6554" t="s">
        <v>432</v>
      </c>
    </row>
    <row r="6555" spans="1:8" hidden="1" x14ac:dyDescent="0.25">
      <c r="A6555" t="s">
        <v>8766</v>
      </c>
      <c r="B6555" s="1" t="str">
        <f>HYPERLINK("https://asmlis.vasa.lt/Dashboard/Served?ServiceDateFrom=2025-11-24&amp;ServiceDateTo=2025-11-24&amp;DumpsterInvNr=13-M-205178", "13-M-205178")</f>
        <v>13-M-205178</v>
      </c>
      <c r="C6555">
        <v>0.12</v>
      </c>
      <c r="D6555" t="s">
        <v>9043</v>
      </c>
      <c r="E6555" t="s">
        <v>11</v>
      </c>
      <c r="F6555" t="s">
        <v>1209</v>
      </c>
      <c r="G6555" t="s">
        <v>4876</v>
      </c>
      <c r="H6555" t="s">
        <v>938</v>
      </c>
    </row>
    <row r="6556" spans="1:8" hidden="1" x14ac:dyDescent="0.25">
      <c r="A6556" t="s">
        <v>8837</v>
      </c>
      <c r="B6556" s="1" t="str">
        <f>HYPERLINK("https://asmlis.vasa.lt/Dashboard/Served?ServiceDateFrom=2025-11-24&amp;ServiceDateTo=2025-11-24&amp;DumpsterInvNr=13-L-316453", "13-L-316453")</f>
        <v>13-L-316453</v>
      </c>
      <c r="C6556">
        <v>1.1000000000000001</v>
      </c>
      <c r="D6556" t="s">
        <v>9045</v>
      </c>
      <c r="E6556" t="s">
        <v>11</v>
      </c>
      <c r="G6556" t="s">
        <v>9</v>
      </c>
      <c r="H6556" t="s">
        <v>14</v>
      </c>
    </row>
    <row r="6557" spans="1:8" hidden="1" x14ac:dyDescent="0.25">
      <c r="A6557" t="s">
        <v>8837</v>
      </c>
      <c r="B6557" s="1" t="str">
        <f>HYPERLINK("https://asmlis.vasa.lt/Dashboard/Served?ServiceDateFrom=2025-11-24&amp;ServiceDateTo=2025-11-24&amp;DumpsterInvNr=13-P-415922", "13-P-415922")</f>
        <v>13-P-415922</v>
      </c>
      <c r="C6557">
        <v>0.24</v>
      </c>
      <c r="D6557" t="s">
        <v>9046</v>
      </c>
      <c r="E6557" t="s">
        <v>11</v>
      </c>
      <c r="G6557" t="s">
        <v>264</v>
      </c>
      <c r="H6557" t="s">
        <v>14</v>
      </c>
    </row>
    <row r="6558" spans="1:8" hidden="1" x14ac:dyDescent="0.25">
      <c r="A6558" t="s">
        <v>8837</v>
      </c>
      <c r="B6558" s="1" t="str">
        <f>HYPERLINK("https://asmlis.vasa.lt/Dashboard/Served?ServiceDateFrom=2025-11-24&amp;ServiceDateTo=2025-11-24&amp;DumpsterInvNr=13-M-202398", "13-M-202398")</f>
        <v>13-M-202398</v>
      </c>
      <c r="C6558">
        <v>0.12</v>
      </c>
      <c r="D6558" t="s">
        <v>9047</v>
      </c>
      <c r="E6558" t="s">
        <v>11</v>
      </c>
      <c r="F6558" t="s">
        <v>1209</v>
      </c>
      <c r="G6558" t="s">
        <v>4876</v>
      </c>
      <c r="H6558" t="s">
        <v>938</v>
      </c>
    </row>
    <row r="6559" spans="1:8" hidden="1" x14ac:dyDescent="0.25">
      <c r="A6559" t="s">
        <v>9048</v>
      </c>
      <c r="B6559" s="1" t="str">
        <f>HYPERLINK("https://asmlis.vasa.lt/Dashboard/Served?ServiceDateFrom=2025-11-24&amp;ServiceDateTo=2025-11-24&amp;DumpsterInvNr=13-P-211976", "13-P-211976")</f>
        <v>13-P-211976</v>
      </c>
      <c r="C6559">
        <v>0.24</v>
      </c>
      <c r="D6559" t="s">
        <v>9050</v>
      </c>
      <c r="E6559" t="s">
        <v>11</v>
      </c>
      <c r="G6559" t="s">
        <v>234</v>
      </c>
      <c r="H6559" t="s">
        <v>14</v>
      </c>
    </row>
    <row r="6560" spans="1:8" hidden="1" x14ac:dyDescent="0.25">
      <c r="A6560" t="s">
        <v>8898</v>
      </c>
      <c r="B6560" s="1" t="str">
        <f>HYPERLINK("https://asmlis.vasa.lt/Dashboard/Served?ServiceDateFrom=2025-11-24&amp;ServiceDateTo=2025-11-24&amp;DumpsterInvNr=13-L-318741", "13-L-318741")</f>
        <v>13-L-318741</v>
      </c>
      <c r="C6560">
        <v>1.1000000000000001</v>
      </c>
      <c r="D6560" t="s">
        <v>2886</v>
      </c>
      <c r="E6560" t="s">
        <v>11</v>
      </c>
      <c r="F6560" t="s">
        <v>13</v>
      </c>
      <c r="G6560" t="s">
        <v>9</v>
      </c>
      <c r="H6560" t="s">
        <v>14</v>
      </c>
    </row>
    <row r="6561" spans="1:8" hidden="1" x14ac:dyDescent="0.25">
      <c r="A6561" t="s">
        <v>8904</v>
      </c>
      <c r="B6561" s="1" t="str">
        <f>HYPERLINK("https://asmlis.vasa.lt/Dashboard/Served?ServiceDateFrom=2025-11-24&amp;ServiceDateTo=2025-11-24&amp;DumpsterInvNr=13-M-206047", "13-M-206047")</f>
        <v>13-M-206047</v>
      </c>
      <c r="C6561">
        <v>0.12</v>
      </c>
      <c r="D6561" t="s">
        <v>9047</v>
      </c>
      <c r="E6561" t="s">
        <v>11</v>
      </c>
      <c r="F6561" t="s">
        <v>1209</v>
      </c>
      <c r="G6561" t="s">
        <v>4876</v>
      </c>
      <c r="H6561" t="s">
        <v>938</v>
      </c>
    </row>
    <row r="6562" spans="1:8" hidden="1" x14ac:dyDescent="0.25">
      <c r="A6562" t="s">
        <v>8938</v>
      </c>
      <c r="B6562" s="1" t="str">
        <f>HYPERLINK("https://asmlis.vasa.lt/Dashboard/Served?ServiceDateFrom=2025-11-24&amp;ServiceDateTo=2025-11-24&amp;DumpsterInvNr=13-P-416286", "13-P-416286")</f>
        <v>13-P-416286</v>
      </c>
      <c r="C6562">
        <v>0.24</v>
      </c>
      <c r="D6562" t="s">
        <v>9051</v>
      </c>
      <c r="E6562" t="s">
        <v>11</v>
      </c>
      <c r="G6562" t="s">
        <v>264</v>
      </c>
      <c r="H6562" t="s">
        <v>14</v>
      </c>
    </row>
    <row r="6563" spans="1:8" hidden="1" x14ac:dyDescent="0.25">
      <c r="A6563" t="s">
        <v>8954</v>
      </c>
      <c r="B6563" s="1" t="str">
        <f>HYPERLINK("https://asmlis.vasa.lt/Dashboard/Served?ServiceDateFrom=2025-11-24&amp;ServiceDateTo=2025-11-24&amp;DumpsterInvNr=13-P-413937", "13-P-413937")</f>
        <v>13-P-413937</v>
      </c>
      <c r="C6563">
        <v>5</v>
      </c>
      <c r="D6563" t="s">
        <v>9052</v>
      </c>
      <c r="E6563" t="s">
        <v>11</v>
      </c>
      <c r="G6563" t="s">
        <v>264</v>
      </c>
      <c r="H6563" t="s">
        <v>14</v>
      </c>
    </row>
    <row r="6564" spans="1:8" hidden="1" x14ac:dyDescent="0.25">
      <c r="A6564" t="s">
        <v>9053</v>
      </c>
      <c r="B6564" s="1" t="str">
        <f>HYPERLINK("https://asmlis.vasa.lt/Dashboard/Served?ServiceDateFrom=2025-11-24&amp;ServiceDateTo=2025-11-24&amp;DumpsterInvNr=13-L-133618", "13-L-133618")</f>
        <v>13-L-133618</v>
      </c>
      <c r="C6564">
        <v>0.66</v>
      </c>
      <c r="D6564" t="s">
        <v>9054</v>
      </c>
      <c r="E6564" t="s">
        <v>11</v>
      </c>
      <c r="G6564" t="s">
        <v>1912</v>
      </c>
      <c r="H6564" t="s">
        <v>432</v>
      </c>
    </row>
    <row r="6565" spans="1:8" hidden="1" x14ac:dyDescent="0.25">
      <c r="A6565" t="s">
        <v>9001</v>
      </c>
      <c r="B6565" s="1" t="str">
        <f>HYPERLINK("https://asmlis.vasa.lt/Dashboard/Served?ServiceDateFrom=2025-11-24&amp;ServiceDateTo=2025-11-24&amp;DumpsterInvNr=13-L-215258", "13-L-215258")</f>
        <v>13-L-215258</v>
      </c>
      <c r="C6565">
        <v>1.1000000000000001</v>
      </c>
      <c r="D6565" t="s">
        <v>8884</v>
      </c>
      <c r="E6565" t="s">
        <v>11</v>
      </c>
      <c r="F6565" t="s">
        <v>13</v>
      </c>
      <c r="G6565" t="s">
        <v>936</v>
      </c>
      <c r="H6565" t="s">
        <v>938</v>
      </c>
    </row>
    <row r="6566" spans="1:8" hidden="1" x14ac:dyDescent="0.25">
      <c r="A6566" t="s">
        <v>9001</v>
      </c>
      <c r="B6566" s="1" t="str">
        <f>HYPERLINK("https://asmlis.vasa.lt/Dashboard/Served?ServiceDateFrom=2025-11-24&amp;ServiceDateTo=2025-11-24&amp;DumpsterInvNr=13-M-202299", "13-M-202299")</f>
        <v>13-M-202299</v>
      </c>
      <c r="C6566">
        <v>0.12</v>
      </c>
      <c r="D6566" t="s">
        <v>9056</v>
      </c>
      <c r="E6566" t="s">
        <v>11</v>
      </c>
      <c r="F6566" t="s">
        <v>1209</v>
      </c>
      <c r="G6566" t="s">
        <v>4876</v>
      </c>
      <c r="H6566" t="s">
        <v>938</v>
      </c>
    </row>
    <row r="6567" spans="1:8" hidden="1" x14ac:dyDescent="0.25">
      <c r="A6567" t="s">
        <v>9057</v>
      </c>
      <c r="B6567" s="1" t="str">
        <f>HYPERLINK("https://asmlis.vasa.lt/Dashboard/Served?ServiceDateFrom=2025-11-24&amp;ServiceDateTo=2025-11-24&amp;DumpsterInvNr=13-L-414266", "13-L-414266")</f>
        <v>13-L-414266</v>
      </c>
      <c r="C6567">
        <v>1.1000000000000001</v>
      </c>
      <c r="D6567" t="s">
        <v>9058</v>
      </c>
      <c r="E6567" t="s">
        <v>11</v>
      </c>
      <c r="G6567" t="s">
        <v>74</v>
      </c>
      <c r="H6567" t="s">
        <v>14</v>
      </c>
    </row>
    <row r="6568" spans="1:8" hidden="1" x14ac:dyDescent="0.25">
      <c r="A6568" t="s">
        <v>9059</v>
      </c>
      <c r="B6568" s="1" t="str">
        <f>HYPERLINK("https://asmlis.vasa.lt/Dashboard/Served?ServiceDateFrom=2025-11-24&amp;ServiceDateTo=2025-11-24&amp;DumpsterInvNr=13-L-110655", "13-L-110655")</f>
        <v>13-L-110655</v>
      </c>
      <c r="C6568">
        <v>0.12</v>
      </c>
      <c r="D6568" t="s">
        <v>9060</v>
      </c>
      <c r="E6568" t="s">
        <v>11</v>
      </c>
      <c r="G6568" t="s">
        <v>1912</v>
      </c>
      <c r="H6568" t="s">
        <v>432</v>
      </c>
    </row>
    <row r="6569" spans="1:8" hidden="1" x14ac:dyDescent="0.25">
      <c r="A6569" t="s">
        <v>9062</v>
      </c>
      <c r="B6569" s="1" t="str">
        <f>HYPERLINK("https://asmlis.vasa.lt/Dashboard/Served?ServiceDateFrom=2025-11-24&amp;ServiceDateTo=2025-11-24&amp;DumpsterInvNr=13-P-404413", "13-P-404413")</f>
        <v>13-P-404413</v>
      </c>
      <c r="C6569">
        <v>0.24</v>
      </c>
      <c r="D6569" t="s">
        <v>9063</v>
      </c>
      <c r="E6569" t="s">
        <v>11</v>
      </c>
      <c r="F6569" t="s">
        <v>1209</v>
      </c>
      <c r="G6569" t="s">
        <v>264</v>
      </c>
      <c r="H6569" t="s">
        <v>14</v>
      </c>
    </row>
    <row r="6570" spans="1:8" hidden="1" x14ac:dyDescent="0.25">
      <c r="A6570" t="s">
        <v>9064</v>
      </c>
      <c r="B6570" s="1" t="str">
        <f>HYPERLINK("https://asmlis.vasa.lt/Dashboard/Served?ServiceDateFrom=2025-11-24&amp;ServiceDateTo=2025-11-24&amp;DumpsterInvNr=13-P-112083", "13-P-112083")</f>
        <v>13-P-112083</v>
      </c>
      <c r="C6570">
        <v>0.24</v>
      </c>
      <c r="D6570" t="s">
        <v>9060</v>
      </c>
      <c r="E6570" t="s">
        <v>11</v>
      </c>
      <c r="G6570" t="s">
        <v>1917</v>
      </c>
      <c r="H6570" t="s">
        <v>432</v>
      </c>
    </row>
    <row r="6571" spans="1:8" hidden="1" x14ac:dyDescent="0.25">
      <c r="A6571" t="s">
        <v>9065</v>
      </c>
      <c r="B6571" s="1" t="str">
        <f>HYPERLINK("https://asmlis.vasa.lt/Dashboard/Served?ServiceDateFrom=2025-11-24&amp;ServiceDateTo=2025-11-24&amp;DumpsterInvNr=13-L-315936", "13-L-315936")</f>
        <v>13-L-315936</v>
      </c>
      <c r="C6571">
        <v>1.1000000000000001</v>
      </c>
      <c r="D6571" t="s">
        <v>9045</v>
      </c>
      <c r="E6571" t="s">
        <v>11</v>
      </c>
      <c r="G6571" t="s">
        <v>9</v>
      </c>
      <c r="H6571" t="s">
        <v>14</v>
      </c>
    </row>
    <row r="6572" spans="1:8" hidden="1" x14ac:dyDescent="0.25">
      <c r="A6572" t="s">
        <v>9065</v>
      </c>
      <c r="B6572" s="1" t="str">
        <f>HYPERLINK("https://asmlis.vasa.lt/Dashboard/Served?ServiceDateFrom=2025-11-24&amp;ServiceDateTo=2025-11-24&amp;DumpsterInvNr=13-P-212056", "13-P-212056")</f>
        <v>13-P-212056</v>
      </c>
      <c r="C6572">
        <v>1.1000000000000001</v>
      </c>
      <c r="D6572" t="s">
        <v>9066</v>
      </c>
      <c r="E6572" t="s">
        <v>11</v>
      </c>
      <c r="G6572" t="s">
        <v>234</v>
      </c>
      <c r="H6572" t="s">
        <v>14</v>
      </c>
    </row>
    <row r="6573" spans="1:8" hidden="1" x14ac:dyDescent="0.25">
      <c r="A6573" t="s">
        <v>9067</v>
      </c>
      <c r="B6573" s="1" t="str">
        <f>HYPERLINK("https://asmlis.vasa.lt/Dashboard/Served?ServiceDateFrom=2025-11-24&amp;ServiceDateTo=2025-11-24&amp;DumpsterInvNr=13-P-204101", "13-P-204101")</f>
        <v>13-P-204101</v>
      </c>
      <c r="C6573">
        <v>0.24</v>
      </c>
      <c r="D6573" t="s">
        <v>9068</v>
      </c>
      <c r="E6573" t="s">
        <v>11</v>
      </c>
      <c r="G6573" t="s">
        <v>234</v>
      </c>
      <c r="H6573" t="s">
        <v>14</v>
      </c>
    </row>
    <row r="6574" spans="1:8" hidden="1" x14ac:dyDescent="0.25">
      <c r="A6574" t="s">
        <v>9069</v>
      </c>
      <c r="B6574" s="1" t="str">
        <f>HYPERLINK("https://asmlis.vasa.lt/Dashboard/Served?ServiceDateFrom=2025-11-24&amp;ServiceDateTo=2025-11-24&amp;DumpsterInvNr=13-L-316050", "13-L-316050")</f>
        <v>13-L-316050</v>
      </c>
      <c r="C6574">
        <v>1.1000000000000001</v>
      </c>
      <c r="D6574" t="s">
        <v>9070</v>
      </c>
      <c r="E6574" t="s">
        <v>11</v>
      </c>
      <c r="F6574" t="s">
        <v>13</v>
      </c>
      <c r="G6574" t="s">
        <v>9</v>
      </c>
      <c r="H6574" t="s">
        <v>14</v>
      </c>
    </row>
    <row r="6575" spans="1:8" hidden="1" x14ac:dyDescent="0.25">
      <c r="A6575" t="s">
        <v>9071</v>
      </c>
      <c r="B6575" s="1" t="str">
        <f>HYPERLINK("https://asmlis.vasa.lt/Dashboard/Served?ServiceDateFrom=2025-11-24&amp;ServiceDateTo=2025-11-24&amp;DumpsterInvNr=13-P-415924", "13-P-415924")</f>
        <v>13-P-415924</v>
      </c>
      <c r="C6575">
        <v>0.24</v>
      </c>
      <c r="D6575" t="s">
        <v>9072</v>
      </c>
      <c r="E6575" t="s">
        <v>11</v>
      </c>
      <c r="F6575" t="s">
        <v>1209</v>
      </c>
      <c r="G6575" t="s">
        <v>264</v>
      </c>
      <c r="H6575" t="s">
        <v>14</v>
      </c>
    </row>
    <row r="6576" spans="1:8" hidden="1" x14ac:dyDescent="0.25">
      <c r="A6576" t="s">
        <v>9071</v>
      </c>
      <c r="B6576" s="1" t="str">
        <f>HYPERLINK("https://asmlis.vasa.lt/Dashboard/Served?ServiceDateFrom=2025-11-24&amp;ServiceDateTo=2025-11-24&amp;DumpsterInvNr=13-P-501800", "13-P-501800")</f>
        <v>13-P-501800</v>
      </c>
      <c r="C6576">
        <v>5</v>
      </c>
      <c r="D6576" t="s">
        <v>9073</v>
      </c>
      <c r="E6576" t="s">
        <v>11</v>
      </c>
      <c r="F6576" t="s">
        <v>13</v>
      </c>
      <c r="G6576" t="s">
        <v>2178</v>
      </c>
      <c r="H6576" t="s">
        <v>432</v>
      </c>
    </row>
    <row r="6577" spans="1:10" hidden="1" x14ac:dyDescent="0.25">
      <c r="A6577" t="s">
        <v>9074</v>
      </c>
      <c r="B6577" s="1" t="str">
        <f>HYPERLINK("https://asmlis.vasa.lt/Dashboard/Served?ServiceDateFrom=2025-11-24&amp;ServiceDateTo=2025-11-24&amp;DumpsterInvNr=13-S-207893", "13-S-207893")</f>
        <v>13-S-207893</v>
      </c>
      <c r="C6577">
        <v>3</v>
      </c>
      <c r="D6577" t="s">
        <v>9076</v>
      </c>
      <c r="E6577" t="s">
        <v>11</v>
      </c>
      <c r="G6577" t="s">
        <v>234</v>
      </c>
      <c r="H6577" t="s">
        <v>14</v>
      </c>
    </row>
    <row r="6578" spans="1:10" hidden="1" x14ac:dyDescent="0.25">
      <c r="A6578" t="s">
        <v>9077</v>
      </c>
      <c r="B6578" s="1" t="str">
        <f>HYPERLINK("https://asmlis.vasa.lt/Dashboard/Served?ServiceDateFrom=2025-11-24&amp;ServiceDateTo=2025-11-24&amp;DumpsterInvNr=13-P-404437", "13-P-404437")</f>
        <v>13-P-404437</v>
      </c>
      <c r="C6578">
        <v>0.24</v>
      </c>
      <c r="D6578" t="s">
        <v>9078</v>
      </c>
      <c r="E6578" t="s">
        <v>11</v>
      </c>
      <c r="F6578" t="s">
        <v>1209</v>
      </c>
      <c r="G6578" t="s">
        <v>264</v>
      </c>
      <c r="H6578" t="s">
        <v>14</v>
      </c>
    </row>
    <row r="6579" spans="1:10" hidden="1" x14ac:dyDescent="0.25">
      <c r="A6579" t="s">
        <v>9079</v>
      </c>
      <c r="B6579" s="1" t="str">
        <f>HYPERLINK("https://asmlis.vasa.lt/Dashboard/Served?ServiceDateFrom=2025-11-24&amp;ServiceDateTo=2025-11-24&amp;DumpsterInvNr=13-P-102345", "13-P-102345")</f>
        <v>13-P-102345</v>
      </c>
      <c r="C6579">
        <v>5</v>
      </c>
      <c r="D6579" t="s">
        <v>3240</v>
      </c>
      <c r="E6579" t="s">
        <v>11</v>
      </c>
      <c r="F6579" t="s">
        <v>13</v>
      </c>
      <c r="G6579" t="s">
        <v>1917</v>
      </c>
      <c r="H6579" t="s">
        <v>432</v>
      </c>
    </row>
    <row r="6580" spans="1:10" x14ac:dyDescent="0.25">
      <c r="A6580" t="s">
        <v>9080</v>
      </c>
      <c r="B6580" s="1" t="str">
        <f>HYPERLINK("https://asmlis.vasa.lt/Dashboard/Served?ServiceDateFrom=2025-11-24&amp;ServiceDateTo=2025-11-24&amp;DumpsterInvNr=13-L-403987", "13-L-403987")</f>
        <v>13-L-403987</v>
      </c>
      <c r="C6580">
        <v>0.24</v>
      </c>
      <c r="D6580" t="s">
        <v>4251</v>
      </c>
      <c r="E6580" t="s">
        <v>11</v>
      </c>
      <c r="F6580" t="s">
        <v>1215</v>
      </c>
      <c r="G6580" t="s">
        <v>74</v>
      </c>
      <c r="H6580" t="s">
        <v>14</v>
      </c>
      <c r="J6580" t="s">
        <v>17511</v>
      </c>
    </row>
    <row r="6581" spans="1:10" hidden="1" x14ac:dyDescent="0.25">
      <c r="A6581" t="s">
        <v>9081</v>
      </c>
      <c r="B6581" s="1" t="str">
        <f>HYPERLINK("https://asmlis.vasa.lt/Dashboard/Served?ServiceDateFrom=2025-11-24&amp;ServiceDateTo=2025-11-24&amp;DumpsterInvNr=13-L-202353", "13-L-202353")</f>
        <v>13-L-202353</v>
      </c>
      <c r="C6581">
        <v>0.24</v>
      </c>
      <c r="D6581" t="s">
        <v>4837</v>
      </c>
      <c r="E6581" t="s">
        <v>11</v>
      </c>
      <c r="F6581" t="s">
        <v>13</v>
      </c>
      <c r="G6581" t="s">
        <v>936</v>
      </c>
      <c r="H6581" t="s">
        <v>938</v>
      </c>
    </row>
    <row r="6582" spans="1:10" hidden="1" x14ac:dyDescent="0.25">
      <c r="A6582" t="s">
        <v>9082</v>
      </c>
      <c r="B6582" s="1" t="str">
        <f>HYPERLINK("https://asmlis.vasa.lt/Dashboard/Served?ServiceDateFrom=2025-11-24&amp;ServiceDateTo=2025-11-24&amp;DumpsterInvNr=13-L-425614", "13-L-425614")</f>
        <v>13-L-425614</v>
      </c>
      <c r="C6582">
        <v>0.24</v>
      </c>
      <c r="D6582" t="s">
        <v>4265</v>
      </c>
      <c r="E6582" t="s">
        <v>11</v>
      </c>
      <c r="G6582" t="s">
        <v>74</v>
      </c>
      <c r="H6582" t="s">
        <v>14</v>
      </c>
    </row>
    <row r="6583" spans="1:10" hidden="1" x14ac:dyDescent="0.25">
      <c r="A6583" t="s">
        <v>9082</v>
      </c>
      <c r="B6583" s="1" t="str">
        <f>HYPERLINK("https://asmlis.vasa.lt/Dashboard/Served?ServiceDateFrom=2025-11-24&amp;ServiceDateTo=2025-11-24&amp;DumpsterInvNr=13-L-423405", "13-L-423405")</f>
        <v>13-L-423405</v>
      </c>
      <c r="C6583">
        <v>0.24</v>
      </c>
      <c r="D6583" t="s">
        <v>4269</v>
      </c>
      <c r="E6583" t="s">
        <v>11</v>
      </c>
      <c r="G6583" t="s">
        <v>74</v>
      </c>
      <c r="H6583" t="s">
        <v>14</v>
      </c>
    </row>
    <row r="6584" spans="1:10" hidden="1" x14ac:dyDescent="0.25">
      <c r="A6584" t="s">
        <v>9083</v>
      </c>
      <c r="B6584" s="1" t="str">
        <f>HYPERLINK("https://asmlis.vasa.lt/Dashboard/Served?ServiceDateFrom=2025-11-24&amp;ServiceDateTo=2025-11-24&amp;DumpsterInvNr=13-M-204716", "13-M-204716")</f>
        <v>13-M-204716</v>
      </c>
      <c r="C6584">
        <v>0.12</v>
      </c>
      <c r="D6584" t="s">
        <v>9084</v>
      </c>
      <c r="E6584" t="s">
        <v>11</v>
      </c>
      <c r="F6584" t="s">
        <v>1209</v>
      </c>
      <c r="G6584" t="s">
        <v>4876</v>
      </c>
      <c r="H6584" t="s">
        <v>938</v>
      </c>
    </row>
    <row r="6585" spans="1:10" hidden="1" x14ac:dyDescent="0.25">
      <c r="A6585" t="s">
        <v>9086</v>
      </c>
      <c r="B6585" s="1" t="str">
        <f>HYPERLINK("https://asmlis.vasa.lt/Dashboard/Served?ServiceDateFrom=2025-11-24&amp;ServiceDateTo=2025-11-24&amp;DumpsterInvNr=13-L-135454", "13-L-135454")</f>
        <v>13-L-135454</v>
      </c>
      <c r="C6585">
        <v>5</v>
      </c>
      <c r="D6585" t="s">
        <v>9087</v>
      </c>
      <c r="E6585" t="s">
        <v>11</v>
      </c>
      <c r="F6585" t="s">
        <v>13</v>
      </c>
      <c r="G6585" t="s">
        <v>430</v>
      </c>
      <c r="H6585" t="s">
        <v>432</v>
      </c>
    </row>
    <row r="6586" spans="1:10" hidden="1" x14ac:dyDescent="0.25">
      <c r="A6586" t="s">
        <v>9088</v>
      </c>
      <c r="B6586" s="1" t="str">
        <f>HYPERLINK("https://asmlis.vasa.lt/Dashboard/Served?ServiceDateFrom=2025-11-24&amp;ServiceDateTo=2025-11-24&amp;DumpsterInvNr=13-M-204891", "13-M-204891")</f>
        <v>13-M-204891</v>
      </c>
      <c r="C6586">
        <v>0.12</v>
      </c>
      <c r="D6586" t="s">
        <v>9089</v>
      </c>
      <c r="E6586" t="s">
        <v>11</v>
      </c>
      <c r="F6586" t="s">
        <v>1209</v>
      </c>
      <c r="G6586" t="s">
        <v>4876</v>
      </c>
      <c r="H6586" t="s">
        <v>938</v>
      </c>
    </row>
    <row r="6587" spans="1:10" hidden="1" x14ac:dyDescent="0.25">
      <c r="A6587" t="s">
        <v>9090</v>
      </c>
      <c r="B6587" s="1" t="str">
        <f>HYPERLINK("https://asmlis.vasa.lt/Dashboard/Served?ServiceDateFrom=2025-11-24&amp;ServiceDateTo=2025-11-24&amp;DumpsterInvNr=13-L-139498", "13-L-139498")</f>
        <v>13-L-139498</v>
      </c>
      <c r="C6587">
        <v>5</v>
      </c>
      <c r="D6587" t="s">
        <v>9091</v>
      </c>
      <c r="E6587" t="s">
        <v>11</v>
      </c>
      <c r="F6587" t="s">
        <v>13</v>
      </c>
      <c r="G6587" t="s">
        <v>430</v>
      </c>
      <c r="H6587" t="s">
        <v>432</v>
      </c>
    </row>
    <row r="6588" spans="1:10" hidden="1" x14ac:dyDescent="0.25">
      <c r="A6588" t="s">
        <v>9092</v>
      </c>
      <c r="B6588" s="1" t="str">
        <f>HYPERLINK("https://asmlis.vasa.lt/Dashboard/Served?ServiceDateFrom=2025-11-24&amp;ServiceDateTo=2025-11-24&amp;DumpsterInvNr=13-M-204733", "13-M-204733")</f>
        <v>13-M-204733</v>
      </c>
      <c r="C6588">
        <v>0.12</v>
      </c>
      <c r="D6588" t="s">
        <v>9093</v>
      </c>
      <c r="E6588" t="s">
        <v>11</v>
      </c>
      <c r="F6588" t="s">
        <v>1209</v>
      </c>
      <c r="G6588" t="s">
        <v>4876</v>
      </c>
      <c r="H6588" t="s">
        <v>938</v>
      </c>
    </row>
    <row r="6589" spans="1:10" hidden="1" x14ac:dyDescent="0.25">
      <c r="A6589" t="s">
        <v>9092</v>
      </c>
      <c r="B6589" s="1" t="str">
        <f>HYPERLINK("https://asmlis.vasa.lt/Dashboard/Served?ServiceDateFrom=2025-11-24&amp;ServiceDateTo=2025-11-24&amp;DumpsterInvNr=13-L-144433", "13-L-144433")</f>
        <v>13-L-144433</v>
      </c>
      <c r="C6589">
        <v>5</v>
      </c>
      <c r="D6589" t="s">
        <v>9094</v>
      </c>
      <c r="E6589" t="s">
        <v>11</v>
      </c>
      <c r="F6589" t="s">
        <v>13</v>
      </c>
      <c r="G6589" t="s">
        <v>430</v>
      </c>
      <c r="H6589" t="s">
        <v>432</v>
      </c>
    </row>
    <row r="6590" spans="1:10" x14ac:dyDescent="0.25">
      <c r="A6590" t="s">
        <v>9095</v>
      </c>
      <c r="B6590" s="1" t="str">
        <f>HYPERLINK("https://asmlis.vasa.lt/Dashboard/Served?ServiceDateFrom=2025-11-24&amp;ServiceDateTo=2025-11-24&amp;DumpsterInvNr=13-L-423407", "13-L-423407")</f>
        <v>13-L-423407</v>
      </c>
      <c r="C6590">
        <v>0.24</v>
      </c>
      <c r="D6590" t="s">
        <v>4249</v>
      </c>
      <c r="E6590" t="s">
        <v>11</v>
      </c>
      <c r="F6590" t="s">
        <v>1215</v>
      </c>
      <c r="G6590" t="s">
        <v>74</v>
      </c>
      <c r="H6590" t="s">
        <v>14</v>
      </c>
      <c r="J6590" t="s">
        <v>17511</v>
      </c>
    </row>
    <row r="6591" spans="1:10" hidden="1" x14ac:dyDescent="0.25">
      <c r="A6591" t="s">
        <v>9095</v>
      </c>
      <c r="B6591" s="1" t="str">
        <f>HYPERLINK("https://asmlis.vasa.lt/Dashboard/Served?ServiceDateFrom=2025-11-24&amp;ServiceDateTo=2025-11-24&amp;DumpsterInvNr=13-P-503072", "13-P-503072")</f>
        <v>13-P-503072</v>
      </c>
      <c r="C6591">
        <v>5</v>
      </c>
      <c r="D6591" t="s">
        <v>9096</v>
      </c>
      <c r="E6591" t="s">
        <v>11</v>
      </c>
      <c r="F6591" t="s">
        <v>13</v>
      </c>
      <c r="G6591" t="s">
        <v>2178</v>
      </c>
      <c r="H6591" t="s">
        <v>432</v>
      </c>
    </row>
    <row r="6592" spans="1:10" hidden="1" x14ac:dyDescent="0.25">
      <c r="A6592" t="s">
        <v>9097</v>
      </c>
      <c r="B6592" s="1" t="str">
        <f>HYPERLINK("https://asmlis.vasa.lt/Dashboard/Served?ServiceDateFrom=2025-11-24&amp;ServiceDateTo=2025-11-24&amp;DumpsterInvNr=13-P-212332", "13-P-212332")</f>
        <v>13-P-212332</v>
      </c>
      <c r="C6592">
        <v>5</v>
      </c>
      <c r="D6592" t="s">
        <v>9098</v>
      </c>
      <c r="E6592" t="s">
        <v>11</v>
      </c>
      <c r="G6592" t="s">
        <v>234</v>
      </c>
      <c r="H6592" t="s">
        <v>14</v>
      </c>
    </row>
    <row r="6593" spans="1:10" hidden="1" x14ac:dyDescent="0.25">
      <c r="A6593" t="s">
        <v>8927</v>
      </c>
      <c r="B6593" s="1" t="str">
        <f>HYPERLINK("https://asmlis.vasa.lt/Dashboard/Served?ServiceDateFrom=2025-11-24&amp;ServiceDateTo=2025-11-24&amp;DumpsterInvNr=13-M-204684", "13-M-204684")</f>
        <v>13-M-204684</v>
      </c>
      <c r="C6593">
        <v>0.12</v>
      </c>
      <c r="D6593" t="s">
        <v>9099</v>
      </c>
      <c r="E6593" t="s">
        <v>11</v>
      </c>
      <c r="F6593" t="s">
        <v>1209</v>
      </c>
      <c r="G6593" t="s">
        <v>4876</v>
      </c>
      <c r="H6593" t="s">
        <v>938</v>
      </c>
    </row>
    <row r="6594" spans="1:10" hidden="1" x14ac:dyDescent="0.25">
      <c r="A6594" t="s">
        <v>9100</v>
      </c>
      <c r="B6594" s="1" t="str">
        <f>HYPERLINK("https://asmlis.vasa.lt/Dashboard/Served?ServiceDateFrom=2025-11-24&amp;ServiceDateTo=2025-11-24&amp;DumpsterInvNr=13-P-205107", "13-P-205107")</f>
        <v>13-P-205107</v>
      </c>
      <c r="C6594">
        <v>0.24</v>
      </c>
      <c r="D6594" t="s">
        <v>9101</v>
      </c>
      <c r="E6594" t="s">
        <v>11</v>
      </c>
      <c r="G6594" t="s">
        <v>234</v>
      </c>
      <c r="H6594" t="s">
        <v>14</v>
      </c>
    </row>
    <row r="6595" spans="1:10" hidden="1" x14ac:dyDescent="0.25">
      <c r="A6595" t="s">
        <v>9032</v>
      </c>
      <c r="B6595" s="1" t="str">
        <f>HYPERLINK("https://asmlis.vasa.lt/Dashboard/Served?ServiceDateFrom=2025-11-24&amp;ServiceDateTo=2025-11-24&amp;DumpsterInvNr=13-L-107342", "13-L-107342")</f>
        <v>13-L-107342</v>
      </c>
      <c r="C6595">
        <v>3</v>
      </c>
      <c r="D6595" t="s">
        <v>9102</v>
      </c>
      <c r="E6595" t="s">
        <v>11</v>
      </c>
      <c r="F6595" t="s">
        <v>13</v>
      </c>
      <c r="G6595" t="s">
        <v>1912</v>
      </c>
      <c r="H6595" t="s">
        <v>432</v>
      </c>
    </row>
    <row r="6596" spans="1:10" hidden="1" x14ac:dyDescent="0.25">
      <c r="A6596" t="s">
        <v>9032</v>
      </c>
      <c r="B6596" s="1" t="str">
        <f>HYPERLINK("https://asmlis.vasa.lt/Dashboard/Served?ServiceDateFrom=2025-11-24&amp;ServiceDateTo=2025-11-24&amp;DumpsterInvNr=13-P-401731", "13-P-401731")</f>
        <v>13-P-401731</v>
      </c>
      <c r="C6596">
        <v>1.1000000000000001</v>
      </c>
      <c r="D6596" t="s">
        <v>9103</v>
      </c>
      <c r="E6596" t="s">
        <v>11</v>
      </c>
      <c r="F6596" t="s">
        <v>13</v>
      </c>
      <c r="G6596" t="s">
        <v>264</v>
      </c>
      <c r="H6596" t="s">
        <v>14</v>
      </c>
    </row>
    <row r="6597" spans="1:10" x14ac:dyDescent="0.25">
      <c r="A6597" t="s">
        <v>9044</v>
      </c>
      <c r="B6597" s="1" t="str">
        <f>HYPERLINK("https://asmlis.vasa.lt/Dashboard/Served?ServiceDateFrom=2025-11-24&amp;ServiceDateTo=2025-11-24&amp;DumpsterInvNr=13-L-423408", "13-L-423408")</f>
        <v>13-L-423408</v>
      </c>
      <c r="C6597">
        <v>0.12</v>
      </c>
      <c r="D6597" t="s">
        <v>4247</v>
      </c>
      <c r="E6597" t="s">
        <v>11</v>
      </c>
      <c r="F6597" t="s">
        <v>1215</v>
      </c>
      <c r="G6597" t="s">
        <v>74</v>
      </c>
      <c r="H6597" t="s">
        <v>14</v>
      </c>
      <c r="J6597" t="s">
        <v>17511</v>
      </c>
    </row>
    <row r="6598" spans="1:10" hidden="1" x14ac:dyDescent="0.25">
      <c r="A6598" t="s">
        <v>7802</v>
      </c>
      <c r="B6598" s="1" t="str">
        <f>HYPERLINK("https://asmlis.vasa.lt/Dashboard/Served?ServiceDateFrom=2025-11-24&amp;ServiceDateTo=2025-11-24&amp;DumpsterInvNr=13-L-107341", "13-L-107341")</f>
        <v>13-L-107341</v>
      </c>
      <c r="C6598">
        <v>5</v>
      </c>
      <c r="D6598" t="s">
        <v>9102</v>
      </c>
      <c r="E6598" t="s">
        <v>11</v>
      </c>
      <c r="F6598" t="s">
        <v>13</v>
      </c>
      <c r="G6598" t="s">
        <v>1912</v>
      </c>
      <c r="H6598" t="s">
        <v>432</v>
      </c>
    </row>
    <row r="6599" spans="1:10" hidden="1" x14ac:dyDescent="0.25">
      <c r="A6599" t="s">
        <v>9014</v>
      </c>
      <c r="B6599" s="1" t="str">
        <f>HYPERLINK("https://asmlis.vasa.lt/Dashboard/Served?ServiceDateFrom=2025-11-24&amp;ServiceDateTo=2025-11-24&amp;DumpsterInvNr=13-L-422569", "13-L-422569")</f>
        <v>13-L-422569</v>
      </c>
      <c r="C6599">
        <v>1.1000000000000001</v>
      </c>
      <c r="D6599" t="s">
        <v>8906</v>
      </c>
      <c r="E6599" t="s">
        <v>11</v>
      </c>
      <c r="F6599" t="s">
        <v>13</v>
      </c>
      <c r="G6599" t="s">
        <v>74</v>
      </c>
      <c r="H6599" t="s">
        <v>14</v>
      </c>
    </row>
    <row r="6600" spans="1:10" hidden="1" x14ac:dyDescent="0.25">
      <c r="A6600" t="s">
        <v>9085</v>
      </c>
      <c r="B6600" s="1" t="str">
        <f>HYPERLINK("https://asmlis.vasa.lt/Dashboard/Served?ServiceDateFrom=2025-11-24&amp;ServiceDateTo=2025-11-24&amp;DumpsterInvNr=13-L-426595", "13-L-426595")</f>
        <v>13-L-426595</v>
      </c>
      <c r="C6600">
        <v>1.1000000000000001</v>
      </c>
      <c r="D6600" t="s">
        <v>9058</v>
      </c>
      <c r="E6600" t="s">
        <v>11</v>
      </c>
      <c r="F6600" t="s">
        <v>13</v>
      </c>
      <c r="G6600" t="s">
        <v>74</v>
      </c>
      <c r="H6600" t="s">
        <v>14</v>
      </c>
    </row>
    <row r="6601" spans="1:10" x14ac:dyDescent="0.25">
      <c r="A6601" t="s">
        <v>9104</v>
      </c>
      <c r="B6601" s="1" t="str">
        <f>HYPERLINK("https://asmlis.vasa.lt/Dashboard/Served?ServiceDateFrom=2025-11-24&amp;ServiceDateTo=2025-11-24&amp;DumpsterInvNr=13-L-403988", "13-L-403988")</f>
        <v>13-L-403988</v>
      </c>
      <c r="C6601">
        <v>0.24</v>
      </c>
      <c r="D6601" t="s">
        <v>4245</v>
      </c>
      <c r="E6601" t="s">
        <v>11</v>
      </c>
      <c r="F6601" t="s">
        <v>1215</v>
      </c>
      <c r="G6601" t="s">
        <v>74</v>
      </c>
      <c r="H6601" t="s">
        <v>14</v>
      </c>
      <c r="J6601" t="s">
        <v>17511</v>
      </c>
    </row>
    <row r="6602" spans="1:10" hidden="1" x14ac:dyDescent="0.25">
      <c r="A6602" t="s">
        <v>9105</v>
      </c>
      <c r="B6602" s="1" t="str">
        <f>HYPERLINK("https://asmlis.vasa.lt/Dashboard/Served?ServiceDateFrom=2025-11-24&amp;ServiceDateTo=2025-11-24&amp;DumpsterInvNr=13-P-430077", "13-P-430077")</f>
        <v>13-P-430077</v>
      </c>
      <c r="C6602">
        <v>0.24</v>
      </c>
      <c r="D6602" t="s">
        <v>9106</v>
      </c>
      <c r="E6602" t="s">
        <v>11</v>
      </c>
      <c r="G6602" t="s">
        <v>264</v>
      </c>
      <c r="H6602" t="s">
        <v>14</v>
      </c>
    </row>
    <row r="6603" spans="1:10" hidden="1" x14ac:dyDescent="0.25">
      <c r="A6603" t="s">
        <v>9107</v>
      </c>
      <c r="B6603" s="1" t="str">
        <f>HYPERLINK("https://asmlis.vasa.lt/Dashboard/Served?ServiceDateFrom=2025-11-24&amp;ServiceDateTo=2025-11-24&amp;DumpsterInvNr=13-P-211960", "13-P-211960")</f>
        <v>13-P-211960</v>
      </c>
      <c r="C6603">
        <v>0.24</v>
      </c>
      <c r="D6603" t="s">
        <v>9108</v>
      </c>
      <c r="E6603" t="s">
        <v>11</v>
      </c>
      <c r="G6603" t="s">
        <v>234</v>
      </c>
      <c r="H6603" t="s">
        <v>14</v>
      </c>
    </row>
    <row r="6604" spans="1:10" hidden="1" x14ac:dyDescent="0.25">
      <c r="A6604" t="s">
        <v>9109</v>
      </c>
      <c r="B6604" s="1" t="str">
        <f>HYPERLINK("https://asmlis.vasa.lt/Dashboard/Served?ServiceDateFrom=2025-11-24&amp;ServiceDateTo=2025-11-24&amp;DumpsterInvNr=13-L-200796", "13-L-200796")</f>
        <v>13-L-200796</v>
      </c>
      <c r="C6604">
        <v>0.66</v>
      </c>
      <c r="D6604" t="s">
        <v>9110</v>
      </c>
      <c r="E6604" t="s">
        <v>11</v>
      </c>
      <c r="G6604" t="s">
        <v>936</v>
      </c>
      <c r="H6604" t="s">
        <v>938</v>
      </c>
    </row>
    <row r="6605" spans="1:10" x14ac:dyDescent="0.25">
      <c r="A6605" t="s">
        <v>9111</v>
      </c>
      <c r="B6605" s="1" t="str">
        <f>HYPERLINK("https://asmlis.vasa.lt/Dashboard/Served?ServiceDateFrom=2025-11-24&amp;ServiceDateTo=2025-11-24&amp;DumpsterInvNr=13-L-411709", "13-L-411709")</f>
        <v>13-L-411709</v>
      </c>
      <c r="C6605">
        <v>0.24</v>
      </c>
      <c r="D6605" t="s">
        <v>4248</v>
      </c>
      <c r="E6605" t="s">
        <v>11</v>
      </c>
      <c r="F6605" t="s">
        <v>1215</v>
      </c>
      <c r="G6605" t="s">
        <v>74</v>
      </c>
      <c r="H6605" t="s">
        <v>14</v>
      </c>
      <c r="J6605" t="s">
        <v>17511</v>
      </c>
    </row>
    <row r="6606" spans="1:10" hidden="1" x14ac:dyDescent="0.25">
      <c r="A6606" t="s">
        <v>9112</v>
      </c>
      <c r="B6606" s="1" t="str">
        <f>HYPERLINK("https://asmlis.vasa.lt/Dashboard/Served?ServiceDateFrom=2025-11-24&amp;ServiceDateTo=2025-11-24&amp;DumpsterInvNr=13-L-217910", "13-L-217910")</f>
        <v>13-L-217910</v>
      </c>
      <c r="C6606">
        <v>0.24</v>
      </c>
      <c r="D6606" t="s">
        <v>4826</v>
      </c>
      <c r="E6606" t="s">
        <v>11</v>
      </c>
      <c r="G6606" t="s">
        <v>936</v>
      </c>
      <c r="H6606" t="s">
        <v>938</v>
      </c>
    </row>
    <row r="6607" spans="1:10" hidden="1" x14ac:dyDescent="0.25">
      <c r="A6607" t="s">
        <v>9113</v>
      </c>
      <c r="B6607" s="1" t="str">
        <f>HYPERLINK("https://asmlis.vasa.lt/Dashboard/Served?ServiceDateFrom=2025-11-24&amp;ServiceDateTo=2025-11-24&amp;DumpsterInvNr=13-L-422073", "13-L-422073")</f>
        <v>13-L-422073</v>
      </c>
      <c r="C6607">
        <v>5</v>
      </c>
      <c r="D6607" t="s">
        <v>9114</v>
      </c>
      <c r="E6607" t="s">
        <v>11</v>
      </c>
      <c r="F6607" t="s">
        <v>13</v>
      </c>
      <c r="G6607" t="s">
        <v>74</v>
      </c>
      <c r="H6607" t="s">
        <v>14</v>
      </c>
    </row>
    <row r="6608" spans="1:10" hidden="1" x14ac:dyDescent="0.25">
      <c r="A6608" t="s">
        <v>9115</v>
      </c>
      <c r="B6608" s="1" t="str">
        <f>HYPERLINK("https://asmlis.vasa.lt/Dashboard/Served?ServiceDateFrom=2025-11-24&amp;ServiceDateTo=2025-11-24&amp;DumpsterInvNr=13-L-214775", "13-L-214775")</f>
        <v>13-L-214775</v>
      </c>
      <c r="C6608">
        <v>1.1000000000000001</v>
      </c>
      <c r="D6608" t="s">
        <v>8884</v>
      </c>
      <c r="E6608" t="s">
        <v>11</v>
      </c>
      <c r="F6608" t="s">
        <v>13</v>
      </c>
      <c r="G6608" t="s">
        <v>936</v>
      </c>
      <c r="H6608" t="s">
        <v>938</v>
      </c>
    </row>
    <row r="6609" spans="1:10" hidden="1" x14ac:dyDescent="0.25">
      <c r="A6609" t="s">
        <v>9116</v>
      </c>
      <c r="B6609" s="1" t="str">
        <f>HYPERLINK("https://asmlis.vasa.lt/Dashboard/Served?ServiceDateFrom=2025-11-24&amp;ServiceDateTo=2025-11-24&amp;DumpsterInvNr=13-P-300466", "13-P-300466")</f>
        <v>13-P-300466</v>
      </c>
      <c r="C6609">
        <v>1.1000000000000001</v>
      </c>
      <c r="D6609" t="s">
        <v>9117</v>
      </c>
      <c r="E6609" t="s">
        <v>11</v>
      </c>
      <c r="G6609" t="s">
        <v>412</v>
      </c>
      <c r="H6609" t="s">
        <v>14</v>
      </c>
    </row>
    <row r="6610" spans="1:10" hidden="1" x14ac:dyDescent="0.25">
      <c r="A6610" t="s">
        <v>9116</v>
      </c>
      <c r="B6610" s="1" t="str">
        <f>HYPERLINK("https://asmlis.vasa.lt/Dashboard/Served?ServiceDateFrom=2025-11-24&amp;ServiceDateTo=2025-11-24&amp;DumpsterInvNr=13-M-204728", "13-M-204728")</f>
        <v>13-M-204728</v>
      </c>
      <c r="C6610">
        <v>0.12</v>
      </c>
      <c r="D6610" t="s">
        <v>9118</v>
      </c>
      <c r="E6610" t="s">
        <v>11</v>
      </c>
      <c r="F6610" t="s">
        <v>1209</v>
      </c>
      <c r="G6610" t="s">
        <v>4876</v>
      </c>
      <c r="H6610" t="s">
        <v>938</v>
      </c>
    </row>
    <row r="6611" spans="1:10" x14ac:dyDescent="0.25">
      <c r="A6611" t="s">
        <v>9119</v>
      </c>
      <c r="B6611" s="1" t="str">
        <f>HYPERLINK("https://asmlis.vasa.lt/Dashboard/Served?ServiceDateFrom=2025-11-24&amp;ServiceDateTo=2025-11-24&amp;DumpsterInvNr=13-L-403990", "13-L-403990")</f>
        <v>13-L-403990</v>
      </c>
      <c r="C6611">
        <v>0.12</v>
      </c>
      <c r="D6611" t="s">
        <v>4250</v>
      </c>
      <c r="E6611" t="s">
        <v>11</v>
      </c>
      <c r="F6611" t="s">
        <v>1215</v>
      </c>
      <c r="G6611" t="s">
        <v>74</v>
      </c>
      <c r="H6611" t="s">
        <v>14</v>
      </c>
      <c r="J6611" t="s">
        <v>17511</v>
      </c>
    </row>
    <row r="6612" spans="1:10" hidden="1" x14ac:dyDescent="0.25">
      <c r="A6612" t="s">
        <v>9120</v>
      </c>
      <c r="B6612" s="1" t="str">
        <f>HYPERLINK("https://asmlis.vasa.lt/Dashboard/Served?ServiceDateFrom=2025-11-24&amp;ServiceDateTo=2025-11-24&amp;DumpsterInvNr=13-L-300194", "13-L-300194")</f>
        <v>13-L-300194</v>
      </c>
      <c r="C6612">
        <v>5</v>
      </c>
      <c r="D6612" t="s">
        <v>763</v>
      </c>
      <c r="E6612" t="s">
        <v>11</v>
      </c>
      <c r="F6612" t="s">
        <v>13</v>
      </c>
      <c r="G6612" t="s">
        <v>9</v>
      </c>
      <c r="H6612" t="s">
        <v>14</v>
      </c>
    </row>
    <row r="6613" spans="1:10" hidden="1" x14ac:dyDescent="0.25">
      <c r="A6613" t="s">
        <v>9121</v>
      </c>
      <c r="B6613" s="1" t="str">
        <f>HYPERLINK("https://asmlis.vasa.lt/Dashboard/Served?ServiceDateFrom=2025-11-24&amp;ServiceDateTo=2025-11-24&amp;DumpsterInvNr=13-P-300596", "13-P-300596")</f>
        <v>13-P-300596</v>
      </c>
      <c r="C6613">
        <v>1.1000000000000001</v>
      </c>
      <c r="D6613" t="s">
        <v>9122</v>
      </c>
      <c r="E6613" t="s">
        <v>11</v>
      </c>
      <c r="F6613" t="s">
        <v>13</v>
      </c>
      <c r="G6613" t="s">
        <v>412</v>
      </c>
      <c r="H6613" t="s">
        <v>14</v>
      </c>
    </row>
    <row r="6614" spans="1:10" hidden="1" x14ac:dyDescent="0.25">
      <c r="A6614" t="s">
        <v>9123</v>
      </c>
      <c r="B6614" s="1" t="str">
        <f>HYPERLINK("https://asmlis.vasa.lt/Dashboard/Served?ServiceDateFrom=2025-11-24&amp;ServiceDateTo=2025-11-24&amp;DumpsterInvNr=13-P-300591", "13-P-300591")</f>
        <v>13-P-300591</v>
      </c>
      <c r="C6614">
        <v>1.1000000000000001</v>
      </c>
      <c r="D6614" t="s">
        <v>9117</v>
      </c>
      <c r="E6614" t="s">
        <v>11</v>
      </c>
      <c r="F6614" t="s">
        <v>13</v>
      </c>
      <c r="G6614" t="s">
        <v>412</v>
      </c>
      <c r="H6614" t="s">
        <v>14</v>
      </c>
    </row>
    <row r="6615" spans="1:10" hidden="1" x14ac:dyDescent="0.25">
      <c r="A6615" t="s">
        <v>9124</v>
      </c>
      <c r="B6615" s="1" t="str">
        <f>HYPERLINK("https://asmlis.vasa.lt/Dashboard/Served?ServiceDateFrom=2025-11-24&amp;ServiceDateTo=2025-11-24&amp;DumpsterInvNr=13-L-303476", "13-L-303476")</f>
        <v>13-L-303476</v>
      </c>
      <c r="C6615">
        <v>0.77</v>
      </c>
      <c r="D6615" t="s">
        <v>9126</v>
      </c>
      <c r="E6615" t="s">
        <v>11</v>
      </c>
      <c r="G6615" t="s">
        <v>9</v>
      </c>
      <c r="H6615" t="s">
        <v>14</v>
      </c>
    </row>
    <row r="6616" spans="1:10" hidden="1" x14ac:dyDescent="0.25">
      <c r="A6616" t="s">
        <v>9124</v>
      </c>
      <c r="B6616" s="1" t="str">
        <f>HYPERLINK("https://asmlis.vasa.lt/Dashboard/Served?ServiceDateFrom=2025-11-24&amp;ServiceDateTo=2025-11-24&amp;DumpsterInvNr=13-L-145264", "13-L-145264")</f>
        <v>13-L-145264</v>
      </c>
      <c r="C6616">
        <v>0.24</v>
      </c>
      <c r="D6616" t="s">
        <v>9127</v>
      </c>
      <c r="E6616" t="s">
        <v>11</v>
      </c>
      <c r="F6616" t="s">
        <v>1209</v>
      </c>
      <c r="G6616" t="s">
        <v>1912</v>
      </c>
      <c r="H6616" t="s">
        <v>432</v>
      </c>
    </row>
    <row r="6617" spans="1:10" hidden="1" x14ac:dyDescent="0.25">
      <c r="A6617" t="s">
        <v>9128</v>
      </c>
      <c r="B6617" s="1" t="str">
        <f>HYPERLINK("https://asmlis.vasa.lt/Dashboard/Served?ServiceDateFrom=2025-11-24&amp;ServiceDateTo=2025-11-24&amp;DumpsterInvNr=13-P-110056", "13-P-110056")</f>
        <v>13-P-110056</v>
      </c>
      <c r="C6617">
        <v>0.12</v>
      </c>
      <c r="D6617" t="s">
        <v>9127</v>
      </c>
      <c r="E6617" t="s">
        <v>11</v>
      </c>
      <c r="F6617" t="s">
        <v>1209</v>
      </c>
      <c r="G6617" t="s">
        <v>1917</v>
      </c>
      <c r="H6617" t="s">
        <v>432</v>
      </c>
    </row>
    <row r="6618" spans="1:10" hidden="1" x14ac:dyDescent="0.25">
      <c r="A6618" t="s">
        <v>9128</v>
      </c>
      <c r="B6618" s="1" t="str">
        <f>HYPERLINK("https://asmlis.vasa.lt/Dashboard/Served?ServiceDateFrom=2025-11-24&amp;ServiceDateTo=2025-11-24&amp;DumpsterInvNr=13-M-204385", "13-M-204385")</f>
        <v>13-M-204385</v>
      </c>
      <c r="C6618">
        <v>0.12</v>
      </c>
      <c r="D6618" t="s">
        <v>9129</v>
      </c>
      <c r="E6618" t="s">
        <v>11</v>
      </c>
      <c r="G6618" t="s">
        <v>4876</v>
      </c>
      <c r="H6618" t="s">
        <v>938</v>
      </c>
    </row>
    <row r="6619" spans="1:10" hidden="1" x14ac:dyDescent="0.25">
      <c r="A6619" t="s">
        <v>9130</v>
      </c>
      <c r="B6619" s="1" t="str">
        <f>HYPERLINK("https://asmlis.vasa.lt/Dashboard/Served?ServiceDateFrom=2025-11-24&amp;ServiceDateTo=2025-11-24&amp;DumpsterInvNr=13-T-000291", "13-T-000291")</f>
        <v>13-T-000291</v>
      </c>
      <c r="C6619">
        <v>2.5</v>
      </c>
      <c r="D6619" t="s">
        <v>9131</v>
      </c>
      <c r="E6619" t="s">
        <v>11</v>
      </c>
      <c r="F6619" t="s">
        <v>13</v>
      </c>
      <c r="G6619" t="s">
        <v>1899</v>
      </c>
      <c r="H6619" t="s">
        <v>432</v>
      </c>
    </row>
    <row r="6620" spans="1:10" hidden="1" x14ac:dyDescent="0.25">
      <c r="A6620" t="s">
        <v>9132</v>
      </c>
      <c r="B6620" s="1" t="str">
        <f>HYPERLINK("https://asmlis.vasa.lt/Dashboard/Served?ServiceDateFrom=2025-11-24&amp;ServiceDateTo=2025-11-24&amp;DumpsterInvNr=13-L-134815", "13-L-134815")</f>
        <v>13-L-134815</v>
      </c>
      <c r="C6620">
        <v>0.24</v>
      </c>
      <c r="D6620" t="s">
        <v>9127</v>
      </c>
      <c r="E6620" t="s">
        <v>11</v>
      </c>
      <c r="F6620" t="s">
        <v>1209</v>
      </c>
      <c r="G6620" t="s">
        <v>1912</v>
      </c>
      <c r="H6620" t="s">
        <v>432</v>
      </c>
    </row>
    <row r="6621" spans="1:10" hidden="1" x14ac:dyDescent="0.25">
      <c r="A6621" t="s">
        <v>9132</v>
      </c>
      <c r="B6621" s="1" t="str">
        <f>HYPERLINK("https://asmlis.vasa.lt/Dashboard/Served?ServiceDateFrom=2025-11-24&amp;ServiceDateTo=2025-11-24&amp;DumpsterInvNr=13-L-421174", "13-L-421174")</f>
        <v>13-L-421174</v>
      </c>
      <c r="C6621">
        <v>1.1000000000000001</v>
      </c>
      <c r="D6621" t="s">
        <v>9133</v>
      </c>
      <c r="E6621" t="s">
        <v>11</v>
      </c>
      <c r="G6621" t="s">
        <v>74</v>
      </c>
      <c r="H6621" t="s">
        <v>14</v>
      </c>
    </row>
    <row r="6622" spans="1:10" hidden="1" x14ac:dyDescent="0.25">
      <c r="A6622" t="s">
        <v>9132</v>
      </c>
      <c r="B6622" s="1" t="str">
        <f>HYPERLINK("https://asmlis.vasa.lt/Dashboard/Served?ServiceDateFrom=2025-11-24&amp;ServiceDateTo=2025-11-24&amp;DumpsterInvNr=13-P-205113", "13-P-205113")</f>
        <v>13-P-205113</v>
      </c>
      <c r="C6622">
        <v>0.24</v>
      </c>
      <c r="D6622" t="s">
        <v>8814</v>
      </c>
      <c r="E6622" t="s">
        <v>11</v>
      </c>
      <c r="F6622" t="s">
        <v>1209</v>
      </c>
      <c r="G6622" t="s">
        <v>234</v>
      </c>
      <c r="H6622" t="s">
        <v>14</v>
      </c>
    </row>
    <row r="6623" spans="1:10" hidden="1" x14ac:dyDescent="0.25">
      <c r="A6623" t="s">
        <v>9134</v>
      </c>
      <c r="B6623" s="1" t="str">
        <f>HYPERLINK("https://asmlis.vasa.lt/Dashboard/Served?ServiceDateFrom=2025-11-24&amp;ServiceDateTo=2025-11-24&amp;DumpsterInvNr=13-T-000292", "13-T-000292")</f>
        <v>13-T-000292</v>
      </c>
      <c r="C6623">
        <v>2.5</v>
      </c>
      <c r="D6623" t="s">
        <v>9131</v>
      </c>
      <c r="E6623" t="s">
        <v>11</v>
      </c>
      <c r="F6623" t="s">
        <v>13</v>
      </c>
      <c r="G6623" t="s">
        <v>1899</v>
      </c>
      <c r="H6623" t="s">
        <v>432</v>
      </c>
    </row>
    <row r="6624" spans="1:10" hidden="1" x14ac:dyDescent="0.25">
      <c r="A6624" t="s">
        <v>9135</v>
      </c>
      <c r="B6624" s="1" t="str">
        <f>HYPERLINK("https://asmlis.vasa.lt/Dashboard/Served?ServiceDateFrom=2025-11-24&amp;ServiceDateTo=2025-11-24&amp;DumpsterInvNr=13-L-148954", "13-L-148954")</f>
        <v>13-L-148954</v>
      </c>
      <c r="C6624">
        <v>0.24</v>
      </c>
      <c r="D6624" t="s">
        <v>9136</v>
      </c>
      <c r="E6624" t="s">
        <v>11</v>
      </c>
      <c r="F6624" t="s">
        <v>1209</v>
      </c>
      <c r="G6624" t="s">
        <v>1912</v>
      </c>
      <c r="H6624" t="s">
        <v>432</v>
      </c>
    </row>
    <row r="6625" spans="1:8" hidden="1" x14ac:dyDescent="0.25">
      <c r="A6625" t="s">
        <v>9137</v>
      </c>
      <c r="B6625" s="1" t="str">
        <f>HYPERLINK("https://asmlis.vasa.lt/Dashboard/Served?ServiceDateFrom=2025-11-24&amp;ServiceDateTo=2025-11-24&amp;DumpsterInvNr=13-P-500742", "13-P-500742")</f>
        <v>13-P-500742</v>
      </c>
      <c r="C6625">
        <v>5</v>
      </c>
      <c r="D6625" t="s">
        <v>5534</v>
      </c>
      <c r="E6625" t="s">
        <v>11</v>
      </c>
      <c r="F6625" t="s">
        <v>13</v>
      </c>
      <c r="G6625" t="s">
        <v>2178</v>
      </c>
      <c r="H6625" t="s">
        <v>432</v>
      </c>
    </row>
    <row r="6626" spans="1:8" hidden="1" x14ac:dyDescent="0.25">
      <c r="A6626" t="s">
        <v>9138</v>
      </c>
      <c r="B6626" s="1" t="str">
        <f>HYPERLINK("https://asmlis.vasa.lt/Dashboard/Served?ServiceDateFrom=2025-11-24&amp;ServiceDateTo=2025-11-24&amp;DumpsterInvNr=13-P-116274", "13-P-116274")</f>
        <v>13-P-116274</v>
      </c>
      <c r="C6626">
        <v>0.24</v>
      </c>
      <c r="D6626" t="s">
        <v>9136</v>
      </c>
      <c r="E6626" t="s">
        <v>11</v>
      </c>
      <c r="F6626" t="s">
        <v>1209</v>
      </c>
      <c r="G6626" t="s">
        <v>1917</v>
      </c>
      <c r="H6626" t="s">
        <v>432</v>
      </c>
    </row>
    <row r="6627" spans="1:8" hidden="1" x14ac:dyDescent="0.25">
      <c r="A6627" t="s">
        <v>9139</v>
      </c>
      <c r="B6627" s="1" t="str">
        <f>HYPERLINK("https://asmlis.vasa.lt/Dashboard/Served?ServiceDateFrom=2025-11-24&amp;ServiceDateTo=2025-11-24&amp;DumpsterInvNr=13-P-208649", "13-P-208649")</f>
        <v>13-P-208649</v>
      </c>
      <c r="C6627">
        <v>0.24</v>
      </c>
      <c r="D6627" t="s">
        <v>9140</v>
      </c>
      <c r="E6627" t="s">
        <v>11</v>
      </c>
      <c r="F6627" t="s">
        <v>1209</v>
      </c>
      <c r="G6627" t="s">
        <v>234</v>
      </c>
      <c r="H6627" t="s">
        <v>14</v>
      </c>
    </row>
    <row r="6628" spans="1:8" hidden="1" x14ac:dyDescent="0.25">
      <c r="A6628" t="s">
        <v>9141</v>
      </c>
      <c r="B6628" s="1" t="str">
        <f>HYPERLINK("https://asmlis.vasa.lt/Dashboard/Served?ServiceDateFrom=2025-11-24&amp;ServiceDateTo=2025-11-24&amp;DumpsterInvNr=13-P-301933", "13-P-301933")</f>
        <v>13-P-301933</v>
      </c>
      <c r="C6628">
        <v>1.1000000000000001</v>
      </c>
      <c r="D6628" t="s">
        <v>9142</v>
      </c>
      <c r="E6628" t="s">
        <v>11</v>
      </c>
      <c r="G6628" t="s">
        <v>412</v>
      </c>
      <c r="H6628" t="s">
        <v>14</v>
      </c>
    </row>
    <row r="6629" spans="1:8" hidden="1" x14ac:dyDescent="0.25">
      <c r="A6629" t="s">
        <v>9143</v>
      </c>
      <c r="B6629" s="1" t="str">
        <f>HYPERLINK("https://asmlis.vasa.lt/Dashboard/Served?ServiceDateFrom=2025-11-24&amp;ServiceDateTo=2025-11-24&amp;DumpsterInvNr=13-M-204717", "13-M-204717")</f>
        <v>13-M-204717</v>
      </c>
      <c r="C6629">
        <v>0.12</v>
      </c>
      <c r="D6629" t="s">
        <v>9144</v>
      </c>
      <c r="E6629" t="s">
        <v>11</v>
      </c>
      <c r="G6629" t="s">
        <v>4876</v>
      </c>
      <c r="H6629" t="s">
        <v>938</v>
      </c>
    </row>
    <row r="6630" spans="1:8" hidden="1" x14ac:dyDescent="0.25">
      <c r="A6630" t="s">
        <v>9145</v>
      </c>
      <c r="B6630" s="1" t="str">
        <f>HYPERLINK("https://asmlis.vasa.lt/Dashboard/Served?ServiceDateFrom=2025-11-24&amp;ServiceDateTo=2025-11-24&amp;DumpsterInvNr=13-L-309747", "13-L-309747")</f>
        <v>13-L-309747</v>
      </c>
      <c r="C6630">
        <v>1.1000000000000001</v>
      </c>
      <c r="D6630" t="s">
        <v>9146</v>
      </c>
      <c r="E6630" t="s">
        <v>11</v>
      </c>
      <c r="G6630" t="s">
        <v>9</v>
      </c>
      <c r="H6630" t="s">
        <v>14</v>
      </c>
    </row>
    <row r="6631" spans="1:8" hidden="1" x14ac:dyDescent="0.25">
      <c r="A6631" t="s">
        <v>9147</v>
      </c>
      <c r="B6631" s="1" t="str">
        <f>HYPERLINK("https://asmlis.vasa.lt/Dashboard/Served?ServiceDateFrom=2025-11-24&amp;ServiceDateTo=2025-11-24&amp;DumpsterInvNr=13-M-204715", "13-M-204715")</f>
        <v>13-M-204715</v>
      </c>
      <c r="C6631">
        <v>0.12</v>
      </c>
      <c r="D6631" t="s">
        <v>9148</v>
      </c>
      <c r="E6631" t="s">
        <v>11</v>
      </c>
      <c r="F6631" t="s">
        <v>1209</v>
      </c>
      <c r="G6631" t="s">
        <v>4876</v>
      </c>
      <c r="H6631" t="s">
        <v>938</v>
      </c>
    </row>
    <row r="6632" spans="1:8" hidden="1" x14ac:dyDescent="0.25">
      <c r="A6632" t="s">
        <v>9149</v>
      </c>
      <c r="B6632" s="1" t="str">
        <f>HYPERLINK("https://asmlis.vasa.lt/Dashboard/Served?ServiceDateFrom=2025-11-24&amp;ServiceDateTo=2025-11-24&amp;DumpsterInvNr=13-L-209945", "13-L-209945")</f>
        <v>13-L-209945</v>
      </c>
      <c r="C6632">
        <v>0.24</v>
      </c>
      <c r="D6632" t="s">
        <v>4823</v>
      </c>
      <c r="E6632" t="s">
        <v>11</v>
      </c>
      <c r="G6632" t="s">
        <v>936</v>
      </c>
      <c r="H6632" t="s">
        <v>938</v>
      </c>
    </row>
    <row r="6633" spans="1:8" hidden="1" x14ac:dyDescent="0.25">
      <c r="A6633" t="s">
        <v>9150</v>
      </c>
      <c r="B6633" s="1" t="str">
        <f>HYPERLINK("https://asmlis.vasa.lt/Dashboard/Served?ServiceDateFrom=2025-11-24&amp;ServiceDateTo=2025-11-24&amp;DumpsterInvNr=13-L-403981", "13-L-403981")</f>
        <v>13-L-403981</v>
      </c>
      <c r="C6633">
        <v>0.24</v>
      </c>
      <c r="D6633" t="s">
        <v>4297</v>
      </c>
      <c r="E6633" t="s">
        <v>11</v>
      </c>
      <c r="G6633" t="s">
        <v>74</v>
      </c>
      <c r="H6633" t="s">
        <v>14</v>
      </c>
    </row>
    <row r="6634" spans="1:8" hidden="1" x14ac:dyDescent="0.25">
      <c r="A6634" t="s">
        <v>9151</v>
      </c>
      <c r="B6634" s="1" t="str">
        <f>HYPERLINK("https://asmlis.vasa.lt/Dashboard/Served?ServiceDateFrom=2025-11-24&amp;ServiceDateTo=2025-11-24&amp;DumpsterInvNr=13-P-115829", "13-P-115829")</f>
        <v>13-P-115829</v>
      </c>
      <c r="C6634">
        <v>0.66</v>
      </c>
      <c r="D6634" t="s">
        <v>9152</v>
      </c>
      <c r="E6634" t="s">
        <v>11</v>
      </c>
      <c r="G6634" t="s">
        <v>1917</v>
      </c>
      <c r="H6634" t="s">
        <v>432</v>
      </c>
    </row>
    <row r="6635" spans="1:8" hidden="1" x14ac:dyDescent="0.25">
      <c r="A6635" t="s">
        <v>9153</v>
      </c>
      <c r="B6635" s="1" t="str">
        <f>HYPERLINK("https://asmlis.vasa.lt/Dashboard/Served?ServiceDateFrom=2025-11-24&amp;ServiceDateTo=2025-11-24&amp;DumpsterInvNr=13-M-204666", "13-M-204666")</f>
        <v>13-M-204666</v>
      </c>
      <c r="C6635">
        <v>0.12</v>
      </c>
      <c r="D6635" t="s">
        <v>9154</v>
      </c>
      <c r="E6635" t="s">
        <v>11</v>
      </c>
      <c r="F6635" t="s">
        <v>1209</v>
      </c>
      <c r="G6635" t="s">
        <v>4876</v>
      </c>
      <c r="H6635" t="s">
        <v>938</v>
      </c>
    </row>
    <row r="6636" spans="1:8" hidden="1" x14ac:dyDescent="0.25">
      <c r="A6636" t="s">
        <v>9155</v>
      </c>
      <c r="B6636" s="1" t="str">
        <f>HYPERLINK("https://asmlis.vasa.lt/Dashboard/Served?ServiceDateFrom=2025-11-24&amp;ServiceDateTo=2025-11-24&amp;DumpsterInvNr=13-L-304918", "13-L-304918")</f>
        <v>13-L-304918</v>
      </c>
      <c r="C6636">
        <v>0.12</v>
      </c>
      <c r="D6636" t="s">
        <v>9156</v>
      </c>
      <c r="E6636" t="s">
        <v>11</v>
      </c>
      <c r="F6636" t="s">
        <v>1209</v>
      </c>
      <c r="G6636" t="s">
        <v>9</v>
      </c>
      <c r="H6636" t="s">
        <v>14</v>
      </c>
    </row>
    <row r="6637" spans="1:8" hidden="1" x14ac:dyDescent="0.25">
      <c r="A6637" t="s">
        <v>9157</v>
      </c>
      <c r="B6637" s="1" t="str">
        <f>HYPERLINK("https://asmlis.vasa.lt/Dashboard/Served?ServiceDateFrom=2025-11-24&amp;ServiceDateTo=2025-11-24&amp;DumpsterInvNr=13-P-302210", "13-P-302210")</f>
        <v>13-P-302210</v>
      </c>
      <c r="C6637">
        <v>1.1000000000000001</v>
      </c>
      <c r="D6637" t="s">
        <v>9142</v>
      </c>
      <c r="E6637" t="s">
        <v>11</v>
      </c>
      <c r="G6637" t="s">
        <v>412</v>
      </c>
      <c r="H6637" t="s">
        <v>14</v>
      </c>
    </row>
    <row r="6638" spans="1:8" hidden="1" x14ac:dyDescent="0.25">
      <c r="A6638" t="s">
        <v>9158</v>
      </c>
      <c r="B6638" s="1" t="str">
        <f>HYPERLINK("https://asmlis.vasa.lt/Dashboard/Served?ServiceDateFrom=2025-11-24&amp;ServiceDateTo=2025-11-24&amp;DumpsterInvNr=13-L-223382", "13-L-223382")</f>
        <v>13-L-223382</v>
      </c>
      <c r="C6638">
        <v>1.1000000000000001</v>
      </c>
      <c r="D6638" t="s">
        <v>9159</v>
      </c>
      <c r="E6638" t="s">
        <v>11</v>
      </c>
      <c r="F6638" t="s">
        <v>1209</v>
      </c>
      <c r="G6638" t="s">
        <v>936</v>
      </c>
      <c r="H6638" t="s">
        <v>938</v>
      </c>
    </row>
    <row r="6639" spans="1:8" hidden="1" x14ac:dyDescent="0.25">
      <c r="A6639" t="s">
        <v>9160</v>
      </c>
      <c r="B6639" s="1" t="str">
        <f>HYPERLINK("https://asmlis.vasa.lt/Dashboard/Served?ServiceDateFrom=2025-11-24&amp;ServiceDateTo=2025-11-24&amp;DumpsterInvNr=13-P-413943", "13-P-413943")</f>
        <v>13-P-413943</v>
      </c>
      <c r="C6639">
        <v>5</v>
      </c>
      <c r="D6639" t="s">
        <v>168</v>
      </c>
      <c r="E6639" t="s">
        <v>11</v>
      </c>
      <c r="G6639" t="s">
        <v>264</v>
      </c>
      <c r="H6639" t="s">
        <v>14</v>
      </c>
    </row>
    <row r="6640" spans="1:8" hidden="1" x14ac:dyDescent="0.25">
      <c r="A6640" t="s">
        <v>9161</v>
      </c>
      <c r="B6640" s="1" t="str">
        <f>HYPERLINK("https://asmlis.vasa.lt/Dashboard/Served?ServiceDateFrom=2025-11-24&amp;ServiceDateTo=2025-11-24&amp;DumpsterInvNr=13-M-204693", "13-M-204693")</f>
        <v>13-M-204693</v>
      </c>
      <c r="C6640">
        <v>0.12</v>
      </c>
      <c r="D6640" t="s">
        <v>9162</v>
      </c>
      <c r="E6640" t="s">
        <v>11</v>
      </c>
      <c r="F6640" t="s">
        <v>1209</v>
      </c>
      <c r="G6640" t="s">
        <v>4876</v>
      </c>
      <c r="H6640" t="s">
        <v>938</v>
      </c>
    </row>
    <row r="6641" spans="1:8" hidden="1" x14ac:dyDescent="0.25">
      <c r="A6641" t="s">
        <v>9163</v>
      </c>
      <c r="B6641" s="1" t="str">
        <f>HYPERLINK("https://asmlis.vasa.lt/Dashboard/Served?ServiceDateFrom=2025-11-24&amp;ServiceDateTo=2025-11-24&amp;DumpsterInvNr=13-P-208565", "13-P-208565")</f>
        <v>13-P-208565</v>
      </c>
      <c r="C6641">
        <v>0.24</v>
      </c>
      <c r="D6641" t="s">
        <v>9164</v>
      </c>
      <c r="E6641" t="s">
        <v>11</v>
      </c>
      <c r="G6641" t="s">
        <v>234</v>
      </c>
      <c r="H6641" t="s">
        <v>14</v>
      </c>
    </row>
    <row r="6642" spans="1:8" hidden="1" x14ac:dyDescent="0.25">
      <c r="A6642" t="s">
        <v>9165</v>
      </c>
      <c r="B6642" s="1" t="str">
        <f>HYPERLINK("https://asmlis.vasa.lt/Dashboard/Served?ServiceDateFrom=2025-11-24&amp;ServiceDateTo=2025-11-24&amp;DumpsterInvNr=13-M-204863", "13-M-204863")</f>
        <v>13-M-204863</v>
      </c>
      <c r="C6642">
        <v>0.12</v>
      </c>
      <c r="D6642" t="s">
        <v>9166</v>
      </c>
      <c r="E6642" t="s">
        <v>11</v>
      </c>
      <c r="F6642" t="s">
        <v>1209</v>
      </c>
      <c r="G6642" t="s">
        <v>4876</v>
      </c>
      <c r="H6642" t="s">
        <v>938</v>
      </c>
    </row>
    <row r="6643" spans="1:8" hidden="1" x14ac:dyDescent="0.25">
      <c r="A6643" t="s">
        <v>9167</v>
      </c>
      <c r="B6643" s="1" t="str">
        <f>HYPERLINK("https://asmlis.vasa.lt/Dashboard/Served?ServiceDateFrom=2025-11-24&amp;ServiceDateTo=2025-11-24&amp;DumpsterInvNr=13-L-318416", "13-L-318416")</f>
        <v>13-L-318416</v>
      </c>
      <c r="C6643">
        <v>1.1000000000000001</v>
      </c>
      <c r="D6643" t="s">
        <v>9146</v>
      </c>
      <c r="E6643" t="s">
        <v>11</v>
      </c>
      <c r="F6643" t="s">
        <v>13</v>
      </c>
      <c r="G6643" t="s">
        <v>9</v>
      </c>
      <c r="H6643" t="s">
        <v>14</v>
      </c>
    </row>
    <row r="6644" spans="1:8" hidden="1" x14ac:dyDescent="0.25">
      <c r="A6644" t="s">
        <v>9168</v>
      </c>
      <c r="B6644" s="1" t="str">
        <f>HYPERLINK("https://asmlis.vasa.lt/Dashboard/Served?ServiceDateFrom=2025-11-24&amp;ServiceDateTo=2025-11-24&amp;DumpsterInvNr=13-L-112142", "13-L-112142")</f>
        <v>13-L-112142</v>
      </c>
      <c r="C6644">
        <v>0.12</v>
      </c>
      <c r="D6644" t="s">
        <v>9169</v>
      </c>
      <c r="E6644" t="s">
        <v>11</v>
      </c>
      <c r="G6644" t="s">
        <v>1912</v>
      </c>
      <c r="H6644" t="s">
        <v>432</v>
      </c>
    </row>
    <row r="6645" spans="1:8" hidden="1" x14ac:dyDescent="0.25">
      <c r="A6645" t="s">
        <v>9168</v>
      </c>
      <c r="B6645" s="1" t="str">
        <f>HYPERLINK("https://asmlis.vasa.lt/Dashboard/Served?ServiceDateFrom=2025-11-24&amp;ServiceDateTo=2025-11-24&amp;DumpsterInvNr=13-S-208913", "13-S-208913")</f>
        <v>13-S-208913</v>
      </c>
      <c r="C6645">
        <v>0.12</v>
      </c>
      <c r="D6645" t="s">
        <v>9164</v>
      </c>
      <c r="E6645" t="s">
        <v>11</v>
      </c>
      <c r="G6645" t="s">
        <v>234</v>
      </c>
      <c r="H6645" t="s">
        <v>14</v>
      </c>
    </row>
    <row r="6646" spans="1:8" hidden="1" x14ac:dyDescent="0.25">
      <c r="A6646" t="s">
        <v>9170</v>
      </c>
      <c r="B6646" s="1" t="str">
        <f>HYPERLINK("https://asmlis.vasa.lt/Dashboard/Served?ServiceDateFrom=2025-11-24&amp;ServiceDateTo=2025-11-24&amp;DumpsterInvNr=13-P-112710", "13-P-112710")</f>
        <v>13-P-112710</v>
      </c>
      <c r="C6646">
        <v>0.24</v>
      </c>
      <c r="D6646" t="s">
        <v>9169</v>
      </c>
      <c r="E6646" t="s">
        <v>11</v>
      </c>
      <c r="G6646" t="s">
        <v>1917</v>
      </c>
      <c r="H6646" t="s">
        <v>432</v>
      </c>
    </row>
    <row r="6647" spans="1:8" hidden="1" x14ac:dyDescent="0.25">
      <c r="A6647" t="s">
        <v>9172</v>
      </c>
      <c r="B6647" s="1" t="str">
        <f>HYPERLINK("https://asmlis.vasa.lt/Dashboard/Served?ServiceDateFrom=2025-11-24&amp;ServiceDateTo=2025-11-24&amp;DumpsterInvNr=13-L-136768", "13-L-136768")</f>
        <v>13-L-136768</v>
      </c>
      <c r="C6647">
        <v>5</v>
      </c>
      <c r="D6647" t="s">
        <v>9173</v>
      </c>
      <c r="E6647" t="s">
        <v>11</v>
      </c>
      <c r="F6647" t="s">
        <v>13</v>
      </c>
      <c r="G6647" t="s">
        <v>430</v>
      </c>
      <c r="H6647" t="s">
        <v>432</v>
      </c>
    </row>
    <row r="6648" spans="1:8" hidden="1" x14ac:dyDescent="0.25">
      <c r="A6648" t="s">
        <v>9174</v>
      </c>
      <c r="B6648" s="1" t="str">
        <f>HYPERLINK("https://asmlis.vasa.lt/Dashboard/Served?ServiceDateFrom=2025-11-24&amp;ServiceDateTo=2025-11-24&amp;DumpsterInvNr=13-L-211644", "13-L-211644")</f>
        <v>13-L-211644</v>
      </c>
      <c r="C6648">
        <v>5</v>
      </c>
      <c r="D6648" t="s">
        <v>9175</v>
      </c>
      <c r="E6648" t="s">
        <v>11</v>
      </c>
      <c r="G6648" t="s">
        <v>936</v>
      </c>
      <c r="H6648" t="s">
        <v>938</v>
      </c>
    </row>
    <row r="6649" spans="1:8" hidden="1" x14ac:dyDescent="0.25">
      <c r="A6649" t="s">
        <v>9176</v>
      </c>
      <c r="B6649" s="1" t="str">
        <f>HYPERLINK("https://asmlis.vasa.lt/Dashboard/Served?ServiceDateFrom=2025-11-24&amp;ServiceDateTo=2025-11-24&amp;DumpsterInvNr=13-L-403982", "13-L-403982")</f>
        <v>13-L-403982</v>
      </c>
      <c r="C6649">
        <v>0.24</v>
      </c>
      <c r="D6649" t="s">
        <v>4440</v>
      </c>
      <c r="E6649" t="s">
        <v>11</v>
      </c>
      <c r="G6649" t="s">
        <v>74</v>
      </c>
      <c r="H6649" t="s">
        <v>14</v>
      </c>
    </row>
    <row r="6650" spans="1:8" hidden="1" x14ac:dyDescent="0.25">
      <c r="A6650" t="s">
        <v>9177</v>
      </c>
      <c r="B6650" s="1" t="str">
        <f>HYPERLINK("https://asmlis.vasa.lt/Dashboard/Served?ServiceDateFrom=2025-11-24&amp;ServiceDateTo=2025-11-24&amp;DumpsterInvNr=13-P-304046", "13-P-304046")</f>
        <v>13-P-304046</v>
      </c>
      <c r="C6650">
        <v>5</v>
      </c>
      <c r="D6650" t="s">
        <v>906</v>
      </c>
      <c r="E6650" t="s">
        <v>11</v>
      </c>
      <c r="F6650" t="s">
        <v>13</v>
      </c>
      <c r="G6650" t="s">
        <v>412</v>
      </c>
      <c r="H6650" t="s">
        <v>14</v>
      </c>
    </row>
    <row r="6651" spans="1:8" hidden="1" x14ac:dyDescent="0.25">
      <c r="A6651" t="s">
        <v>9178</v>
      </c>
      <c r="B6651" s="1" t="str">
        <f>HYPERLINK("https://asmlis.vasa.lt/Dashboard/Served?ServiceDateFrom=2025-11-24&amp;ServiceDateTo=2025-11-24&amp;DumpsterInvNr=13-P-302569", "13-P-302569")</f>
        <v>13-P-302569</v>
      </c>
      <c r="C6651">
        <v>5</v>
      </c>
      <c r="D6651" t="s">
        <v>906</v>
      </c>
      <c r="E6651" t="s">
        <v>11</v>
      </c>
      <c r="F6651" t="s">
        <v>13</v>
      </c>
      <c r="G6651" t="s">
        <v>412</v>
      </c>
      <c r="H6651" t="s">
        <v>14</v>
      </c>
    </row>
    <row r="6652" spans="1:8" hidden="1" x14ac:dyDescent="0.25">
      <c r="A6652" t="s">
        <v>9179</v>
      </c>
      <c r="B6652" s="1" t="str">
        <f>HYPERLINK("https://asmlis.vasa.lt/Dashboard/Served?ServiceDateFrom=2025-11-24&amp;ServiceDateTo=2025-11-24&amp;DumpsterInvNr=13-L-214944", "13-L-214944")</f>
        <v>13-L-214944</v>
      </c>
      <c r="C6652">
        <v>0.12</v>
      </c>
      <c r="D6652" t="s">
        <v>4759</v>
      </c>
      <c r="E6652" t="s">
        <v>11</v>
      </c>
      <c r="G6652" t="s">
        <v>936</v>
      </c>
      <c r="H6652" t="s">
        <v>938</v>
      </c>
    </row>
    <row r="6653" spans="1:8" hidden="1" x14ac:dyDescent="0.25">
      <c r="A6653" t="s">
        <v>9180</v>
      </c>
      <c r="B6653" s="1" t="str">
        <f>HYPERLINK("https://asmlis.vasa.lt/Dashboard/Served?ServiceDateFrom=2025-11-24&amp;ServiceDateTo=2025-11-24&amp;DumpsterInvNr=13-P-416341", "13-P-416341")</f>
        <v>13-P-416341</v>
      </c>
      <c r="C6653">
        <v>0.24</v>
      </c>
      <c r="D6653" t="s">
        <v>9181</v>
      </c>
      <c r="E6653" t="s">
        <v>11</v>
      </c>
      <c r="F6653" t="s">
        <v>1209</v>
      </c>
      <c r="G6653" t="s">
        <v>264</v>
      </c>
      <c r="H6653" t="s">
        <v>14</v>
      </c>
    </row>
    <row r="6654" spans="1:8" hidden="1" x14ac:dyDescent="0.25">
      <c r="A6654" t="s">
        <v>9180</v>
      </c>
      <c r="B6654" s="1" t="str">
        <f>HYPERLINK("https://asmlis.vasa.lt/Dashboard/Served?ServiceDateFrom=2025-11-24&amp;ServiceDateTo=2025-11-24&amp;DumpsterInvNr=13-P-401565", "13-P-401565")</f>
        <v>13-P-401565</v>
      </c>
      <c r="C6654">
        <v>0.24</v>
      </c>
      <c r="D6654" t="s">
        <v>9183</v>
      </c>
      <c r="E6654" t="s">
        <v>11</v>
      </c>
      <c r="F6654" t="s">
        <v>1209</v>
      </c>
      <c r="G6654" t="s">
        <v>264</v>
      </c>
      <c r="H6654" t="s">
        <v>14</v>
      </c>
    </row>
    <row r="6655" spans="1:8" hidden="1" x14ac:dyDescent="0.25">
      <c r="A6655" t="s">
        <v>9184</v>
      </c>
      <c r="B6655" s="1" t="str">
        <f>HYPERLINK("https://asmlis.vasa.lt/Dashboard/Served?ServiceDateFrom=2025-11-24&amp;ServiceDateTo=2025-11-24&amp;DumpsterInvNr=13-P-416171", "13-P-416171")</f>
        <v>13-P-416171</v>
      </c>
      <c r="C6655">
        <v>1.1000000000000001</v>
      </c>
      <c r="D6655" t="s">
        <v>9103</v>
      </c>
      <c r="E6655" t="s">
        <v>11</v>
      </c>
      <c r="G6655" t="s">
        <v>264</v>
      </c>
      <c r="H6655" t="s">
        <v>14</v>
      </c>
    </row>
    <row r="6656" spans="1:8" hidden="1" x14ac:dyDescent="0.25">
      <c r="A6656" t="s">
        <v>9185</v>
      </c>
      <c r="B6656" s="1" t="str">
        <f>HYPERLINK("https://asmlis.vasa.lt/Dashboard/Served?ServiceDateFrom=2025-11-24&amp;ServiceDateTo=2025-11-24&amp;DumpsterInvNr=13-P-400634", "13-P-400634")</f>
        <v>13-P-400634</v>
      </c>
      <c r="C6656">
        <v>5</v>
      </c>
      <c r="D6656" t="s">
        <v>1300</v>
      </c>
      <c r="E6656" t="s">
        <v>11</v>
      </c>
      <c r="F6656" t="s">
        <v>13</v>
      </c>
      <c r="G6656" t="s">
        <v>264</v>
      </c>
      <c r="H6656" t="s">
        <v>14</v>
      </c>
    </row>
    <row r="6657" spans="1:8" hidden="1" x14ac:dyDescent="0.25">
      <c r="A6657" t="s">
        <v>9186</v>
      </c>
      <c r="B6657" s="1" t="str">
        <f>HYPERLINK("https://asmlis.vasa.lt/Dashboard/Served?ServiceDateFrom=2025-11-24&amp;ServiceDateTo=2025-11-24&amp;DumpsterInvNr=13-P-102346", "13-P-102346")</f>
        <v>13-P-102346</v>
      </c>
      <c r="C6657">
        <v>5</v>
      </c>
      <c r="D6657" t="s">
        <v>3358</v>
      </c>
      <c r="E6657" t="s">
        <v>11</v>
      </c>
      <c r="F6657" t="s">
        <v>13</v>
      </c>
      <c r="G6657" t="s">
        <v>1917</v>
      </c>
      <c r="H6657" t="s">
        <v>432</v>
      </c>
    </row>
    <row r="6658" spans="1:8" hidden="1" x14ac:dyDescent="0.25">
      <c r="A6658" t="s">
        <v>9187</v>
      </c>
      <c r="B6658" s="1" t="str">
        <f>HYPERLINK("https://asmlis.vasa.lt/Dashboard/Served?ServiceDateFrom=2025-11-24&amp;ServiceDateTo=2025-11-24&amp;DumpsterInvNr=13-L-314315", "13-L-314315")</f>
        <v>13-L-314315</v>
      </c>
      <c r="C6658">
        <v>5</v>
      </c>
      <c r="D6658" t="s">
        <v>737</v>
      </c>
      <c r="E6658" t="s">
        <v>11</v>
      </c>
      <c r="G6658" t="s">
        <v>9</v>
      </c>
      <c r="H6658" t="s">
        <v>14</v>
      </c>
    </row>
    <row r="6659" spans="1:8" hidden="1" x14ac:dyDescent="0.25">
      <c r="A6659" t="s">
        <v>9188</v>
      </c>
      <c r="B6659" s="1" t="str">
        <f>HYPERLINK("https://asmlis.vasa.lt/Dashboard/Served?ServiceDateFrom=2025-11-24&amp;ServiceDateTo=2025-11-24&amp;DumpsterInvNr=13-M-202433", "13-M-202433")</f>
        <v>13-M-202433</v>
      </c>
      <c r="C6659">
        <v>0.12</v>
      </c>
      <c r="D6659" t="s">
        <v>9189</v>
      </c>
      <c r="E6659" t="s">
        <v>11</v>
      </c>
      <c r="G6659" t="s">
        <v>4876</v>
      </c>
      <c r="H6659" t="s">
        <v>938</v>
      </c>
    </row>
    <row r="6660" spans="1:8" hidden="1" x14ac:dyDescent="0.25">
      <c r="A6660" t="s">
        <v>9190</v>
      </c>
      <c r="B6660" s="1" t="str">
        <f>HYPERLINK("https://asmlis.vasa.lt/Dashboard/Served?ServiceDateFrom=2025-11-24&amp;ServiceDateTo=2025-11-24&amp;DumpsterInvNr=13-L-118210", "13-L-118210")</f>
        <v>13-L-118210</v>
      </c>
      <c r="C6660">
        <v>0.24</v>
      </c>
      <c r="D6660" t="s">
        <v>9191</v>
      </c>
      <c r="E6660" t="s">
        <v>11</v>
      </c>
      <c r="G6660" t="s">
        <v>1912</v>
      </c>
      <c r="H6660" t="s">
        <v>432</v>
      </c>
    </row>
    <row r="6661" spans="1:8" hidden="1" x14ac:dyDescent="0.25">
      <c r="A6661" t="s">
        <v>9040</v>
      </c>
      <c r="B6661" s="1" t="str">
        <f>HYPERLINK("https://asmlis.vasa.lt/Dashboard/Served?ServiceDateFrom=2025-11-24&amp;ServiceDateTo=2025-11-24&amp;DumpsterInvNr=13-P-113076", "13-P-113076")</f>
        <v>13-P-113076</v>
      </c>
      <c r="C6661">
        <v>0.24</v>
      </c>
      <c r="D6661" t="s">
        <v>9191</v>
      </c>
      <c r="E6661" t="s">
        <v>11</v>
      </c>
      <c r="G6661" t="s">
        <v>1917</v>
      </c>
      <c r="H6661" t="s">
        <v>432</v>
      </c>
    </row>
    <row r="6662" spans="1:8" hidden="1" x14ac:dyDescent="0.25">
      <c r="A6662" t="s">
        <v>9192</v>
      </c>
      <c r="B6662" s="1" t="str">
        <f>HYPERLINK("https://asmlis.vasa.lt/Dashboard/Served?ServiceDateFrom=2025-11-24&amp;ServiceDateTo=2025-11-24&amp;DumpsterInvNr=13-L-227448", "13-L-227448")</f>
        <v>13-L-227448</v>
      </c>
      <c r="C6662">
        <v>1.1000000000000001</v>
      </c>
      <c r="D6662" t="s">
        <v>9193</v>
      </c>
      <c r="E6662" t="s">
        <v>11</v>
      </c>
      <c r="G6662" t="s">
        <v>936</v>
      </c>
      <c r="H6662" t="s">
        <v>938</v>
      </c>
    </row>
    <row r="6663" spans="1:8" hidden="1" x14ac:dyDescent="0.25">
      <c r="A6663" t="s">
        <v>9194</v>
      </c>
      <c r="B6663" s="1" t="str">
        <f>HYPERLINK("https://asmlis.vasa.lt/Dashboard/Served?ServiceDateFrom=2025-11-24&amp;ServiceDateTo=2025-11-24&amp;DumpsterInvNr=13-P-210685", "13-P-210685")</f>
        <v>13-P-210685</v>
      </c>
      <c r="C6663">
        <v>0.24</v>
      </c>
      <c r="D6663" t="s">
        <v>9195</v>
      </c>
      <c r="E6663" t="s">
        <v>11</v>
      </c>
      <c r="G6663" t="s">
        <v>234</v>
      </c>
      <c r="H6663" t="s">
        <v>14</v>
      </c>
    </row>
    <row r="6664" spans="1:8" hidden="1" x14ac:dyDescent="0.25">
      <c r="A6664" t="s">
        <v>7830</v>
      </c>
      <c r="B6664" s="1" t="str">
        <f>HYPERLINK("https://asmlis.vasa.lt/Dashboard/Served?ServiceDateFrom=2025-11-24&amp;ServiceDateTo=2025-11-24&amp;DumpsterInvNr=13-L-417111", "13-L-417111")</f>
        <v>13-L-417111</v>
      </c>
      <c r="C6664">
        <v>0.24</v>
      </c>
      <c r="D6664" t="s">
        <v>4415</v>
      </c>
      <c r="E6664" t="s">
        <v>11</v>
      </c>
      <c r="G6664" t="s">
        <v>74</v>
      </c>
      <c r="H6664" t="s">
        <v>14</v>
      </c>
    </row>
    <row r="6665" spans="1:8" hidden="1" x14ac:dyDescent="0.25">
      <c r="A6665" t="s">
        <v>9196</v>
      </c>
      <c r="B6665" s="1" t="str">
        <f>HYPERLINK("https://asmlis.vasa.lt/Dashboard/Served?ServiceDateFrom=2025-11-24&amp;ServiceDateTo=2025-11-24&amp;DumpsterInvNr=13-M-201328", "13-M-201328")</f>
        <v>13-M-201328</v>
      </c>
      <c r="C6665">
        <v>0.12</v>
      </c>
      <c r="D6665" t="s">
        <v>9197</v>
      </c>
      <c r="E6665" t="s">
        <v>11</v>
      </c>
      <c r="F6665" t="s">
        <v>1209</v>
      </c>
      <c r="G6665" t="s">
        <v>4876</v>
      </c>
      <c r="H6665" t="s">
        <v>938</v>
      </c>
    </row>
    <row r="6666" spans="1:8" hidden="1" x14ac:dyDescent="0.25">
      <c r="A6666" t="s">
        <v>9198</v>
      </c>
      <c r="B6666" s="1" t="str">
        <f>HYPERLINK("https://asmlis.vasa.lt/Dashboard/Served?ServiceDateFrom=2025-11-24&amp;ServiceDateTo=2025-11-24&amp;DumpsterInvNr=13-T-000259", "13-T-000259")</f>
        <v>13-T-000259</v>
      </c>
      <c r="C6666">
        <v>2.5</v>
      </c>
      <c r="D6666" t="s">
        <v>1223</v>
      </c>
      <c r="E6666" t="s">
        <v>11</v>
      </c>
      <c r="F6666" t="s">
        <v>13</v>
      </c>
      <c r="G6666" t="s">
        <v>1899</v>
      </c>
      <c r="H6666" t="s">
        <v>432</v>
      </c>
    </row>
    <row r="6667" spans="1:8" hidden="1" x14ac:dyDescent="0.25">
      <c r="A6667" t="s">
        <v>7798</v>
      </c>
      <c r="B6667" s="1" t="str">
        <f>HYPERLINK("https://asmlis.vasa.lt/Dashboard/Served?ServiceDateFrom=2025-11-24&amp;ServiceDateTo=2025-11-24&amp;DumpsterInvNr=13-P-408880", "13-P-408880")</f>
        <v>13-P-408880</v>
      </c>
      <c r="C6667">
        <v>1.1000000000000001</v>
      </c>
      <c r="D6667" t="s">
        <v>9103</v>
      </c>
      <c r="E6667" t="s">
        <v>11</v>
      </c>
      <c r="F6667" t="s">
        <v>13</v>
      </c>
      <c r="G6667" t="s">
        <v>264</v>
      </c>
      <c r="H6667" t="s">
        <v>14</v>
      </c>
    </row>
    <row r="6668" spans="1:8" hidden="1" x14ac:dyDescent="0.25">
      <c r="A6668" t="s">
        <v>7862</v>
      </c>
      <c r="B6668" s="1" t="str">
        <f>HYPERLINK("https://asmlis.vasa.lt/Dashboard/Served?ServiceDateFrom=2025-11-24&amp;ServiceDateTo=2025-11-24&amp;DumpsterInvNr=13-P-210682", "13-P-210682")</f>
        <v>13-P-210682</v>
      </c>
      <c r="C6668">
        <v>0.24</v>
      </c>
      <c r="D6668" t="s">
        <v>9199</v>
      </c>
      <c r="E6668" t="s">
        <v>11</v>
      </c>
      <c r="G6668" t="s">
        <v>234</v>
      </c>
      <c r="H6668" t="s">
        <v>14</v>
      </c>
    </row>
    <row r="6669" spans="1:8" hidden="1" x14ac:dyDescent="0.25">
      <c r="A6669" t="s">
        <v>8018</v>
      </c>
      <c r="B6669" s="1" t="str">
        <f>HYPERLINK("https://asmlis.vasa.lt/Dashboard/Served?ServiceDateFrom=2025-11-24&amp;ServiceDateTo=2025-11-24&amp;DumpsterInvNr=13-P-409052", "13-P-409052")</f>
        <v>13-P-409052</v>
      </c>
      <c r="C6669">
        <v>1.1000000000000001</v>
      </c>
      <c r="D6669" t="s">
        <v>9103</v>
      </c>
      <c r="E6669" t="s">
        <v>11</v>
      </c>
      <c r="F6669" t="s">
        <v>13</v>
      </c>
      <c r="G6669" t="s">
        <v>264</v>
      </c>
      <c r="H6669" t="s">
        <v>14</v>
      </c>
    </row>
    <row r="6670" spans="1:8" hidden="1" x14ac:dyDescent="0.25">
      <c r="A6670" t="s">
        <v>9200</v>
      </c>
      <c r="B6670" s="1" t="str">
        <f>HYPERLINK("https://asmlis.vasa.lt/Dashboard/Served?ServiceDateFrom=2025-11-24&amp;ServiceDateTo=2025-11-24&amp;DumpsterInvNr=13-L-224966", "13-L-224966")</f>
        <v>13-L-224966</v>
      </c>
      <c r="C6670">
        <v>1.1000000000000001</v>
      </c>
      <c r="D6670" t="s">
        <v>9201</v>
      </c>
      <c r="E6670" t="s">
        <v>11</v>
      </c>
      <c r="G6670" t="s">
        <v>936</v>
      </c>
      <c r="H6670" t="s">
        <v>938</v>
      </c>
    </row>
    <row r="6671" spans="1:8" hidden="1" x14ac:dyDescent="0.25">
      <c r="A6671" t="s">
        <v>9200</v>
      </c>
      <c r="B6671" s="1" t="str">
        <f>HYPERLINK("https://asmlis.vasa.lt/Dashboard/Served?ServiceDateFrom=2025-11-24&amp;ServiceDateTo=2025-11-24&amp;DumpsterInvNr=13-P-205143", "13-P-205143")</f>
        <v>13-P-205143</v>
      </c>
      <c r="C6671">
        <v>0.24</v>
      </c>
      <c r="D6671" t="s">
        <v>9202</v>
      </c>
      <c r="E6671" t="s">
        <v>11</v>
      </c>
      <c r="F6671" t="s">
        <v>1209</v>
      </c>
      <c r="G6671" t="s">
        <v>234</v>
      </c>
      <c r="H6671" t="s">
        <v>14</v>
      </c>
    </row>
    <row r="6672" spans="1:8" hidden="1" x14ac:dyDescent="0.25">
      <c r="A6672" t="s">
        <v>9203</v>
      </c>
      <c r="B6672" s="1" t="str">
        <f>HYPERLINK("https://asmlis.vasa.lt/Dashboard/Served?ServiceDateFrom=2025-11-24&amp;ServiceDateTo=2025-11-24&amp;DumpsterInvNr=13-P-500548", "13-P-500548")</f>
        <v>13-P-500548</v>
      </c>
      <c r="C6672">
        <v>5</v>
      </c>
      <c r="D6672" t="s">
        <v>9204</v>
      </c>
      <c r="E6672" t="s">
        <v>11</v>
      </c>
      <c r="F6672" t="s">
        <v>13</v>
      </c>
      <c r="G6672" t="s">
        <v>2178</v>
      </c>
      <c r="H6672" t="s">
        <v>432</v>
      </c>
    </row>
    <row r="6673" spans="1:8" hidden="1" x14ac:dyDescent="0.25">
      <c r="A6673" t="s">
        <v>9205</v>
      </c>
      <c r="B6673" s="1" t="str">
        <f>HYPERLINK("https://asmlis.vasa.lt/Dashboard/Served?ServiceDateFrom=2025-11-24&amp;ServiceDateTo=2025-11-24&amp;DumpsterInvNr=13-L-219543", "13-L-219543")</f>
        <v>13-L-219543</v>
      </c>
      <c r="C6673">
        <v>1.1000000000000001</v>
      </c>
      <c r="D6673" t="s">
        <v>9193</v>
      </c>
      <c r="E6673" t="s">
        <v>11</v>
      </c>
      <c r="G6673" t="s">
        <v>936</v>
      </c>
      <c r="H6673" t="s">
        <v>938</v>
      </c>
    </row>
    <row r="6674" spans="1:8" hidden="1" x14ac:dyDescent="0.25">
      <c r="A6674" t="s">
        <v>9206</v>
      </c>
      <c r="B6674" s="1" t="str">
        <f>HYPERLINK("https://asmlis.vasa.lt/Dashboard/Served?ServiceDateFrom=2025-11-24&amp;ServiceDateTo=2025-11-24&amp;DumpsterInvNr=13-M-202058", "13-M-202058")</f>
        <v>13-M-202058</v>
      </c>
      <c r="C6674">
        <v>0.12</v>
      </c>
      <c r="D6674" t="s">
        <v>9207</v>
      </c>
      <c r="E6674" t="s">
        <v>11</v>
      </c>
      <c r="G6674" t="s">
        <v>4876</v>
      </c>
      <c r="H6674" t="s">
        <v>938</v>
      </c>
    </row>
    <row r="6675" spans="1:8" hidden="1" x14ac:dyDescent="0.25">
      <c r="A6675" t="s">
        <v>9208</v>
      </c>
      <c r="B6675" s="1" t="str">
        <f>HYPERLINK("https://asmlis.vasa.lt/Dashboard/Served?ServiceDateFrom=2025-11-24&amp;ServiceDateTo=2025-11-24&amp;DumpsterInvNr=13-S-210615", "13-S-210615")</f>
        <v>13-S-210615</v>
      </c>
      <c r="C6675">
        <v>3</v>
      </c>
      <c r="D6675" t="s">
        <v>9209</v>
      </c>
      <c r="E6675" t="s">
        <v>11</v>
      </c>
      <c r="G6675" t="s">
        <v>234</v>
      </c>
      <c r="H6675" t="s">
        <v>14</v>
      </c>
    </row>
    <row r="6676" spans="1:8" hidden="1" x14ac:dyDescent="0.25">
      <c r="A6676" t="s">
        <v>9210</v>
      </c>
      <c r="B6676" s="1" t="str">
        <f>HYPERLINK("https://asmlis.vasa.lt/Dashboard/Served?ServiceDateFrom=2025-11-24&amp;ServiceDateTo=2025-11-24&amp;DumpsterInvNr=13-L-420647", "13-L-420647")</f>
        <v>13-L-420647</v>
      </c>
      <c r="C6676">
        <v>0.24</v>
      </c>
      <c r="D6676" t="s">
        <v>4399</v>
      </c>
      <c r="E6676" t="s">
        <v>11</v>
      </c>
      <c r="G6676" t="s">
        <v>74</v>
      </c>
      <c r="H6676" t="s">
        <v>14</v>
      </c>
    </row>
    <row r="6677" spans="1:8" hidden="1" x14ac:dyDescent="0.25">
      <c r="A6677" t="s">
        <v>9211</v>
      </c>
      <c r="B6677" s="1" t="str">
        <f>HYPERLINK("https://asmlis.vasa.lt/Dashboard/Served?ServiceDateFrom=2025-11-24&amp;ServiceDateTo=2025-11-24&amp;DumpsterInvNr=13-L-128092", "13-L-128092")</f>
        <v>13-L-128092</v>
      </c>
      <c r="C6677">
        <v>0.24</v>
      </c>
      <c r="D6677" t="s">
        <v>9212</v>
      </c>
      <c r="E6677" t="s">
        <v>11</v>
      </c>
      <c r="G6677" t="s">
        <v>1912</v>
      </c>
      <c r="H6677" t="s">
        <v>432</v>
      </c>
    </row>
    <row r="6678" spans="1:8" hidden="1" x14ac:dyDescent="0.25">
      <c r="A6678" t="s">
        <v>9213</v>
      </c>
      <c r="B6678" s="1" t="str">
        <f>HYPERLINK("https://asmlis.vasa.lt/Dashboard/Served?ServiceDateFrom=2025-11-24&amp;ServiceDateTo=2025-11-24&amp;DumpsterInvNr=13-M-202142", "13-M-202142")</f>
        <v>13-M-202142</v>
      </c>
      <c r="C6678">
        <v>0.12</v>
      </c>
      <c r="D6678" t="s">
        <v>9214</v>
      </c>
      <c r="E6678" t="s">
        <v>11</v>
      </c>
      <c r="F6678" t="s">
        <v>1209</v>
      </c>
      <c r="G6678" t="s">
        <v>4876</v>
      </c>
      <c r="H6678" t="s">
        <v>938</v>
      </c>
    </row>
    <row r="6679" spans="1:8" hidden="1" x14ac:dyDescent="0.25">
      <c r="A6679" t="s">
        <v>9215</v>
      </c>
      <c r="B6679" s="1" t="str">
        <f>HYPERLINK("https://asmlis.vasa.lt/Dashboard/Served?ServiceDateFrom=2025-11-24&amp;ServiceDateTo=2025-11-24&amp;DumpsterInvNr=13-P-415955", "13-P-415955")</f>
        <v>13-P-415955</v>
      </c>
      <c r="C6679">
        <v>0.24</v>
      </c>
      <c r="D6679" t="s">
        <v>9216</v>
      </c>
      <c r="E6679" t="s">
        <v>11</v>
      </c>
      <c r="F6679" t="s">
        <v>1209</v>
      </c>
      <c r="G6679" t="s">
        <v>264</v>
      </c>
      <c r="H6679" t="s">
        <v>14</v>
      </c>
    </row>
    <row r="6680" spans="1:8" hidden="1" x14ac:dyDescent="0.25">
      <c r="A6680" t="s">
        <v>9217</v>
      </c>
      <c r="B6680" s="1" t="str">
        <f>HYPERLINK("https://asmlis.vasa.lt/Dashboard/Served?ServiceDateFrom=2025-11-24&amp;ServiceDateTo=2025-11-24&amp;DumpsterInvNr=13-P-101132", "13-P-101132")</f>
        <v>13-P-101132</v>
      </c>
      <c r="C6680">
        <v>0.24</v>
      </c>
      <c r="D6680" t="s">
        <v>9212</v>
      </c>
      <c r="E6680" t="s">
        <v>11</v>
      </c>
      <c r="G6680" t="s">
        <v>1917</v>
      </c>
      <c r="H6680" t="s">
        <v>432</v>
      </c>
    </row>
    <row r="6681" spans="1:8" hidden="1" x14ac:dyDescent="0.25">
      <c r="A6681" t="s">
        <v>9219</v>
      </c>
      <c r="B6681" s="1" t="str">
        <f>HYPERLINK("https://asmlis.vasa.lt/Dashboard/Served?ServiceDateFrom=2025-11-24&amp;ServiceDateTo=2025-11-24&amp;DumpsterInvNr=13-L-415707", "13-L-415707")</f>
        <v>13-L-415707</v>
      </c>
      <c r="C6681">
        <v>0.24</v>
      </c>
      <c r="D6681" t="s">
        <v>4379</v>
      </c>
      <c r="E6681" t="s">
        <v>11</v>
      </c>
      <c r="G6681" t="s">
        <v>74</v>
      </c>
      <c r="H6681" t="s">
        <v>14</v>
      </c>
    </row>
    <row r="6682" spans="1:8" hidden="1" x14ac:dyDescent="0.25">
      <c r="A6682" t="s">
        <v>9220</v>
      </c>
      <c r="B6682" s="1" t="str">
        <f>HYPERLINK("https://asmlis.vasa.lt/Dashboard/Served?ServiceDateFrom=2025-11-24&amp;ServiceDateTo=2025-11-24&amp;DumpsterInvNr=13-P-206825", "13-P-206825")</f>
        <v>13-P-206825</v>
      </c>
      <c r="C6682">
        <v>0.24</v>
      </c>
      <c r="D6682" t="s">
        <v>9221</v>
      </c>
      <c r="E6682" t="s">
        <v>11</v>
      </c>
      <c r="G6682" t="s">
        <v>234</v>
      </c>
      <c r="H6682" t="s">
        <v>14</v>
      </c>
    </row>
    <row r="6683" spans="1:8" hidden="1" x14ac:dyDescent="0.25">
      <c r="A6683" t="s">
        <v>9220</v>
      </c>
      <c r="B6683" s="1" t="str">
        <f>HYPERLINK("https://asmlis.vasa.lt/Dashboard/Served?ServiceDateFrom=2025-11-24&amp;ServiceDateTo=2025-11-24&amp;DumpsterInvNr=13-P-210686", "13-P-210686")</f>
        <v>13-P-210686</v>
      </c>
      <c r="C6683">
        <v>0.24</v>
      </c>
      <c r="D6683" t="s">
        <v>9222</v>
      </c>
      <c r="E6683" t="s">
        <v>11</v>
      </c>
      <c r="G6683" t="s">
        <v>234</v>
      </c>
      <c r="H6683" t="s">
        <v>14</v>
      </c>
    </row>
    <row r="6684" spans="1:8" hidden="1" x14ac:dyDescent="0.25">
      <c r="A6684" t="s">
        <v>9223</v>
      </c>
      <c r="B6684" s="1" t="str">
        <f>HYPERLINK("https://asmlis.vasa.lt/Dashboard/Served?ServiceDateFrom=2025-11-24&amp;ServiceDateTo=2025-11-24&amp;DumpsterInvNr=13-L-129012", "13-L-129012")</f>
        <v>13-L-129012</v>
      </c>
      <c r="C6684">
        <v>1.1000000000000001</v>
      </c>
      <c r="D6684" t="s">
        <v>9224</v>
      </c>
      <c r="E6684" t="s">
        <v>11</v>
      </c>
      <c r="G6684" t="s">
        <v>430</v>
      </c>
      <c r="H6684" t="s">
        <v>432</v>
      </c>
    </row>
    <row r="6685" spans="1:8" hidden="1" x14ac:dyDescent="0.25">
      <c r="A6685" t="s">
        <v>9225</v>
      </c>
      <c r="B6685" s="1" t="str">
        <f>HYPERLINK("https://asmlis.vasa.lt/Dashboard/Served?ServiceDateFrom=2025-11-24&amp;ServiceDateTo=2025-11-24&amp;DumpsterInvNr=13-M-206002", "13-M-206002")</f>
        <v>13-M-206002</v>
      </c>
      <c r="C6685">
        <v>0.12</v>
      </c>
      <c r="D6685" t="s">
        <v>9226</v>
      </c>
      <c r="E6685" t="s">
        <v>11</v>
      </c>
      <c r="F6685" t="s">
        <v>1209</v>
      </c>
      <c r="G6685" t="s">
        <v>4876</v>
      </c>
      <c r="H6685" t="s">
        <v>938</v>
      </c>
    </row>
    <row r="6686" spans="1:8" hidden="1" x14ac:dyDescent="0.25">
      <c r="A6686" t="s">
        <v>9227</v>
      </c>
      <c r="B6686" s="1" t="str">
        <f>HYPERLINK("https://asmlis.vasa.lt/Dashboard/Served?ServiceDateFrom=2025-11-24&amp;ServiceDateTo=2025-11-24&amp;DumpsterInvNr=13-L-317924", "13-L-317924")</f>
        <v>13-L-317924</v>
      </c>
      <c r="C6686">
        <v>1.1000000000000001</v>
      </c>
      <c r="D6686" t="s">
        <v>2886</v>
      </c>
      <c r="E6686" t="s">
        <v>11</v>
      </c>
      <c r="G6686" t="s">
        <v>9</v>
      </c>
      <c r="H6686" t="s">
        <v>14</v>
      </c>
    </row>
    <row r="6687" spans="1:8" hidden="1" x14ac:dyDescent="0.25">
      <c r="A6687" t="s">
        <v>9227</v>
      </c>
      <c r="B6687" s="1" t="str">
        <f>HYPERLINK("https://asmlis.vasa.lt/Dashboard/Served?ServiceDateFrom=2025-11-24&amp;ServiceDateTo=2025-11-24&amp;DumpsterInvNr=13-P-109757", "13-P-109757")</f>
        <v>13-P-109757</v>
      </c>
      <c r="C6687">
        <v>0.24</v>
      </c>
      <c r="D6687" t="s">
        <v>9228</v>
      </c>
      <c r="E6687" t="s">
        <v>11</v>
      </c>
      <c r="F6687" t="s">
        <v>1209</v>
      </c>
      <c r="G6687" t="s">
        <v>1917</v>
      </c>
      <c r="H6687" t="s">
        <v>432</v>
      </c>
    </row>
    <row r="6688" spans="1:8" hidden="1" x14ac:dyDescent="0.25">
      <c r="A6688" t="s">
        <v>9230</v>
      </c>
      <c r="B6688" s="1" t="str">
        <f>HYPERLINK("https://asmlis.vasa.lt/Dashboard/Served?ServiceDateFrom=2025-11-24&amp;ServiceDateTo=2025-11-24&amp;DumpsterInvNr=13-L-123101", "13-L-123101")</f>
        <v>13-L-123101</v>
      </c>
      <c r="C6688">
        <v>1.1000000000000001</v>
      </c>
      <c r="D6688" t="s">
        <v>9231</v>
      </c>
      <c r="E6688" t="s">
        <v>11</v>
      </c>
      <c r="G6688" t="s">
        <v>1912</v>
      </c>
      <c r="H6688" t="s">
        <v>432</v>
      </c>
    </row>
    <row r="6689" spans="1:8" hidden="1" x14ac:dyDescent="0.25">
      <c r="A6689" t="s">
        <v>9232</v>
      </c>
      <c r="B6689" s="1" t="str">
        <f>HYPERLINK("https://asmlis.vasa.lt/Dashboard/Served?ServiceDateFrom=2025-11-24&amp;ServiceDateTo=2025-11-24&amp;DumpsterInvNr=13-L-149219", "13-L-149219")</f>
        <v>13-L-149219</v>
      </c>
      <c r="C6689">
        <v>0.24</v>
      </c>
      <c r="D6689" t="s">
        <v>9233</v>
      </c>
      <c r="E6689" t="s">
        <v>11</v>
      </c>
      <c r="F6689" t="s">
        <v>1209</v>
      </c>
      <c r="G6689" t="s">
        <v>1912</v>
      </c>
      <c r="H6689" t="s">
        <v>432</v>
      </c>
    </row>
    <row r="6690" spans="1:8" hidden="1" x14ac:dyDescent="0.25">
      <c r="A6690" t="s">
        <v>9234</v>
      </c>
      <c r="B6690" s="1" t="str">
        <f>HYPERLINK("https://asmlis.vasa.lt/Dashboard/Served?ServiceDateFrom=2025-11-24&amp;ServiceDateTo=2025-11-24&amp;DumpsterInvNr=13-P-416166", "13-P-416166")</f>
        <v>13-P-416166</v>
      </c>
      <c r="C6690">
        <v>1.1000000000000001</v>
      </c>
      <c r="D6690" t="s">
        <v>9103</v>
      </c>
      <c r="E6690" t="s">
        <v>11</v>
      </c>
      <c r="F6690" t="s">
        <v>13</v>
      </c>
      <c r="G6690" t="s">
        <v>264</v>
      </c>
      <c r="H6690" t="s">
        <v>14</v>
      </c>
    </row>
    <row r="6691" spans="1:8" hidden="1" x14ac:dyDescent="0.25">
      <c r="A6691" t="s">
        <v>9235</v>
      </c>
      <c r="B6691" s="1" t="str">
        <f>HYPERLINK("https://asmlis.vasa.lt/Dashboard/Served?ServiceDateFrom=2025-11-24&amp;ServiceDateTo=2025-11-24&amp;DumpsterInvNr=13-M-204729", "13-M-204729")</f>
        <v>13-M-204729</v>
      </c>
      <c r="C6691">
        <v>0.12</v>
      </c>
      <c r="D6691" t="s">
        <v>9236</v>
      </c>
      <c r="E6691" t="s">
        <v>11</v>
      </c>
      <c r="F6691" t="s">
        <v>1209</v>
      </c>
      <c r="G6691" t="s">
        <v>4876</v>
      </c>
      <c r="H6691" t="s">
        <v>938</v>
      </c>
    </row>
    <row r="6692" spans="1:8" hidden="1" x14ac:dyDescent="0.25">
      <c r="A6692" t="s">
        <v>9237</v>
      </c>
      <c r="B6692" s="1" t="str">
        <f>HYPERLINK("https://asmlis.vasa.lt/Dashboard/Served?ServiceDateFrom=2025-11-24&amp;ServiceDateTo=2025-11-24&amp;DumpsterInvNr=13-P-116328", "13-P-116328")</f>
        <v>13-P-116328</v>
      </c>
      <c r="C6692">
        <v>0.24</v>
      </c>
      <c r="D6692" t="s">
        <v>9233</v>
      </c>
      <c r="E6692" t="s">
        <v>11</v>
      </c>
      <c r="F6692" t="s">
        <v>1209</v>
      </c>
      <c r="G6692" t="s">
        <v>1917</v>
      </c>
      <c r="H6692" t="s">
        <v>432</v>
      </c>
    </row>
    <row r="6693" spans="1:8" hidden="1" x14ac:dyDescent="0.25">
      <c r="A6693" t="s">
        <v>9239</v>
      </c>
      <c r="B6693" s="1" t="str">
        <f>HYPERLINK("https://asmlis.vasa.lt/Dashboard/Served?ServiceDateFrom=2025-11-24&amp;ServiceDateTo=2025-11-24&amp;DumpsterInvNr=13-M-200986", "13-M-200986")</f>
        <v>13-M-200986</v>
      </c>
      <c r="C6693">
        <v>0.12</v>
      </c>
      <c r="D6693" t="s">
        <v>9226</v>
      </c>
      <c r="E6693" t="s">
        <v>11</v>
      </c>
      <c r="F6693" t="s">
        <v>1209</v>
      </c>
      <c r="G6693" t="s">
        <v>4876</v>
      </c>
      <c r="H6693" t="s">
        <v>938</v>
      </c>
    </row>
    <row r="6694" spans="1:8" hidden="1" x14ac:dyDescent="0.25">
      <c r="A6694" t="s">
        <v>9240</v>
      </c>
      <c r="B6694" s="1" t="str">
        <f>HYPERLINK("https://asmlis.vasa.lt/Dashboard/Served?ServiceDateFrom=2025-11-24&amp;ServiceDateTo=2025-11-24&amp;DumpsterInvNr=13-P-416319", "13-P-416319")</f>
        <v>13-P-416319</v>
      </c>
      <c r="C6694">
        <v>1.1000000000000001</v>
      </c>
      <c r="D6694" t="s">
        <v>9103</v>
      </c>
      <c r="E6694" t="s">
        <v>11</v>
      </c>
      <c r="F6694" t="s">
        <v>13</v>
      </c>
      <c r="G6694" t="s">
        <v>264</v>
      </c>
      <c r="H6694" t="s">
        <v>14</v>
      </c>
    </row>
    <row r="6695" spans="1:8" hidden="1" x14ac:dyDescent="0.25">
      <c r="A6695" t="s">
        <v>9241</v>
      </c>
      <c r="B6695" s="1" t="str">
        <f>HYPERLINK("https://asmlis.vasa.lt/Dashboard/Served?ServiceDateFrom=2025-11-24&amp;ServiceDateTo=2025-11-24&amp;DumpsterInvNr=13-L-224852", "13-L-224852")</f>
        <v>13-L-224852</v>
      </c>
      <c r="C6695">
        <v>1.1000000000000001</v>
      </c>
      <c r="D6695" t="s">
        <v>9201</v>
      </c>
      <c r="E6695" t="s">
        <v>11</v>
      </c>
      <c r="G6695" t="s">
        <v>936</v>
      </c>
      <c r="H6695" t="s">
        <v>938</v>
      </c>
    </row>
    <row r="6696" spans="1:8" hidden="1" x14ac:dyDescent="0.25">
      <c r="A6696" t="s">
        <v>9242</v>
      </c>
      <c r="B6696" s="1" t="str">
        <f>HYPERLINK("https://asmlis.vasa.lt/Dashboard/Served?ServiceDateFrom=2025-11-24&amp;ServiceDateTo=2025-11-24&amp;DumpsterInvNr=13-S-114739", "13-S-114739")</f>
        <v>13-S-114739</v>
      </c>
      <c r="C6696">
        <v>0.12</v>
      </c>
      <c r="D6696" t="s">
        <v>9233</v>
      </c>
      <c r="E6696" t="s">
        <v>11</v>
      </c>
      <c r="F6696" t="s">
        <v>1209</v>
      </c>
      <c r="G6696" t="s">
        <v>1917</v>
      </c>
      <c r="H6696" t="s">
        <v>432</v>
      </c>
    </row>
    <row r="6697" spans="1:8" hidden="1" x14ac:dyDescent="0.25">
      <c r="A6697" t="s">
        <v>9243</v>
      </c>
      <c r="B6697" s="1" t="str">
        <f>HYPERLINK("https://asmlis.vasa.lt/Dashboard/Served?ServiceDateFrom=2025-11-24&amp;ServiceDateTo=2025-11-24&amp;DumpsterInvNr=13-L-107343", "13-L-107343")</f>
        <v>13-L-107343</v>
      </c>
      <c r="C6697">
        <v>5</v>
      </c>
      <c r="D6697" t="s">
        <v>9245</v>
      </c>
      <c r="E6697" t="s">
        <v>11</v>
      </c>
      <c r="F6697" t="s">
        <v>13</v>
      </c>
      <c r="G6697" t="s">
        <v>1912</v>
      </c>
      <c r="H6697" t="s">
        <v>432</v>
      </c>
    </row>
    <row r="6698" spans="1:8" hidden="1" x14ac:dyDescent="0.25">
      <c r="A6698" t="s">
        <v>9246</v>
      </c>
      <c r="B6698" s="1" t="str">
        <f>HYPERLINK("https://asmlis.vasa.lt/Dashboard/Served?ServiceDateFrom=2025-11-24&amp;ServiceDateTo=2025-11-24&amp;DumpsterInvNr=13-M-204890", "13-M-204890")</f>
        <v>13-M-204890</v>
      </c>
      <c r="C6698">
        <v>0.12</v>
      </c>
      <c r="D6698" t="s">
        <v>9247</v>
      </c>
      <c r="E6698" t="s">
        <v>11</v>
      </c>
      <c r="F6698" t="s">
        <v>1209</v>
      </c>
      <c r="G6698" t="s">
        <v>4876</v>
      </c>
      <c r="H6698" t="s">
        <v>938</v>
      </c>
    </row>
    <row r="6699" spans="1:8" hidden="1" x14ac:dyDescent="0.25">
      <c r="A6699" t="s">
        <v>9246</v>
      </c>
      <c r="B6699" s="1" t="str">
        <f>HYPERLINK("https://asmlis.vasa.lt/Dashboard/Served?ServiceDateFrom=2025-11-24&amp;ServiceDateTo=2025-11-24&amp;DumpsterInvNr=13-L-107344", "13-L-107344")</f>
        <v>13-L-107344</v>
      </c>
      <c r="C6699">
        <v>5</v>
      </c>
      <c r="D6699" t="s">
        <v>9245</v>
      </c>
      <c r="E6699" t="s">
        <v>11</v>
      </c>
      <c r="F6699" t="s">
        <v>13</v>
      </c>
      <c r="G6699" t="s">
        <v>1912</v>
      </c>
      <c r="H6699" t="s">
        <v>432</v>
      </c>
    </row>
    <row r="6700" spans="1:8" hidden="1" x14ac:dyDescent="0.25">
      <c r="A6700" t="s">
        <v>9248</v>
      </c>
      <c r="B6700" s="1" t="str">
        <f>HYPERLINK("https://asmlis.vasa.lt/Dashboard/Served?ServiceDateFrom=2025-11-24&amp;ServiceDateTo=2025-11-24&amp;DumpsterInvNr=13-L-213487", "13-L-213487")</f>
        <v>13-L-213487</v>
      </c>
      <c r="C6700">
        <v>0.12</v>
      </c>
      <c r="D6700" t="s">
        <v>9249</v>
      </c>
      <c r="E6700" t="s">
        <v>11</v>
      </c>
      <c r="F6700" t="s">
        <v>13</v>
      </c>
      <c r="G6700" t="s">
        <v>936</v>
      </c>
      <c r="H6700" t="s">
        <v>938</v>
      </c>
    </row>
    <row r="6701" spans="1:8" hidden="1" x14ac:dyDescent="0.25">
      <c r="A6701" t="s">
        <v>9250</v>
      </c>
      <c r="B6701" s="1" t="str">
        <f>HYPERLINK("https://asmlis.vasa.lt/Dashboard/Served?ServiceDateFrom=2025-11-24&amp;ServiceDateTo=2025-11-24&amp;DumpsterInvNr=13-P-416555", "13-P-416555")</f>
        <v>13-P-416555</v>
      </c>
      <c r="C6701">
        <v>0.24</v>
      </c>
      <c r="D6701" t="s">
        <v>8785</v>
      </c>
      <c r="E6701" t="s">
        <v>11</v>
      </c>
      <c r="G6701" t="s">
        <v>264</v>
      </c>
      <c r="H6701" t="s">
        <v>14</v>
      </c>
    </row>
    <row r="6702" spans="1:8" hidden="1" x14ac:dyDescent="0.25">
      <c r="A6702" t="s">
        <v>9251</v>
      </c>
      <c r="B6702" s="1" t="str">
        <f>HYPERLINK("https://asmlis.vasa.lt/Dashboard/Served?ServiceDateFrom=2025-11-24&amp;ServiceDateTo=2025-11-24&amp;DumpsterInvNr=13-L-123102", "13-L-123102")</f>
        <v>13-L-123102</v>
      </c>
      <c r="C6702">
        <v>1.1000000000000001</v>
      </c>
      <c r="D6702" t="s">
        <v>9231</v>
      </c>
      <c r="E6702" t="s">
        <v>11</v>
      </c>
      <c r="G6702" t="s">
        <v>1912</v>
      </c>
      <c r="H6702" t="s">
        <v>432</v>
      </c>
    </row>
    <row r="6703" spans="1:8" hidden="1" x14ac:dyDescent="0.25">
      <c r="A6703" t="s">
        <v>9252</v>
      </c>
      <c r="B6703" s="1" t="str">
        <f>HYPERLINK("https://asmlis.vasa.lt/Dashboard/Served?ServiceDateFrom=2025-11-24&amp;ServiceDateTo=2025-11-24&amp;DumpsterInvNr=13-L-213404", "13-L-213404")</f>
        <v>13-L-213404</v>
      </c>
      <c r="C6703">
        <v>1.1000000000000001</v>
      </c>
      <c r="D6703" t="s">
        <v>8748</v>
      </c>
      <c r="E6703" t="s">
        <v>11</v>
      </c>
      <c r="G6703" t="s">
        <v>936</v>
      </c>
      <c r="H6703" t="s">
        <v>938</v>
      </c>
    </row>
    <row r="6704" spans="1:8" hidden="1" x14ac:dyDescent="0.25">
      <c r="A6704" t="s">
        <v>9253</v>
      </c>
      <c r="B6704" s="1" t="str">
        <f>HYPERLINK("https://asmlis.vasa.lt/Dashboard/Served?ServiceDateFrom=2025-11-24&amp;ServiceDateTo=2025-11-24&amp;DumpsterInvNr=13-P-211973", "13-P-211973")</f>
        <v>13-P-211973</v>
      </c>
      <c r="C6704">
        <v>0.24</v>
      </c>
      <c r="D6704" t="s">
        <v>9254</v>
      </c>
      <c r="E6704" t="s">
        <v>11</v>
      </c>
      <c r="G6704" t="s">
        <v>234</v>
      </c>
      <c r="H6704" t="s">
        <v>14</v>
      </c>
    </row>
    <row r="6705" spans="1:8" hidden="1" x14ac:dyDescent="0.25">
      <c r="A6705" t="s">
        <v>9253</v>
      </c>
      <c r="B6705" s="1" t="str">
        <f>HYPERLINK("https://asmlis.vasa.lt/Dashboard/Served?ServiceDateFrom=2025-11-24&amp;ServiceDateTo=2025-11-24&amp;DumpsterInvNr=13-M-203011", "13-M-203011")</f>
        <v>13-M-203011</v>
      </c>
      <c r="C6705">
        <v>0.12</v>
      </c>
      <c r="D6705" t="s">
        <v>9255</v>
      </c>
      <c r="E6705" t="s">
        <v>11</v>
      </c>
      <c r="G6705" t="s">
        <v>4876</v>
      </c>
      <c r="H6705" t="s">
        <v>938</v>
      </c>
    </row>
    <row r="6706" spans="1:8" hidden="1" x14ac:dyDescent="0.25">
      <c r="A6706" t="s">
        <v>9256</v>
      </c>
      <c r="B6706" s="1" t="str">
        <f>HYPERLINK("https://asmlis.vasa.lt/Dashboard/Served?ServiceDateFrom=2025-11-24&amp;ServiceDateTo=2025-11-24&amp;DumpsterInvNr=13-P-400622", "13-P-400622")</f>
        <v>13-P-400622</v>
      </c>
      <c r="C6706">
        <v>5</v>
      </c>
      <c r="D6706" t="s">
        <v>9257</v>
      </c>
      <c r="E6706" t="s">
        <v>11</v>
      </c>
      <c r="G6706" t="s">
        <v>264</v>
      </c>
      <c r="H6706" t="s">
        <v>14</v>
      </c>
    </row>
    <row r="6707" spans="1:8" hidden="1" x14ac:dyDescent="0.25">
      <c r="A6707" t="s">
        <v>9258</v>
      </c>
      <c r="B6707" s="1" t="str">
        <f>HYPERLINK("https://asmlis.vasa.lt/Dashboard/Served?ServiceDateFrom=2025-11-24&amp;ServiceDateTo=2025-11-24&amp;DumpsterInvNr=13-L-106348", "13-L-106348")</f>
        <v>13-L-106348</v>
      </c>
      <c r="C6707">
        <v>0.24</v>
      </c>
      <c r="D6707" t="s">
        <v>9259</v>
      </c>
      <c r="E6707" t="s">
        <v>11</v>
      </c>
      <c r="G6707" t="s">
        <v>1912</v>
      </c>
      <c r="H6707" t="s">
        <v>432</v>
      </c>
    </row>
    <row r="6708" spans="1:8" hidden="1" x14ac:dyDescent="0.25">
      <c r="A6708" t="s">
        <v>9261</v>
      </c>
      <c r="B6708" s="1" t="str">
        <f>HYPERLINK("https://asmlis.vasa.lt/Dashboard/Served?ServiceDateFrom=2025-11-24&amp;ServiceDateTo=2025-11-24&amp;DumpsterInvNr=13-L-227699", "13-L-227699")</f>
        <v>13-L-227699</v>
      </c>
      <c r="C6708">
        <v>1.1000000000000001</v>
      </c>
      <c r="D6708" t="s">
        <v>9201</v>
      </c>
      <c r="E6708" t="s">
        <v>11</v>
      </c>
      <c r="G6708" t="s">
        <v>936</v>
      </c>
      <c r="H6708" t="s">
        <v>938</v>
      </c>
    </row>
    <row r="6709" spans="1:8" hidden="1" x14ac:dyDescent="0.25">
      <c r="A6709" t="s">
        <v>9262</v>
      </c>
      <c r="B6709" s="1" t="str">
        <f>HYPERLINK("https://asmlis.vasa.lt/Dashboard/Served?ServiceDateFrom=2025-11-24&amp;ServiceDateTo=2025-11-24&amp;DumpsterInvNr=13-P-112464", "13-P-112464")</f>
        <v>13-P-112464</v>
      </c>
      <c r="C6709">
        <v>0.24</v>
      </c>
      <c r="D6709" t="s">
        <v>9259</v>
      </c>
      <c r="E6709" t="s">
        <v>11</v>
      </c>
      <c r="G6709" t="s">
        <v>1917</v>
      </c>
      <c r="H6709" t="s">
        <v>432</v>
      </c>
    </row>
    <row r="6710" spans="1:8" hidden="1" x14ac:dyDescent="0.25">
      <c r="A6710" t="s">
        <v>9262</v>
      </c>
      <c r="B6710" s="1" t="str">
        <f>HYPERLINK("https://asmlis.vasa.lt/Dashboard/Served?ServiceDateFrom=2025-11-24&amp;ServiceDateTo=2025-11-24&amp;DumpsterInvNr=13-P-210684", "13-P-210684")</f>
        <v>13-P-210684</v>
      </c>
      <c r="C6710">
        <v>0.24</v>
      </c>
      <c r="D6710" t="s">
        <v>9263</v>
      </c>
      <c r="E6710" t="s">
        <v>11</v>
      </c>
      <c r="G6710" t="s">
        <v>234</v>
      </c>
      <c r="H6710" t="s">
        <v>14</v>
      </c>
    </row>
    <row r="6711" spans="1:8" hidden="1" x14ac:dyDescent="0.25">
      <c r="A6711" t="s">
        <v>9262</v>
      </c>
      <c r="B6711" s="1" t="str">
        <f>HYPERLINK("https://asmlis.vasa.lt/Dashboard/Served?ServiceDateFrom=2025-11-24&amp;ServiceDateTo=2025-11-24&amp;DumpsterInvNr=13-M-204025", "13-M-204025")</f>
        <v>13-M-204025</v>
      </c>
      <c r="C6711">
        <v>0.12</v>
      </c>
      <c r="D6711" t="s">
        <v>9264</v>
      </c>
      <c r="E6711" t="s">
        <v>11</v>
      </c>
      <c r="G6711" t="s">
        <v>4876</v>
      </c>
      <c r="H6711" t="s">
        <v>938</v>
      </c>
    </row>
    <row r="6712" spans="1:8" hidden="1" x14ac:dyDescent="0.25">
      <c r="A6712" t="s">
        <v>9265</v>
      </c>
      <c r="B6712" s="1" t="str">
        <f>HYPERLINK("https://asmlis.vasa.lt/Dashboard/Served?ServiceDateFrom=2025-11-24&amp;ServiceDateTo=2025-11-24&amp;DumpsterInvNr=13-L-136001", "13-L-136001")</f>
        <v>13-L-136001</v>
      </c>
      <c r="C6712">
        <v>5</v>
      </c>
      <c r="D6712" t="s">
        <v>9266</v>
      </c>
      <c r="E6712" t="s">
        <v>11</v>
      </c>
      <c r="F6712" t="s">
        <v>13</v>
      </c>
      <c r="G6712" t="s">
        <v>430</v>
      </c>
      <c r="H6712" t="s">
        <v>432</v>
      </c>
    </row>
    <row r="6713" spans="1:8" hidden="1" x14ac:dyDescent="0.25">
      <c r="A6713" t="s">
        <v>9267</v>
      </c>
      <c r="B6713" s="1" t="str">
        <f>HYPERLINK("https://asmlis.vasa.lt/Dashboard/Served?ServiceDateFrom=2025-11-24&amp;ServiceDateTo=2025-11-24&amp;DumpsterInvNr=13-M-202161", "13-M-202161")</f>
        <v>13-M-202161</v>
      </c>
      <c r="C6713">
        <v>0.12</v>
      </c>
      <c r="D6713" t="s">
        <v>9255</v>
      </c>
      <c r="E6713" t="s">
        <v>11</v>
      </c>
      <c r="F6713" t="s">
        <v>1209</v>
      </c>
      <c r="G6713" t="s">
        <v>4876</v>
      </c>
      <c r="H6713" t="s">
        <v>938</v>
      </c>
    </row>
    <row r="6714" spans="1:8" hidden="1" x14ac:dyDescent="0.25">
      <c r="A6714" t="s">
        <v>9269</v>
      </c>
      <c r="B6714" s="1" t="str">
        <f>HYPERLINK("https://asmlis.vasa.lt/Dashboard/Served?ServiceDateFrom=2025-11-24&amp;ServiceDateTo=2025-11-24&amp;DumpsterInvNr=13-L-211135", "13-L-211135")</f>
        <v>13-L-211135</v>
      </c>
      <c r="C6714">
        <v>0.24</v>
      </c>
      <c r="D6714" t="s">
        <v>4740</v>
      </c>
      <c r="E6714" t="s">
        <v>11</v>
      </c>
      <c r="G6714" t="s">
        <v>936</v>
      </c>
      <c r="H6714" t="s">
        <v>938</v>
      </c>
    </row>
    <row r="6715" spans="1:8" hidden="1" x14ac:dyDescent="0.25">
      <c r="A6715" t="s">
        <v>9270</v>
      </c>
      <c r="B6715" s="1" t="str">
        <f>HYPERLINK("https://asmlis.vasa.lt/Dashboard/Served?ServiceDateFrom=2025-11-24&amp;ServiceDateTo=2025-11-24&amp;DumpsterInvNr=13-L-219544", "13-L-219544")</f>
        <v>13-L-219544</v>
      </c>
      <c r="C6715">
        <v>1.1000000000000001</v>
      </c>
      <c r="D6715" t="s">
        <v>9271</v>
      </c>
      <c r="E6715" t="s">
        <v>11</v>
      </c>
      <c r="G6715" t="s">
        <v>936</v>
      </c>
      <c r="H6715" t="s">
        <v>938</v>
      </c>
    </row>
    <row r="6716" spans="1:8" hidden="1" x14ac:dyDescent="0.25">
      <c r="A6716" t="s">
        <v>9272</v>
      </c>
      <c r="B6716" s="1" t="str">
        <f>HYPERLINK("https://asmlis.vasa.lt/Dashboard/Served?ServiceDateFrom=2025-11-24&amp;ServiceDateTo=2025-11-24&amp;DumpsterInvNr=13-S-210470", "13-S-210470")</f>
        <v>13-S-210470</v>
      </c>
      <c r="C6716">
        <v>0.12</v>
      </c>
      <c r="D6716" t="s">
        <v>9263</v>
      </c>
      <c r="E6716" t="s">
        <v>11</v>
      </c>
      <c r="F6716" t="s">
        <v>1209</v>
      </c>
      <c r="G6716" t="s">
        <v>234</v>
      </c>
      <c r="H6716" t="s">
        <v>14</v>
      </c>
    </row>
    <row r="6717" spans="1:8" hidden="1" x14ac:dyDescent="0.25">
      <c r="A6717" t="s">
        <v>9273</v>
      </c>
      <c r="B6717" s="1" t="str">
        <f>HYPERLINK("https://asmlis.vasa.lt/Dashboard/Served?ServiceDateFrom=2025-11-24&amp;ServiceDateTo=2025-11-24&amp;DumpsterInvNr=13-L-226355", "13-L-226355")</f>
        <v>13-L-226355</v>
      </c>
      <c r="C6717">
        <v>1.1000000000000001</v>
      </c>
      <c r="D6717" t="s">
        <v>9201</v>
      </c>
      <c r="E6717" t="s">
        <v>11</v>
      </c>
      <c r="F6717" t="s">
        <v>13</v>
      </c>
      <c r="G6717" t="s">
        <v>936</v>
      </c>
      <c r="H6717" t="s">
        <v>938</v>
      </c>
    </row>
    <row r="6718" spans="1:8" hidden="1" x14ac:dyDescent="0.25">
      <c r="A6718" t="s">
        <v>9274</v>
      </c>
      <c r="B6718" s="1" t="str">
        <f>HYPERLINK("https://asmlis.vasa.lt/Dashboard/Served?ServiceDateFrom=2025-11-24&amp;ServiceDateTo=2025-11-24&amp;DumpsterInvNr=13-L-421142", "13-L-421142")</f>
        <v>13-L-421142</v>
      </c>
      <c r="C6718">
        <v>1.1000000000000001</v>
      </c>
      <c r="D6718" t="s">
        <v>9275</v>
      </c>
      <c r="E6718" t="s">
        <v>11</v>
      </c>
      <c r="G6718" t="s">
        <v>74</v>
      </c>
      <c r="H6718" t="s">
        <v>14</v>
      </c>
    </row>
    <row r="6719" spans="1:8" hidden="1" x14ac:dyDescent="0.25">
      <c r="A6719" t="s">
        <v>9274</v>
      </c>
      <c r="B6719" s="1" t="str">
        <f>HYPERLINK("https://asmlis.vasa.lt/Dashboard/Served?ServiceDateFrom=2025-11-24&amp;ServiceDateTo=2025-11-24&amp;DumpsterInvNr=13-L-225485", "13-L-225485")</f>
        <v>13-L-225485</v>
      </c>
      <c r="C6719">
        <v>1.1000000000000001</v>
      </c>
      <c r="D6719" t="s">
        <v>9271</v>
      </c>
      <c r="E6719" t="s">
        <v>11</v>
      </c>
      <c r="F6719" t="s">
        <v>13</v>
      </c>
      <c r="G6719" t="s">
        <v>936</v>
      </c>
      <c r="H6719" t="s">
        <v>938</v>
      </c>
    </row>
    <row r="6720" spans="1:8" hidden="1" x14ac:dyDescent="0.25">
      <c r="A6720" t="s">
        <v>9276</v>
      </c>
      <c r="B6720" s="1" t="str">
        <f>HYPERLINK("https://asmlis.vasa.lt/Dashboard/Served?ServiceDateFrom=2025-11-24&amp;ServiceDateTo=2025-11-24&amp;DumpsterInvNr=13-L-208148", "13-L-208148")</f>
        <v>13-L-208148</v>
      </c>
      <c r="C6720">
        <v>1.1000000000000001</v>
      </c>
      <c r="D6720" t="s">
        <v>8748</v>
      </c>
      <c r="E6720" t="s">
        <v>11</v>
      </c>
      <c r="F6720" t="s">
        <v>13</v>
      </c>
      <c r="G6720" t="s">
        <v>936</v>
      </c>
      <c r="H6720" t="s">
        <v>938</v>
      </c>
    </row>
    <row r="6721" spans="1:8" hidden="1" x14ac:dyDescent="0.25">
      <c r="A6721" t="s">
        <v>9277</v>
      </c>
      <c r="B6721" s="1" t="str">
        <f>HYPERLINK("https://asmlis.vasa.lt/Dashboard/Served?ServiceDateFrom=2025-11-24&amp;ServiceDateTo=2025-11-24&amp;DumpsterInvNr=13-M-202153", "13-M-202153")</f>
        <v>13-M-202153</v>
      </c>
      <c r="C6721">
        <v>0.12</v>
      </c>
      <c r="D6721" t="s">
        <v>9278</v>
      </c>
      <c r="E6721" t="s">
        <v>11</v>
      </c>
      <c r="G6721" t="s">
        <v>4876</v>
      </c>
      <c r="H6721" t="s">
        <v>938</v>
      </c>
    </row>
    <row r="6722" spans="1:8" hidden="1" x14ac:dyDescent="0.25">
      <c r="A6722" t="s">
        <v>9279</v>
      </c>
      <c r="B6722" s="1" t="str">
        <f>HYPERLINK("https://asmlis.vasa.lt/Dashboard/Served?ServiceDateFrom=2025-11-24&amp;ServiceDateTo=2025-11-24&amp;DumpsterInvNr=13-S-408307", "13-S-408307")</f>
        <v>13-S-408307</v>
      </c>
      <c r="C6722">
        <v>0.12</v>
      </c>
      <c r="D6722" t="s">
        <v>8725</v>
      </c>
      <c r="E6722" t="s">
        <v>11</v>
      </c>
      <c r="F6722" t="s">
        <v>1209</v>
      </c>
      <c r="G6722" t="s">
        <v>264</v>
      </c>
      <c r="H6722" t="s">
        <v>14</v>
      </c>
    </row>
    <row r="6723" spans="1:8" hidden="1" x14ac:dyDescent="0.25">
      <c r="A6723" t="s">
        <v>9281</v>
      </c>
      <c r="B6723" s="1" t="str">
        <f>HYPERLINK("https://asmlis.vasa.lt/Dashboard/Served?ServiceDateFrom=2025-11-24&amp;ServiceDateTo=2025-11-24&amp;DumpsterInvNr=13-L-300115", "13-L-300115")</f>
        <v>13-L-300115</v>
      </c>
      <c r="C6723">
        <v>0.77</v>
      </c>
      <c r="D6723" t="s">
        <v>9282</v>
      </c>
      <c r="E6723" t="s">
        <v>11</v>
      </c>
      <c r="G6723" t="s">
        <v>9</v>
      </c>
      <c r="H6723" t="s">
        <v>14</v>
      </c>
    </row>
    <row r="6724" spans="1:8" hidden="1" x14ac:dyDescent="0.25">
      <c r="A6724" t="s">
        <v>9283</v>
      </c>
      <c r="B6724" s="1" t="str">
        <f>HYPERLINK("https://asmlis.vasa.lt/Dashboard/Served?ServiceDateFrom=2025-11-24&amp;ServiceDateTo=2025-11-24&amp;DumpsterInvNr=13-L-317582", "13-L-317582")</f>
        <v>13-L-317582</v>
      </c>
      <c r="C6724">
        <v>1.1000000000000001</v>
      </c>
      <c r="D6724" t="s">
        <v>2886</v>
      </c>
      <c r="E6724" t="s">
        <v>11</v>
      </c>
      <c r="G6724" t="s">
        <v>9</v>
      </c>
      <c r="H6724" t="s">
        <v>14</v>
      </c>
    </row>
    <row r="6725" spans="1:8" hidden="1" x14ac:dyDescent="0.25">
      <c r="A6725" t="s">
        <v>9284</v>
      </c>
      <c r="B6725" s="1" t="str">
        <f>HYPERLINK("https://asmlis.vasa.lt/Dashboard/Served?ServiceDateFrom=2025-11-24&amp;ServiceDateTo=2025-11-24&amp;DumpsterInvNr=13-P-500744", "13-P-500744")</f>
        <v>13-P-500744</v>
      </c>
      <c r="C6725">
        <v>5</v>
      </c>
      <c r="D6725" t="s">
        <v>8484</v>
      </c>
      <c r="E6725" t="s">
        <v>11</v>
      </c>
      <c r="F6725" t="s">
        <v>13</v>
      </c>
      <c r="G6725" t="s">
        <v>2178</v>
      </c>
      <c r="H6725" t="s">
        <v>432</v>
      </c>
    </row>
    <row r="6726" spans="1:8" hidden="1" x14ac:dyDescent="0.25">
      <c r="A6726" t="s">
        <v>9284</v>
      </c>
      <c r="B6726" s="1" t="str">
        <f>HYPERLINK("https://asmlis.vasa.lt/Dashboard/Served?ServiceDateFrom=2025-11-24&amp;ServiceDateTo=2025-11-24&amp;DumpsterInvNr=13-P-212066", "13-P-212066")</f>
        <v>13-P-212066</v>
      </c>
      <c r="C6726">
        <v>5</v>
      </c>
      <c r="D6726" t="s">
        <v>9286</v>
      </c>
      <c r="E6726" t="s">
        <v>11</v>
      </c>
      <c r="G6726" t="s">
        <v>234</v>
      </c>
      <c r="H6726" t="s">
        <v>14</v>
      </c>
    </row>
    <row r="6727" spans="1:8" hidden="1" x14ac:dyDescent="0.25">
      <c r="A6727" t="s">
        <v>9287</v>
      </c>
      <c r="B6727" s="1" t="str">
        <f>HYPERLINK("https://asmlis.vasa.lt/Dashboard/Served?ServiceDateFrom=2025-11-24&amp;ServiceDateTo=2025-11-24&amp;DumpsterInvNr=13-S-207394", "13-S-207394")</f>
        <v>13-S-207394</v>
      </c>
      <c r="C6727">
        <v>3</v>
      </c>
      <c r="D6727" t="s">
        <v>9209</v>
      </c>
      <c r="E6727" t="s">
        <v>11</v>
      </c>
      <c r="G6727" t="s">
        <v>234</v>
      </c>
      <c r="H6727" t="s">
        <v>14</v>
      </c>
    </row>
    <row r="6728" spans="1:8" hidden="1" x14ac:dyDescent="0.25">
      <c r="A6728" t="s">
        <v>9287</v>
      </c>
      <c r="B6728" s="1" t="str">
        <f>HYPERLINK("https://asmlis.vasa.lt/Dashboard/Served?ServiceDateFrom=2025-11-24&amp;ServiceDateTo=2025-11-24&amp;DumpsterInvNr=13-P-500743", "13-P-500743")</f>
        <v>13-P-500743</v>
      </c>
      <c r="C6728">
        <v>5</v>
      </c>
      <c r="D6728" t="s">
        <v>8484</v>
      </c>
      <c r="E6728" t="s">
        <v>11</v>
      </c>
      <c r="F6728" t="s">
        <v>13</v>
      </c>
      <c r="G6728" t="s">
        <v>2178</v>
      </c>
      <c r="H6728" t="s">
        <v>432</v>
      </c>
    </row>
    <row r="6729" spans="1:8" hidden="1" x14ac:dyDescent="0.25">
      <c r="A6729" t="s">
        <v>9288</v>
      </c>
      <c r="B6729" s="1" t="str">
        <f>HYPERLINK("https://asmlis.vasa.lt/Dashboard/Served?ServiceDateFrom=2025-11-24&amp;ServiceDateTo=2025-11-24&amp;DumpsterInvNr=13-L-424695", "13-L-424695")</f>
        <v>13-L-424695</v>
      </c>
      <c r="C6729">
        <v>0.24</v>
      </c>
      <c r="D6729" t="s">
        <v>4249</v>
      </c>
      <c r="E6729" t="s">
        <v>11</v>
      </c>
      <c r="F6729" t="s">
        <v>1209</v>
      </c>
      <c r="G6729" t="s">
        <v>74</v>
      </c>
      <c r="H6729" t="s">
        <v>14</v>
      </c>
    </row>
    <row r="6730" spans="1:8" hidden="1" x14ac:dyDescent="0.25">
      <c r="A6730" t="s">
        <v>9289</v>
      </c>
      <c r="B6730" s="1" t="str">
        <f>HYPERLINK("https://asmlis.vasa.lt/Dashboard/Served?ServiceDateFrom=2025-11-24&amp;ServiceDateTo=2025-11-24&amp;DumpsterInvNr=13-L-128128", "13-L-128128")</f>
        <v>13-L-128128</v>
      </c>
      <c r="C6730">
        <v>0.24</v>
      </c>
      <c r="D6730" t="s">
        <v>9290</v>
      </c>
      <c r="E6730" t="s">
        <v>11</v>
      </c>
      <c r="G6730" t="s">
        <v>1912</v>
      </c>
      <c r="H6730" t="s">
        <v>432</v>
      </c>
    </row>
    <row r="6731" spans="1:8" hidden="1" x14ac:dyDescent="0.25">
      <c r="A6731" t="s">
        <v>9291</v>
      </c>
      <c r="B6731" s="1" t="str">
        <f>HYPERLINK("https://asmlis.vasa.lt/Dashboard/Served?ServiceDateFrom=2025-11-24&amp;ServiceDateTo=2025-11-24&amp;DumpsterInvNr=13-L-421143", "13-L-421143")</f>
        <v>13-L-421143</v>
      </c>
      <c r="C6731">
        <v>1.1000000000000001</v>
      </c>
      <c r="D6731" t="s">
        <v>9275</v>
      </c>
      <c r="E6731" t="s">
        <v>11</v>
      </c>
      <c r="F6731" t="s">
        <v>13</v>
      </c>
      <c r="G6731" t="s">
        <v>74</v>
      </c>
      <c r="H6731" t="s">
        <v>14</v>
      </c>
    </row>
    <row r="6732" spans="1:8" hidden="1" x14ac:dyDescent="0.25">
      <c r="A6732" t="s">
        <v>9292</v>
      </c>
      <c r="B6732" s="1" t="str">
        <f>HYPERLINK("https://asmlis.vasa.lt/Dashboard/Served?ServiceDateFrom=2025-11-24&amp;ServiceDateTo=2025-11-24&amp;DumpsterInvNr=13-P-113075", "13-P-113075")</f>
        <v>13-P-113075</v>
      </c>
      <c r="C6732">
        <v>0.24</v>
      </c>
      <c r="D6732" t="s">
        <v>9290</v>
      </c>
      <c r="E6732" t="s">
        <v>11</v>
      </c>
      <c r="G6732" t="s">
        <v>1917</v>
      </c>
      <c r="H6732" t="s">
        <v>432</v>
      </c>
    </row>
    <row r="6733" spans="1:8" hidden="1" x14ac:dyDescent="0.25">
      <c r="A6733" t="s">
        <v>9293</v>
      </c>
      <c r="B6733" s="1" t="str">
        <f>HYPERLINK("https://asmlis.vasa.lt/Dashboard/Served?ServiceDateFrom=2025-11-24&amp;ServiceDateTo=2025-11-24&amp;DumpsterInvNr=13-M-202361", "13-M-202361")</f>
        <v>13-M-202361</v>
      </c>
      <c r="C6733">
        <v>0.12</v>
      </c>
      <c r="D6733" t="s">
        <v>9294</v>
      </c>
      <c r="E6733" t="s">
        <v>11</v>
      </c>
      <c r="F6733" t="s">
        <v>1209</v>
      </c>
      <c r="G6733" t="s">
        <v>4876</v>
      </c>
      <c r="H6733" t="s">
        <v>938</v>
      </c>
    </row>
    <row r="6734" spans="1:8" hidden="1" x14ac:dyDescent="0.25">
      <c r="A6734" t="s">
        <v>9295</v>
      </c>
      <c r="B6734" s="1" t="str">
        <f>HYPERLINK("https://asmlis.vasa.lt/Dashboard/Served?ServiceDateFrom=2025-11-24&amp;ServiceDateTo=2025-11-24&amp;DumpsterInvNr=13-P-416883", "13-P-416883")</f>
        <v>13-P-416883</v>
      </c>
      <c r="C6734">
        <v>1.1000000000000001</v>
      </c>
      <c r="D6734" t="s">
        <v>9296</v>
      </c>
      <c r="E6734" t="s">
        <v>11</v>
      </c>
      <c r="F6734" t="s">
        <v>13</v>
      </c>
      <c r="G6734" t="s">
        <v>264</v>
      </c>
      <c r="H6734" t="s">
        <v>14</v>
      </c>
    </row>
    <row r="6735" spans="1:8" hidden="1" x14ac:dyDescent="0.25">
      <c r="A6735" t="s">
        <v>9297</v>
      </c>
      <c r="B6735" s="1" t="str">
        <f>HYPERLINK("https://asmlis.vasa.lt/Dashboard/Served?ServiceDateFrom=2025-11-24&amp;ServiceDateTo=2025-11-24&amp;DumpsterInvNr=13-L-211115", "13-L-211115")</f>
        <v>13-L-211115</v>
      </c>
      <c r="C6735">
        <v>0.12</v>
      </c>
      <c r="D6735" t="s">
        <v>4698</v>
      </c>
      <c r="E6735" t="s">
        <v>11</v>
      </c>
      <c r="G6735" t="s">
        <v>936</v>
      </c>
      <c r="H6735" t="s">
        <v>938</v>
      </c>
    </row>
    <row r="6736" spans="1:8" hidden="1" x14ac:dyDescent="0.25">
      <c r="A6736" t="s">
        <v>9297</v>
      </c>
      <c r="B6736" s="1" t="str">
        <f>HYPERLINK("https://asmlis.vasa.lt/Dashboard/Served?ServiceDateFrom=2025-11-24&amp;ServiceDateTo=2025-11-24&amp;DumpsterInvNr=13-S-210515", "13-S-210515")</f>
        <v>13-S-210515</v>
      </c>
      <c r="C6736">
        <v>0.12</v>
      </c>
      <c r="D6736" t="s">
        <v>9299</v>
      </c>
      <c r="E6736" t="s">
        <v>11</v>
      </c>
      <c r="F6736" t="s">
        <v>1209</v>
      </c>
      <c r="G6736" t="s">
        <v>234</v>
      </c>
      <c r="H6736" t="s">
        <v>14</v>
      </c>
    </row>
    <row r="6737" spans="1:8" hidden="1" x14ac:dyDescent="0.25">
      <c r="A6737" t="s">
        <v>9300</v>
      </c>
      <c r="B6737" s="1" t="str">
        <f>HYPERLINK("https://asmlis.vasa.lt/Dashboard/Served?ServiceDateFrom=2025-11-24&amp;ServiceDateTo=2025-11-24&amp;DumpsterInvNr=13-L-129643", "13-L-129643")</f>
        <v>13-L-129643</v>
      </c>
      <c r="C6737">
        <v>5</v>
      </c>
      <c r="D6737" t="s">
        <v>6610</v>
      </c>
      <c r="E6737" t="s">
        <v>11</v>
      </c>
      <c r="F6737" t="s">
        <v>13</v>
      </c>
      <c r="G6737" t="s">
        <v>430</v>
      </c>
      <c r="H6737" t="s">
        <v>432</v>
      </c>
    </row>
    <row r="6738" spans="1:8" hidden="1" x14ac:dyDescent="0.25">
      <c r="A6738" t="s">
        <v>9301</v>
      </c>
      <c r="B6738" s="1" t="str">
        <f>HYPERLINK("https://asmlis.vasa.lt/Dashboard/Served?ServiceDateFrom=2025-11-24&amp;ServiceDateTo=2025-11-24&amp;DumpsterInvNr=13-P-210576", "13-P-210576")</f>
        <v>13-P-210576</v>
      </c>
      <c r="C6738">
        <v>0.24</v>
      </c>
      <c r="D6738" t="s">
        <v>9299</v>
      </c>
      <c r="E6738" t="s">
        <v>11</v>
      </c>
      <c r="F6738" t="s">
        <v>1209</v>
      </c>
      <c r="G6738" t="s">
        <v>234</v>
      </c>
      <c r="H6738" t="s">
        <v>14</v>
      </c>
    </row>
    <row r="6739" spans="1:8" hidden="1" x14ac:dyDescent="0.25">
      <c r="A6739" t="s">
        <v>9301</v>
      </c>
      <c r="B6739" s="1" t="str">
        <f>HYPERLINK("https://asmlis.vasa.lt/Dashboard/Served?ServiceDateFrom=2025-11-24&amp;ServiceDateTo=2025-11-24&amp;DumpsterInvNr=13-M-202152", "13-M-202152")</f>
        <v>13-M-202152</v>
      </c>
      <c r="C6739">
        <v>0.12</v>
      </c>
      <c r="D6739" t="s">
        <v>9302</v>
      </c>
      <c r="E6739" t="s">
        <v>11</v>
      </c>
      <c r="F6739" t="s">
        <v>1209</v>
      </c>
      <c r="G6739" t="s">
        <v>4876</v>
      </c>
      <c r="H6739" t="s">
        <v>938</v>
      </c>
    </row>
    <row r="6740" spans="1:8" hidden="1" x14ac:dyDescent="0.25">
      <c r="A6740" t="s">
        <v>9303</v>
      </c>
      <c r="B6740" s="1" t="str">
        <f>HYPERLINK("https://asmlis.vasa.lt/Dashboard/Served?ServiceDateFrom=2025-11-24&amp;ServiceDateTo=2025-11-24&amp;DumpsterInvNr=13-L-221445", "13-L-221445")</f>
        <v>13-L-221445</v>
      </c>
      <c r="C6740">
        <v>1.1000000000000001</v>
      </c>
      <c r="D6740" t="s">
        <v>354</v>
      </c>
      <c r="E6740" t="s">
        <v>11</v>
      </c>
      <c r="G6740" t="s">
        <v>936</v>
      </c>
      <c r="H6740" t="s">
        <v>938</v>
      </c>
    </row>
    <row r="6741" spans="1:8" hidden="1" x14ac:dyDescent="0.25">
      <c r="A6741" t="s">
        <v>9304</v>
      </c>
      <c r="B6741" s="1" t="str">
        <f>HYPERLINK("https://asmlis.vasa.lt/Dashboard/Served?ServiceDateFrom=2025-11-24&amp;ServiceDateTo=2025-11-24&amp;DumpsterInvNr=13-M-202164", "13-M-202164")</f>
        <v>13-M-202164</v>
      </c>
      <c r="C6741">
        <v>0.12</v>
      </c>
      <c r="D6741" t="s">
        <v>9306</v>
      </c>
      <c r="E6741" t="s">
        <v>11</v>
      </c>
      <c r="G6741" t="s">
        <v>4876</v>
      </c>
      <c r="H6741" t="s">
        <v>938</v>
      </c>
    </row>
    <row r="6742" spans="1:8" hidden="1" x14ac:dyDescent="0.25">
      <c r="A6742" t="s">
        <v>9307</v>
      </c>
      <c r="B6742" s="1" t="str">
        <f>HYPERLINK("https://asmlis.vasa.lt/Dashboard/Served?ServiceDateFrom=2025-11-24&amp;ServiceDateTo=2025-11-24&amp;DumpsterInvNr=13-L-426478", "13-L-426478")</f>
        <v>13-L-426478</v>
      </c>
      <c r="C6742">
        <v>0.12</v>
      </c>
      <c r="D6742" t="s">
        <v>4347</v>
      </c>
      <c r="E6742" t="s">
        <v>11</v>
      </c>
      <c r="G6742" t="s">
        <v>74</v>
      </c>
      <c r="H6742" t="s">
        <v>14</v>
      </c>
    </row>
    <row r="6743" spans="1:8" hidden="1" x14ac:dyDescent="0.25">
      <c r="A6743" t="s">
        <v>9308</v>
      </c>
      <c r="B6743" s="1" t="str">
        <f>HYPERLINK("https://asmlis.vasa.lt/Dashboard/Served?ServiceDateFrom=2025-11-24&amp;ServiceDateTo=2025-11-24&amp;DumpsterInvNr=13-M-202177", "13-M-202177")</f>
        <v>13-M-202177</v>
      </c>
      <c r="C6743">
        <v>0.12</v>
      </c>
      <c r="D6743" t="s">
        <v>9310</v>
      </c>
      <c r="E6743" t="s">
        <v>11</v>
      </c>
      <c r="F6743" t="s">
        <v>1209</v>
      </c>
      <c r="G6743" t="s">
        <v>4876</v>
      </c>
      <c r="H6743" t="s">
        <v>938</v>
      </c>
    </row>
    <row r="6744" spans="1:8" hidden="1" x14ac:dyDescent="0.25">
      <c r="A6744" t="s">
        <v>9312</v>
      </c>
      <c r="B6744" s="1" t="str">
        <f>HYPERLINK("https://asmlis.vasa.lt/Dashboard/Served?ServiceDateFrom=2025-11-24&amp;ServiceDateTo=2025-11-24&amp;DumpsterInvNr=13-P-414634", "13-P-414634")</f>
        <v>13-P-414634</v>
      </c>
      <c r="C6744">
        <v>0.24</v>
      </c>
      <c r="D6744" t="s">
        <v>8851</v>
      </c>
      <c r="E6744" t="s">
        <v>11</v>
      </c>
      <c r="G6744" t="s">
        <v>264</v>
      </c>
      <c r="H6744" t="s">
        <v>14</v>
      </c>
    </row>
    <row r="6745" spans="1:8" hidden="1" x14ac:dyDescent="0.25">
      <c r="A6745" t="s">
        <v>9312</v>
      </c>
      <c r="B6745" s="1" t="str">
        <f>HYPERLINK("https://asmlis.vasa.lt/Dashboard/Served?ServiceDateFrom=2025-11-24&amp;ServiceDateTo=2025-11-24&amp;DumpsterInvNr=13-P-411980", "13-P-411980")</f>
        <v>13-P-411980</v>
      </c>
      <c r="C6745">
        <v>0.24</v>
      </c>
      <c r="D6745" t="s">
        <v>9313</v>
      </c>
      <c r="E6745" t="s">
        <v>11</v>
      </c>
      <c r="G6745" t="s">
        <v>264</v>
      </c>
      <c r="H6745" t="s">
        <v>14</v>
      </c>
    </row>
    <row r="6746" spans="1:8" hidden="1" x14ac:dyDescent="0.25">
      <c r="A6746" t="s">
        <v>9312</v>
      </c>
      <c r="B6746" s="1" t="str">
        <f>HYPERLINK("https://asmlis.vasa.lt/Dashboard/Served?ServiceDateFrom=2025-11-24&amp;ServiceDateTo=2025-11-24&amp;DumpsterInvNr=13-P-111188", "13-P-111188")</f>
        <v>13-P-111188</v>
      </c>
      <c r="C6746">
        <v>1.1000000000000001</v>
      </c>
      <c r="D6746" t="s">
        <v>9314</v>
      </c>
      <c r="E6746" t="s">
        <v>11</v>
      </c>
      <c r="G6746" t="s">
        <v>1917</v>
      </c>
      <c r="H6746" t="s">
        <v>432</v>
      </c>
    </row>
    <row r="6747" spans="1:8" hidden="1" x14ac:dyDescent="0.25">
      <c r="A6747" t="s">
        <v>9316</v>
      </c>
      <c r="B6747" s="1" t="str">
        <f>HYPERLINK("https://asmlis.vasa.lt/Dashboard/Served?ServiceDateFrom=2025-11-24&amp;ServiceDateTo=2025-11-24&amp;DumpsterInvNr=13-L-415706", "13-L-415706")</f>
        <v>13-L-415706</v>
      </c>
      <c r="C6747">
        <v>0.24</v>
      </c>
      <c r="D6747" t="s">
        <v>4379</v>
      </c>
      <c r="E6747" t="s">
        <v>11</v>
      </c>
      <c r="F6747" t="s">
        <v>1209</v>
      </c>
      <c r="G6747" t="s">
        <v>74</v>
      </c>
      <c r="H6747" t="s">
        <v>14</v>
      </c>
    </row>
    <row r="6748" spans="1:8" hidden="1" x14ac:dyDescent="0.25">
      <c r="A6748" t="s">
        <v>9317</v>
      </c>
      <c r="B6748" s="1" t="str">
        <f>HYPERLINK("https://asmlis.vasa.lt/Dashboard/Served?ServiceDateFrom=2025-11-24&amp;ServiceDateTo=2025-11-24&amp;DumpsterInvNr=13-L-223941", "13-L-223941")</f>
        <v>13-L-223941</v>
      </c>
      <c r="C6748">
        <v>1.1000000000000001</v>
      </c>
      <c r="D6748" t="s">
        <v>354</v>
      </c>
      <c r="E6748" t="s">
        <v>11</v>
      </c>
      <c r="G6748" t="s">
        <v>936</v>
      </c>
      <c r="H6748" t="s">
        <v>938</v>
      </c>
    </row>
    <row r="6749" spans="1:8" hidden="1" x14ac:dyDescent="0.25">
      <c r="A6749" t="s">
        <v>9318</v>
      </c>
      <c r="B6749" s="1" t="str">
        <f>HYPERLINK("https://asmlis.vasa.lt/Dashboard/Served?ServiceDateFrom=2025-11-24&amp;ServiceDateTo=2025-11-24&amp;DumpsterInvNr=13-P-205114", "13-P-205114")</f>
        <v>13-P-205114</v>
      </c>
      <c r="C6749">
        <v>0.24</v>
      </c>
      <c r="D6749" t="s">
        <v>9319</v>
      </c>
      <c r="E6749" t="s">
        <v>11</v>
      </c>
      <c r="G6749" t="s">
        <v>234</v>
      </c>
      <c r="H6749" t="s">
        <v>14</v>
      </c>
    </row>
    <row r="6750" spans="1:8" hidden="1" x14ac:dyDescent="0.25">
      <c r="A6750" t="s">
        <v>9320</v>
      </c>
      <c r="B6750" s="1" t="str">
        <f>HYPERLINK("https://asmlis.vasa.lt/Dashboard/Served?ServiceDateFrom=2025-11-24&amp;ServiceDateTo=2025-11-24&amp;DumpsterInvNr=13-P-111211", "13-P-111211")</f>
        <v>13-P-111211</v>
      </c>
      <c r="C6750">
        <v>1.1000000000000001</v>
      </c>
      <c r="D6750" t="s">
        <v>9314</v>
      </c>
      <c r="E6750" t="s">
        <v>11</v>
      </c>
      <c r="G6750" t="s">
        <v>1917</v>
      </c>
      <c r="H6750" t="s">
        <v>432</v>
      </c>
    </row>
    <row r="6751" spans="1:8" hidden="1" x14ac:dyDescent="0.25">
      <c r="A6751" t="s">
        <v>8014</v>
      </c>
      <c r="B6751" s="1" t="str">
        <f>HYPERLINK("https://asmlis.vasa.lt/Dashboard/Served?ServiceDateFrom=2025-11-24&amp;ServiceDateTo=2025-11-24&amp;DumpsterInvNr=13-L-304366", "13-L-304366")</f>
        <v>13-L-304366</v>
      </c>
      <c r="C6751">
        <v>5</v>
      </c>
      <c r="D6751" t="s">
        <v>8421</v>
      </c>
      <c r="E6751" t="s">
        <v>11</v>
      </c>
      <c r="F6751" t="s">
        <v>13</v>
      </c>
      <c r="G6751" t="s">
        <v>9</v>
      </c>
      <c r="H6751" t="s">
        <v>14</v>
      </c>
    </row>
    <row r="6752" spans="1:8" hidden="1" x14ac:dyDescent="0.25">
      <c r="A6752" t="s">
        <v>8014</v>
      </c>
      <c r="B6752" s="1" t="str">
        <f>HYPERLINK("https://asmlis.vasa.lt/Dashboard/Served?ServiceDateFrom=2025-11-24&amp;ServiceDateTo=2025-11-24&amp;DumpsterInvNr=13-P-405317", "13-P-405317")</f>
        <v>13-P-405317</v>
      </c>
      <c r="C6752">
        <v>0.24</v>
      </c>
      <c r="D6752" t="s">
        <v>8851</v>
      </c>
      <c r="E6752" t="s">
        <v>11</v>
      </c>
      <c r="G6752" t="s">
        <v>264</v>
      </c>
      <c r="H6752" t="s">
        <v>14</v>
      </c>
    </row>
    <row r="6753" spans="1:8" hidden="1" x14ac:dyDescent="0.25">
      <c r="A6753" t="s">
        <v>9321</v>
      </c>
      <c r="B6753" s="1" t="str">
        <f>HYPERLINK("https://asmlis.vasa.lt/Dashboard/Served?ServiceDateFrom=2025-11-24&amp;ServiceDateTo=2025-11-24&amp;DumpsterInvNr=13-L-309651", "13-L-309651")</f>
        <v>13-L-309651</v>
      </c>
      <c r="C6753">
        <v>5</v>
      </c>
      <c r="D6753" t="s">
        <v>8421</v>
      </c>
      <c r="E6753" t="s">
        <v>11</v>
      </c>
      <c r="F6753" t="s">
        <v>13</v>
      </c>
      <c r="G6753" t="s">
        <v>9</v>
      </c>
      <c r="H6753" t="s">
        <v>14</v>
      </c>
    </row>
    <row r="6754" spans="1:8" hidden="1" x14ac:dyDescent="0.25">
      <c r="A6754" t="s">
        <v>8661</v>
      </c>
      <c r="B6754" s="1" t="str">
        <f>HYPERLINK("https://asmlis.vasa.lt/Dashboard/Served?ServiceDateFrom=2025-11-24&amp;ServiceDateTo=2025-11-24&amp;DumpsterInvNr=13-M-202388", "13-M-202388")</f>
        <v>13-M-202388</v>
      </c>
      <c r="C6754">
        <v>0.12</v>
      </c>
      <c r="D6754" t="s">
        <v>9322</v>
      </c>
      <c r="E6754" t="s">
        <v>11</v>
      </c>
      <c r="G6754" t="s">
        <v>4876</v>
      </c>
      <c r="H6754" t="s">
        <v>938</v>
      </c>
    </row>
    <row r="6755" spans="1:8" hidden="1" x14ac:dyDescent="0.25">
      <c r="A6755" t="s">
        <v>8966</v>
      </c>
      <c r="B6755" s="1" t="str">
        <f>HYPERLINK("https://asmlis.vasa.lt/Dashboard/Served?ServiceDateFrom=2025-11-24&amp;ServiceDateTo=2025-11-24&amp;DumpsterInvNr=13-L-143941", "13-L-143941")</f>
        <v>13-L-143941</v>
      </c>
      <c r="C6755">
        <v>0.12</v>
      </c>
      <c r="D6755" t="s">
        <v>9323</v>
      </c>
      <c r="E6755" t="s">
        <v>11</v>
      </c>
      <c r="G6755" t="s">
        <v>1912</v>
      </c>
      <c r="H6755" t="s">
        <v>432</v>
      </c>
    </row>
    <row r="6756" spans="1:8" hidden="1" x14ac:dyDescent="0.25">
      <c r="A6756" t="s">
        <v>9324</v>
      </c>
      <c r="B6756" s="1" t="str">
        <f>HYPERLINK("https://asmlis.vasa.lt/Dashboard/Served?ServiceDateFrom=2025-11-24&amp;ServiceDateTo=2025-11-24&amp;DumpsterInvNr=13-P-112574", "13-P-112574")</f>
        <v>13-P-112574</v>
      </c>
      <c r="C6756">
        <v>0.24</v>
      </c>
      <c r="D6756" t="s">
        <v>9323</v>
      </c>
      <c r="E6756" t="s">
        <v>11</v>
      </c>
      <c r="G6756" t="s">
        <v>1917</v>
      </c>
      <c r="H6756" t="s">
        <v>432</v>
      </c>
    </row>
    <row r="6757" spans="1:8" hidden="1" x14ac:dyDescent="0.25">
      <c r="A6757" t="s">
        <v>9326</v>
      </c>
      <c r="B6757" s="1" t="str">
        <f>HYPERLINK("https://asmlis.vasa.lt/Dashboard/Served?ServiceDateFrom=2025-11-24&amp;ServiceDateTo=2025-11-24&amp;DumpsterInvNr=13-P-401547", "13-P-401547")</f>
        <v>13-P-401547</v>
      </c>
      <c r="C6757">
        <v>5</v>
      </c>
      <c r="D6757" t="s">
        <v>152</v>
      </c>
      <c r="E6757" t="s">
        <v>11</v>
      </c>
      <c r="G6757" t="s">
        <v>264</v>
      </c>
      <c r="H6757" t="s">
        <v>14</v>
      </c>
    </row>
    <row r="6758" spans="1:8" hidden="1" x14ac:dyDescent="0.25">
      <c r="A6758" t="s">
        <v>9327</v>
      </c>
      <c r="B6758" s="1" t="str">
        <f>HYPERLINK("https://asmlis.vasa.lt/Dashboard/Served?ServiceDateFrom=2025-11-24&amp;ServiceDateTo=2025-11-24&amp;DumpsterInvNr=13-P-412124", "13-P-412124")</f>
        <v>13-P-412124</v>
      </c>
      <c r="C6758">
        <v>0.24</v>
      </c>
      <c r="D6758" t="s">
        <v>8849</v>
      </c>
      <c r="E6758" t="s">
        <v>11</v>
      </c>
      <c r="F6758" t="s">
        <v>1209</v>
      </c>
      <c r="G6758" t="s">
        <v>264</v>
      </c>
      <c r="H6758" t="s">
        <v>14</v>
      </c>
    </row>
    <row r="6759" spans="1:8" hidden="1" x14ac:dyDescent="0.25">
      <c r="A6759" t="s">
        <v>9328</v>
      </c>
      <c r="B6759" s="1" t="str">
        <f>HYPERLINK("https://asmlis.vasa.lt/Dashboard/Served?ServiceDateFrom=2025-11-24&amp;ServiceDateTo=2025-11-24&amp;DumpsterInvNr=13-L-302567", "13-L-302567")</f>
        <v>13-L-302567</v>
      </c>
      <c r="C6759">
        <v>0.66</v>
      </c>
      <c r="D6759" t="s">
        <v>9282</v>
      </c>
      <c r="E6759" t="s">
        <v>11</v>
      </c>
      <c r="F6759" t="s">
        <v>13</v>
      </c>
      <c r="G6759" t="s">
        <v>9</v>
      </c>
      <c r="H6759" t="s">
        <v>14</v>
      </c>
    </row>
    <row r="6760" spans="1:8" hidden="1" x14ac:dyDescent="0.25">
      <c r="A6760" t="s">
        <v>9329</v>
      </c>
      <c r="B6760" s="1" t="str">
        <f>HYPERLINK("https://asmlis.vasa.lt/Dashboard/Served?ServiceDateFrom=2025-11-24&amp;ServiceDateTo=2025-11-24&amp;DumpsterInvNr=13-S-210484", "13-S-210484")</f>
        <v>13-S-210484</v>
      </c>
      <c r="C6760">
        <v>0.12</v>
      </c>
      <c r="D6760" t="s">
        <v>9330</v>
      </c>
      <c r="E6760" t="s">
        <v>11</v>
      </c>
      <c r="G6760" t="s">
        <v>234</v>
      </c>
      <c r="H6760" t="s">
        <v>14</v>
      </c>
    </row>
    <row r="6761" spans="1:8" hidden="1" x14ac:dyDescent="0.25">
      <c r="A6761" t="s">
        <v>9331</v>
      </c>
      <c r="B6761" s="1" t="str">
        <f>HYPERLINK("https://asmlis.vasa.lt/Dashboard/Served?ServiceDateFrom=2025-11-24&amp;ServiceDateTo=2025-11-24&amp;DumpsterInvNr=13-L-300116", "13-L-300116")</f>
        <v>13-L-300116</v>
      </c>
      <c r="C6761">
        <v>0.77</v>
      </c>
      <c r="D6761" t="s">
        <v>9282</v>
      </c>
      <c r="E6761" t="s">
        <v>11</v>
      </c>
      <c r="F6761" t="s">
        <v>13</v>
      </c>
      <c r="G6761" t="s">
        <v>9</v>
      </c>
      <c r="H6761" t="s">
        <v>14</v>
      </c>
    </row>
    <row r="6762" spans="1:8" hidden="1" x14ac:dyDescent="0.25">
      <c r="A6762" t="s">
        <v>9332</v>
      </c>
      <c r="B6762" s="1" t="str">
        <f>HYPERLINK("https://asmlis.vasa.lt/Dashboard/Served?ServiceDateFrom=2025-11-24&amp;ServiceDateTo=2025-11-24&amp;DumpsterInvNr=13-L-223705", "13-L-223705")</f>
        <v>13-L-223705</v>
      </c>
      <c r="C6762">
        <v>1.1000000000000001</v>
      </c>
      <c r="D6762" t="s">
        <v>7603</v>
      </c>
      <c r="E6762" t="s">
        <v>11</v>
      </c>
      <c r="G6762" t="s">
        <v>936</v>
      </c>
      <c r="H6762" t="s">
        <v>938</v>
      </c>
    </row>
    <row r="6763" spans="1:8" hidden="1" x14ac:dyDescent="0.25">
      <c r="A6763" t="s">
        <v>9332</v>
      </c>
      <c r="B6763" s="1" t="str">
        <f>HYPERLINK("https://asmlis.vasa.lt/Dashboard/Served?ServiceDateFrom=2025-11-24&amp;ServiceDateTo=2025-11-24&amp;DumpsterInvNr=13-L-145569", "13-L-145569")</f>
        <v>13-L-145569</v>
      </c>
      <c r="C6763">
        <v>5</v>
      </c>
      <c r="D6763" t="s">
        <v>9333</v>
      </c>
      <c r="E6763" t="s">
        <v>11</v>
      </c>
      <c r="F6763" t="s">
        <v>13</v>
      </c>
      <c r="G6763" t="s">
        <v>430</v>
      </c>
      <c r="H6763" t="s">
        <v>432</v>
      </c>
    </row>
    <row r="6764" spans="1:8" hidden="1" x14ac:dyDescent="0.25">
      <c r="A6764" t="s">
        <v>9334</v>
      </c>
      <c r="B6764" s="1" t="str">
        <f>HYPERLINK("https://asmlis.vasa.lt/Dashboard/Served?ServiceDateFrom=2025-11-24&amp;ServiceDateTo=2025-11-24&amp;DumpsterInvNr=13-P-302211", "13-P-302211")</f>
        <v>13-P-302211</v>
      </c>
      <c r="C6764">
        <v>5</v>
      </c>
      <c r="D6764" t="s">
        <v>930</v>
      </c>
      <c r="E6764" t="s">
        <v>11</v>
      </c>
      <c r="F6764" t="s">
        <v>13</v>
      </c>
      <c r="G6764" t="s">
        <v>412</v>
      </c>
      <c r="H6764" t="s">
        <v>14</v>
      </c>
    </row>
    <row r="6765" spans="1:8" hidden="1" x14ac:dyDescent="0.25">
      <c r="A6765" t="s">
        <v>9335</v>
      </c>
      <c r="B6765" s="1" t="str">
        <f>HYPERLINK("https://asmlis.vasa.lt/Dashboard/Served?ServiceDateFrom=2025-11-24&amp;ServiceDateTo=2025-11-24&amp;DumpsterInvNr=13-L-319644", "13-L-319644")</f>
        <v>13-L-319644</v>
      </c>
      <c r="C6765">
        <v>1.1000000000000001</v>
      </c>
      <c r="D6765" t="s">
        <v>9336</v>
      </c>
      <c r="E6765" t="s">
        <v>11</v>
      </c>
      <c r="G6765" t="s">
        <v>9</v>
      </c>
      <c r="H6765" t="s">
        <v>14</v>
      </c>
    </row>
    <row r="6766" spans="1:8" hidden="1" x14ac:dyDescent="0.25">
      <c r="A6766" t="s">
        <v>9337</v>
      </c>
      <c r="B6766" s="1" t="str">
        <f>HYPERLINK("https://asmlis.vasa.lt/Dashboard/Served?ServiceDateFrom=2025-11-24&amp;ServiceDateTo=2025-11-24&amp;DumpsterInvNr=13-L-228271", "13-L-228271")</f>
        <v>13-L-228271</v>
      </c>
      <c r="C6766">
        <v>5</v>
      </c>
      <c r="D6766" t="s">
        <v>311</v>
      </c>
      <c r="E6766" t="s">
        <v>11</v>
      </c>
      <c r="F6766" t="s">
        <v>13</v>
      </c>
      <c r="G6766" t="s">
        <v>936</v>
      </c>
      <c r="H6766" t="s">
        <v>938</v>
      </c>
    </row>
    <row r="6767" spans="1:8" hidden="1" x14ac:dyDescent="0.25">
      <c r="A6767" t="s">
        <v>9339</v>
      </c>
      <c r="B6767" s="1" t="str">
        <f>HYPERLINK("https://asmlis.vasa.lt/Dashboard/Served?ServiceDateFrom=2025-11-24&amp;ServiceDateTo=2025-11-24&amp;DumpsterInvNr=13-L-124287", "13-L-124287")</f>
        <v>13-L-124287</v>
      </c>
      <c r="C6767">
        <v>1.1000000000000001</v>
      </c>
      <c r="D6767" t="s">
        <v>9340</v>
      </c>
      <c r="E6767" t="s">
        <v>11</v>
      </c>
      <c r="G6767" t="s">
        <v>430</v>
      </c>
      <c r="H6767" t="s">
        <v>432</v>
      </c>
    </row>
    <row r="6768" spans="1:8" hidden="1" x14ac:dyDescent="0.25">
      <c r="A6768" t="s">
        <v>9341</v>
      </c>
      <c r="B6768" s="1" t="str">
        <f>HYPERLINK("https://asmlis.vasa.lt/Dashboard/Served?ServiceDateFrom=2025-11-24&amp;ServiceDateTo=2025-11-24&amp;DumpsterInvNr=13-P-102347", "13-P-102347")</f>
        <v>13-P-102347</v>
      </c>
      <c r="C6768">
        <v>5</v>
      </c>
      <c r="D6768" t="s">
        <v>3527</v>
      </c>
      <c r="E6768" t="s">
        <v>11</v>
      </c>
      <c r="F6768" t="s">
        <v>13</v>
      </c>
      <c r="G6768" t="s">
        <v>1917</v>
      </c>
      <c r="H6768" t="s">
        <v>432</v>
      </c>
    </row>
    <row r="6769" spans="1:8" hidden="1" x14ac:dyDescent="0.25">
      <c r="A6769" t="s">
        <v>9342</v>
      </c>
      <c r="B6769" s="1" t="str">
        <f>HYPERLINK("https://asmlis.vasa.lt/Dashboard/Served?ServiceDateFrom=2025-11-24&amp;ServiceDateTo=2025-11-24&amp;DumpsterInvNr=13-M-204024", "13-M-204024")</f>
        <v>13-M-204024</v>
      </c>
      <c r="C6769">
        <v>0.12</v>
      </c>
      <c r="D6769" t="s">
        <v>9343</v>
      </c>
      <c r="E6769" t="s">
        <v>11</v>
      </c>
      <c r="G6769" t="s">
        <v>4876</v>
      </c>
      <c r="H6769" t="s">
        <v>938</v>
      </c>
    </row>
    <row r="6770" spans="1:8" hidden="1" x14ac:dyDescent="0.25">
      <c r="A6770" t="s">
        <v>9344</v>
      </c>
      <c r="B6770" s="1" t="str">
        <f>HYPERLINK("https://asmlis.vasa.lt/Dashboard/Served?ServiceDateFrom=2025-11-24&amp;ServiceDateTo=2025-11-24&amp;DumpsterInvNr=13-P-112511", "13-P-112511")</f>
        <v>13-P-112511</v>
      </c>
      <c r="C6770">
        <v>0.24</v>
      </c>
      <c r="D6770" t="s">
        <v>9345</v>
      </c>
      <c r="E6770" t="s">
        <v>11</v>
      </c>
      <c r="G6770" t="s">
        <v>1917</v>
      </c>
      <c r="H6770" t="s">
        <v>432</v>
      </c>
    </row>
    <row r="6771" spans="1:8" hidden="1" x14ac:dyDescent="0.25">
      <c r="A6771" t="s">
        <v>9344</v>
      </c>
      <c r="B6771" s="1" t="str">
        <f>HYPERLINK("https://asmlis.vasa.lt/Dashboard/Served?ServiceDateFrom=2025-11-24&amp;ServiceDateTo=2025-11-24&amp;DumpsterInvNr=13-L-114858", "13-L-114858")</f>
        <v>13-L-114858</v>
      </c>
      <c r="C6771">
        <v>0.12</v>
      </c>
      <c r="D6771" t="s">
        <v>9345</v>
      </c>
      <c r="E6771" t="s">
        <v>11</v>
      </c>
      <c r="G6771" t="s">
        <v>1912</v>
      </c>
      <c r="H6771" t="s">
        <v>432</v>
      </c>
    </row>
    <row r="6772" spans="1:8" hidden="1" x14ac:dyDescent="0.25">
      <c r="A6772" t="s">
        <v>9347</v>
      </c>
      <c r="B6772" s="1" t="str">
        <f>HYPERLINK("https://asmlis.vasa.lt/Dashboard/Served?ServiceDateFrom=2025-11-24&amp;ServiceDateTo=2025-11-24&amp;DumpsterInvNr=13-L-223702", "13-L-223702")</f>
        <v>13-L-223702</v>
      </c>
      <c r="C6772">
        <v>1.1000000000000001</v>
      </c>
      <c r="D6772" t="s">
        <v>9349</v>
      </c>
      <c r="E6772" t="s">
        <v>11</v>
      </c>
      <c r="G6772" t="s">
        <v>936</v>
      </c>
      <c r="H6772" t="s">
        <v>938</v>
      </c>
    </row>
    <row r="6773" spans="1:8" hidden="1" x14ac:dyDescent="0.25">
      <c r="A6773" t="s">
        <v>9347</v>
      </c>
      <c r="B6773" s="1" t="str">
        <f>HYPERLINK("https://asmlis.vasa.lt/Dashboard/Served?ServiceDateFrom=2025-11-24&amp;ServiceDateTo=2025-11-24&amp;DumpsterInvNr=13-P-210645", "13-P-210645")</f>
        <v>13-P-210645</v>
      </c>
      <c r="C6773">
        <v>0.24</v>
      </c>
      <c r="D6773" t="s">
        <v>9330</v>
      </c>
      <c r="E6773" t="s">
        <v>11</v>
      </c>
      <c r="F6773" t="s">
        <v>1209</v>
      </c>
      <c r="G6773" t="s">
        <v>234</v>
      </c>
      <c r="H6773" t="s">
        <v>14</v>
      </c>
    </row>
    <row r="6774" spans="1:8" hidden="1" x14ac:dyDescent="0.25">
      <c r="A6774" t="s">
        <v>9351</v>
      </c>
      <c r="B6774" s="1" t="str">
        <f>HYPERLINK("https://asmlis.vasa.lt/Dashboard/Served?ServiceDateFrom=2025-11-24&amp;ServiceDateTo=2025-11-24&amp;DumpsterInvNr=13-P-209782", "13-P-209782")</f>
        <v>13-P-209782</v>
      </c>
      <c r="C6774">
        <v>0.24</v>
      </c>
      <c r="D6774" t="s">
        <v>9330</v>
      </c>
      <c r="E6774" t="s">
        <v>11</v>
      </c>
      <c r="F6774" t="s">
        <v>1209</v>
      </c>
      <c r="G6774" t="s">
        <v>234</v>
      </c>
      <c r="H6774" t="s">
        <v>14</v>
      </c>
    </row>
    <row r="6775" spans="1:8" hidden="1" x14ac:dyDescent="0.25">
      <c r="A6775" t="s">
        <v>9352</v>
      </c>
      <c r="B6775" s="1" t="str">
        <f>HYPERLINK("https://asmlis.vasa.lt/Dashboard/Served?ServiceDateFrom=2025-11-24&amp;ServiceDateTo=2025-11-24&amp;DumpsterInvNr=13-L-107346", "13-L-107346")</f>
        <v>13-L-107346</v>
      </c>
      <c r="C6775">
        <v>3</v>
      </c>
      <c r="D6775" t="s">
        <v>9353</v>
      </c>
      <c r="E6775" t="s">
        <v>11</v>
      </c>
      <c r="F6775" t="s">
        <v>13</v>
      </c>
      <c r="G6775" t="s">
        <v>1912</v>
      </c>
      <c r="H6775" t="s">
        <v>432</v>
      </c>
    </row>
    <row r="6776" spans="1:8" hidden="1" x14ac:dyDescent="0.25">
      <c r="A6776" t="s">
        <v>9354</v>
      </c>
      <c r="B6776" s="1" t="str">
        <f>HYPERLINK("https://asmlis.vasa.lt/Dashboard/Served?ServiceDateFrom=2025-11-24&amp;ServiceDateTo=2025-11-24&amp;DumpsterInvNr=13-P-301863", "13-P-301863")</f>
        <v>13-P-301863</v>
      </c>
      <c r="C6776">
        <v>0.66</v>
      </c>
      <c r="D6776" t="s">
        <v>1928</v>
      </c>
      <c r="E6776" t="s">
        <v>11</v>
      </c>
      <c r="F6776" t="s">
        <v>13</v>
      </c>
      <c r="G6776" t="s">
        <v>412</v>
      </c>
      <c r="H6776" t="s">
        <v>14</v>
      </c>
    </row>
    <row r="6777" spans="1:8" hidden="1" x14ac:dyDescent="0.25">
      <c r="A6777" t="s">
        <v>9356</v>
      </c>
      <c r="B6777" s="1" t="str">
        <f>HYPERLINK("https://asmlis.vasa.lt/Dashboard/Served?ServiceDateFrom=2025-11-24&amp;ServiceDateTo=2025-11-24&amp;DumpsterInvNr=13-L-409298", "13-L-409298")</f>
        <v>13-L-409298</v>
      </c>
      <c r="C6777">
        <v>1.1000000000000001</v>
      </c>
      <c r="D6777" t="s">
        <v>9357</v>
      </c>
      <c r="E6777" t="s">
        <v>11</v>
      </c>
      <c r="G6777" t="s">
        <v>74</v>
      </c>
      <c r="H6777" t="s">
        <v>14</v>
      </c>
    </row>
    <row r="6778" spans="1:8" hidden="1" x14ac:dyDescent="0.25">
      <c r="A6778" t="s">
        <v>7864</v>
      </c>
      <c r="B6778" s="1" t="str">
        <f>HYPERLINK("https://asmlis.vasa.lt/Dashboard/Served?ServiceDateFrom=2025-11-24&amp;ServiceDateTo=2025-11-24&amp;DumpsterInvNr=13-L-319645", "13-L-319645")</f>
        <v>13-L-319645</v>
      </c>
      <c r="C6778">
        <v>1.1000000000000001</v>
      </c>
      <c r="D6778" t="s">
        <v>9336</v>
      </c>
      <c r="E6778" t="s">
        <v>11</v>
      </c>
      <c r="G6778" t="s">
        <v>9</v>
      </c>
      <c r="H6778" t="s">
        <v>14</v>
      </c>
    </row>
    <row r="6779" spans="1:8" hidden="1" x14ac:dyDescent="0.25">
      <c r="A6779" t="s">
        <v>8586</v>
      </c>
      <c r="B6779" s="1" t="str">
        <f>HYPERLINK("https://asmlis.vasa.lt/Dashboard/Served?ServiceDateFrom=2025-11-24&amp;ServiceDateTo=2025-11-24&amp;DumpsterInvNr=13-P-302721", "13-P-302721")</f>
        <v>13-P-302721</v>
      </c>
      <c r="C6779">
        <v>0.24</v>
      </c>
      <c r="D6779" t="s">
        <v>1937</v>
      </c>
      <c r="E6779" t="s">
        <v>11</v>
      </c>
      <c r="F6779" t="s">
        <v>13</v>
      </c>
      <c r="G6779" t="s">
        <v>412</v>
      </c>
      <c r="H6779" t="s">
        <v>14</v>
      </c>
    </row>
    <row r="6780" spans="1:8" hidden="1" x14ac:dyDescent="0.25">
      <c r="A6780" t="s">
        <v>8586</v>
      </c>
      <c r="B6780" s="1" t="str">
        <f>HYPERLINK("https://asmlis.vasa.lt/Dashboard/Served?ServiceDateFrom=2025-11-24&amp;ServiceDateTo=2025-11-24&amp;DumpsterInvNr=13-L-107345", "13-L-107345")</f>
        <v>13-L-107345</v>
      </c>
      <c r="C6780">
        <v>5</v>
      </c>
      <c r="D6780" t="s">
        <v>9353</v>
      </c>
      <c r="E6780" t="s">
        <v>11</v>
      </c>
      <c r="F6780" t="s">
        <v>13</v>
      </c>
      <c r="G6780" t="s">
        <v>1912</v>
      </c>
      <c r="H6780" t="s">
        <v>432</v>
      </c>
    </row>
    <row r="6781" spans="1:8" hidden="1" x14ac:dyDescent="0.25">
      <c r="A6781" t="s">
        <v>8756</v>
      </c>
      <c r="B6781" s="1" t="str">
        <f>HYPERLINK("https://asmlis.vasa.lt/Dashboard/Served?ServiceDateFrom=2025-11-24&amp;ServiceDateTo=2025-11-24&amp;DumpsterInvNr=13-P-400681", "13-P-400681")</f>
        <v>13-P-400681</v>
      </c>
      <c r="C6781">
        <v>5</v>
      </c>
      <c r="D6781" t="s">
        <v>1254</v>
      </c>
      <c r="E6781" t="s">
        <v>11</v>
      </c>
      <c r="F6781" t="s">
        <v>13</v>
      </c>
      <c r="G6781" t="s">
        <v>264</v>
      </c>
      <c r="H6781" t="s">
        <v>14</v>
      </c>
    </row>
    <row r="6782" spans="1:8" hidden="1" x14ac:dyDescent="0.25">
      <c r="A6782" t="s">
        <v>9358</v>
      </c>
      <c r="B6782" s="1" t="str">
        <f>HYPERLINK("https://asmlis.vasa.lt/Dashboard/Served?ServiceDateFrom=2025-11-24&amp;ServiceDateTo=2025-11-24&amp;DumpsterInvNr=13-T-000380", "13-T-000380")</f>
        <v>13-T-000380</v>
      </c>
      <c r="C6782">
        <v>2.5</v>
      </c>
      <c r="D6782" t="s">
        <v>2799</v>
      </c>
      <c r="E6782" t="s">
        <v>11</v>
      </c>
      <c r="F6782" t="s">
        <v>13</v>
      </c>
      <c r="G6782" t="s">
        <v>1899</v>
      </c>
      <c r="H6782" t="s">
        <v>432</v>
      </c>
    </row>
    <row r="6783" spans="1:8" hidden="1" x14ac:dyDescent="0.25">
      <c r="A6783" t="s">
        <v>9359</v>
      </c>
      <c r="B6783" s="1" t="str">
        <f>HYPERLINK("https://asmlis.vasa.lt/Dashboard/Served?ServiceDateFrom=2025-11-24&amp;ServiceDateTo=2025-11-24&amp;DumpsterInvNr=13-L-424372", "13-L-424372")</f>
        <v>13-L-424372</v>
      </c>
      <c r="C6783">
        <v>0.24</v>
      </c>
      <c r="D6783" t="s">
        <v>4475</v>
      </c>
      <c r="E6783" t="s">
        <v>11</v>
      </c>
      <c r="G6783" t="s">
        <v>74</v>
      </c>
      <c r="H6783" t="s">
        <v>14</v>
      </c>
    </row>
    <row r="6784" spans="1:8" hidden="1" x14ac:dyDescent="0.25">
      <c r="A6784" t="s">
        <v>9360</v>
      </c>
      <c r="B6784" s="1" t="str">
        <f>HYPERLINK("https://asmlis.vasa.lt/Dashboard/Served?ServiceDateFrom=2025-11-24&amp;ServiceDateTo=2025-11-24&amp;DumpsterInvNr=13-M-204877", "13-M-204877")</f>
        <v>13-M-204877</v>
      </c>
      <c r="C6784">
        <v>0.12</v>
      </c>
      <c r="D6784" t="s">
        <v>9361</v>
      </c>
      <c r="E6784" t="s">
        <v>11</v>
      </c>
      <c r="G6784" t="s">
        <v>4876</v>
      </c>
      <c r="H6784" t="s">
        <v>938</v>
      </c>
    </row>
    <row r="6785" spans="1:10" hidden="1" x14ac:dyDescent="0.25">
      <c r="A6785" t="s">
        <v>9309</v>
      </c>
      <c r="B6785" s="1" t="str">
        <f>HYPERLINK("https://asmlis.vasa.lt/Dashboard/Served?ServiceDateFrom=2025-11-24&amp;ServiceDateTo=2025-11-24&amp;DumpsterInvNr=13-T-000274", "13-T-000274")</f>
        <v>13-T-000274</v>
      </c>
      <c r="C6785">
        <v>2.5</v>
      </c>
      <c r="D6785" t="s">
        <v>2799</v>
      </c>
      <c r="E6785" t="s">
        <v>11</v>
      </c>
      <c r="F6785" t="s">
        <v>13</v>
      </c>
      <c r="G6785" t="s">
        <v>1899</v>
      </c>
      <c r="H6785" t="s">
        <v>432</v>
      </c>
    </row>
    <row r="6786" spans="1:10" hidden="1" x14ac:dyDescent="0.25">
      <c r="A6786" t="s">
        <v>9362</v>
      </c>
      <c r="B6786" s="1" t="str">
        <f>HYPERLINK("https://asmlis.vasa.lt/Dashboard/Served?ServiceDateFrom=2025-11-24&amp;ServiceDateTo=2025-11-24&amp;DumpsterInvNr=13-M-202799", "13-M-202799")</f>
        <v>13-M-202799</v>
      </c>
      <c r="C6786">
        <v>0.12</v>
      </c>
      <c r="D6786" t="s">
        <v>9363</v>
      </c>
      <c r="E6786" t="s">
        <v>11</v>
      </c>
      <c r="F6786" t="s">
        <v>1209</v>
      </c>
      <c r="G6786" t="s">
        <v>4876</v>
      </c>
      <c r="H6786" t="s">
        <v>938</v>
      </c>
    </row>
    <row r="6787" spans="1:10" hidden="1" x14ac:dyDescent="0.25">
      <c r="A6787" t="s">
        <v>9364</v>
      </c>
      <c r="B6787" s="1" t="str">
        <f>HYPERLINK("https://asmlis.vasa.lt/Dashboard/Served?ServiceDateFrom=2025-11-24&amp;ServiceDateTo=2025-11-24&amp;DumpsterInvNr=13-M-204876", "13-M-204876")</f>
        <v>13-M-204876</v>
      </c>
      <c r="C6787">
        <v>0.12</v>
      </c>
      <c r="D6787" t="s">
        <v>9361</v>
      </c>
      <c r="E6787" t="s">
        <v>11</v>
      </c>
      <c r="F6787" t="s">
        <v>1209</v>
      </c>
      <c r="G6787" t="s">
        <v>4876</v>
      </c>
      <c r="H6787" t="s">
        <v>938</v>
      </c>
    </row>
    <row r="6788" spans="1:10" hidden="1" x14ac:dyDescent="0.25">
      <c r="A6788" t="s">
        <v>9365</v>
      </c>
      <c r="B6788" s="1" t="str">
        <f>HYPERLINK("https://asmlis.vasa.lt/Dashboard/Served?ServiceDateFrom=2025-11-24&amp;ServiceDateTo=2025-11-24&amp;DumpsterInvNr=13-L-214919", "13-L-214919")</f>
        <v>13-L-214919</v>
      </c>
      <c r="C6788">
        <v>0.12</v>
      </c>
      <c r="D6788" t="s">
        <v>4643</v>
      </c>
      <c r="E6788" t="s">
        <v>11</v>
      </c>
      <c r="G6788" t="s">
        <v>936</v>
      </c>
      <c r="H6788" t="s">
        <v>938</v>
      </c>
    </row>
    <row r="6789" spans="1:10" hidden="1" x14ac:dyDescent="0.25">
      <c r="A6789" t="s">
        <v>9366</v>
      </c>
      <c r="B6789" s="1" t="str">
        <f>HYPERLINK("https://asmlis.vasa.lt/Dashboard/Served?ServiceDateFrom=2025-11-24&amp;ServiceDateTo=2025-11-24&amp;DumpsterInvNr=13-L-423404", "13-L-423404")</f>
        <v>13-L-423404</v>
      </c>
      <c r="C6789">
        <v>0.24</v>
      </c>
      <c r="D6789" t="s">
        <v>9367</v>
      </c>
      <c r="E6789" t="s">
        <v>11</v>
      </c>
      <c r="G6789" t="s">
        <v>74</v>
      </c>
      <c r="H6789" t="s">
        <v>14</v>
      </c>
    </row>
    <row r="6790" spans="1:10" hidden="1" x14ac:dyDescent="0.25">
      <c r="A6790" t="s">
        <v>9368</v>
      </c>
      <c r="B6790" s="1" t="str">
        <f>HYPERLINK("https://asmlis.vasa.lt/Dashboard/Served?ServiceDateFrom=2025-11-24&amp;ServiceDateTo=2025-11-24&amp;DumpsterInvNr=13-L-149493", "13-L-149493")</f>
        <v>13-L-149493</v>
      </c>
      <c r="C6790">
        <v>1.1000000000000001</v>
      </c>
      <c r="D6790" t="s">
        <v>1190</v>
      </c>
      <c r="E6790" t="s">
        <v>11</v>
      </c>
      <c r="G6790" t="s">
        <v>430</v>
      </c>
      <c r="H6790" t="s">
        <v>432</v>
      </c>
    </row>
    <row r="6791" spans="1:10" hidden="1" x14ac:dyDescent="0.25">
      <c r="A6791" t="s">
        <v>9369</v>
      </c>
      <c r="B6791" s="1" t="str">
        <f>HYPERLINK("https://asmlis.vasa.lt/Dashboard/Served?ServiceDateFrom=2025-11-24&amp;ServiceDateTo=2025-11-24&amp;DumpsterInvNr=13-L-421900", "13-L-421900")</f>
        <v>13-L-421900</v>
      </c>
      <c r="C6791">
        <v>0.24</v>
      </c>
      <c r="D6791" t="s">
        <v>4495</v>
      </c>
      <c r="E6791" t="s">
        <v>11</v>
      </c>
      <c r="G6791" t="s">
        <v>74</v>
      </c>
      <c r="H6791" t="s">
        <v>14</v>
      </c>
    </row>
    <row r="6792" spans="1:10" x14ac:dyDescent="0.25">
      <c r="A6792" t="s">
        <v>9370</v>
      </c>
      <c r="B6792" s="1" t="str">
        <f>HYPERLINK("https://asmlis.vasa.lt/Dashboard/Served?ServiceDateFrom=2025-11-24&amp;ServiceDateTo=2025-11-24&amp;DumpsterInvNr=13-L-424662", "13-L-424662")</f>
        <v>13-L-424662</v>
      </c>
      <c r="C6792">
        <v>1.1000000000000001</v>
      </c>
      <c r="D6792" t="s">
        <v>9371</v>
      </c>
      <c r="E6792" t="s">
        <v>11</v>
      </c>
      <c r="F6792" t="s">
        <v>3108</v>
      </c>
      <c r="G6792" t="s">
        <v>74</v>
      </c>
      <c r="H6792" t="s">
        <v>14</v>
      </c>
      <c r="J6792" t="s">
        <v>17511</v>
      </c>
    </row>
    <row r="6793" spans="1:10" hidden="1" x14ac:dyDescent="0.25">
      <c r="A6793" t="s">
        <v>9372</v>
      </c>
      <c r="B6793" s="1" t="str">
        <f>HYPERLINK("https://asmlis.vasa.lt/Dashboard/Served?ServiceDateFrom=2025-11-24&amp;ServiceDateTo=2025-11-24&amp;DumpsterInvNr=13-P-210546", "13-P-210546")</f>
        <v>13-P-210546</v>
      </c>
      <c r="C6793">
        <v>0.24</v>
      </c>
      <c r="D6793" t="s">
        <v>9373</v>
      </c>
      <c r="E6793" t="s">
        <v>11</v>
      </c>
      <c r="G6793" t="s">
        <v>234</v>
      </c>
      <c r="H6793" t="s">
        <v>14</v>
      </c>
    </row>
    <row r="6794" spans="1:10" hidden="1" x14ac:dyDescent="0.25">
      <c r="A6794" t="s">
        <v>9374</v>
      </c>
      <c r="B6794" s="1" t="str">
        <f>HYPERLINK("https://asmlis.vasa.lt/Dashboard/Served?ServiceDateFrom=2025-11-24&amp;ServiceDateTo=2025-11-24&amp;DumpsterInvNr=13-P-415503", "13-P-415503")</f>
        <v>13-P-415503</v>
      </c>
      <c r="C6794">
        <v>1.1000000000000001</v>
      </c>
      <c r="D6794" t="s">
        <v>207</v>
      </c>
      <c r="E6794" t="s">
        <v>11</v>
      </c>
      <c r="F6794" t="s">
        <v>13</v>
      </c>
      <c r="G6794" t="s">
        <v>264</v>
      </c>
      <c r="H6794" t="s">
        <v>14</v>
      </c>
    </row>
    <row r="6795" spans="1:10" hidden="1" x14ac:dyDescent="0.25">
      <c r="A6795" t="s">
        <v>9375</v>
      </c>
      <c r="B6795" s="1" t="str">
        <f>HYPERLINK("https://asmlis.vasa.lt/Dashboard/Served?ServiceDateFrom=2025-11-24&amp;ServiceDateTo=2025-11-24&amp;DumpsterInvNr=13-P-401441", "13-P-401441")</f>
        <v>13-P-401441</v>
      </c>
      <c r="C6795">
        <v>1.1000000000000001</v>
      </c>
      <c r="D6795" t="s">
        <v>207</v>
      </c>
      <c r="E6795" t="s">
        <v>11</v>
      </c>
      <c r="F6795" t="s">
        <v>13</v>
      </c>
      <c r="G6795" t="s">
        <v>264</v>
      </c>
      <c r="H6795" t="s">
        <v>14</v>
      </c>
    </row>
    <row r="6796" spans="1:10" hidden="1" x14ac:dyDescent="0.25">
      <c r="A6796" t="s">
        <v>9376</v>
      </c>
      <c r="B6796" s="1" t="str">
        <f>HYPERLINK("https://asmlis.vasa.lt/Dashboard/Served?ServiceDateFrom=2025-11-24&amp;ServiceDateTo=2025-11-24&amp;DumpsterInvNr=13-L-129640", "13-L-129640")</f>
        <v>13-L-129640</v>
      </c>
      <c r="C6796">
        <v>5</v>
      </c>
      <c r="D6796" t="s">
        <v>9377</v>
      </c>
      <c r="E6796" t="s">
        <v>11</v>
      </c>
      <c r="F6796" t="s">
        <v>13</v>
      </c>
      <c r="G6796" t="s">
        <v>430</v>
      </c>
      <c r="H6796" t="s">
        <v>432</v>
      </c>
    </row>
    <row r="6797" spans="1:10" x14ac:dyDescent="0.25">
      <c r="A6797" t="s">
        <v>9378</v>
      </c>
      <c r="B6797" s="1" t="str">
        <f>HYPERLINK("https://asmlis.vasa.lt/Dashboard/Served?ServiceDateFrom=2025-11-24&amp;ServiceDateTo=2025-11-24&amp;DumpsterInvNr=13-L-424661", "13-L-424661")</f>
        <v>13-L-424661</v>
      </c>
      <c r="C6797">
        <v>1.1000000000000001</v>
      </c>
      <c r="D6797" t="s">
        <v>9371</v>
      </c>
      <c r="E6797" t="s">
        <v>11</v>
      </c>
      <c r="F6797" t="s">
        <v>3108</v>
      </c>
      <c r="G6797" t="s">
        <v>74</v>
      </c>
      <c r="H6797" t="s">
        <v>14</v>
      </c>
      <c r="J6797" t="s">
        <v>17511</v>
      </c>
    </row>
    <row r="6798" spans="1:10" hidden="1" x14ac:dyDescent="0.25">
      <c r="A6798" t="s">
        <v>9379</v>
      </c>
      <c r="B6798" s="1" t="str">
        <f>HYPERLINK("https://asmlis.vasa.lt/Dashboard/Served?ServiceDateFrom=2025-11-24&amp;ServiceDateTo=2025-11-24&amp;DumpsterInvNr=13-L-149494", "13-L-149494")</f>
        <v>13-L-149494</v>
      </c>
      <c r="C6798">
        <v>1.1000000000000001</v>
      </c>
      <c r="D6798" t="s">
        <v>1190</v>
      </c>
      <c r="E6798" t="s">
        <v>11</v>
      </c>
      <c r="G6798" t="s">
        <v>430</v>
      </c>
      <c r="H6798" t="s">
        <v>432</v>
      </c>
    </row>
    <row r="6799" spans="1:10" hidden="1" x14ac:dyDescent="0.25">
      <c r="A6799" t="s">
        <v>9380</v>
      </c>
      <c r="B6799" s="1" t="str">
        <f>HYPERLINK("https://asmlis.vasa.lt/Dashboard/Served?ServiceDateFrom=2025-11-24&amp;ServiceDateTo=2025-11-24&amp;DumpsterInvNr=13-S-207396", "13-S-207396")</f>
        <v>13-S-207396</v>
      </c>
      <c r="C6799">
        <v>3</v>
      </c>
      <c r="D6799" t="s">
        <v>9381</v>
      </c>
      <c r="E6799" t="s">
        <v>11</v>
      </c>
      <c r="G6799" t="s">
        <v>234</v>
      </c>
      <c r="H6799" t="s">
        <v>14</v>
      </c>
    </row>
    <row r="6800" spans="1:10" hidden="1" x14ac:dyDescent="0.25">
      <c r="A6800" t="s">
        <v>9382</v>
      </c>
      <c r="B6800" s="1" t="str">
        <f>HYPERLINK("https://asmlis.vasa.lt/Dashboard/Served?ServiceDateFrom=2025-11-24&amp;ServiceDateTo=2025-11-24&amp;DumpsterInvNr=13-L-138889", "13-L-138889")</f>
        <v>13-L-138889</v>
      </c>
      <c r="C6800">
        <v>1.1000000000000001</v>
      </c>
      <c r="D6800" t="s">
        <v>9383</v>
      </c>
      <c r="E6800" t="s">
        <v>11</v>
      </c>
      <c r="G6800" t="s">
        <v>1912</v>
      </c>
      <c r="H6800" t="s">
        <v>432</v>
      </c>
    </row>
    <row r="6801" spans="1:10" hidden="1" x14ac:dyDescent="0.25">
      <c r="A6801" t="s">
        <v>9384</v>
      </c>
      <c r="B6801" s="1" t="str">
        <f>HYPERLINK("https://asmlis.vasa.lt/Dashboard/Served?ServiceDateFrom=2025-11-24&amp;ServiceDateTo=2025-11-24&amp;DumpsterInvNr=13-L-426003", "13-L-426003")</f>
        <v>13-L-426003</v>
      </c>
      <c r="C6801">
        <v>1.1000000000000001</v>
      </c>
      <c r="D6801" t="s">
        <v>9357</v>
      </c>
      <c r="E6801" t="s">
        <v>11</v>
      </c>
      <c r="G6801" t="s">
        <v>74</v>
      </c>
      <c r="H6801" t="s">
        <v>14</v>
      </c>
    </row>
    <row r="6802" spans="1:10" hidden="1" x14ac:dyDescent="0.25">
      <c r="A6802" t="s">
        <v>9384</v>
      </c>
      <c r="B6802" s="1" t="str">
        <f>HYPERLINK("https://asmlis.vasa.lt/Dashboard/Served?ServiceDateFrom=2025-11-24&amp;ServiceDateTo=2025-11-24&amp;DumpsterInvNr=13-P-210733", "13-P-210733")</f>
        <v>13-P-210733</v>
      </c>
      <c r="C6802">
        <v>0.24</v>
      </c>
      <c r="D6802" t="s">
        <v>9385</v>
      </c>
      <c r="E6802" t="s">
        <v>11</v>
      </c>
      <c r="F6802" t="s">
        <v>1209</v>
      </c>
      <c r="G6802" t="s">
        <v>234</v>
      </c>
      <c r="H6802" t="s">
        <v>14</v>
      </c>
    </row>
    <row r="6803" spans="1:10" hidden="1" x14ac:dyDescent="0.25">
      <c r="A6803" t="s">
        <v>9384</v>
      </c>
      <c r="B6803" s="1" t="str">
        <f>HYPERLINK("https://asmlis.vasa.lt/Dashboard/Served?ServiceDateFrom=2025-11-24&amp;ServiceDateTo=2025-11-24&amp;DumpsterInvNr=13-M-204445", "13-M-204445")</f>
        <v>13-M-204445</v>
      </c>
      <c r="C6803">
        <v>0.12</v>
      </c>
      <c r="D6803" t="s">
        <v>9386</v>
      </c>
      <c r="E6803" t="s">
        <v>11</v>
      </c>
      <c r="F6803" t="s">
        <v>1209</v>
      </c>
      <c r="G6803" t="s">
        <v>4876</v>
      </c>
      <c r="H6803" t="s">
        <v>938</v>
      </c>
    </row>
    <row r="6804" spans="1:10" x14ac:dyDescent="0.25">
      <c r="A6804" t="s">
        <v>9387</v>
      </c>
      <c r="B6804" s="1" t="str">
        <f>HYPERLINK("https://asmlis.vasa.lt/Dashboard/Served?ServiceDateFrom=2025-11-24&amp;ServiceDateTo=2025-11-24&amp;DumpsterInvNr=13-L-424660", "13-L-424660")</f>
        <v>13-L-424660</v>
      </c>
      <c r="C6804">
        <v>1.1000000000000001</v>
      </c>
      <c r="D6804" t="s">
        <v>9371</v>
      </c>
      <c r="E6804" t="s">
        <v>11</v>
      </c>
      <c r="F6804" t="s">
        <v>3108</v>
      </c>
      <c r="G6804" t="s">
        <v>74</v>
      </c>
      <c r="H6804" t="s">
        <v>14</v>
      </c>
      <c r="J6804" t="s">
        <v>17511</v>
      </c>
    </row>
    <row r="6805" spans="1:10" hidden="1" x14ac:dyDescent="0.25">
      <c r="A6805" t="s">
        <v>9389</v>
      </c>
      <c r="B6805" s="1" t="str">
        <f>HYPERLINK("https://asmlis.vasa.lt/Dashboard/Served?ServiceDateFrom=2025-11-24&amp;ServiceDateTo=2025-11-24&amp;DumpsterInvNr=13-M-204382", "13-M-204382")</f>
        <v>13-M-204382</v>
      </c>
      <c r="C6805">
        <v>0.12</v>
      </c>
      <c r="D6805" t="s">
        <v>9390</v>
      </c>
      <c r="E6805" t="s">
        <v>11</v>
      </c>
      <c r="F6805" t="s">
        <v>1209</v>
      </c>
      <c r="G6805" t="s">
        <v>4876</v>
      </c>
      <c r="H6805" t="s">
        <v>938</v>
      </c>
    </row>
    <row r="6806" spans="1:10" hidden="1" x14ac:dyDescent="0.25">
      <c r="A6806" t="s">
        <v>9391</v>
      </c>
      <c r="B6806" s="1" t="str">
        <f>HYPERLINK("https://asmlis.vasa.lt/Dashboard/Served?ServiceDateFrom=2025-11-24&amp;ServiceDateTo=2025-11-24&amp;DumpsterInvNr=13-M-204353", "13-M-204353")</f>
        <v>13-M-204353</v>
      </c>
      <c r="C6806">
        <v>0.12</v>
      </c>
      <c r="D6806" t="s">
        <v>9386</v>
      </c>
      <c r="E6806" t="s">
        <v>11</v>
      </c>
      <c r="F6806" t="s">
        <v>1209</v>
      </c>
      <c r="G6806" t="s">
        <v>4876</v>
      </c>
      <c r="H6806" t="s">
        <v>938</v>
      </c>
    </row>
    <row r="6807" spans="1:10" hidden="1" x14ac:dyDescent="0.25">
      <c r="A6807" t="s">
        <v>9392</v>
      </c>
      <c r="B6807" s="1" t="str">
        <f>HYPERLINK("https://asmlis.vasa.lt/Dashboard/Served?ServiceDateFrom=2025-11-24&amp;ServiceDateTo=2025-11-24&amp;DumpsterInvNr=13-P-207695", "13-P-207695")</f>
        <v>13-P-207695</v>
      </c>
      <c r="C6807">
        <v>5</v>
      </c>
      <c r="D6807" t="s">
        <v>8612</v>
      </c>
      <c r="E6807" t="s">
        <v>11</v>
      </c>
      <c r="G6807" t="s">
        <v>234</v>
      </c>
      <c r="H6807" t="s">
        <v>14</v>
      </c>
    </row>
    <row r="6808" spans="1:10" hidden="1" x14ac:dyDescent="0.25">
      <c r="A6808" t="s">
        <v>9393</v>
      </c>
      <c r="B6808" s="1" t="str">
        <f>HYPERLINK("https://asmlis.vasa.lt/Dashboard/Served?ServiceDateFrom=2025-11-24&amp;ServiceDateTo=2025-11-24&amp;DumpsterInvNr=13-L-210236", "13-L-210236")</f>
        <v>13-L-210236</v>
      </c>
      <c r="C6808">
        <v>1.1000000000000001</v>
      </c>
      <c r="D6808" t="s">
        <v>1810</v>
      </c>
      <c r="E6808" t="s">
        <v>11</v>
      </c>
      <c r="G6808" t="s">
        <v>936</v>
      </c>
      <c r="H6808" t="s">
        <v>938</v>
      </c>
    </row>
    <row r="6809" spans="1:10" hidden="1" x14ac:dyDescent="0.25">
      <c r="A6809" t="s">
        <v>9393</v>
      </c>
      <c r="B6809" s="1" t="str">
        <f>HYPERLINK("https://asmlis.vasa.lt/Dashboard/Served?ServiceDateFrom=2025-11-24&amp;ServiceDateTo=2025-11-24&amp;DumpsterInvNr=13-P-500753", "13-P-500753")</f>
        <v>13-P-500753</v>
      </c>
      <c r="C6809">
        <v>5</v>
      </c>
      <c r="D6809" t="s">
        <v>2628</v>
      </c>
      <c r="E6809" t="s">
        <v>11</v>
      </c>
      <c r="F6809" t="s">
        <v>13</v>
      </c>
      <c r="G6809" t="s">
        <v>2178</v>
      </c>
      <c r="H6809" t="s">
        <v>432</v>
      </c>
    </row>
    <row r="6810" spans="1:10" hidden="1" x14ac:dyDescent="0.25">
      <c r="A6810" t="s">
        <v>9388</v>
      </c>
      <c r="B6810" s="1" t="str">
        <f>HYPERLINK("https://asmlis.vasa.lt/Dashboard/Served?ServiceDateFrom=2025-11-24&amp;ServiceDateTo=2025-11-24&amp;DumpsterInvNr=13-L-425791", "13-L-425791")</f>
        <v>13-L-425791</v>
      </c>
      <c r="C6810">
        <v>0.24</v>
      </c>
      <c r="D6810" t="s">
        <v>4551</v>
      </c>
      <c r="E6810" t="s">
        <v>11</v>
      </c>
      <c r="G6810" t="s">
        <v>74</v>
      </c>
      <c r="H6810" t="s">
        <v>14</v>
      </c>
    </row>
    <row r="6811" spans="1:10" hidden="1" x14ac:dyDescent="0.25">
      <c r="A6811" t="s">
        <v>9394</v>
      </c>
      <c r="B6811" s="1" t="str">
        <f>HYPERLINK("https://asmlis.vasa.lt/Dashboard/Served?ServiceDateFrom=2025-11-24&amp;ServiceDateTo=2025-11-24&amp;DumpsterInvNr=13-P-500519", "13-P-500519")</f>
        <v>13-P-500519</v>
      </c>
      <c r="C6811">
        <v>5</v>
      </c>
      <c r="D6811" t="s">
        <v>9395</v>
      </c>
      <c r="E6811" t="s">
        <v>11</v>
      </c>
      <c r="F6811" t="s">
        <v>13</v>
      </c>
      <c r="G6811" t="s">
        <v>2178</v>
      </c>
      <c r="H6811" t="s">
        <v>432</v>
      </c>
    </row>
    <row r="6812" spans="1:10" hidden="1" x14ac:dyDescent="0.25">
      <c r="A6812" t="s">
        <v>9394</v>
      </c>
      <c r="B6812" s="1" t="str">
        <f>HYPERLINK("https://asmlis.vasa.lt/Dashboard/Served?ServiceDateFrom=2025-11-24&amp;ServiceDateTo=2025-11-24&amp;DumpsterInvNr=13-P-401049", "13-P-401049")</f>
        <v>13-P-401049</v>
      </c>
      <c r="C6812">
        <v>0.24</v>
      </c>
      <c r="D6812" t="s">
        <v>7992</v>
      </c>
      <c r="E6812" t="s">
        <v>11</v>
      </c>
      <c r="G6812" t="s">
        <v>264</v>
      </c>
      <c r="H6812" t="s">
        <v>14</v>
      </c>
    </row>
    <row r="6813" spans="1:10" hidden="1" x14ac:dyDescent="0.25">
      <c r="A6813" t="s">
        <v>9396</v>
      </c>
      <c r="B6813" s="1" t="str">
        <f>HYPERLINK("https://asmlis.vasa.lt/Dashboard/Served?ServiceDateFrom=2025-11-24&amp;ServiceDateTo=2025-11-24&amp;DumpsterInvNr=13-P-301711", "13-P-301711")</f>
        <v>13-P-301711</v>
      </c>
      <c r="C6813">
        <v>1.1000000000000001</v>
      </c>
      <c r="D6813" t="s">
        <v>9397</v>
      </c>
      <c r="E6813" t="s">
        <v>11</v>
      </c>
      <c r="F6813" t="s">
        <v>13</v>
      </c>
      <c r="G6813" t="s">
        <v>412</v>
      </c>
      <c r="H6813" t="s">
        <v>14</v>
      </c>
    </row>
    <row r="6814" spans="1:10" hidden="1" x14ac:dyDescent="0.25">
      <c r="A6814" t="s">
        <v>9398</v>
      </c>
      <c r="B6814" s="1" t="str">
        <f>HYPERLINK("https://asmlis.vasa.lt/Dashboard/Served?ServiceDateFrom=2025-11-24&amp;ServiceDateTo=2025-11-24&amp;DumpsterInvNr=13-P-301664", "13-P-301664")</f>
        <v>13-P-301664</v>
      </c>
      <c r="C6814">
        <v>1.1000000000000001</v>
      </c>
      <c r="D6814" t="s">
        <v>9397</v>
      </c>
      <c r="E6814" t="s">
        <v>11</v>
      </c>
      <c r="F6814" t="s">
        <v>13</v>
      </c>
      <c r="G6814" t="s">
        <v>412</v>
      </c>
      <c r="H6814" t="s">
        <v>14</v>
      </c>
    </row>
    <row r="6815" spans="1:10" hidden="1" x14ac:dyDescent="0.25">
      <c r="A6815" t="s">
        <v>9399</v>
      </c>
      <c r="B6815" s="1" t="str">
        <f>HYPERLINK("https://asmlis.vasa.lt/Dashboard/Served?ServiceDateFrom=2025-11-24&amp;ServiceDateTo=2025-11-24&amp;DumpsterInvNr=13-M-204388", "13-M-204388")</f>
        <v>13-M-204388</v>
      </c>
      <c r="C6815">
        <v>0.12</v>
      </c>
      <c r="D6815" t="s">
        <v>9400</v>
      </c>
      <c r="E6815" t="s">
        <v>11</v>
      </c>
      <c r="F6815" t="s">
        <v>1209</v>
      </c>
      <c r="G6815" t="s">
        <v>4876</v>
      </c>
      <c r="H6815" t="s">
        <v>938</v>
      </c>
    </row>
    <row r="6816" spans="1:10" hidden="1" x14ac:dyDescent="0.25">
      <c r="A6816" t="s">
        <v>9402</v>
      </c>
      <c r="B6816" s="1" t="str">
        <f>HYPERLINK("https://asmlis.vasa.lt/Dashboard/Served?ServiceDateFrom=2025-11-24&amp;ServiceDateTo=2025-11-24&amp;DumpsterInvNr=13-S-211267", "13-S-211267")</f>
        <v>13-S-211267</v>
      </c>
      <c r="C6816">
        <v>0.12</v>
      </c>
      <c r="D6816" t="s">
        <v>9319</v>
      </c>
      <c r="E6816" t="s">
        <v>11</v>
      </c>
      <c r="F6816" t="s">
        <v>1209</v>
      </c>
      <c r="G6816" t="s">
        <v>234</v>
      </c>
      <c r="H6816" t="s">
        <v>14</v>
      </c>
    </row>
    <row r="6817" spans="1:8" hidden="1" x14ac:dyDescent="0.25">
      <c r="A6817" t="s">
        <v>9403</v>
      </c>
      <c r="B6817" s="1" t="str">
        <f>HYPERLINK("https://asmlis.vasa.lt/Dashboard/Served?ServiceDateFrom=2025-11-24&amp;ServiceDateTo=2025-11-24&amp;DumpsterInvNr=13-M-204435", "13-M-204435")</f>
        <v>13-M-204435</v>
      </c>
      <c r="C6817">
        <v>0.12</v>
      </c>
      <c r="D6817" t="s">
        <v>9404</v>
      </c>
      <c r="E6817" t="s">
        <v>11</v>
      </c>
      <c r="F6817" t="s">
        <v>1209</v>
      </c>
      <c r="G6817" t="s">
        <v>4876</v>
      </c>
      <c r="H6817" t="s">
        <v>938</v>
      </c>
    </row>
    <row r="6818" spans="1:8" hidden="1" x14ac:dyDescent="0.25">
      <c r="A6818" t="s">
        <v>9406</v>
      </c>
      <c r="B6818" s="1" t="str">
        <f>HYPERLINK("https://asmlis.vasa.lt/Dashboard/Served?ServiceDateFrom=2025-11-24&amp;ServiceDateTo=2025-11-24&amp;DumpsterInvNr=13-M-203945", "13-M-203945")</f>
        <v>13-M-203945</v>
      </c>
      <c r="C6818">
        <v>0.12</v>
      </c>
      <c r="D6818" t="s">
        <v>9407</v>
      </c>
      <c r="E6818" t="s">
        <v>11</v>
      </c>
      <c r="F6818" t="s">
        <v>1209</v>
      </c>
      <c r="G6818" t="s">
        <v>4876</v>
      </c>
      <c r="H6818" t="s">
        <v>938</v>
      </c>
    </row>
    <row r="6819" spans="1:8" hidden="1" x14ac:dyDescent="0.25">
      <c r="A6819" t="s">
        <v>8763</v>
      </c>
      <c r="B6819" s="1" t="str">
        <f>HYPERLINK("https://asmlis.vasa.lt/Dashboard/Served?ServiceDateFrom=2025-11-24&amp;ServiceDateTo=2025-11-24&amp;DumpsterInvNr=13-P-400516", "13-P-400516")</f>
        <v>13-P-400516</v>
      </c>
      <c r="C6819">
        <v>5</v>
      </c>
      <c r="D6819" t="s">
        <v>1199</v>
      </c>
      <c r="E6819" t="s">
        <v>11</v>
      </c>
      <c r="G6819" t="s">
        <v>264</v>
      </c>
      <c r="H6819" t="s">
        <v>14</v>
      </c>
    </row>
    <row r="6820" spans="1:8" hidden="1" x14ac:dyDescent="0.25">
      <c r="A6820" t="s">
        <v>8815</v>
      </c>
      <c r="B6820" s="1" t="str">
        <f>HYPERLINK("https://asmlis.vasa.lt/Dashboard/Served?ServiceDateFrom=2025-11-24&amp;ServiceDateTo=2025-11-24&amp;DumpsterInvNr=13-M-204888", "13-M-204888")</f>
        <v>13-M-204888</v>
      </c>
      <c r="C6820">
        <v>0.12</v>
      </c>
      <c r="D6820" t="s">
        <v>9408</v>
      </c>
      <c r="E6820" t="s">
        <v>11</v>
      </c>
      <c r="F6820" t="s">
        <v>1209</v>
      </c>
      <c r="G6820" t="s">
        <v>4876</v>
      </c>
      <c r="H6820" t="s">
        <v>938</v>
      </c>
    </row>
    <row r="6821" spans="1:8" hidden="1" x14ac:dyDescent="0.25">
      <c r="A6821" t="s">
        <v>9409</v>
      </c>
      <c r="B6821" s="1" t="str">
        <f>HYPERLINK("https://asmlis.vasa.lt/Dashboard/Served?ServiceDateFrom=2025-11-24&amp;ServiceDateTo=2025-11-24&amp;DumpsterInvNr=13-L-212928", "13-L-212928")</f>
        <v>13-L-212928</v>
      </c>
      <c r="C6821">
        <v>1.1000000000000001</v>
      </c>
      <c r="D6821" t="s">
        <v>1810</v>
      </c>
      <c r="E6821" t="s">
        <v>11</v>
      </c>
      <c r="G6821" t="s">
        <v>936</v>
      </c>
      <c r="H6821" t="s">
        <v>938</v>
      </c>
    </row>
    <row r="6822" spans="1:8" hidden="1" x14ac:dyDescent="0.25">
      <c r="A6822" t="s">
        <v>9061</v>
      </c>
      <c r="B6822" s="1" t="str">
        <f>HYPERLINK("https://asmlis.vasa.lt/Dashboard/Served?ServiceDateFrom=2025-11-24&amp;ServiceDateTo=2025-11-24&amp;DumpsterInvNr=13-M-204287", "13-M-204287")</f>
        <v>13-M-204287</v>
      </c>
      <c r="C6822">
        <v>0.12</v>
      </c>
      <c r="D6822" t="s">
        <v>9410</v>
      </c>
      <c r="E6822" t="s">
        <v>11</v>
      </c>
      <c r="F6822" t="s">
        <v>1209</v>
      </c>
      <c r="G6822" t="s">
        <v>4876</v>
      </c>
      <c r="H6822" t="s">
        <v>938</v>
      </c>
    </row>
    <row r="6823" spans="1:8" hidden="1" x14ac:dyDescent="0.25">
      <c r="A6823" t="s">
        <v>9411</v>
      </c>
      <c r="B6823" s="1" t="str">
        <f>HYPERLINK("https://asmlis.vasa.lt/Dashboard/Served?ServiceDateFrom=2025-11-24&amp;ServiceDateTo=2025-11-24&amp;DumpsterInvNr=13-L-409296", "13-L-409296")</f>
        <v>13-L-409296</v>
      </c>
      <c r="C6823">
        <v>1.1000000000000001</v>
      </c>
      <c r="D6823" t="s">
        <v>9357</v>
      </c>
      <c r="E6823" t="s">
        <v>11</v>
      </c>
      <c r="G6823" t="s">
        <v>74</v>
      </c>
      <c r="H6823" t="s">
        <v>14</v>
      </c>
    </row>
    <row r="6824" spans="1:8" hidden="1" x14ac:dyDescent="0.25">
      <c r="A6824" t="s">
        <v>9411</v>
      </c>
      <c r="B6824" s="1" t="str">
        <f>HYPERLINK("https://asmlis.vasa.lt/Dashboard/Served?ServiceDateFrom=2025-11-24&amp;ServiceDateTo=2025-11-24&amp;DumpsterInvNr=13-T-000062", "13-T-000062")</f>
        <v>13-T-000062</v>
      </c>
      <c r="C6824">
        <v>2.5</v>
      </c>
      <c r="D6824" t="s">
        <v>9412</v>
      </c>
      <c r="E6824" t="s">
        <v>11</v>
      </c>
      <c r="F6824" t="s">
        <v>13</v>
      </c>
      <c r="G6824" t="s">
        <v>1899</v>
      </c>
      <c r="H6824" t="s">
        <v>432</v>
      </c>
    </row>
    <row r="6825" spans="1:8" hidden="1" x14ac:dyDescent="0.25">
      <c r="A6825" t="s">
        <v>9171</v>
      </c>
      <c r="B6825" s="1" t="str">
        <f>HYPERLINK("https://asmlis.vasa.lt/Dashboard/Served?ServiceDateFrom=2025-11-24&amp;ServiceDateTo=2025-11-24&amp;DumpsterInvNr=13-T-000061", "13-T-000061")</f>
        <v>13-T-000061</v>
      </c>
      <c r="C6825">
        <v>2.5</v>
      </c>
      <c r="D6825" t="s">
        <v>9412</v>
      </c>
      <c r="E6825" t="s">
        <v>11</v>
      </c>
      <c r="F6825" t="s">
        <v>13</v>
      </c>
      <c r="G6825" t="s">
        <v>1899</v>
      </c>
      <c r="H6825" t="s">
        <v>432</v>
      </c>
    </row>
    <row r="6826" spans="1:8" hidden="1" x14ac:dyDescent="0.25">
      <c r="A6826" t="s">
        <v>9218</v>
      </c>
      <c r="B6826" s="1" t="str">
        <f>HYPERLINK("https://asmlis.vasa.lt/Dashboard/Served?ServiceDateFrom=2025-11-24&amp;ServiceDateTo=2025-11-24&amp;DumpsterInvNr=13-M-204269", "13-M-204269")</f>
        <v>13-M-204269</v>
      </c>
      <c r="C6826">
        <v>0.12</v>
      </c>
      <c r="D6826" t="s">
        <v>9413</v>
      </c>
      <c r="E6826" t="s">
        <v>11</v>
      </c>
      <c r="G6826" t="s">
        <v>4876</v>
      </c>
      <c r="H6826" t="s">
        <v>938</v>
      </c>
    </row>
    <row r="6827" spans="1:8" hidden="1" x14ac:dyDescent="0.25">
      <c r="A6827" t="s">
        <v>9229</v>
      </c>
      <c r="B6827" s="1" t="str">
        <f>HYPERLINK("https://asmlis.vasa.lt/Dashboard/Served?ServiceDateFrom=2025-11-24&amp;ServiceDateTo=2025-11-24&amp;DumpsterInvNr=13-L-420549", "13-L-420549")</f>
        <v>13-L-420549</v>
      </c>
      <c r="C6827">
        <v>0.24</v>
      </c>
      <c r="D6827" t="s">
        <v>4582</v>
      </c>
      <c r="E6827" t="s">
        <v>11</v>
      </c>
      <c r="G6827" t="s">
        <v>74</v>
      </c>
      <c r="H6827" t="s">
        <v>14</v>
      </c>
    </row>
    <row r="6828" spans="1:8" hidden="1" x14ac:dyDescent="0.25">
      <c r="A6828" t="s">
        <v>9238</v>
      </c>
      <c r="B6828" s="1" t="str">
        <f>HYPERLINK("https://asmlis.vasa.lt/Dashboard/Served?ServiceDateFrom=2025-11-24&amp;ServiceDateTo=2025-11-24&amp;DumpsterInvNr=13-M-203960", "13-M-203960")</f>
        <v>13-M-203960</v>
      </c>
      <c r="C6828">
        <v>0.12</v>
      </c>
      <c r="D6828" t="s">
        <v>9414</v>
      </c>
      <c r="E6828" t="s">
        <v>11</v>
      </c>
      <c r="F6828" t="s">
        <v>1209</v>
      </c>
      <c r="G6828" t="s">
        <v>4876</v>
      </c>
      <c r="H6828" t="s">
        <v>938</v>
      </c>
    </row>
    <row r="6829" spans="1:8" hidden="1" x14ac:dyDescent="0.25">
      <c r="A6829" t="s">
        <v>9260</v>
      </c>
      <c r="B6829" s="1" t="str">
        <f>HYPERLINK("https://asmlis.vasa.lt/Dashboard/Served?ServiceDateFrom=2025-11-24&amp;ServiceDateTo=2025-11-24&amp;DumpsterInvNr=13-P-301776", "13-P-301776")</f>
        <v>13-P-301776</v>
      </c>
      <c r="C6829">
        <v>1.1000000000000001</v>
      </c>
      <c r="D6829" t="s">
        <v>9416</v>
      </c>
      <c r="E6829" t="s">
        <v>11</v>
      </c>
      <c r="G6829" t="s">
        <v>412</v>
      </c>
      <c r="H6829" t="s">
        <v>14</v>
      </c>
    </row>
    <row r="6830" spans="1:8" hidden="1" x14ac:dyDescent="0.25">
      <c r="A6830" t="s">
        <v>9325</v>
      </c>
      <c r="B6830" s="1" t="str">
        <f>HYPERLINK("https://asmlis.vasa.lt/Dashboard/Served?ServiceDateFrom=2025-11-24&amp;ServiceDateTo=2025-11-24&amp;DumpsterInvNr=13-M-204256", "13-M-204256")</f>
        <v>13-M-204256</v>
      </c>
      <c r="C6830">
        <v>0.12</v>
      </c>
      <c r="D6830" t="s">
        <v>9417</v>
      </c>
      <c r="E6830" t="s">
        <v>11</v>
      </c>
      <c r="F6830" t="s">
        <v>1209</v>
      </c>
      <c r="G6830" t="s">
        <v>4876</v>
      </c>
      <c r="H6830" t="s">
        <v>938</v>
      </c>
    </row>
    <row r="6831" spans="1:8" hidden="1" x14ac:dyDescent="0.25">
      <c r="A6831" t="s">
        <v>9346</v>
      </c>
      <c r="B6831" s="1" t="str">
        <f>HYPERLINK("https://asmlis.vasa.lt/Dashboard/Served?ServiceDateFrom=2025-11-24&amp;ServiceDateTo=2025-11-24&amp;DumpsterInvNr=13-P-416399", "13-P-416399")</f>
        <v>13-P-416399</v>
      </c>
      <c r="C6831">
        <v>1.1000000000000001</v>
      </c>
      <c r="D6831" t="s">
        <v>9418</v>
      </c>
      <c r="E6831" t="s">
        <v>11</v>
      </c>
      <c r="F6831" t="s">
        <v>13</v>
      </c>
      <c r="G6831" t="s">
        <v>264</v>
      </c>
      <c r="H6831" t="s">
        <v>14</v>
      </c>
    </row>
    <row r="6832" spans="1:8" hidden="1" x14ac:dyDescent="0.25">
      <c r="A6832" t="s">
        <v>9419</v>
      </c>
      <c r="B6832" s="1" t="str">
        <f>HYPERLINK("https://asmlis.vasa.lt/Dashboard/Served?ServiceDateFrom=2025-11-24&amp;ServiceDateTo=2025-11-24&amp;DumpsterInvNr=13-P-415581", "13-P-415581")</f>
        <v>13-P-415581</v>
      </c>
      <c r="C6832">
        <v>1.1000000000000001</v>
      </c>
      <c r="D6832" t="s">
        <v>9418</v>
      </c>
      <c r="E6832" t="s">
        <v>11</v>
      </c>
      <c r="F6832" t="s">
        <v>13</v>
      </c>
      <c r="G6832" t="s">
        <v>264</v>
      </c>
      <c r="H6832" t="s">
        <v>14</v>
      </c>
    </row>
    <row r="6833" spans="1:8" hidden="1" x14ac:dyDescent="0.25">
      <c r="A6833" t="s">
        <v>9420</v>
      </c>
      <c r="B6833" s="1" t="str">
        <f>HYPERLINK("https://asmlis.vasa.lt/Dashboard/Served?ServiceDateFrom=2025-11-24&amp;ServiceDateTo=2025-11-24&amp;DumpsterInvNr=13-L-425690", "13-L-425690")</f>
        <v>13-L-425690</v>
      </c>
      <c r="C6833">
        <v>1.1000000000000001</v>
      </c>
      <c r="D6833" t="s">
        <v>9357</v>
      </c>
      <c r="E6833" t="s">
        <v>11</v>
      </c>
      <c r="G6833" t="s">
        <v>74</v>
      </c>
      <c r="H6833" t="s">
        <v>14</v>
      </c>
    </row>
    <row r="6834" spans="1:8" hidden="1" x14ac:dyDescent="0.25">
      <c r="A6834" t="s">
        <v>9421</v>
      </c>
      <c r="B6834" s="1" t="str">
        <f>HYPERLINK("https://asmlis.vasa.lt/Dashboard/Served?ServiceDateFrom=2025-11-24&amp;ServiceDateTo=2025-11-24&amp;DumpsterInvNr=13-L-222552", "13-L-222552")</f>
        <v>13-L-222552</v>
      </c>
      <c r="C6834">
        <v>1.1000000000000001</v>
      </c>
      <c r="D6834" t="s">
        <v>1810</v>
      </c>
      <c r="E6834" t="s">
        <v>11</v>
      </c>
      <c r="G6834" t="s">
        <v>936</v>
      </c>
      <c r="H6834" t="s">
        <v>938</v>
      </c>
    </row>
    <row r="6835" spans="1:8" hidden="1" x14ac:dyDescent="0.25">
      <c r="A6835" t="s">
        <v>9421</v>
      </c>
      <c r="B6835" s="1" t="str">
        <f>HYPERLINK("https://asmlis.vasa.lt/Dashboard/Served?ServiceDateFrom=2025-11-24&amp;ServiceDateTo=2025-11-24&amp;DumpsterInvNr=13-P-210688", "13-P-210688")</f>
        <v>13-P-210688</v>
      </c>
      <c r="C6835">
        <v>0.24</v>
      </c>
      <c r="D6835" t="s">
        <v>9422</v>
      </c>
      <c r="E6835" t="s">
        <v>11</v>
      </c>
      <c r="G6835" t="s">
        <v>234</v>
      </c>
      <c r="H6835" t="s">
        <v>14</v>
      </c>
    </row>
    <row r="6836" spans="1:8" hidden="1" x14ac:dyDescent="0.25">
      <c r="A6836" t="s">
        <v>9338</v>
      </c>
      <c r="B6836" s="1" t="str">
        <f>HYPERLINK("https://asmlis.vasa.lt/Dashboard/Served?ServiceDateFrom=2025-11-24&amp;ServiceDateTo=2025-11-24&amp;DumpsterInvNr=13-L-421545", "13-L-421545")</f>
        <v>13-L-421545</v>
      </c>
      <c r="C6836">
        <v>5</v>
      </c>
      <c r="D6836" t="s">
        <v>9423</v>
      </c>
      <c r="E6836" t="s">
        <v>11</v>
      </c>
      <c r="F6836" t="s">
        <v>13</v>
      </c>
      <c r="G6836" t="s">
        <v>74</v>
      </c>
      <c r="H6836" t="s">
        <v>14</v>
      </c>
    </row>
    <row r="6837" spans="1:8" hidden="1" x14ac:dyDescent="0.25">
      <c r="A6837" t="s">
        <v>9338</v>
      </c>
      <c r="B6837" s="1" t="str">
        <f>HYPERLINK("https://asmlis.vasa.lt/Dashboard/Served?ServiceDateFrom=2025-11-24&amp;ServiceDateTo=2025-11-24&amp;DumpsterInvNr=13-L-403994", "13-L-403994")</f>
        <v>13-L-403994</v>
      </c>
      <c r="C6837">
        <v>0.12</v>
      </c>
      <c r="D6837" t="s">
        <v>4574</v>
      </c>
      <c r="E6837" t="s">
        <v>11</v>
      </c>
      <c r="G6837" t="s">
        <v>74</v>
      </c>
      <c r="H6837" t="s">
        <v>14</v>
      </c>
    </row>
    <row r="6838" spans="1:8" hidden="1" x14ac:dyDescent="0.25">
      <c r="A6838" t="s">
        <v>9424</v>
      </c>
      <c r="B6838" s="1" t="str">
        <f>HYPERLINK("https://asmlis.vasa.lt/Dashboard/Served?ServiceDateFrom=2025-11-24&amp;ServiceDateTo=2025-11-24&amp;DumpsterInvNr=13-L-317885", "13-L-317885")</f>
        <v>13-L-317885</v>
      </c>
      <c r="C6838">
        <v>1.1000000000000001</v>
      </c>
      <c r="D6838" t="s">
        <v>5966</v>
      </c>
      <c r="E6838" t="s">
        <v>11</v>
      </c>
      <c r="G6838" t="s">
        <v>9</v>
      </c>
      <c r="H6838" t="s">
        <v>14</v>
      </c>
    </row>
    <row r="6839" spans="1:8" hidden="1" x14ac:dyDescent="0.25">
      <c r="A6839" t="s">
        <v>9425</v>
      </c>
      <c r="B6839" s="1" t="str">
        <f>HYPERLINK("https://asmlis.vasa.lt/Dashboard/Served?ServiceDateFrom=2025-11-24&amp;ServiceDateTo=2025-11-24&amp;DumpsterInvNr=13-L-227639", "13-L-227639")</f>
        <v>13-L-227639</v>
      </c>
      <c r="C6839">
        <v>1.1000000000000001</v>
      </c>
      <c r="D6839" t="s">
        <v>1810</v>
      </c>
      <c r="E6839" t="s">
        <v>11</v>
      </c>
      <c r="F6839" t="s">
        <v>13</v>
      </c>
      <c r="G6839" t="s">
        <v>936</v>
      </c>
      <c r="H6839" t="s">
        <v>938</v>
      </c>
    </row>
    <row r="6840" spans="1:8" hidden="1" x14ac:dyDescent="0.25">
      <c r="A6840" t="s">
        <v>9125</v>
      </c>
      <c r="B6840" s="1" t="str">
        <f>HYPERLINK("https://asmlis.vasa.lt/Dashboard/Served?ServiceDateFrom=2025-11-24&amp;ServiceDateTo=2025-11-24&amp;DumpsterInvNr=13-L-222181", "13-L-222181")</f>
        <v>13-L-222181</v>
      </c>
      <c r="C6840">
        <v>1.1000000000000001</v>
      </c>
      <c r="D6840" t="s">
        <v>7509</v>
      </c>
      <c r="E6840" t="s">
        <v>11</v>
      </c>
      <c r="G6840" t="s">
        <v>936</v>
      </c>
      <c r="H6840" t="s">
        <v>938</v>
      </c>
    </row>
    <row r="6841" spans="1:8" hidden="1" x14ac:dyDescent="0.25">
      <c r="A6841" t="s">
        <v>9055</v>
      </c>
      <c r="B6841" s="1" t="str">
        <f>HYPERLINK("https://asmlis.vasa.lt/Dashboard/Served?ServiceDateFrom=2025-11-24&amp;ServiceDateTo=2025-11-24&amp;DumpsterInvNr=13-L-208111", "13-L-208111")</f>
        <v>13-L-208111</v>
      </c>
      <c r="C6841">
        <v>1.1000000000000001</v>
      </c>
      <c r="D6841" t="s">
        <v>1810</v>
      </c>
      <c r="E6841" t="s">
        <v>11</v>
      </c>
      <c r="F6841" t="s">
        <v>13</v>
      </c>
      <c r="G6841" t="s">
        <v>936</v>
      </c>
      <c r="H6841" t="s">
        <v>938</v>
      </c>
    </row>
    <row r="6842" spans="1:8" hidden="1" x14ac:dyDescent="0.25">
      <c r="A6842" t="s">
        <v>9426</v>
      </c>
      <c r="B6842" s="1" t="str">
        <f>HYPERLINK("https://asmlis.vasa.lt/Dashboard/Served?ServiceDateFrom=2025-11-24&amp;ServiceDateTo=2025-11-24&amp;DumpsterInvNr=13-P-415958", "13-P-415958")</f>
        <v>13-P-415958</v>
      </c>
      <c r="C6842">
        <v>0.24</v>
      </c>
      <c r="D6842" t="s">
        <v>7914</v>
      </c>
      <c r="E6842" t="s">
        <v>11</v>
      </c>
      <c r="G6842" t="s">
        <v>264</v>
      </c>
      <c r="H6842" t="s">
        <v>14</v>
      </c>
    </row>
    <row r="6843" spans="1:8" hidden="1" x14ac:dyDescent="0.25">
      <c r="A6843" t="s">
        <v>9427</v>
      </c>
      <c r="B6843" s="1" t="str">
        <f>HYPERLINK("https://asmlis.vasa.lt/Dashboard/Served?ServiceDateFrom=2025-11-24&amp;ServiceDateTo=2025-11-24&amp;DumpsterInvNr=13-L-313515", "13-L-313515")</f>
        <v>13-L-313515</v>
      </c>
      <c r="C6843">
        <v>5</v>
      </c>
      <c r="D6843" t="s">
        <v>7831</v>
      </c>
      <c r="E6843" t="s">
        <v>11</v>
      </c>
      <c r="G6843" t="s">
        <v>9</v>
      </c>
      <c r="H6843" t="s">
        <v>14</v>
      </c>
    </row>
    <row r="6844" spans="1:8" hidden="1" x14ac:dyDescent="0.25">
      <c r="A6844" t="s">
        <v>9428</v>
      </c>
      <c r="B6844" s="1" t="str">
        <f>HYPERLINK("https://asmlis.vasa.lt/Dashboard/Served?ServiceDateFrom=2025-11-24&amp;ServiceDateTo=2025-11-24&amp;DumpsterInvNr=13-L-213269", "13-L-213269")</f>
        <v>13-L-213269</v>
      </c>
      <c r="C6844">
        <v>1.1000000000000001</v>
      </c>
      <c r="D6844" t="s">
        <v>7509</v>
      </c>
      <c r="E6844" t="s">
        <v>11</v>
      </c>
      <c r="F6844" t="s">
        <v>13</v>
      </c>
      <c r="G6844" t="s">
        <v>936</v>
      </c>
      <c r="H6844" t="s">
        <v>938</v>
      </c>
    </row>
    <row r="6845" spans="1:8" hidden="1" x14ac:dyDescent="0.25">
      <c r="A6845" t="s">
        <v>9428</v>
      </c>
      <c r="B6845" s="1" t="str">
        <f>HYPERLINK("https://asmlis.vasa.lt/Dashboard/Served?ServiceDateFrom=2025-11-24&amp;ServiceDateTo=2025-11-24&amp;DumpsterInvNr=13-P-400820", "13-P-400820")</f>
        <v>13-P-400820</v>
      </c>
      <c r="C6845">
        <v>0.24</v>
      </c>
      <c r="D6845" t="s">
        <v>9429</v>
      </c>
      <c r="E6845" t="s">
        <v>11</v>
      </c>
      <c r="F6845" t="s">
        <v>13</v>
      </c>
      <c r="G6845" t="s">
        <v>264</v>
      </c>
      <c r="H6845" t="s">
        <v>14</v>
      </c>
    </row>
    <row r="6846" spans="1:8" hidden="1" x14ac:dyDescent="0.25">
      <c r="A6846" t="s">
        <v>9268</v>
      </c>
      <c r="B6846" s="1" t="str">
        <f>HYPERLINK("https://asmlis.vasa.lt/Dashboard/Served?ServiceDateFrom=2025-11-24&amp;ServiceDateTo=2025-11-24&amp;DumpsterInvNr=13-L-420425", "13-L-420425")</f>
        <v>13-L-420425</v>
      </c>
      <c r="C6846">
        <v>0.24</v>
      </c>
      <c r="D6846" t="s">
        <v>4536</v>
      </c>
      <c r="E6846" t="s">
        <v>11</v>
      </c>
      <c r="F6846" t="s">
        <v>1209</v>
      </c>
      <c r="G6846" t="s">
        <v>74</v>
      </c>
      <c r="H6846" t="s">
        <v>14</v>
      </c>
    </row>
    <row r="6847" spans="1:8" hidden="1" x14ac:dyDescent="0.25">
      <c r="A6847" t="s">
        <v>9430</v>
      </c>
      <c r="B6847" s="1" t="str">
        <f>HYPERLINK("https://asmlis.vasa.lt/Dashboard/Served?ServiceDateFrom=2025-11-24&amp;ServiceDateTo=2025-11-24&amp;DumpsterInvNr=13-P-301341", "13-P-301341")</f>
        <v>13-P-301341</v>
      </c>
      <c r="C6847">
        <v>0.24</v>
      </c>
      <c r="D6847" t="s">
        <v>9431</v>
      </c>
      <c r="E6847" t="s">
        <v>11</v>
      </c>
      <c r="G6847" t="s">
        <v>412</v>
      </c>
      <c r="H6847" t="s">
        <v>14</v>
      </c>
    </row>
    <row r="6848" spans="1:8" hidden="1" x14ac:dyDescent="0.25">
      <c r="A6848" t="s">
        <v>9430</v>
      </c>
      <c r="B6848" s="1" t="str">
        <f>HYPERLINK("https://asmlis.vasa.lt/Dashboard/Served?ServiceDateFrom=2025-11-24&amp;ServiceDateTo=2025-11-24&amp;DumpsterInvNr=13-M-204376", "13-M-204376")</f>
        <v>13-M-204376</v>
      </c>
      <c r="C6848">
        <v>0.12</v>
      </c>
      <c r="D6848" t="s">
        <v>9432</v>
      </c>
      <c r="E6848" t="s">
        <v>11</v>
      </c>
      <c r="G6848" t="s">
        <v>4876</v>
      </c>
      <c r="H6848" t="s">
        <v>938</v>
      </c>
    </row>
    <row r="6849" spans="1:8" hidden="1" x14ac:dyDescent="0.25">
      <c r="A6849" t="s">
        <v>9433</v>
      </c>
      <c r="B6849" s="1" t="str">
        <f>HYPERLINK("https://asmlis.vasa.lt/Dashboard/Served?ServiceDateFrom=2025-11-24&amp;ServiceDateTo=2025-11-24&amp;DumpsterInvNr=13-P-500736", "13-P-500736")</f>
        <v>13-P-500736</v>
      </c>
      <c r="C6849">
        <v>2.5</v>
      </c>
      <c r="D6849" t="s">
        <v>9434</v>
      </c>
      <c r="E6849" t="s">
        <v>11</v>
      </c>
      <c r="F6849" t="s">
        <v>13</v>
      </c>
      <c r="G6849" t="s">
        <v>2178</v>
      </c>
      <c r="H6849" t="s">
        <v>432</v>
      </c>
    </row>
    <row r="6850" spans="1:8" hidden="1" x14ac:dyDescent="0.25">
      <c r="A6850" t="s">
        <v>9435</v>
      </c>
      <c r="B6850" s="1" t="str">
        <f>HYPERLINK("https://asmlis.vasa.lt/Dashboard/Served?ServiceDateFrom=2025-11-24&amp;ServiceDateTo=2025-11-24&amp;DumpsterInvNr=13-P-500737", "13-P-500737")</f>
        <v>13-P-500737</v>
      </c>
      <c r="C6850">
        <v>2.5</v>
      </c>
      <c r="D6850" t="s">
        <v>9434</v>
      </c>
      <c r="E6850" t="s">
        <v>11</v>
      </c>
      <c r="F6850" t="s">
        <v>13</v>
      </c>
      <c r="G6850" t="s">
        <v>2178</v>
      </c>
      <c r="H6850" t="s">
        <v>432</v>
      </c>
    </row>
    <row r="6851" spans="1:8" hidden="1" x14ac:dyDescent="0.25">
      <c r="A6851" t="s">
        <v>9315</v>
      </c>
      <c r="B6851" s="1" t="str">
        <f>HYPERLINK("https://asmlis.vasa.lt/Dashboard/Served?ServiceDateFrom=2025-11-24&amp;ServiceDateTo=2025-11-24&amp;DumpsterInvNr=13-L-421788", "13-L-421788")</f>
        <v>13-L-421788</v>
      </c>
      <c r="C6851">
        <v>1.1000000000000001</v>
      </c>
      <c r="D6851" t="s">
        <v>8712</v>
      </c>
      <c r="E6851" t="s">
        <v>11</v>
      </c>
      <c r="G6851" t="s">
        <v>74</v>
      </c>
      <c r="H6851" t="s">
        <v>14</v>
      </c>
    </row>
    <row r="6852" spans="1:8" hidden="1" x14ac:dyDescent="0.25">
      <c r="A6852" t="s">
        <v>9436</v>
      </c>
      <c r="B6852" s="1" t="str">
        <f>HYPERLINK("https://asmlis.vasa.lt/Dashboard/Served?ServiceDateFrom=2025-11-24&amp;ServiceDateTo=2025-11-24&amp;DumpsterInvNr=13-P-301340", "13-P-301340")</f>
        <v>13-P-301340</v>
      </c>
      <c r="C6852">
        <v>0.24</v>
      </c>
      <c r="D6852" t="s">
        <v>9431</v>
      </c>
      <c r="E6852" t="s">
        <v>11</v>
      </c>
      <c r="G6852" t="s">
        <v>412</v>
      </c>
      <c r="H6852" t="s">
        <v>14</v>
      </c>
    </row>
    <row r="6853" spans="1:8" hidden="1" x14ac:dyDescent="0.25">
      <c r="A6853" t="s">
        <v>9437</v>
      </c>
      <c r="B6853" s="1" t="str">
        <f>HYPERLINK("https://asmlis.vasa.lt/Dashboard/Served?ServiceDateFrom=2025-11-24&amp;ServiceDateTo=2025-11-24&amp;DumpsterInvNr=13-L-403943", "13-L-403943")</f>
        <v>13-L-403943</v>
      </c>
      <c r="C6853">
        <v>0.12</v>
      </c>
      <c r="D6853" t="s">
        <v>9438</v>
      </c>
      <c r="E6853" t="s">
        <v>11</v>
      </c>
      <c r="F6853" t="s">
        <v>1209</v>
      </c>
      <c r="G6853" t="s">
        <v>74</v>
      </c>
      <c r="H6853" t="s">
        <v>14</v>
      </c>
    </row>
    <row r="6854" spans="1:8" hidden="1" x14ac:dyDescent="0.25">
      <c r="A6854" t="s">
        <v>9439</v>
      </c>
      <c r="B6854" s="1" t="str">
        <f>HYPERLINK("https://asmlis.vasa.lt/Dashboard/Served?ServiceDateFrom=2025-11-24&amp;ServiceDateTo=2025-11-24&amp;DumpsterInvNr=13-P-413992", "13-P-413992")</f>
        <v>13-P-413992</v>
      </c>
      <c r="C6854">
        <v>5</v>
      </c>
      <c r="D6854" t="s">
        <v>463</v>
      </c>
      <c r="E6854" t="s">
        <v>11</v>
      </c>
      <c r="G6854" t="s">
        <v>264</v>
      </c>
      <c r="H6854" t="s">
        <v>14</v>
      </c>
    </row>
    <row r="6855" spans="1:8" hidden="1" x14ac:dyDescent="0.25">
      <c r="A6855" t="s">
        <v>9440</v>
      </c>
      <c r="B6855" s="1" t="str">
        <f>HYPERLINK("https://asmlis.vasa.lt/Dashboard/Served?ServiceDateFrom=2025-11-24&amp;ServiceDateTo=2025-11-24&amp;DumpsterInvNr=13-L-218847", "13-L-218847")</f>
        <v>13-L-218847</v>
      </c>
      <c r="C6855">
        <v>1.1000000000000001</v>
      </c>
      <c r="D6855" t="s">
        <v>1789</v>
      </c>
      <c r="E6855" t="s">
        <v>11</v>
      </c>
      <c r="G6855" t="s">
        <v>936</v>
      </c>
      <c r="H6855" t="s">
        <v>938</v>
      </c>
    </row>
    <row r="6856" spans="1:8" hidden="1" x14ac:dyDescent="0.25">
      <c r="A6856" t="s">
        <v>9440</v>
      </c>
      <c r="B6856" s="1" t="str">
        <f>HYPERLINK("https://asmlis.vasa.lt/Dashboard/Served?ServiceDateFrom=2025-11-24&amp;ServiceDateTo=2025-11-24&amp;DumpsterInvNr=13-L-123105", "13-L-123105")</f>
        <v>13-L-123105</v>
      </c>
      <c r="C6856">
        <v>1.1000000000000001</v>
      </c>
      <c r="D6856" t="s">
        <v>9441</v>
      </c>
      <c r="E6856" t="s">
        <v>11</v>
      </c>
      <c r="G6856" t="s">
        <v>1912</v>
      </c>
      <c r="H6856" t="s">
        <v>432</v>
      </c>
    </row>
    <row r="6857" spans="1:8" hidden="1" x14ac:dyDescent="0.25">
      <c r="A6857" t="s">
        <v>9443</v>
      </c>
      <c r="B6857" s="1" t="str">
        <f>HYPERLINK("https://asmlis.vasa.lt/Dashboard/Served?ServiceDateFrom=2025-11-24&amp;ServiceDateTo=2025-11-24&amp;DumpsterInvNr=13-P-300753", "13-P-300753")</f>
        <v>13-P-300753</v>
      </c>
      <c r="C6857">
        <v>2.5</v>
      </c>
      <c r="D6857" t="s">
        <v>5972</v>
      </c>
      <c r="E6857" t="s">
        <v>11</v>
      </c>
      <c r="F6857" t="s">
        <v>13</v>
      </c>
      <c r="G6857" t="s">
        <v>412</v>
      </c>
      <c r="H6857" t="s">
        <v>14</v>
      </c>
    </row>
    <row r="6858" spans="1:8" hidden="1" x14ac:dyDescent="0.25">
      <c r="A6858" t="s">
        <v>9444</v>
      </c>
      <c r="B6858" s="1" t="str">
        <f>HYPERLINK("https://asmlis.vasa.lt/Dashboard/Served?ServiceDateFrom=2025-11-24&amp;ServiceDateTo=2025-11-24&amp;DumpsterInvNr=13-P-306920", "13-P-306920")</f>
        <v>13-P-306920</v>
      </c>
      <c r="C6858">
        <v>2.5</v>
      </c>
      <c r="D6858" t="s">
        <v>5972</v>
      </c>
      <c r="E6858" t="s">
        <v>11</v>
      </c>
      <c r="F6858" t="s">
        <v>13</v>
      </c>
      <c r="G6858" t="s">
        <v>412</v>
      </c>
      <c r="H6858" t="s">
        <v>14</v>
      </c>
    </row>
    <row r="6859" spans="1:8" hidden="1" x14ac:dyDescent="0.25">
      <c r="A6859" t="s">
        <v>9445</v>
      </c>
      <c r="B6859" s="1" t="str">
        <f>HYPERLINK("https://asmlis.vasa.lt/Dashboard/Served?ServiceDateFrom=2025-11-24&amp;ServiceDateTo=2025-11-24&amp;DumpsterInvNr=13-L-221862", "13-L-221862")</f>
        <v>13-L-221862</v>
      </c>
      <c r="C6859">
        <v>1.1000000000000001</v>
      </c>
      <c r="D6859" t="s">
        <v>9446</v>
      </c>
      <c r="E6859" t="s">
        <v>11</v>
      </c>
      <c r="G6859" t="s">
        <v>936</v>
      </c>
      <c r="H6859" t="s">
        <v>938</v>
      </c>
    </row>
    <row r="6860" spans="1:8" hidden="1" x14ac:dyDescent="0.25">
      <c r="A6860" t="s">
        <v>9447</v>
      </c>
      <c r="B6860" s="1" t="str">
        <f>HYPERLINK("https://asmlis.vasa.lt/Dashboard/Served?ServiceDateFrom=2025-11-24&amp;ServiceDateTo=2025-11-24&amp;DumpsterInvNr=13-P-102351", "13-P-102351")</f>
        <v>13-P-102351</v>
      </c>
      <c r="C6860">
        <v>5</v>
      </c>
      <c r="D6860" t="s">
        <v>3766</v>
      </c>
      <c r="E6860" t="s">
        <v>11</v>
      </c>
      <c r="F6860" t="s">
        <v>13</v>
      </c>
      <c r="G6860" t="s">
        <v>1917</v>
      </c>
      <c r="H6860" t="s">
        <v>432</v>
      </c>
    </row>
    <row r="6861" spans="1:8" hidden="1" x14ac:dyDescent="0.25">
      <c r="A6861" t="s">
        <v>9448</v>
      </c>
      <c r="B6861" s="1" t="str">
        <f>HYPERLINK("https://asmlis.vasa.lt/Dashboard/Served?ServiceDateFrom=2025-11-24&amp;ServiceDateTo=2025-11-24&amp;DumpsterInvNr=13-M-202466", "13-M-202466")</f>
        <v>13-M-202466</v>
      </c>
      <c r="C6861">
        <v>0.12</v>
      </c>
      <c r="D6861" t="s">
        <v>9449</v>
      </c>
      <c r="E6861" t="s">
        <v>11</v>
      </c>
      <c r="F6861" t="s">
        <v>1209</v>
      </c>
      <c r="G6861" t="s">
        <v>4876</v>
      </c>
      <c r="H6861" t="s">
        <v>938</v>
      </c>
    </row>
    <row r="6862" spans="1:8" hidden="1" x14ac:dyDescent="0.25">
      <c r="A6862" t="s">
        <v>9350</v>
      </c>
      <c r="B6862" s="1" t="str">
        <f>HYPERLINK("https://asmlis.vasa.lt/Dashboard/Served?ServiceDateFrom=2025-11-24&amp;ServiceDateTo=2025-11-24&amp;DumpsterInvNr=13-P-115314", "13-P-115314")</f>
        <v>13-P-115314</v>
      </c>
      <c r="C6862">
        <v>1.1000000000000001</v>
      </c>
      <c r="D6862" t="s">
        <v>9450</v>
      </c>
      <c r="E6862" t="s">
        <v>11</v>
      </c>
      <c r="G6862" t="s">
        <v>1917</v>
      </c>
      <c r="H6862" t="s">
        <v>432</v>
      </c>
    </row>
    <row r="6863" spans="1:8" hidden="1" x14ac:dyDescent="0.25">
      <c r="A6863" t="s">
        <v>9350</v>
      </c>
      <c r="B6863" s="1" t="str">
        <f>HYPERLINK("https://asmlis.vasa.lt/Dashboard/Served?ServiceDateFrom=2025-11-24&amp;ServiceDateTo=2025-11-24&amp;DumpsterInvNr=13-M-201982", "13-M-201982")</f>
        <v>13-M-201982</v>
      </c>
      <c r="C6863">
        <v>0.12</v>
      </c>
      <c r="D6863" t="s">
        <v>9452</v>
      </c>
      <c r="E6863" t="s">
        <v>11</v>
      </c>
      <c r="F6863" t="s">
        <v>1209</v>
      </c>
      <c r="G6863" t="s">
        <v>4876</v>
      </c>
      <c r="H6863" t="s">
        <v>938</v>
      </c>
    </row>
    <row r="6864" spans="1:8" hidden="1" x14ac:dyDescent="0.25">
      <c r="A6864" t="s">
        <v>9453</v>
      </c>
      <c r="B6864" s="1" t="str">
        <f>HYPERLINK("https://asmlis.vasa.lt/Dashboard/Served?ServiceDateFrom=2025-11-24&amp;ServiceDateTo=2025-11-24&amp;DumpsterInvNr=13-L-410591", "13-L-410591")</f>
        <v>13-L-410591</v>
      </c>
      <c r="C6864">
        <v>0.12</v>
      </c>
      <c r="D6864" t="s">
        <v>4619</v>
      </c>
      <c r="E6864" t="s">
        <v>11</v>
      </c>
      <c r="G6864" t="s">
        <v>74</v>
      </c>
      <c r="H6864" t="s">
        <v>14</v>
      </c>
    </row>
    <row r="6865" spans="1:8" hidden="1" x14ac:dyDescent="0.25">
      <c r="A6865" t="s">
        <v>9454</v>
      </c>
      <c r="B6865" s="1" t="str">
        <f>HYPERLINK("https://asmlis.vasa.lt/Dashboard/Served?ServiceDateFrom=2025-11-24&amp;ServiceDateTo=2025-11-24&amp;DumpsterInvNr=13-L-317887", "13-L-317887")</f>
        <v>13-L-317887</v>
      </c>
      <c r="C6865">
        <v>1.1000000000000001</v>
      </c>
      <c r="D6865" t="s">
        <v>5966</v>
      </c>
      <c r="E6865" t="s">
        <v>11</v>
      </c>
      <c r="F6865" t="s">
        <v>13</v>
      </c>
      <c r="G6865" t="s">
        <v>9</v>
      </c>
      <c r="H6865" t="s">
        <v>14</v>
      </c>
    </row>
    <row r="6866" spans="1:8" hidden="1" x14ac:dyDescent="0.25">
      <c r="A6866" t="s">
        <v>9455</v>
      </c>
      <c r="B6866" s="1" t="str">
        <f>HYPERLINK("https://asmlis.vasa.lt/Dashboard/Served?ServiceDateFrom=2025-11-24&amp;ServiceDateTo=2025-11-24&amp;DumpsterInvNr=13-L-107348", "13-L-107348")</f>
        <v>13-L-107348</v>
      </c>
      <c r="C6866">
        <v>5</v>
      </c>
      <c r="D6866" t="s">
        <v>9456</v>
      </c>
      <c r="E6866" t="s">
        <v>11</v>
      </c>
      <c r="F6866" t="s">
        <v>13</v>
      </c>
      <c r="G6866" t="s">
        <v>1912</v>
      </c>
      <c r="H6866" t="s">
        <v>432</v>
      </c>
    </row>
    <row r="6867" spans="1:8" hidden="1" x14ac:dyDescent="0.25">
      <c r="A6867" t="s">
        <v>8214</v>
      </c>
      <c r="B6867" s="1" t="str">
        <f>HYPERLINK("https://asmlis.vasa.lt/Dashboard/Served?ServiceDateFrom=2025-11-24&amp;ServiceDateTo=2025-11-24&amp;DumpsterInvNr=13-P-105558", "13-P-105558")</f>
        <v>13-P-105558</v>
      </c>
      <c r="C6867">
        <v>1.1000000000000001</v>
      </c>
      <c r="D6867" t="s">
        <v>9450</v>
      </c>
      <c r="E6867" t="s">
        <v>11</v>
      </c>
      <c r="G6867" t="s">
        <v>1917</v>
      </c>
      <c r="H6867" t="s">
        <v>432</v>
      </c>
    </row>
    <row r="6868" spans="1:8" hidden="1" x14ac:dyDescent="0.25">
      <c r="A6868" t="s">
        <v>8214</v>
      </c>
      <c r="B6868" s="1" t="str">
        <f>HYPERLINK("https://asmlis.vasa.lt/Dashboard/Served?ServiceDateFrom=2025-11-24&amp;ServiceDateTo=2025-11-24&amp;DumpsterInvNr=13-L-107347", "13-L-107347")</f>
        <v>13-L-107347</v>
      </c>
      <c r="C6868">
        <v>5</v>
      </c>
      <c r="D6868" t="s">
        <v>9456</v>
      </c>
      <c r="E6868" t="s">
        <v>11</v>
      </c>
      <c r="F6868" t="s">
        <v>13</v>
      </c>
      <c r="G6868" t="s">
        <v>1912</v>
      </c>
      <c r="H6868" t="s">
        <v>432</v>
      </c>
    </row>
    <row r="6869" spans="1:8" hidden="1" x14ac:dyDescent="0.25">
      <c r="A6869" t="s">
        <v>9457</v>
      </c>
      <c r="B6869" s="1" t="str">
        <f>HYPERLINK("https://asmlis.vasa.lt/Dashboard/Served?ServiceDateFrom=2025-11-24&amp;ServiceDateTo=2025-11-24&amp;DumpsterInvNr=13-L-300426", "13-L-300426")</f>
        <v>13-L-300426</v>
      </c>
      <c r="C6869">
        <v>0.77</v>
      </c>
      <c r="D6869" t="s">
        <v>9458</v>
      </c>
      <c r="E6869" t="s">
        <v>11</v>
      </c>
      <c r="G6869" t="s">
        <v>9</v>
      </c>
      <c r="H6869" t="s">
        <v>14</v>
      </c>
    </row>
    <row r="6870" spans="1:8" hidden="1" x14ac:dyDescent="0.25">
      <c r="A6870" t="s">
        <v>8344</v>
      </c>
      <c r="B6870" s="1" t="str">
        <f>HYPERLINK("https://asmlis.vasa.lt/Dashboard/Served?ServiceDateFrom=2025-11-24&amp;ServiceDateTo=2025-11-24&amp;DumpsterInvNr=13-L-223490", "13-L-223490")</f>
        <v>13-L-223490</v>
      </c>
      <c r="C6870">
        <v>1.1000000000000001</v>
      </c>
      <c r="D6870" t="s">
        <v>1810</v>
      </c>
      <c r="E6870" t="s">
        <v>11</v>
      </c>
      <c r="G6870" t="s">
        <v>936</v>
      </c>
      <c r="H6870" t="s">
        <v>938</v>
      </c>
    </row>
    <row r="6871" spans="1:8" hidden="1" x14ac:dyDescent="0.25">
      <c r="A6871" t="s">
        <v>9311</v>
      </c>
      <c r="B6871" s="1" t="str">
        <f>HYPERLINK("https://asmlis.vasa.lt/Dashboard/Served?ServiceDateFrom=2025-11-24&amp;ServiceDateTo=2025-11-24&amp;DumpsterInvNr=13-L-145006", "13-L-145006")</f>
        <v>13-L-145006</v>
      </c>
      <c r="C6871">
        <v>5</v>
      </c>
      <c r="D6871" t="s">
        <v>9459</v>
      </c>
      <c r="E6871" t="s">
        <v>11</v>
      </c>
      <c r="F6871" t="s">
        <v>13</v>
      </c>
      <c r="G6871" t="s">
        <v>430</v>
      </c>
      <c r="H6871" t="s">
        <v>432</v>
      </c>
    </row>
    <row r="6872" spans="1:8" hidden="1" x14ac:dyDescent="0.25">
      <c r="A6872" t="s">
        <v>9401</v>
      </c>
      <c r="B6872" s="1" t="str">
        <f>HYPERLINK("https://asmlis.vasa.lt/Dashboard/Served?ServiceDateFrom=2025-11-24&amp;ServiceDateTo=2025-11-24&amp;DumpsterInvNr=13-L-225926", "13-L-225926")</f>
        <v>13-L-225926</v>
      </c>
      <c r="C6872">
        <v>1.1000000000000001</v>
      </c>
      <c r="D6872" t="s">
        <v>9460</v>
      </c>
      <c r="E6872" t="s">
        <v>11</v>
      </c>
      <c r="G6872" t="s">
        <v>936</v>
      </c>
      <c r="H6872" t="s">
        <v>938</v>
      </c>
    </row>
    <row r="6873" spans="1:8" hidden="1" x14ac:dyDescent="0.25">
      <c r="A6873" t="s">
        <v>9405</v>
      </c>
      <c r="B6873" s="1" t="str">
        <f>HYPERLINK("https://asmlis.vasa.lt/Dashboard/Served?ServiceDateFrom=2025-11-24&amp;ServiceDateTo=2025-11-24&amp;DumpsterInvNr=13-L-423403", "13-L-423403")</f>
        <v>13-L-423403</v>
      </c>
      <c r="C6873">
        <v>0.24</v>
      </c>
      <c r="D6873" t="s">
        <v>4661</v>
      </c>
      <c r="E6873" t="s">
        <v>11</v>
      </c>
      <c r="G6873" t="s">
        <v>74</v>
      </c>
      <c r="H6873" t="s">
        <v>14</v>
      </c>
    </row>
    <row r="6874" spans="1:8" hidden="1" x14ac:dyDescent="0.25">
      <c r="A6874" t="s">
        <v>9461</v>
      </c>
      <c r="B6874" s="1" t="str">
        <f>HYPERLINK("https://asmlis.vasa.lt/Dashboard/Served?ServiceDateFrom=2025-11-24&amp;ServiceDateTo=2025-11-24&amp;DumpsterInvNr=13-L-210023", "13-L-210023")</f>
        <v>13-L-210023</v>
      </c>
      <c r="C6874">
        <v>0.24</v>
      </c>
      <c r="D6874" t="s">
        <v>4336</v>
      </c>
      <c r="E6874" t="s">
        <v>11</v>
      </c>
      <c r="F6874" t="s">
        <v>13</v>
      </c>
      <c r="G6874" t="s">
        <v>936</v>
      </c>
      <c r="H6874" t="s">
        <v>938</v>
      </c>
    </row>
    <row r="6875" spans="1:8" hidden="1" x14ac:dyDescent="0.25">
      <c r="A6875" t="s">
        <v>9415</v>
      </c>
      <c r="B6875" s="1" t="str">
        <f>HYPERLINK("https://asmlis.vasa.lt/Dashboard/Served?ServiceDateFrom=2025-11-24&amp;ServiceDateTo=2025-11-24&amp;DumpsterInvNr=13-L-118910", "13-L-118910")</f>
        <v>13-L-118910</v>
      </c>
      <c r="C6875">
        <v>0.24</v>
      </c>
      <c r="D6875" t="s">
        <v>9462</v>
      </c>
      <c r="E6875" t="s">
        <v>11</v>
      </c>
      <c r="G6875" t="s">
        <v>1912</v>
      </c>
      <c r="H6875" t="s">
        <v>432</v>
      </c>
    </row>
    <row r="6876" spans="1:8" hidden="1" x14ac:dyDescent="0.25">
      <c r="A6876" t="s">
        <v>9463</v>
      </c>
      <c r="B6876" s="1" t="str">
        <f>HYPERLINK("https://asmlis.vasa.lt/Dashboard/Served?ServiceDateFrom=2025-11-24&amp;ServiceDateTo=2025-11-24&amp;DumpsterInvNr=13-L-221675", "13-L-221675")</f>
        <v>13-L-221675</v>
      </c>
      <c r="C6876">
        <v>0.24</v>
      </c>
      <c r="D6876" t="s">
        <v>9464</v>
      </c>
      <c r="E6876" t="s">
        <v>11</v>
      </c>
      <c r="F6876" t="s">
        <v>1209</v>
      </c>
      <c r="G6876" t="s">
        <v>936</v>
      </c>
      <c r="H6876" t="s">
        <v>938</v>
      </c>
    </row>
    <row r="6877" spans="1:8" hidden="1" x14ac:dyDescent="0.25">
      <c r="A6877" t="s">
        <v>9463</v>
      </c>
      <c r="B6877" s="1" t="str">
        <f>HYPERLINK("https://asmlis.vasa.lt/Dashboard/Served?ServiceDateFrom=2025-11-24&amp;ServiceDateTo=2025-11-24&amp;DumpsterInvNr=13-M-204933", "13-M-204933")</f>
        <v>13-M-204933</v>
      </c>
      <c r="C6877">
        <v>0.12</v>
      </c>
      <c r="D6877" t="s">
        <v>9465</v>
      </c>
      <c r="E6877" t="s">
        <v>11</v>
      </c>
      <c r="F6877" t="s">
        <v>1209</v>
      </c>
      <c r="G6877" t="s">
        <v>4876</v>
      </c>
      <c r="H6877" t="s">
        <v>938</v>
      </c>
    </row>
    <row r="6878" spans="1:8" hidden="1" x14ac:dyDescent="0.25">
      <c r="A6878" t="s">
        <v>8096</v>
      </c>
      <c r="B6878" s="1" t="str">
        <f>HYPERLINK("https://asmlis.vasa.lt/Dashboard/Served?ServiceDateFrom=2025-11-24&amp;ServiceDateTo=2025-11-24&amp;DumpsterInvNr=13-P-115316", "13-P-115316")</f>
        <v>13-P-115316</v>
      </c>
      <c r="C6878">
        <v>1.1000000000000001</v>
      </c>
      <c r="D6878" t="s">
        <v>9450</v>
      </c>
      <c r="E6878" t="s">
        <v>11</v>
      </c>
      <c r="G6878" t="s">
        <v>1917</v>
      </c>
      <c r="H6878" t="s">
        <v>432</v>
      </c>
    </row>
    <row r="6879" spans="1:8" hidden="1" x14ac:dyDescent="0.25">
      <c r="A6879" t="s">
        <v>8115</v>
      </c>
      <c r="B6879" s="1" t="str">
        <f>HYPERLINK("https://asmlis.vasa.lt/Dashboard/Served?ServiceDateFrom=2025-11-24&amp;ServiceDateTo=2025-11-24&amp;DumpsterInvNr=13-L-146660", "13-L-146660")</f>
        <v>13-L-146660</v>
      </c>
      <c r="C6879">
        <v>5</v>
      </c>
      <c r="D6879" t="s">
        <v>9467</v>
      </c>
      <c r="E6879" t="s">
        <v>11</v>
      </c>
      <c r="F6879" t="s">
        <v>13</v>
      </c>
      <c r="G6879" t="s">
        <v>430</v>
      </c>
      <c r="H6879" t="s">
        <v>432</v>
      </c>
    </row>
    <row r="6880" spans="1:8" hidden="1" x14ac:dyDescent="0.25">
      <c r="A6880" t="s">
        <v>9468</v>
      </c>
      <c r="B6880" s="1" t="str">
        <f>HYPERLINK("https://asmlis.vasa.lt/Dashboard/Served?ServiceDateFrom=2025-11-24&amp;ServiceDateTo=2025-11-24&amp;DumpsterInvNr=13-P-414626", "13-P-414626")</f>
        <v>13-P-414626</v>
      </c>
      <c r="C6880">
        <v>0.24</v>
      </c>
      <c r="D6880" t="s">
        <v>7936</v>
      </c>
      <c r="E6880" t="s">
        <v>11</v>
      </c>
      <c r="G6880" t="s">
        <v>264</v>
      </c>
      <c r="H6880" t="s">
        <v>14</v>
      </c>
    </row>
    <row r="6881" spans="1:8" hidden="1" x14ac:dyDescent="0.25">
      <c r="A6881" t="s">
        <v>9469</v>
      </c>
      <c r="B6881" s="1" t="str">
        <f>HYPERLINK("https://asmlis.vasa.lt/Dashboard/Served?ServiceDateFrom=2025-11-24&amp;ServiceDateTo=2025-11-24&amp;DumpsterInvNr=13-P-211022", "13-P-211022")</f>
        <v>13-P-211022</v>
      </c>
      <c r="C6881">
        <v>0.24</v>
      </c>
      <c r="D6881" t="s">
        <v>9470</v>
      </c>
      <c r="E6881" t="s">
        <v>11</v>
      </c>
      <c r="G6881" t="s">
        <v>234</v>
      </c>
      <c r="H6881" t="s">
        <v>14</v>
      </c>
    </row>
    <row r="6882" spans="1:8" hidden="1" x14ac:dyDescent="0.25">
      <c r="A6882" t="s">
        <v>9471</v>
      </c>
      <c r="B6882" s="1" t="str">
        <f>HYPERLINK("https://asmlis.vasa.lt/Dashboard/Served?ServiceDateFrom=2025-11-24&amp;ServiceDateTo=2025-11-24&amp;DumpsterInvNr=13-P-211024", "13-P-211024")</f>
        <v>13-P-211024</v>
      </c>
      <c r="C6882">
        <v>0.24</v>
      </c>
      <c r="D6882" t="s">
        <v>9472</v>
      </c>
      <c r="E6882" t="s">
        <v>11</v>
      </c>
      <c r="G6882" t="s">
        <v>234</v>
      </c>
      <c r="H6882" t="s">
        <v>14</v>
      </c>
    </row>
    <row r="6883" spans="1:8" hidden="1" x14ac:dyDescent="0.25">
      <c r="A6883" t="s">
        <v>9473</v>
      </c>
      <c r="B6883" s="1" t="str">
        <f>HYPERLINK("https://asmlis.vasa.lt/Dashboard/Served?ServiceDateFrom=2025-11-24&amp;ServiceDateTo=2025-11-24&amp;DumpsterInvNr=13-L-223709", "13-L-223709")</f>
        <v>13-L-223709</v>
      </c>
      <c r="C6883">
        <v>1.1000000000000001</v>
      </c>
      <c r="D6883" t="s">
        <v>9460</v>
      </c>
      <c r="E6883" t="s">
        <v>11</v>
      </c>
      <c r="G6883" t="s">
        <v>936</v>
      </c>
      <c r="H6883" t="s">
        <v>938</v>
      </c>
    </row>
    <row r="6884" spans="1:8" hidden="1" x14ac:dyDescent="0.25">
      <c r="A6884" t="s">
        <v>9474</v>
      </c>
      <c r="B6884" s="1" t="str">
        <f>HYPERLINK("https://asmlis.vasa.lt/Dashboard/Served?ServiceDateFrom=2025-11-24&amp;ServiceDateTo=2025-11-24&amp;DumpsterInvNr=13-P-207791", "13-P-207791")</f>
        <v>13-P-207791</v>
      </c>
      <c r="C6884">
        <v>5</v>
      </c>
      <c r="D6884" t="s">
        <v>9475</v>
      </c>
      <c r="E6884" t="s">
        <v>11</v>
      </c>
      <c r="G6884" t="s">
        <v>234</v>
      </c>
      <c r="H6884" t="s">
        <v>14</v>
      </c>
    </row>
    <row r="6885" spans="1:8" hidden="1" x14ac:dyDescent="0.25">
      <c r="A6885" t="s">
        <v>9476</v>
      </c>
      <c r="B6885" s="1" t="str">
        <f>HYPERLINK("https://asmlis.vasa.lt/Dashboard/Served?ServiceDateFrom=2025-11-24&amp;ServiceDateTo=2025-11-24&amp;DumpsterInvNr=13-L-210599", "13-L-210599")</f>
        <v>13-L-210599</v>
      </c>
      <c r="C6885">
        <v>0.12</v>
      </c>
      <c r="D6885" t="s">
        <v>4304</v>
      </c>
      <c r="E6885" t="s">
        <v>11</v>
      </c>
      <c r="G6885" t="s">
        <v>936</v>
      </c>
      <c r="H6885" t="s">
        <v>938</v>
      </c>
    </row>
    <row r="6886" spans="1:8" hidden="1" x14ac:dyDescent="0.25">
      <c r="A6886" t="s">
        <v>9476</v>
      </c>
      <c r="B6886" s="1" t="str">
        <f>HYPERLINK("https://asmlis.vasa.lt/Dashboard/Served?ServiceDateFrom=2025-11-24&amp;ServiceDateTo=2025-11-24&amp;DumpsterInvNr=13-M-206195", "13-M-206195")</f>
        <v>13-M-206195</v>
      </c>
      <c r="C6886">
        <v>0.12</v>
      </c>
      <c r="D6886" t="s">
        <v>9477</v>
      </c>
      <c r="E6886" t="s">
        <v>11</v>
      </c>
      <c r="G6886" t="s">
        <v>4876</v>
      </c>
      <c r="H6886" t="s">
        <v>938</v>
      </c>
    </row>
    <row r="6887" spans="1:8" hidden="1" x14ac:dyDescent="0.25">
      <c r="A6887" t="s">
        <v>9478</v>
      </c>
      <c r="B6887" s="1" t="str">
        <f>HYPERLINK("https://asmlis.vasa.lt/Dashboard/Served?ServiceDateFrom=2025-11-24&amp;ServiceDateTo=2025-11-24&amp;DumpsterInvNr=13-L-309745", "13-L-309745")</f>
        <v>13-L-309745</v>
      </c>
      <c r="C6887">
        <v>1.1000000000000001</v>
      </c>
      <c r="D6887" t="s">
        <v>9479</v>
      </c>
      <c r="E6887" t="s">
        <v>11</v>
      </c>
      <c r="G6887" t="s">
        <v>9</v>
      </c>
      <c r="H6887" t="s">
        <v>14</v>
      </c>
    </row>
    <row r="6888" spans="1:8" hidden="1" x14ac:dyDescent="0.25">
      <c r="A6888" t="s">
        <v>9480</v>
      </c>
      <c r="B6888" s="1" t="str">
        <f>HYPERLINK("https://asmlis.vasa.lt/Dashboard/Served?ServiceDateFrom=2025-11-24&amp;ServiceDateTo=2025-11-24&amp;DumpsterInvNr=13-P-205297", "13-P-205297")</f>
        <v>13-P-205297</v>
      </c>
      <c r="C6888">
        <v>0.24</v>
      </c>
      <c r="D6888" t="s">
        <v>9481</v>
      </c>
      <c r="E6888" t="s">
        <v>11</v>
      </c>
      <c r="F6888" t="s">
        <v>1209</v>
      </c>
      <c r="G6888" t="s">
        <v>234</v>
      </c>
      <c r="H6888" t="s">
        <v>14</v>
      </c>
    </row>
    <row r="6889" spans="1:8" hidden="1" x14ac:dyDescent="0.25">
      <c r="A6889" t="s">
        <v>9482</v>
      </c>
      <c r="B6889" s="1" t="str">
        <f>HYPERLINK("https://asmlis.vasa.lt/Dashboard/Served?ServiceDateFrom=2025-11-24&amp;ServiceDateTo=2025-11-24&amp;DumpsterInvNr=13-L-425659", "13-L-425659")</f>
        <v>13-L-425659</v>
      </c>
      <c r="C6889">
        <v>0.24</v>
      </c>
      <c r="D6889" t="s">
        <v>4714</v>
      </c>
      <c r="E6889" t="s">
        <v>11</v>
      </c>
      <c r="G6889" t="s">
        <v>74</v>
      </c>
      <c r="H6889" t="s">
        <v>14</v>
      </c>
    </row>
    <row r="6890" spans="1:8" hidden="1" x14ac:dyDescent="0.25">
      <c r="A6890" t="s">
        <v>9483</v>
      </c>
      <c r="B6890" s="1" t="str">
        <f>HYPERLINK("https://asmlis.vasa.lt/Dashboard/Served?ServiceDateFrom=2025-11-24&amp;ServiceDateTo=2025-11-24&amp;DumpsterInvNr=13-M-202120", "13-M-202120")</f>
        <v>13-M-202120</v>
      </c>
      <c r="C6890">
        <v>0.12</v>
      </c>
      <c r="D6890" t="s">
        <v>9484</v>
      </c>
      <c r="E6890" t="s">
        <v>11</v>
      </c>
      <c r="F6890" t="s">
        <v>1209</v>
      </c>
      <c r="G6890" t="s">
        <v>4876</v>
      </c>
      <c r="H6890" t="s">
        <v>938</v>
      </c>
    </row>
    <row r="6891" spans="1:8" hidden="1" x14ac:dyDescent="0.25">
      <c r="A6891" t="s">
        <v>9485</v>
      </c>
      <c r="B6891" s="1" t="str">
        <f>HYPERLINK("https://asmlis.vasa.lt/Dashboard/Served?ServiceDateFrom=2025-11-24&amp;ServiceDateTo=2025-11-24&amp;DumpsterInvNr=13-M-206063", "13-M-206063")</f>
        <v>13-M-206063</v>
      </c>
      <c r="C6891">
        <v>0.12</v>
      </c>
      <c r="D6891" t="s">
        <v>9486</v>
      </c>
      <c r="E6891" t="s">
        <v>11</v>
      </c>
      <c r="F6891" t="s">
        <v>1209</v>
      </c>
      <c r="G6891" t="s">
        <v>4876</v>
      </c>
      <c r="H6891" t="s">
        <v>938</v>
      </c>
    </row>
    <row r="6892" spans="1:8" hidden="1" x14ac:dyDescent="0.25">
      <c r="A6892" t="s">
        <v>9487</v>
      </c>
      <c r="B6892" s="1" t="str">
        <f>HYPERLINK("https://asmlis.vasa.lt/Dashboard/Served?ServiceDateFrom=2025-11-24&amp;ServiceDateTo=2025-11-24&amp;DumpsterInvNr=13-S-205670", "13-S-205670")</f>
        <v>13-S-205670</v>
      </c>
      <c r="C6892">
        <v>0.12</v>
      </c>
      <c r="D6892" t="s">
        <v>9488</v>
      </c>
      <c r="E6892" t="s">
        <v>11</v>
      </c>
      <c r="F6892" t="s">
        <v>1209</v>
      </c>
      <c r="G6892" t="s">
        <v>234</v>
      </c>
      <c r="H6892" t="s">
        <v>14</v>
      </c>
    </row>
    <row r="6893" spans="1:8" hidden="1" x14ac:dyDescent="0.25">
      <c r="A6893" t="s">
        <v>9487</v>
      </c>
      <c r="B6893" s="1" t="str">
        <f>HYPERLINK("https://asmlis.vasa.lt/Dashboard/Served?ServiceDateFrom=2025-11-24&amp;ServiceDateTo=2025-11-24&amp;DumpsterInvNr=13-S-209100", "13-S-209100")</f>
        <v>13-S-209100</v>
      </c>
      <c r="C6893">
        <v>3</v>
      </c>
      <c r="D6893" t="s">
        <v>9286</v>
      </c>
      <c r="E6893" t="s">
        <v>11</v>
      </c>
      <c r="G6893" t="s">
        <v>234</v>
      </c>
      <c r="H6893" t="s">
        <v>14</v>
      </c>
    </row>
    <row r="6894" spans="1:8" hidden="1" x14ac:dyDescent="0.25">
      <c r="A6894" t="s">
        <v>9489</v>
      </c>
      <c r="B6894" s="1" t="str">
        <f>HYPERLINK("https://asmlis.vasa.lt/Dashboard/Served?ServiceDateFrom=2025-11-24&amp;ServiceDateTo=2025-11-24&amp;DumpsterInvNr=13-T-000265", "13-T-000265")</f>
        <v>13-T-000265</v>
      </c>
      <c r="C6894">
        <v>2.5</v>
      </c>
      <c r="D6894" t="s">
        <v>9490</v>
      </c>
      <c r="E6894" t="s">
        <v>11</v>
      </c>
      <c r="F6894" t="s">
        <v>13</v>
      </c>
      <c r="G6894" t="s">
        <v>1899</v>
      </c>
      <c r="H6894" t="s">
        <v>432</v>
      </c>
    </row>
    <row r="6895" spans="1:8" hidden="1" x14ac:dyDescent="0.25">
      <c r="A6895" t="s">
        <v>9491</v>
      </c>
      <c r="B6895" s="1" t="str">
        <f>HYPERLINK("https://asmlis.vasa.lt/Dashboard/Served?ServiceDateFrom=2025-11-24&amp;ServiceDateTo=2025-11-24&amp;DumpsterInvNr=13-M-205165", "13-M-205165")</f>
        <v>13-M-205165</v>
      </c>
      <c r="C6895">
        <v>0.12</v>
      </c>
      <c r="D6895" t="s">
        <v>9486</v>
      </c>
      <c r="E6895" t="s">
        <v>11</v>
      </c>
      <c r="F6895" t="s">
        <v>1209</v>
      </c>
      <c r="G6895" t="s">
        <v>4876</v>
      </c>
      <c r="H6895" t="s">
        <v>938</v>
      </c>
    </row>
    <row r="6896" spans="1:8" hidden="1" x14ac:dyDescent="0.25">
      <c r="A6896" t="s">
        <v>9492</v>
      </c>
      <c r="B6896" s="1" t="str">
        <f>HYPERLINK("https://asmlis.vasa.lt/Dashboard/Served?ServiceDateFrom=2025-11-24&amp;ServiceDateTo=2025-11-24&amp;DumpsterInvNr=13-P-208683", "13-P-208683")</f>
        <v>13-P-208683</v>
      </c>
      <c r="C6896">
        <v>0.24</v>
      </c>
      <c r="D6896" t="s">
        <v>9493</v>
      </c>
      <c r="E6896" t="s">
        <v>11</v>
      </c>
      <c r="F6896" t="s">
        <v>1209</v>
      </c>
      <c r="G6896" t="s">
        <v>234</v>
      </c>
      <c r="H6896" t="s">
        <v>14</v>
      </c>
    </row>
    <row r="6897" spans="1:8" hidden="1" x14ac:dyDescent="0.25">
      <c r="A6897" t="s">
        <v>9494</v>
      </c>
      <c r="B6897" s="1" t="str">
        <f>HYPERLINK("https://asmlis.vasa.lt/Dashboard/Served?ServiceDateFrom=2025-11-24&amp;ServiceDateTo=2025-11-24&amp;DumpsterInvNr=13-P-205231", "13-P-205231")</f>
        <v>13-P-205231</v>
      </c>
      <c r="C6897">
        <v>0.24</v>
      </c>
      <c r="D6897" t="s">
        <v>9488</v>
      </c>
      <c r="E6897" t="s">
        <v>11</v>
      </c>
      <c r="F6897" t="s">
        <v>1209</v>
      </c>
      <c r="G6897" t="s">
        <v>234</v>
      </c>
      <c r="H6897" t="s">
        <v>14</v>
      </c>
    </row>
    <row r="6898" spans="1:8" hidden="1" x14ac:dyDescent="0.25">
      <c r="A6898" t="s">
        <v>9494</v>
      </c>
      <c r="B6898" s="1" t="str">
        <f>HYPERLINK("https://asmlis.vasa.lt/Dashboard/Served?ServiceDateFrom=2025-11-24&amp;ServiceDateTo=2025-11-24&amp;DumpsterInvNr=13-P-205168", "13-P-205168")</f>
        <v>13-P-205168</v>
      </c>
      <c r="C6898">
        <v>0.24</v>
      </c>
      <c r="D6898" t="s">
        <v>9488</v>
      </c>
      <c r="E6898" t="s">
        <v>11</v>
      </c>
      <c r="F6898" t="s">
        <v>1209</v>
      </c>
      <c r="G6898" t="s">
        <v>234</v>
      </c>
      <c r="H6898" t="s">
        <v>14</v>
      </c>
    </row>
    <row r="6899" spans="1:8" hidden="1" x14ac:dyDescent="0.25">
      <c r="A6899" t="s">
        <v>9494</v>
      </c>
      <c r="B6899" s="1" t="str">
        <f>HYPERLINK("https://asmlis.vasa.lt/Dashboard/Served?ServiceDateFrom=2025-11-24&amp;ServiceDateTo=2025-11-24&amp;DumpsterInvNr=13-P-115315", "13-P-115315")</f>
        <v>13-P-115315</v>
      </c>
      <c r="C6899">
        <v>1.1000000000000001</v>
      </c>
      <c r="D6899" t="s">
        <v>9450</v>
      </c>
      <c r="E6899" t="s">
        <v>11</v>
      </c>
      <c r="G6899" t="s">
        <v>1917</v>
      </c>
      <c r="H6899" t="s">
        <v>432</v>
      </c>
    </row>
    <row r="6900" spans="1:8" hidden="1" x14ac:dyDescent="0.25">
      <c r="A6900" t="s">
        <v>9496</v>
      </c>
      <c r="B6900" s="1" t="str">
        <f>HYPERLINK("https://asmlis.vasa.lt/Dashboard/Served?ServiceDateFrom=2025-11-24&amp;ServiceDateTo=2025-11-24&amp;DumpsterInvNr=13-L-414035", "13-L-414035")</f>
        <v>13-L-414035</v>
      </c>
      <c r="C6900">
        <v>0.24</v>
      </c>
      <c r="D6900" t="s">
        <v>4726</v>
      </c>
      <c r="E6900" t="s">
        <v>11</v>
      </c>
      <c r="G6900" t="s">
        <v>74</v>
      </c>
      <c r="H6900" t="s">
        <v>14</v>
      </c>
    </row>
    <row r="6901" spans="1:8" hidden="1" x14ac:dyDescent="0.25">
      <c r="A6901" t="s">
        <v>9497</v>
      </c>
      <c r="B6901" s="1" t="str">
        <f>HYPERLINK("https://asmlis.vasa.lt/Dashboard/Served?ServiceDateFrom=2025-11-24&amp;ServiceDateTo=2025-11-24&amp;DumpsterInvNr=13-P-410496", "13-P-410496")</f>
        <v>13-P-410496</v>
      </c>
      <c r="C6901">
        <v>5</v>
      </c>
      <c r="D6901" t="s">
        <v>1356</v>
      </c>
      <c r="E6901" t="s">
        <v>11</v>
      </c>
      <c r="F6901" t="s">
        <v>13</v>
      </c>
      <c r="G6901" t="s">
        <v>264</v>
      </c>
      <c r="H6901" t="s">
        <v>14</v>
      </c>
    </row>
    <row r="6902" spans="1:8" hidden="1" x14ac:dyDescent="0.25">
      <c r="A6902" t="s">
        <v>9498</v>
      </c>
      <c r="B6902" s="1" t="str">
        <f>HYPERLINK("https://asmlis.vasa.lt/Dashboard/Served?ServiceDateFrom=2025-11-24&amp;ServiceDateTo=2025-11-24&amp;DumpsterInvNr=13-P-432080", "13-P-432080")</f>
        <v>13-P-432080</v>
      </c>
      <c r="C6902">
        <v>0.24</v>
      </c>
      <c r="D6902" t="s">
        <v>7969</v>
      </c>
      <c r="E6902" t="s">
        <v>11</v>
      </c>
      <c r="G6902" t="s">
        <v>264</v>
      </c>
      <c r="H6902" t="s">
        <v>14</v>
      </c>
    </row>
    <row r="6903" spans="1:8" hidden="1" x14ac:dyDescent="0.25">
      <c r="A6903" t="s">
        <v>9499</v>
      </c>
      <c r="B6903" s="1" t="str">
        <f>HYPERLINK("https://asmlis.vasa.lt/Dashboard/Served?ServiceDateFrom=2025-11-24&amp;ServiceDateTo=2025-11-24&amp;DumpsterInvNr=13-L-317145", "13-L-317145")</f>
        <v>13-L-317145</v>
      </c>
      <c r="C6903">
        <v>1.1000000000000001</v>
      </c>
      <c r="D6903" t="s">
        <v>9479</v>
      </c>
      <c r="E6903" t="s">
        <v>11</v>
      </c>
      <c r="G6903" t="s">
        <v>9</v>
      </c>
      <c r="H6903" t="s">
        <v>14</v>
      </c>
    </row>
    <row r="6904" spans="1:8" hidden="1" x14ac:dyDescent="0.25">
      <c r="A6904" t="s">
        <v>9500</v>
      </c>
      <c r="B6904" s="1" t="str">
        <f>HYPERLINK("https://asmlis.vasa.lt/Dashboard/Served?ServiceDateFrom=2025-11-24&amp;ServiceDateTo=2025-11-24&amp;DumpsterInvNr=13-L-422544", "13-L-422544")</f>
        <v>13-L-422544</v>
      </c>
      <c r="C6904">
        <v>0.24</v>
      </c>
      <c r="D6904" t="s">
        <v>4714</v>
      </c>
      <c r="E6904" t="s">
        <v>11</v>
      </c>
      <c r="F6904" t="s">
        <v>1209</v>
      </c>
      <c r="G6904" t="s">
        <v>74</v>
      </c>
      <c r="H6904" t="s">
        <v>14</v>
      </c>
    </row>
    <row r="6905" spans="1:8" hidden="1" x14ac:dyDescent="0.25">
      <c r="A6905" t="s">
        <v>9500</v>
      </c>
      <c r="B6905" s="1" t="str">
        <f>HYPERLINK("https://asmlis.vasa.lt/Dashboard/Served?ServiceDateFrom=2025-11-24&amp;ServiceDateTo=2025-11-24&amp;DumpsterInvNr=13-L-104955", "13-L-104955")</f>
        <v>13-L-104955</v>
      </c>
      <c r="C6905">
        <v>1.1000000000000001</v>
      </c>
      <c r="D6905" t="s">
        <v>3713</v>
      </c>
      <c r="E6905" t="s">
        <v>11</v>
      </c>
      <c r="G6905" t="s">
        <v>430</v>
      </c>
      <c r="H6905" t="s">
        <v>432</v>
      </c>
    </row>
    <row r="6906" spans="1:8" hidden="1" x14ac:dyDescent="0.25">
      <c r="A6906" t="s">
        <v>9502</v>
      </c>
      <c r="B6906" s="1" t="str">
        <f>HYPERLINK("https://asmlis.vasa.lt/Dashboard/Served?ServiceDateFrom=2025-11-24&amp;ServiceDateTo=2025-11-24&amp;DumpsterInvNr=13-P-114909", "13-P-114909")</f>
        <v>13-P-114909</v>
      </c>
      <c r="C6906">
        <v>0.24</v>
      </c>
      <c r="D6906" t="s">
        <v>9504</v>
      </c>
      <c r="E6906" t="s">
        <v>11</v>
      </c>
      <c r="G6906" t="s">
        <v>1917</v>
      </c>
      <c r="H6906" t="s">
        <v>432</v>
      </c>
    </row>
    <row r="6907" spans="1:8" hidden="1" x14ac:dyDescent="0.25">
      <c r="A6907" t="s">
        <v>9505</v>
      </c>
      <c r="B6907" s="1" t="str">
        <f>HYPERLINK("https://asmlis.vasa.lt/Dashboard/Served?ServiceDateFrom=2025-11-24&amp;ServiceDateTo=2025-11-24&amp;DumpsterInvNr=13-L-422017", "13-L-422017")</f>
        <v>13-L-422017</v>
      </c>
      <c r="C6907">
        <v>5</v>
      </c>
      <c r="D6907" t="s">
        <v>9506</v>
      </c>
      <c r="E6907" t="s">
        <v>11</v>
      </c>
      <c r="G6907" t="s">
        <v>74</v>
      </c>
      <c r="H6907" t="s">
        <v>14</v>
      </c>
    </row>
    <row r="6908" spans="1:8" hidden="1" x14ac:dyDescent="0.25">
      <c r="A6908" t="s">
        <v>9505</v>
      </c>
      <c r="B6908" s="1" t="str">
        <f>HYPERLINK("https://asmlis.vasa.lt/Dashboard/Served?ServiceDateFrom=2025-11-24&amp;ServiceDateTo=2025-11-24&amp;DumpsterInvNr=13-P-401180", "13-P-401180")</f>
        <v>13-P-401180</v>
      </c>
      <c r="C6908">
        <v>3</v>
      </c>
      <c r="D6908" t="s">
        <v>469</v>
      </c>
      <c r="E6908" t="s">
        <v>11</v>
      </c>
      <c r="G6908" t="s">
        <v>264</v>
      </c>
      <c r="H6908" t="s">
        <v>14</v>
      </c>
    </row>
    <row r="6909" spans="1:8" hidden="1" x14ac:dyDescent="0.25">
      <c r="A6909" t="s">
        <v>9507</v>
      </c>
      <c r="B6909" s="1" t="str">
        <f>HYPERLINK("https://asmlis.vasa.lt/Dashboard/Served?ServiceDateFrom=2025-11-24&amp;ServiceDateTo=2025-11-24&amp;DumpsterInvNr=13-M-202139", "13-M-202139")</f>
        <v>13-M-202139</v>
      </c>
      <c r="C6909">
        <v>0.12</v>
      </c>
      <c r="D6909" t="s">
        <v>9508</v>
      </c>
      <c r="E6909" t="s">
        <v>11</v>
      </c>
      <c r="G6909" t="s">
        <v>4876</v>
      </c>
      <c r="H6909" t="s">
        <v>938</v>
      </c>
    </row>
    <row r="6910" spans="1:8" hidden="1" x14ac:dyDescent="0.25">
      <c r="A6910" t="s">
        <v>9509</v>
      </c>
      <c r="B6910" s="1" t="str">
        <f>HYPERLINK("https://asmlis.vasa.lt/Dashboard/Served?ServiceDateFrom=2025-11-24&amp;ServiceDateTo=2025-11-24&amp;DumpsterInvNr=13-S-410606", "13-S-410606")</f>
        <v>13-S-410606</v>
      </c>
      <c r="C6910">
        <v>0.12</v>
      </c>
      <c r="D6910" t="s">
        <v>7936</v>
      </c>
      <c r="E6910" t="s">
        <v>11</v>
      </c>
      <c r="F6910" t="s">
        <v>1209</v>
      </c>
      <c r="G6910" t="s">
        <v>264</v>
      </c>
      <c r="H6910" t="s">
        <v>14</v>
      </c>
    </row>
    <row r="6911" spans="1:8" hidden="1" x14ac:dyDescent="0.25">
      <c r="A6911" t="s">
        <v>9509</v>
      </c>
      <c r="B6911" s="1" t="str">
        <f>HYPERLINK("https://asmlis.vasa.lt/Dashboard/Served?ServiceDateFrom=2025-11-24&amp;ServiceDateTo=2025-11-24&amp;DumpsterInvNr=13-P-209788", "13-P-209788")</f>
        <v>13-P-209788</v>
      </c>
      <c r="C6911">
        <v>0.24</v>
      </c>
      <c r="D6911" t="s">
        <v>9510</v>
      </c>
      <c r="E6911" t="s">
        <v>11</v>
      </c>
      <c r="G6911" t="s">
        <v>234</v>
      </c>
      <c r="H6911" t="s">
        <v>14</v>
      </c>
    </row>
    <row r="6912" spans="1:8" hidden="1" x14ac:dyDescent="0.25">
      <c r="A6912" t="s">
        <v>9509</v>
      </c>
      <c r="B6912" s="1" t="str">
        <f>HYPERLINK("https://asmlis.vasa.lt/Dashboard/Served?ServiceDateFrom=2025-11-24&amp;ServiceDateTo=2025-11-24&amp;DumpsterInvNr=13-P-209789", "13-P-209789")</f>
        <v>13-P-209789</v>
      </c>
      <c r="C6912">
        <v>0.24</v>
      </c>
      <c r="D6912" t="s">
        <v>9511</v>
      </c>
      <c r="E6912" t="s">
        <v>11</v>
      </c>
      <c r="G6912" t="s">
        <v>234</v>
      </c>
      <c r="H6912" t="s">
        <v>14</v>
      </c>
    </row>
    <row r="6913" spans="1:8" hidden="1" x14ac:dyDescent="0.25">
      <c r="A6913" t="s">
        <v>9512</v>
      </c>
      <c r="B6913" s="1" t="str">
        <f>HYPERLINK("https://asmlis.vasa.lt/Dashboard/Served?ServiceDateFrom=2025-11-24&amp;ServiceDateTo=2025-11-24&amp;DumpsterInvNr=13-T-000266", "13-T-000266")</f>
        <v>13-T-000266</v>
      </c>
      <c r="C6913">
        <v>2.5</v>
      </c>
      <c r="D6913" t="s">
        <v>9490</v>
      </c>
      <c r="E6913" t="s">
        <v>11</v>
      </c>
      <c r="F6913" t="s">
        <v>13</v>
      </c>
      <c r="G6913" t="s">
        <v>1899</v>
      </c>
      <c r="H6913" t="s">
        <v>432</v>
      </c>
    </row>
    <row r="6914" spans="1:8" hidden="1" x14ac:dyDescent="0.25">
      <c r="A6914" t="s">
        <v>9513</v>
      </c>
      <c r="B6914" s="1" t="str">
        <f>HYPERLINK("https://asmlis.vasa.lt/Dashboard/Served?ServiceDateFrom=2025-11-24&amp;ServiceDateTo=2025-11-24&amp;DumpsterInvNr=13-L-140828", "13-L-140828")</f>
        <v>13-L-140828</v>
      </c>
      <c r="C6914">
        <v>0.24</v>
      </c>
      <c r="D6914" t="s">
        <v>9514</v>
      </c>
      <c r="E6914" t="s">
        <v>11</v>
      </c>
      <c r="G6914" t="s">
        <v>1912</v>
      </c>
      <c r="H6914" t="s">
        <v>432</v>
      </c>
    </row>
    <row r="6915" spans="1:8" hidden="1" x14ac:dyDescent="0.25">
      <c r="A6915" t="s">
        <v>9515</v>
      </c>
      <c r="B6915" s="1" t="str">
        <f>HYPERLINK("https://asmlis.vasa.lt/Dashboard/Served?ServiceDateFrom=2025-11-24&amp;ServiceDateTo=2025-11-24&amp;DumpsterInvNr=13-L-218959", "13-L-218959")</f>
        <v>13-L-218959</v>
      </c>
      <c r="C6915">
        <v>0.24</v>
      </c>
      <c r="D6915" t="s">
        <v>4234</v>
      </c>
      <c r="E6915" t="s">
        <v>11</v>
      </c>
      <c r="G6915" t="s">
        <v>936</v>
      </c>
      <c r="H6915" t="s">
        <v>938</v>
      </c>
    </row>
    <row r="6916" spans="1:8" hidden="1" x14ac:dyDescent="0.25">
      <c r="A6916" t="s">
        <v>9516</v>
      </c>
      <c r="B6916" s="1" t="str">
        <f>HYPERLINK("https://asmlis.vasa.lt/Dashboard/Served?ServiceDateFrom=2025-11-24&amp;ServiceDateTo=2025-11-24&amp;DumpsterInvNr=13-L-142025", "13-L-142025")</f>
        <v>13-L-142025</v>
      </c>
      <c r="C6916">
        <v>5</v>
      </c>
      <c r="D6916" t="s">
        <v>9517</v>
      </c>
      <c r="E6916" t="s">
        <v>11</v>
      </c>
      <c r="F6916" t="s">
        <v>13</v>
      </c>
      <c r="G6916" t="s">
        <v>430</v>
      </c>
      <c r="H6916" t="s">
        <v>432</v>
      </c>
    </row>
    <row r="6917" spans="1:8" hidden="1" x14ac:dyDescent="0.25">
      <c r="A6917" t="s">
        <v>9516</v>
      </c>
      <c r="B6917" s="1" t="str">
        <f>HYPERLINK("https://asmlis.vasa.lt/Dashboard/Served?ServiceDateFrom=2025-11-24&amp;ServiceDateTo=2025-11-24&amp;DumpsterInvNr=13-L-216383", "13-L-216383")</f>
        <v>13-L-216383</v>
      </c>
      <c r="C6917">
        <v>1.1000000000000001</v>
      </c>
      <c r="D6917" t="s">
        <v>1655</v>
      </c>
      <c r="E6917" t="s">
        <v>11</v>
      </c>
      <c r="F6917" t="s">
        <v>13</v>
      </c>
      <c r="G6917" t="s">
        <v>936</v>
      </c>
      <c r="H6917" t="s">
        <v>938</v>
      </c>
    </row>
    <row r="6918" spans="1:8" hidden="1" x14ac:dyDescent="0.25">
      <c r="A6918" t="s">
        <v>9516</v>
      </c>
      <c r="B6918" s="1" t="str">
        <f>HYPERLINK("https://asmlis.vasa.lt/Dashboard/Served?ServiceDateFrom=2025-11-24&amp;ServiceDateTo=2025-11-24&amp;DumpsterInvNr=13-P-213055", "13-P-213055")</f>
        <v>13-P-213055</v>
      </c>
      <c r="C6918">
        <v>1.1000000000000001</v>
      </c>
      <c r="D6918" t="s">
        <v>9519</v>
      </c>
      <c r="E6918" t="s">
        <v>11</v>
      </c>
      <c r="G6918" t="s">
        <v>234</v>
      </c>
      <c r="H6918" t="s">
        <v>14</v>
      </c>
    </row>
    <row r="6919" spans="1:8" hidden="1" x14ac:dyDescent="0.25">
      <c r="A6919" t="s">
        <v>9520</v>
      </c>
      <c r="B6919" s="1" t="str">
        <f>HYPERLINK("https://asmlis.vasa.lt/Dashboard/Served?ServiceDateFrom=2025-11-24&amp;ServiceDateTo=2025-11-24&amp;DumpsterInvNr=13-L-104954", "13-L-104954")</f>
        <v>13-L-104954</v>
      </c>
      <c r="C6919">
        <v>1.1000000000000001</v>
      </c>
      <c r="D6919" t="s">
        <v>3713</v>
      </c>
      <c r="E6919" t="s">
        <v>11</v>
      </c>
      <c r="G6919" t="s">
        <v>430</v>
      </c>
      <c r="H6919" t="s">
        <v>432</v>
      </c>
    </row>
    <row r="6920" spans="1:8" hidden="1" x14ac:dyDescent="0.25">
      <c r="A6920" t="s">
        <v>9521</v>
      </c>
      <c r="B6920" s="1" t="str">
        <f>HYPERLINK("https://asmlis.vasa.lt/Dashboard/Served?ServiceDateFrom=2025-11-24&amp;ServiceDateTo=2025-11-24&amp;DumpsterInvNr=13-L-125378", "13-L-125378")</f>
        <v>13-L-125378</v>
      </c>
      <c r="C6920">
        <v>1.1000000000000001</v>
      </c>
      <c r="D6920" t="s">
        <v>9522</v>
      </c>
      <c r="E6920" t="s">
        <v>11</v>
      </c>
      <c r="G6920" t="s">
        <v>1912</v>
      </c>
      <c r="H6920" t="s">
        <v>432</v>
      </c>
    </row>
    <row r="6921" spans="1:8" hidden="1" x14ac:dyDescent="0.25">
      <c r="A6921" t="s">
        <v>9523</v>
      </c>
      <c r="B6921" s="1" t="str">
        <f>HYPERLINK("https://asmlis.vasa.lt/Dashboard/Served?ServiceDateFrom=2025-11-24&amp;ServiceDateTo=2025-11-24&amp;DumpsterInvNr=13-P-500625", "13-P-500625")</f>
        <v>13-P-500625</v>
      </c>
      <c r="C6921">
        <v>3</v>
      </c>
      <c r="D6921" t="s">
        <v>9524</v>
      </c>
      <c r="E6921" t="s">
        <v>11</v>
      </c>
      <c r="F6921" t="s">
        <v>13</v>
      </c>
      <c r="G6921" t="s">
        <v>2178</v>
      </c>
      <c r="H6921" t="s">
        <v>432</v>
      </c>
    </row>
    <row r="6922" spans="1:8" hidden="1" x14ac:dyDescent="0.25">
      <c r="A6922" t="s">
        <v>9525</v>
      </c>
      <c r="B6922" s="1" t="str">
        <f>HYPERLINK("https://asmlis.vasa.lt/Dashboard/Served?ServiceDateFrom=2025-11-24&amp;ServiceDateTo=2025-11-24&amp;DumpsterInvNr=13-L-202630", "13-L-202630")</f>
        <v>13-L-202630</v>
      </c>
      <c r="C6922">
        <v>1.1000000000000001</v>
      </c>
      <c r="D6922" t="s">
        <v>9526</v>
      </c>
      <c r="E6922" t="s">
        <v>11</v>
      </c>
      <c r="G6922" t="s">
        <v>936</v>
      </c>
      <c r="H6922" t="s">
        <v>938</v>
      </c>
    </row>
    <row r="6923" spans="1:8" hidden="1" x14ac:dyDescent="0.25">
      <c r="A6923" t="s">
        <v>9527</v>
      </c>
      <c r="B6923" s="1" t="str">
        <f>HYPERLINK("https://asmlis.vasa.lt/Dashboard/Served?ServiceDateFrom=2025-11-24&amp;ServiceDateTo=2025-11-24&amp;DumpsterInvNr=13-P-413481", "13-P-413481")</f>
        <v>13-P-413481</v>
      </c>
      <c r="C6923">
        <v>3</v>
      </c>
      <c r="D6923" t="s">
        <v>469</v>
      </c>
      <c r="E6923" t="s">
        <v>11</v>
      </c>
      <c r="F6923" t="s">
        <v>13</v>
      </c>
      <c r="G6923" t="s">
        <v>264</v>
      </c>
      <c r="H6923" t="s">
        <v>14</v>
      </c>
    </row>
    <row r="6924" spans="1:8" hidden="1" x14ac:dyDescent="0.25">
      <c r="A6924" t="s">
        <v>9528</v>
      </c>
      <c r="B6924" s="1" t="str">
        <f>HYPERLINK("https://asmlis.vasa.lt/Dashboard/Served?ServiceDateFrom=2025-11-24&amp;ServiceDateTo=2025-11-24&amp;DumpsterInvNr=13-L-314637", "13-L-314637")</f>
        <v>13-L-314637</v>
      </c>
      <c r="C6924">
        <v>0.77</v>
      </c>
      <c r="D6924" t="s">
        <v>9479</v>
      </c>
      <c r="E6924" t="s">
        <v>11</v>
      </c>
      <c r="F6924" t="s">
        <v>13</v>
      </c>
      <c r="G6924" t="s">
        <v>9</v>
      </c>
      <c r="H6924" t="s">
        <v>14</v>
      </c>
    </row>
    <row r="6925" spans="1:8" hidden="1" x14ac:dyDescent="0.25">
      <c r="A6925" t="s">
        <v>9529</v>
      </c>
      <c r="B6925" s="1" t="str">
        <f>HYPERLINK("https://asmlis.vasa.lt/Dashboard/Served?ServiceDateFrom=2025-11-24&amp;ServiceDateTo=2025-11-24&amp;DumpsterInvNr=13-L-102831", "13-L-102831")</f>
        <v>13-L-102831</v>
      </c>
      <c r="C6925">
        <v>0.24</v>
      </c>
      <c r="D6925" t="s">
        <v>9530</v>
      </c>
      <c r="E6925" t="s">
        <v>11</v>
      </c>
      <c r="G6925" t="s">
        <v>1912</v>
      </c>
      <c r="H6925" t="s">
        <v>432</v>
      </c>
    </row>
    <row r="6926" spans="1:8" hidden="1" x14ac:dyDescent="0.25">
      <c r="A6926" t="s">
        <v>9529</v>
      </c>
      <c r="B6926" s="1" t="str">
        <f>HYPERLINK("https://asmlis.vasa.lt/Dashboard/Served?ServiceDateFrom=2025-11-24&amp;ServiceDateTo=2025-11-24&amp;DumpsterInvNr=13-M-202119", "13-M-202119")</f>
        <v>13-M-202119</v>
      </c>
      <c r="C6926">
        <v>0.12</v>
      </c>
      <c r="D6926" t="s">
        <v>9531</v>
      </c>
      <c r="E6926" t="s">
        <v>11</v>
      </c>
      <c r="F6926" t="s">
        <v>1209</v>
      </c>
      <c r="G6926" t="s">
        <v>4876</v>
      </c>
      <c r="H6926" t="s">
        <v>938</v>
      </c>
    </row>
    <row r="6927" spans="1:8" hidden="1" x14ac:dyDescent="0.25">
      <c r="A6927" t="s">
        <v>9532</v>
      </c>
      <c r="B6927" s="1" t="str">
        <f>HYPERLINK("https://asmlis.vasa.lt/Dashboard/Served?ServiceDateFrom=2025-11-24&amp;ServiceDateTo=2025-11-24&amp;DumpsterInvNr=13-P-207111", "13-P-207111")</f>
        <v>13-P-207111</v>
      </c>
      <c r="C6927">
        <v>0.24</v>
      </c>
      <c r="D6927" t="s">
        <v>9533</v>
      </c>
      <c r="E6927" t="s">
        <v>11</v>
      </c>
      <c r="G6927" t="s">
        <v>234</v>
      </c>
      <c r="H6927" t="s">
        <v>14</v>
      </c>
    </row>
    <row r="6928" spans="1:8" hidden="1" x14ac:dyDescent="0.25">
      <c r="A6928" t="s">
        <v>9532</v>
      </c>
      <c r="B6928" s="1" t="str">
        <f>HYPERLINK("https://asmlis.vasa.lt/Dashboard/Served?ServiceDateFrom=2025-11-24&amp;ServiceDateTo=2025-11-24&amp;DumpsterInvNr=13-S-208141", "13-S-208141")</f>
        <v>13-S-208141</v>
      </c>
      <c r="C6928">
        <v>0.12</v>
      </c>
      <c r="D6928" t="s">
        <v>9533</v>
      </c>
      <c r="E6928" t="s">
        <v>11</v>
      </c>
      <c r="G6928" t="s">
        <v>234</v>
      </c>
      <c r="H6928" t="s">
        <v>14</v>
      </c>
    </row>
    <row r="6929" spans="1:8" hidden="1" x14ac:dyDescent="0.25">
      <c r="A6929" t="s">
        <v>9534</v>
      </c>
      <c r="B6929" s="1" t="str">
        <f>HYPERLINK("https://asmlis.vasa.lt/Dashboard/Served?ServiceDateFrom=2025-11-24&amp;ServiceDateTo=2025-11-24&amp;DumpsterInvNr=13-L-144874", "13-L-144874")</f>
        <v>13-L-144874</v>
      </c>
      <c r="C6929">
        <v>1.1000000000000001</v>
      </c>
      <c r="D6929" t="s">
        <v>3713</v>
      </c>
      <c r="E6929" t="s">
        <v>11</v>
      </c>
      <c r="G6929" t="s">
        <v>430</v>
      </c>
      <c r="H6929" t="s">
        <v>432</v>
      </c>
    </row>
    <row r="6930" spans="1:8" hidden="1" x14ac:dyDescent="0.25">
      <c r="A6930" t="s">
        <v>9535</v>
      </c>
      <c r="B6930" s="1" t="str">
        <f>HYPERLINK("https://asmlis.vasa.lt/Dashboard/Served?ServiceDateFrom=2025-11-24&amp;ServiceDateTo=2025-11-24&amp;DumpsterInvNr=13-M-202612", "13-M-202612")</f>
        <v>13-M-202612</v>
      </c>
      <c r="C6930">
        <v>0.12</v>
      </c>
      <c r="D6930" t="s">
        <v>9536</v>
      </c>
      <c r="E6930" t="s">
        <v>11</v>
      </c>
      <c r="F6930" t="s">
        <v>1209</v>
      </c>
      <c r="G6930" t="s">
        <v>4876</v>
      </c>
      <c r="H6930" t="s">
        <v>938</v>
      </c>
    </row>
    <row r="6931" spans="1:8" hidden="1" x14ac:dyDescent="0.25">
      <c r="A6931" t="s">
        <v>9537</v>
      </c>
      <c r="B6931" s="1" t="str">
        <f>HYPERLINK("https://asmlis.vasa.lt/Dashboard/Served?ServiceDateFrom=2025-11-24&amp;ServiceDateTo=2025-11-24&amp;DumpsterInvNr=13-P-102352", "13-P-102352")</f>
        <v>13-P-102352</v>
      </c>
      <c r="C6931">
        <v>5</v>
      </c>
      <c r="D6931" t="s">
        <v>3892</v>
      </c>
      <c r="E6931" t="s">
        <v>11</v>
      </c>
      <c r="F6931" t="s">
        <v>13</v>
      </c>
      <c r="G6931" t="s">
        <v>1917</v>
      </c>
      <c r="H6931" t="s">
        <v>432</v>
      </c>
    </row>
    <row r="6932" spans="1:8" hidden="1" x14ac:dyDescent="0.25">
      <c r="A6932" t="s">
        <v>9538</v>
      </c>
      <c r="B6932" s="1" t="str">
        <f>HYPERLINK("https://asmlis.vasa.lt/Dashboard/Served?ServiceDateFrom=2025-11-24&amp;ServiceDateTo=2025-11-24&amp;DumpsterInvNr=13-L-412432", "13-L-412432")</f>
        <v>13-L-412432</v>
      </c>
      <c r="C6932">
        <v>0.12</v>
      </c>
      <c r="D6932" t="s">
        <v>4648</v>
      </c>
      <c r="E6932" t="s">
        <v>11</v>
      </c>
      <c r="G6932" t="s">
        <v>74</v>
      </c>
      <c r="H6932" t="s">
        <v>14</v>
      </c>
    </row>
    <row r="6933" spans="1:8" hidden="1" x14ac:dyDescent="0.25">
      <c r="A6933" t="s">
        <v>9539</v>
      </c>
      <c r="B6933" s="1" t="str">
        <f>HYPERLINK("https://asmlis.vasa.lt/Dashboard/Served?ServiceDateFrom=2025-11-24&amp;ServiceDateTo=2025-11-24&amp;DumpsterInvNr=13-M-202170", "13-M-202170")</f>
        <v>13-M-202170</v>
      </c>
      <c r="C6933">
        <v>0.12</v>
      </c>
      <c r="D6933" t="s">
        <v>9540</v>
      </c>
      <c r="E6933" t="s">
        <v>11</v>
      </c>
      <c r="F6933" t="s">
        <v>1209</v>
      </c>
      <c r="G6933" t="s">
        <v>4876</v>
      </c>
      <c r="H6933" t="s">
        <v>938</v>
      </c>
    </row>
    <row r="6934" spans="1:8" hidden="1" x14ac:dyDescent="0.25">
      <c r="A6934" t="s">
        <v>9541</v>
      </c>
      <c r="B6934" s="1" t="str">
        <f>HYPERLINK("https://asmlis.vasa.lt/Dashboard/Served?ServiceDateFrom=2025-11-24&amp;ServiceDateTo=2025-11-24&amp;DumpsterInvNr=13-M-202464", "13-M-202464")</f>
        <v>13-M-202464</v>
      </c>
      <c r="C6934">
        <v>0.12</v>
      </c>
      <c r="D6934" t="s">
        <v>9542</v>
      </c>
      <c r="E6934" t="s">
        <v>11</v>
      </c>
      <c r="F6934" t="s">
        <v>1209</v>
      </c>
      <c r="G6934" t="s">
        <v>4876</v>
      </c>
      <c r="H6934" t="s">
        <v>938</v>
      </c>
    </row>
    <row r="6935" spans="1:8" hidden="1" x14ac:dyDescent="0.25">
      <c r="A6935" t="s">
        <v>9543</v>
      </c>
      <c r="B6935" s="1" t="str">
        <f>HYPERLINK("https://asmlis.vasa.lt/Dashboard/Served?ServiceDateFrom=2025-11-24&amp;ServiceDateTo=2025-11-24&amp;DumpsterInvNr=13-L-102696", "13-L-102696")</f>
        <v>13-L-102696</v>
      </c>
      <c r="C6935">
        <v>0.24</v>
      </c>
      <c r="D6935" t="s">
        <v>9530</v>
      </c>
      <c r="E6935" t="s">
        <v>11</v>
      </c>
      <c r="F6935" t="s">
        <v>1209</v>
      </c>
      <c r="G6935" t="s">
        <v>1912</v>
      </c>
      <c r="H6935" t="s">
        <v>432</v>
      </c>
    </row>
    <row r="6936" spans="1:8" hidden="1" x14ac:dyDescent="0.25">
      <c r="A6936" t="s">
        <v>9544</v>
      </c>
      <c r="B6936" s="1" t="str">
        <f>HYPERLINK("https://asmlis.vasa.lt/Dashboard/Served?ServiceDateFrom=2025-11-24&amp;ServiceDateTo=2025-11-24&amp;DumpsterInvNr=13-M-206032", "13-M-206032")</f>
        <v>13-M-206032</v>
      </c>
      <c r="C6936">
        <v>0.12</v>
      </c>
      <c r="D6936" t="s">
        <v>9531</v>
      </c>
      <c r="E6936" t="s">
        <v>11</v>
      </c>
      <c r="F6936" t="s">
        <v>1209</v>
      </c>
      <c r="G6936" t="s">
        <v>4876</v>
      </c>
      <c r="H6936" t="s">
        <v>938</v>
      </c>
    </row>
    <row r="6937" spans="1:8" hidden="1" x14ac:dyDescent="0.25">
      <c r="A6937" t="s">
        <v>9545</v>
      </c>
      <c r="B6937" s="1" t="str">
        <f>HYPERLINK("https://asmlis.vasa.lt/Dashboard/Served?ServiceDateFrom=2025-11-24&amp;ServiceDateTo=2025-11-24&amp;DumpsterInvNr=13-P-500738", "13-P-500738")</f>
        <v>13-P-500738</v>
      </c>
      <c r="C6937">
        <v>5</v>
      </c>
      <c r="D6937" t="s">
        <v>5893</v>
      </c>
      <c r="E6937" t="s">
        <v>11</v>
      </c>
      <c r="F6937" t="s">
        <v>13</v>
      </c>
      <c r="G6937" t="s">
        <v>2178</v>
      </c>
      <c r="H6937" t="s">
        <v>432</v>
      </c>
    </row>
    <row r="6938" spans="1:8" hidden="1" x14ac:dyDescent="0.25">
      <c r="A6938" t="s">
        <v>9547</v>
      </c>
      <c r="B6938" s="1" t="str">
        <f>HYPERLINK("https://asmlis.vasa.lt/Dashboard/Served?ServiceDateFrom=2025-11-24&amp;ServiceDateTo=2025-11-24&amp;DumpsterInvNr=13-P-300071", "13-P-300071")</f>
        <v>13-P-300071</v>
      </c>
      <c r="C6938">
        <v>0.24</v>
      </c>
      <c r="D6938" t="s">
        <v>9548</v>
      </c>
      <c r="E6938" t="s">
        <v>11</v>
      </c>
      <c r="G6938" t="s">
        <v>412</v>
      </c>
      <c r="H6938" t="s">
        <v>14</v>
      </c>
    </row>
    <row r="6939" spans="1:8" hidden="1" x14ac:dyDescent="0.25">
      <c r="A6939" t="s">
        <v>9547</v>
      </c>
      <c r="B6939" s="1" t="str">
        <f>HYPERLINK("https://asmlis.vasa.lt/Dashboard/Served?ServiceDateFrom=2025-11-24&amp;ServiceDateTo=2025-11-24&amp;DumpsterInvNr=13-L-129647", "13-L-129647")</f>
        <v>13-L-129647</v>
      </c>
      <c r="C6939">
        <v>5</v>
      </c>
      <c r="D6939" t="s">
        <v>9549</v>
      </c>
      <c r="E6939" t="s">
        <v>11</v>
      </c>
      <c r="F6939" t="s">
        <v>13</v>
      </c>
      <c r="G6939" t="s">
        <v>430</v>
      </c>
      <c r="H6939" t="s">
        <v>432</v>
      </c>
    </row>
    <row r="6940" spans="1:8" hidden="1" x14ac:dyDescent="0.25">
      <c r="A6940" t="s">
        <v>9551</v>
      </c>
      <c r="B6940" s="1" t="str">
        <f>HYPERLINK("https://asmlis.vasa.lt/Dashboard/Served?ServiceDateFrom=2025-11-24&amp;ServiceDateTo=2025-11-24&amp;DumpsterInvNr=13-M-205167", "13-M-205167")</f>
        <v>13-M-205167</v>
      </c>
      <c r="C6940">
        <v>0.12</v>
      </c>
      <c r="D6940" t="s">
        <v>9552</v>
      </c>
      <c r="E6940" t="s">
        <v>11</v>
      </c>
      <c r="G6940" t="s">
        <v>4876</v>
      </c>
      <c r="H6940" t="s">
        <v>938</v>
      </c>
    </row>
    <row r="6941" spans="1:8" hidden="1" x14ac:dyDescent="0.25">
      <c r="A6941" t="s">
        <v>9553</v>
      </c>
      <c r="B6941" s="1" t="str">
        <f>HYPERLINK("https://asmlis.vasa.lt/Dashboard/Served?ServiceDateFrom=2025-11-24&amp;ServiceDateTo=2025-11-24&amp;DumpsterInvNr=13-P-300068", "13-P-300068")</f>
        <v>13-P-300068</v>
      </c>
      <c r="C6941">
        <v>0.24</v>
      </c>
      <c r="D6941" t="s">
        <v>9548</v>
      </c>
      <c r="E6941" t="s">
        <v>11</v>
      </c>
      <c r="F6941" t="s">
        <v>13</v>
      </c>
      <c r="G6941" t="s">
        <v>412</v>
      </c>
      <c r="H6941" t="s">
        <v>14</v>
      </c>
    </row>
    <row r="6942" spans="1:8" hidden="1" x14ac:dyDescent="0.25">
      <c r="A6942" t="s">
        <v>9554</v>
      </c>
      <c r="B6942" s="1" t="str">
        <f>HYPERLINK("https://asmlis.vasa.lt/Dashboard/Served?ServiceDateFrom=2025-11-24&amp;ServiceDateTo=2025-11-24&amp;DumpsterInvNr=13-M-206197", "13-M-206197")</f>
        <v>13-M-206197</v>
      </c>
      <c r="C6942">
        <v>0.12</v>
      </c>
      <c r="D6942" t="s">
        <v>9555</v>
      </c>
      <c r="E6942" t="s">
        <v>11</v>
      </c>
      <c r="F6942" t="s">
        <v>1209</v>
      </c>
      <c r="G6942" t="s">
        <v>4876</v>
      </c>
      <c r="H6942" t="s">
        <v>938</v>
      </c>
    </row>
    <row r="6943" spans="1:8" hidden="1" x14ac:dyDescent="0.25">
      <c r="A6943" t="s">
        <v>9556</v>
      </c>
      <c r="B6943" s="1" t="str">
        <f>HYPERLINK("https://asmlis.vasa.lt/Dashboard/Served?ServiceDateFrom=2025-11-24&amp;ServiceDateTo=2025-11-24&amp;DumpsterInvNr=13-P-413858", "13-P-413858")</f>
        <v>13-P-413858</v>
      </c>
      <c r="C6943">
        <v>5</v>
      </c>
      <c r="D6943" t="s">
        <v>494</v>
      </c>
      <c r="E6943" t="s">
        <v>11</v>
      </c>
      <c r="G6943" t="s">
        <v>264</v>
      </c>
      <c r="H6943" t="s">
        <v>14</v>
      </c>
    </row>
    <row r="6944" spans="1:8" hidden="1" x14ac:dyDescent="0.25">
      <c r="A6944" t="s">
        <v>9557</v>
      </c>
      <c r="B6944" s="1" t="str">
        <f>HYPERLINK("https://asmlis.vasa.lt/Dashboard/Served?ServiceDateFrom=2025-11-24&amp;ServiceDateTo=2025-11-24&amp;DumpsterInvNr=13-M-206198", "13-M-206198")</f>
        <v>13-M-206198</v>
      </c>
      <c r="C6944">
        <v>0.12</v>
      </c>
      <c r="D6944" t="s">
        <v>9558</v>
      </c>
      <c r="E6944" t="s">
        <v>11</v>
      </c>
      <c r="F6944" t="s">
        <v>1209</v>
      </c>
      <c r="G6944" t="s">
        <v>4876</v>
      </c>
      <c r="H6944" t="s">
        <v>938</v>
      </c>
    </row>
    <row r="6945" spans="1:8" hidden="1" x14ac:dyDescent="0.25">
      <c r="A6945" t="s">
        <v>9559</v>
      </c>
      <c r="B6945" s="1" t="str">
        <f>HYPERLINK("https://asmlis.vasa.lt/Dashboard/Served?ServiceDateFrom=2025-11-24&amp;ServiceDateTo=2025-11-24&amp;DumpsterInvNr=13-P-105579", "13-P-105579")</f>
        <v>13-P-105579</v>
      </c>
      <c r="C6945">
        <v>1.1000000000000001</v>
      </c>
      <c r="D6945" t="s">
        <v>9560</v>
      </c>
      <c r="E6945" t="s">
        <v>11</v>
      </c>
      <c r="G6945" t="s">
        <v>1917</v>
      </c>
      <c r="H6945" t="s">
        <v>432</v>
      </c>
    </row>
    <row r="6946" spans="1:8" hidden="1" x14ac:dyDescent="0.25">
      <c r="A6946" t="s">
        <v>9561</v>
      </c>
      <c r="B6946" s="1" t="str">
        <f>HYPERLINK("https://asmlis.vasa.lt/Dashboard/Served?ServiceDateFrom=2025-11-24&amp;ServiceDateTo=2025-11-24&amp;DumpsterInvNr=13-M-201985", "13-M-201985")</f>
        <v>13-M-201985</v>
      </c>
      <c r="C6946">
        <v>0.12</v>
      </c>
      <c r="D6946" t="s">
        <v>9562</v>
      </c>
      <c r="E6946" t="s">
        <v>11</v>
      </c>
      <c r="F6946" t="s">
        <v>1209</v>
      </c>
      <c r="G6946" t="s">
        <v>4876</v>
      </c>
      <c r="H6946" t="s">
        <v>938</v>
      </c>
    </row>
    <row r="6947" spans="1:8" hidden="1" x14ac:dyDescent="0.25">
      <c r="A6947" t="s">
        <v>9564</v>
      </c>
      <c r="B6947" s="1" t="str">
        <f>HYPERLINK("https://asmlis.vasa.lt/Dashboard/Served?ServiceDateFrom=2025-11-24&amp;ServiceDateTo=2025-11-24&amp;DumpsterInvNr=13-P-401605", "13-P-401605")</f>
        <v>13-P-401605</v>
      </c>
      <c r="C6947">
        <v>0.24</v>
      </c>
      <c r="D6947" t="s">
        <v>7944</v>
      </c>
      <c r="E6947" t="s">
        <v>11</v>
      </c>
      <c r="G6947" t="s">
        <v>264</v>
      </c>
      <c r="H6947" t="s">
        <v>14</v>
      </c>
    </row>
    <row r="6948" spans="1:8" hidden="1" x14ac:dyDescent="0.25">
      <c r="A6948" t="s">
        <v>9564</v>
      </c>
      <c r="B6948" s="1" t="str">
        <f>HYPERLINK("https://asmlis.vasa.lt/Dashboard/Served?ServiceDateFrom=2025-11-24&amp;ServiceDateTo=2025-11-24&amp;DumpsterInvNr=13-P-208108", "13-P-208108")</f>
        <v>13-P-208108</v>
      </c>
      <c r="C6948">
        <v>0.24</v>
      </c>
      <c r="D6948" t="s">
        <v>9566</v>
      </c>
      <c r="E6948" t="s">
        <v>11</v>
      </c>
      <c r="G6948" t="s">
        <v>234</v>
      </c>
      <c r="H6948" t="s">
        <v>14</v>
      </c>
    </row>
    <row r="6949" spans="1:8" hidden="1" x14ac:dyDescent="0.25">
      <c r="A6949" t="s">
        <v>9564</v>
      </c>
      <c r="B6949" s="1" t="str">
        <f>HYPERLINK("https://asmlis.vasa.lt/Dashboard/Served?ServiceDateFrom=2025-11-24&amp;ServiceDateTo=2025-11-24&amp;DumpsterInvNr=13-L-144464", "13-L-144464")</f>
        <v>13-L-144464</v>
      </c>
      <c r="C6949">
        <v>0.24</v>
      </c>
      <c r="D6949" t="s">
        <v>9567</v>
      </c>
      <c r="E6949" t="s">
        <v>11</v>
      </c>
      <c r="G6949" t="s">
        <v>1912</v>
      </c>
      <c r="H6949" t="s">
        <v>432</v>
      </c>
    </row>
    <row r="6950" spans="1:8" hidden="1" x14ac:dyDescent="0.25">
      <c r="A6950" t="s">
        <v>9568</v>
      </c>
      <c r="B6950" s="1" t="str">
        <f>HYPERLINK("https://asmlis.vasa.lt/Dashboard/Served?ServiceDateFrom=2025-11-24&amp;ServiceDateTo=2025-11-24&amp;DumpsterInvNr=13-L-314806", "13-L-314806")</f>
        <v>13-L-314806</v>
      </c>
      <c r="C6950">
        <v>3</v>
      </c>
      <c r="D6950" t="s">
        <v>7948</v>
      </c>
      <c r="E6950" t="s">
        <v>11</v>
      </c>
      <c r="F6950" t="s">
        <v>13</v>
      </c>
      <c r="G6950" t="s">
        <v>9</v>
      </c>
      <c r="H6950" t="s">
        <v>14</v>
      </c>
    </row>
    <row r="6951" spans="1:8" hidden="1" x14ac:dyDescent="0.25">
      <c r="A6951" t="s">
        <v>9569</v>
      </c>
      <c r="B6951" s="1" t="str">
        <f>HYPERLINK("https://asmlis.vasa.lt/Dashboard/Served?ServiceDateFrom=2025-11-24&amp;ServiceDateTo=2025-11-24&amp;DumpsterInvNr=13-L-314807", "13-L-314807")</f>
        <v>13-L-314807</v>
      </c>
      <c r="C6951">
        <v>3</v>
      </c>
      <c r="D6951" t="s">
        <v>7948</v>
      </c>
      <c r="E6951" t="s">
        <v>11</v>
      </c>
      <c r="F6951" t="s">
        <v>13</v>
      </c>
      <c r="G6951" t="s">
        <v>9</v>
      </c>
      <c r="H6951" t="s">
        <v>14</v>
      </c>
    </row>
    <row r="6952" spans="1:8" hidden="1" x14ac:dyDescent="0.25">
      <c r="A6952" t="s">
        <v>9570</v>
      </c>
      <c r="B6952" s="1" t="str">
        <f>HYPERLINK("https://asmlis.vasa.lt/Dashboard/Served?ServiceDateFrom=2025-11-24&amp;ServiceDateTo=2025-11-24&amp;DumpsterInvNr=13-L-420398", "13-L-420398")</f>
        <v>13-L-420398</v>
      </c>
      <c r="C6952">
        <v>5</v>
      </c>
      <c r="D6952" t="s">
        <v>9571</v>
      </c>
      <c r="E6952" t="s">
        <v>11</v>
      </c>
      <c r="G6952" t="s">
        <v>74</v>
      </c>
      <c r="H6952" t="s">
        <v>14</v>
      </c>
    </row>
    <row r="6953" spans="1:8" hidden="1" x14ac:dyDescent="0.25">
      <c r="A6953" t="s">
        <v>9570</v>
      </c>
      <c r="B6953" s="1" t="str">
        <f>HYPERLINK("https://asmlis.vasa.lt/Dashboard/Served?ServiceDateFrom=2025-11-24&amp;ServiceDateTo=2025-11-24&amp;DumpsterInvNr=13-L-221258", "13-L-221258")</f>
        <v>13-L-221258</v>
      </c>
      <c r="C6953">
        <v>1.1000000000000001</v>
      </c>
      <c r="D6953" t="s">
        <v>9572</v>
      </c>
      <c r="E6953" t="s">
        <v>11</v>
      </c>
      <c r="G6953" t="s">
        <v>936</v>
      </c>
      <c r="H6953" t="s">
        <v>938</v>
      </c>
    </row>
    <row r="6954" spans="1:8" hidden="1" x14ac:dyDescent="0.25">
      <c r="A6954" t="s">
        <v>9573</v>
      </c>
      <c r="B6954" s="1" t="str">
        <f>HYPERLINK("https://asmlis.vasa.lt/Dashboard/Served?ServiceDateFrom=2025-11-24&amp;ServiceDateTo=2025-11-24&amp;DumpsterInvNr=13-L-318462", "13-L-318462")</f>
        <v>13-L-318462</v>
      </c>
      <c r="C6954">
        <v>1.1000000000000001</v>
      </c>
      <c r="D6954" t="s">
        <v>9575</v>
      </c>
      <c r="E6954" t="s">
        <v>11</v>
      </c>
      <c r="G6954" t="s">
        <v>9</v>
      </c>
      <c r="H6954" t="s">
        <v>14</v>
      </c>
    </row>
    <row r="6955" spans="1:8" hidden="1" x14ac:dyDescent="0.25">
      <c r="A6955" t="s">
        <v>9576</v>
      </c>
      <c r="B6955" s="1" t="str">
        <f>HYPERLINK("https://asmlis.vasa.lt/Dashboard/Served?ServiceDateFrom=2025-11-24&amp;ServiceDateTo=2025-11-24&amp;DumpsterInvNr=13-P-290029", "13-P-290029")</f>
        <v>13-P-290029</v>
      </c>
      <c r="C6955">
        <v>0.24</v>
      </c>
      <c r="D6955" t="s">
        <v>9577</v>
      </c>
      <c r="E6955" t="s">
        <v>11</v>
      </c>
      <c r="F6955" t="s">
        <v>1209</v>
      </c>
      <c r="G6955" t="s">
        <v>234</v>
      </c>
      <c r="H6955" t="s">
        <v>14</v>
      </c>
    </row>
    <row r="6956" spans="1:8" hidden="1" x14ac:dyDescent="0.25">
      <c r="A6956" t="s">
        <v>9578</v>
      </c>
      <c r="B6956" s="1" t="str">
        <f>HYPERLINK("https://asmlis.vasa.lt/Dashboard/Served?ServiceDateFrom=2025-11-24&amp;ServiceDateTo=2025-11-24&amp;DumpsterInvNr=13-P-302601", "13-P-302601")</f>
        <v>13-P-302601</v>
      </c>
      <c r="C6956">
        <v>5</v>
      </c>
      <c r="D6956" t="s">
        <v>1852</v>
      </c>
      <c r="E6956" t="s">
        <v>11</v>
      </c>
      <c r="G6956" t="s">
        <v>412</v>
      </c>
      <c r="H6956" t="s">
        <v>14</v>
      </c>
    </row>
    <row r="6957" spans="1:8" hidden="1" x14ac:dyDescent="0.25">
      <c r="A6957" t="s">
        <v>9579</v>
      </c>
      <c r="B6957" s="1" t="str">
        <f>HYPERLINK("https://asmlis.vasa.lt/Dashboard/Served?ServiceDateFrom=2025-11-24&amp;ServiceDateTo=2025-11-24&amp;DumpsterInvNr=13-P-405316", "13-P-405316")</f>
        <v>13-P-405316</v>
      </c>
      <c r="C6957">
        <v>0.24</v>
      </c>
      <c r="D6957" t="s">
        <v>7952</v>
      </c>
      <c r="E6957" t="s">
        <v>11</v>
      </c>
      <c r="F6957" t="s">
        <v>1209</v>
      </c>
      <c r="G6957" t="s">
        <v>264</v>
      </c>
      <c r="H6957" t="s">
        <v>14</v>
      </c>
    </row>
    <row r="6958" spans="1:8" hidden="1" x14ac:dyDescent="0.25">
      <c r="A6958" t="s">
        <v>9580</v>
      </c>
      <c r="B6958" s="1" t="str">
        <f>HYPERLINK("https://asmlis.vasa.lt/Dashboard/Served?ServiceDateFrom=2025-11-24&amp;ServiceDateTo=2025-11-24&amp;DumpsterInvNr=13-P-400515", "13-P-400515")</f>
        <v>13-P-400515</v>
      </c>
      <c r="C6958">
        <v>5</v>
      </c>
      <c r="D6958" t="s">
        <v>1508</v>
      </c>
      <c r="E6958" t="s">
        <v>11</v>
      </c>
      <c r="F6958" t="s">
        <v>13</v>
      </c>
      <c r="G6958" t="s">
        <v>264</v>
      </c>
      <c r="H6958" t="s">
        <v>14</v>
      </c>
    </row>
    <row r="6959" spans="1:8" hidden="1" x14ac:dyDescent="0.25">
      <c r="A6959" t="s">
        <v>9581</v>
      </c>
      <c r="B6959" s="1" t="str">
        <f>HYPERLINK("https://asmlis.vasa.lt/Dashboard/Served?ServiceDateFrom=2025-11-24&amp;ServiceDateTo=2025-11-24&amp;DumpsterInvNr=13-L-408865", "13-L-408865")</f>
        <v>13-L-408865</v>
      </c>
      <c r="C6959">
        <v>0.24</v>
      </c>
      <c r="D6959" t="s">
        <v>9582</v>
      </c>
      <c r="E6959" t="s">
        <v>11</v>
      </c>
      <c r="G6959" t="s">
        <v>74</v>
      </c>
      <c r="H6959" t="s">
        <v>14</v>
      </c>
    </row>
    <row r="6960" spans="1:8" hidden="1" x14ac:dyDescent="0.25">
      <c r="A6960" t="s">
        <v>9581</v>
      </c>
      <c r="B6960" s="1" t="str">
        <f>HYPERLINK("https://asmlis.vasa.lt/Dashboard/Served?ServiceDateFrom=2025-11-24&amp;ServiceDateTo=2025-11-24&amp;DumpsterInvNr=13-L-408864", "13-L-408864")</f>
        <v>13-L-408864</v>
      </c>
      <c r="C6960">
        <v>0.24</v>
      </c>
      <c r="D6960" t="s">
        <v>9583</v>
      </c>
      <c r="E6960" t="s">
        <v>11</v>
      </c>
      <c r="G6960" t="s">
        <v>74</v>
      </c>
      <c r="H6960" t="s">
        <v>14</v>
      </c>
    </row>
    <row r="6961" spans="1:10" hidden="1" x14ac:dyDescent="0.25">
      <c r="A6961" t="s">
        <v>9584</v>
      </c>
      <c r="B6961" s="1" t="str">
        <f>HYPERLINK("https://asmlis.vasa.lt/Dashboard/Served?ServiceDateFrom=2025-11-24&amp;ServiceDateTo=2025-11-24&amp;DumpsterInvNr=13-L-133161", "13-L-133161")</f>
        <v>13-L-133161</v>
      </c>
      <c r="C6961">
        <v>0.24</v>
      </c>
      <c r="D6961" t="s">
        <v>9585</v>
      </c>
      <c r="E6961" t="s">
        <v>11</v>
      </c>
      <c r="F6961" t="s">
        <v>1209</v>
      </c>
      <c r="G6961" t="s">
        <v>1912</v>
      </c>
      <c r="H6961" t="s">
        <v>432</v>
      </c>
    </row>
    <row r="6962" spans="1:10" hidden="1" x14ac:dyDescent="0.25">
      <c r="A6962" t="s">
        <v>9587</v>
      </c>
      <c r="B6962" s="1" t="str">
        <f>HYPERLINK("https://asmlis.vasa.lt/Dashboard/Served?ServiceDateFrom=2025-11-24&amp;ServiceDateTo=2025-11-24&amp;DumpsterInvNr=13-S-211429", "13-S-211429")</f>
        <v>13-S-211429</v>
      </c>
      <c r="C6962">
        <v>0.12</v>
      </c>
      <c r="D6962" t="s">
        <v>9588</v>
      </c>
      <c r="E6962" t="s">
        <v>11</v>
      </c>
      <c r="F6962" t="s">
        <v>1209</v>
      </c>
      <c r="G6962" t="s">
        <v>234</v>
      </c>
      <c r="H6962" t="s">
        <v>14</v>
      </c>
    </row>
    <row r="6963" spans="1:10" hidden="1" x14ac:dyDescent="0.25">
      <c r="A6963" t="s">
        <v>9589</v>
      </c>
      <c r="B6963" s="1" t="str">
        <f>HYPERLINK("https://asmlis.vasa.lt/Dashboard/Served?ServiceDateFrom=2025-11-24&amp;ServiceDateTo=2025-11-24&amp;DumpsterInvNr=13-L-205792", "13-L-205792")</f>
        <v>13-L-205792</v>
      </c>
      <c r="C6963">
        <v>0.12</v>
      </c>
      <c r="D6963" t="s">
        <v>4540</v>
      </c>
      <c r="E6963" t="s">
        <v>11</v>
      </c>
      <c r="G6963" t="s">
        <v>936</v>
      </c>
      <c r="H6963" t="s">
        <v>938</v>
      </c>
    </row>
    <row r="6964" spans="1:10" hidden="1" x14ac:dyDescent="0.25">
      <c r="A6964" t="s">
        <v>9589</v>
      </c>
      <c r="B6964" s="1" t="str">
        <f>HYPERLINK("https://asmlis.vasa.lt/Dashboard/Served?ServiceDateFrom=2025-11-24&amp;ServiceDateTo=2025-11-24&amp;DumpsterInvNr=13-P-302240", "13-P-302240")</f>
        <v>13-P-302240</v>
      </c>
      <c r="C6964">
        <v>1.1000000000000001</v>
      </c>
      <c r="D6964" t="s">
        <v>9590</v>
      </c>
      <c r="E6964" t="s">
        <v>11</v>
      </c>
      <c r="G6964" t="s">
        <v>412</v>
      </c>
      <c r="H6964" t="s">
        <v>14</v>
      </c>
    </row>
    <row r="6965" spans="1:10" hidden="1" x14ac:dyDescent="0.25">
      <c r="A6965" t="s">
        <v>9591</v>
      </c>
      <c r="B6965" s="1" t="str">
        <f>HYPERLINK("https://asmlis.vasa.lt/Dashboard/Served?ServiceDateFrom=2025-11-24&amp;ServiceDateTo=2025-11-24&amp;DumpsterInvNr=13-L-425049", "13-L-425049")</f>
        <v>13-L-425049</v>
      </c>
      <c r="C6965">
        <v>1.1000000000000001</v>
      </c>
      <c r="D6965" t="s">
        <v>9592</v>
      </c>
      <c r="E6965" t="s">
        <v>11</v>
      </c>
      <c r="G6965" t="s">
        <v>74</v>
      </c>
      <c r="H6965" t="s">
        <v>14</v>
      </c>
    </row>
    <row r="6966" spans="1:10" hidden="1" x14ac:dyDescent="0.25">
      <c r="A6966" t="s">
        <v>9591</v>
      </c>
      <c r="B6966" s="1" t="str">
        <f>HYPERLINK("https://asmlis.vasa.lt/Dashboard/Served?ServiceDateFrom=2025-11-24&amp;ServiceDateTo=2025-11-24&amp;DumpsterInvNr=13-P-208685", "13-P-208685")</f>
        <v>13-P-208685</v>
      </c>
      <c r="C6966">
        <v>0.24</v>
      </c>
      <c r="D6966" t="s">
        <v>9593</v>
      </c>
      <c r="E6966" t="s">
        <v>11</v>
      </c>
      <c r="F6966" t="s">
        <v>1209</v>
      </c>
      <c r="G6966" t="s">
        <v>234</v>
      </c>
      <c r="H6966" t="s">
        <v>14</v>
      </c>
    </row>
    <row r="6967" spans="1:10" hidden="1" x14ac:dyDescent="0.25">
      <c r="A6967" t="s">
        <v>9594</v>
      </c>
      <c r="B6967" s="1" t="str">
        <f>HYPERLINK("https://asmlis.vasa.lt/Dashboard/Served?ServiceDateFrom=2025-11-24&amp;ServiceDateTo=2025-11-24&amp;DumpsterInvNr=13-L-221783", "13-L-221783")</f>
        <v>13-L-221783</v>
      </c>
      <c r="C6967">
        <v>0.24</v>
      </c>
      <c r="D6967" t="s">
        <v>4589</v>
      </c>
      <c r="E6967" t="s">
        <v>11</v>
      </c>
      <c r="G6967" t="s">
        <v>936</v>
      </c>
      <c r="H6967" t="s">
        <v>938</v>
      </c>
    </row>
    <row r="6968" spans="1:10" hidden="1" x14ac:dyDescent="0.25">
      <c r="A6968" t="s">
        <v>9595</v>
      </c>
      <c r="B6968" s="1" t="str">
        <f>HYPERLINK("https://asmlis.vasa.lt/Dashboard/Served?ServiceDateFrom=2025-11-24&amp;ServiceDateTo=2025-11-24&amp;DumpsterInvNr=13-P-210687", "13-P-210687")</f>
        <v>13-P-210687</v>
      </c>
      <c r="C6968">
        <v>0.24</v>
      </c>
      <c r="D6968" t="s">
        <v>9596</v>
      </c>
      <c r="E6968" t="s">
        <v>11</v>
      </c>
      <c r="F6968" t="s">
        <v>1209</v>
      </c>
      <c r="G6968" t="s">
        <v>234</v>
      </c>
      <c r="H6968" t="s">
        <v>14</v>
      </c>
    </row>
    <row r="6969" spans="1:10" hidden="1" x14ac:dyDescent="0.25">
      <c r="A6969" t="s">
        <v>9597</v>
      </c>
      <c r="B6969" s="1" t="str">
        <f>HYPERLINK("https://asmlis.vasa.lt/Dashboard/Served?ServiceDateFrom=2025-11-24&amp;ServiceDateTo=2025-11-24&amp;DumpsterInvNr=13-M-205169", "13-M-205169")</f>
        <v>13-M-205169</v>
      </c>
      <c r="C6969">
        <v>0.12</v>
      </c>
      <c r="D6969" t="s">
        <v>9598</v>
      </c>
      <c r="E6969" t="s">
        <v>11</v>
      </c>
      <c r="F6969" t="s">
        <v>3205</v>
      </c>
      <c r="G6969" t="s">
        <v>4876</v>
      </c>
      <c r="H6969" t="s">
        <v>938</v>
      </c>
      <c r="J6969" t="s">
        <v>17526</v>
      </c>
    </row>
    <row r="6970" spans="1:10" hidden="1" x14ac:dyDescent="0.25">
      <c r="A6970" t="s">
        <v>9599</v>
      </c>
      <c r="B6970" s="1" t="str">
        <f>HYPERLINK("https://asmlis.vasa.lt/Dashboard/Served?ServiceDateFrom=2025-11-24&amp;ServiceDateTo=2025-11-24&amp;DumpsterInvNr=13-S-210513", "13-S-210513")</f>
        <v>13-S-210513</v>
      </c>
      <c r="C6970">
        <v>0.12</v>
      </c>
      <c r="D6970" t="s">
        <v>9596</v>
      </c>
      <c r="E6970" t="s">
        <v>11</v>
      </c>
      <c r="F6970" t="s">
        <v>1209</v>
      </c>
      <c r="G6970" t="s">
        <v>234</v>
      </c>
      <c r="H6970" t="s">
        <v>14</v>
      </c>
    </row>
    <row r="6971" spans="1:10" hidden="1" x14ac:dyDescent="0.25">
      <c r="A6971" t="s">
        <v>9600</v>
      </c>
      <c r="B6971" s="1" t="str">
        <f>HYPERLINK("https://asmlis.vasa.lt/Dashboard/Served?ServiceDateFrom=2025-11-24&amp;ServiceDateTo=2025-11-24&amp;DumpsterInvNr=13-L-205791", "13-L-205791")</f>
        <v>13-L-205791</v>
      </c>
      <c r="C6971">
        <v>0.12</v>
      </c>
      <c r="D6971" t="s">
        <v>4549</v>
      </c>
      <c r="E6971" t="s">
        <v>11</v>
      </c>
      <c r="F6971" t="s">
        <v>1209</v>
      </c>
      <c r="G6971" t="s">
        <v>936</v>
      </c>
      <c r="H6971" t="s">
        <v>938</v>
      </c>
    </row>
    <row r="6972" spans="1:10" hidden="1" x14ac:dyDescent="0.25">
      <c r="A6972" t="s">
        <v>9601</v>
      </c>
      <c r="B6972" s="1" t="str">
        <f>HYPERLINK("https://asmlis.vasa.lt/Dashboard/Served?ServiceDateFrom=2025-11-24&amp;ServiceDateTo=2025-11-24&amp;DumpsterInvNr=13-M-206193", "13-M-206193")</f>
        <v>13-M-206193</v>
      </c>
      <c r="C6972">
        <v>0.12</v>
      </c>
      <c r="D6972" t="s">
        <v>9602</v>
      </c>
      <c r="E6972" t="s">
        <v>11</v>
      </c>
      <c r="F6972" t="s">
        <v>1209</v>
      </c>
      <c r="G6972" t="s">
        <v>4876</v>
      </c>
      <c r="H6972" t="s">
        <v>938</v>
      </c>
    </row>
    <row r="6973" spans="1:10" hidden="1" x14ac:dyDescent="0.25">
      <c r="A6973" t="s">
        <v>9603</v>
      </c>
      <c r="B6973" s="1" t="str">
        <f>HYPERLINK("https://asmlis.vasa.lt/Dashboard/Served?ServiceDateFrom=2025-11-24&amp;ServiceDateTo=2025-11-24&amp;DumpsterInvNr=13-P-211268", "13-P-211268")</f>
        <v>13-P-211268</v>
      </c>
      <c r="C6973">
        <v>0.24</v>
      </c>
      <c r="D6973" t="s">
        <v>9588</v>
      </c>
      <c r="E6973" t="s">
        <v>11</v>
      </c>
      <c r="F6973" t="s">
        <v>1209</v>
      </c>
      <c r="G6973" t="s">
        <v>234</v>
      </c>
      <c r="H6973" t="s">
        <v>14</v>
      </c>
    </row>
    <row r="6974" spans="1:10" hidden="1" x14ac:dyDescent="0.25">
      <c r="A6974" t="s">
        <v>9604</v>
      </c>
      <c r="B6974" s="1" t="str">
        <f>HYPERLINK("https://asmlis.vasa.lt/Dashboard/Served?ServiceDateFrom=2025-11-24&amp;ServiceDateTo=2025-11-24&amp;DumpsterInvNr=13-L-311125", "13-L-311125")</f>
        <v>13-L-311125</v>
      </c>
      <c r="C6974">
        <v>0.77</v>
      </c>
      <c r="D6974" t="s">
        <v>9605</v>
      </c>
      <c r="E6974" t="s">
        <v>11</v>
      </c>
      <c r="G6974" t="s">
        <v>9</v>
      </c>
      <c r="H6974" t="s">
        <v>14</v>
      </c>
    </row>
    <row r="6975" spans="1:10" hidden="1" x14ac:dyDescent="0.25">
      <c r="A6975" t="s">
        <v>9606</v>
      </c>
      <c r="B6975" s="1" t="str">
        <f>HYPERLINK("https://asmlis.vasa.lt/Dashboard/Served?ServiceDateFrom=2025-11-24&amp;ServiceDateTo=2025-11-24&amp;DumpsterInvNr=13-M-205153", "13-M-205153")</f>
        <v>13-M-205153</v>
      </c>
      <c r="C6975">
        <v>0.12</v>
      </c>
      <c r="D6975" t="s">
        <v>9607</v>
      </c>
      <c r="E6975" t="s">
        <v>11</v>
      </c>
      <c r="F6975" t="s">
        <v>1209</v>
      </c>
      <c r="G6975" t="s">
        <v>4876</v>
      </c>
      <c r="H6975" t="s">
        <v>938</v>
      </c>
    </row>
    <row r="6976" spans="1:10" hidden="1" x14ac:dyDescent="0.25">
      <c r="A6976" t="s">
        <v>9608</v>
      </c>
      <c r="B6976" s="1" t="str">
        <f>HYPERLINK("https://asmlis.vasa.lt/Dashboard/Served?ServiceDateFrom=2025-11-24&amp;ServiceDateTo=2025-11-24&amp;DumpsterInvNr=13-P-302178", "13-P-302178")</f>
        <v>13-P-302178</v>
      </c>
      <c r="C6976">
        <v>1.1000000000000001</v>
      </c>
      <c r="D6976" t="s">
        <v>9590</v>
      </c>
      <c r="E6976" t="s">
        <v>11</v>
      </c>
      <c r="F6976" t="s">
        <v>13</v>
      </c>
      <c r="G6976" t="s">
        <v>412</v>
      </c>
      <c r="H6976" t="s">
        <v>14</v>
      </c>
    </row>
    <row r="6977" spans="1:8" hidden="1" x14ac:dyDescent="0.25">
      <c r="A6977" t="s">
        <v>9609</v>
      </c>
      <c r="B6977" s="1" t="str">
        <f>HYPERLINK("https://asmlis.vasa.lt/Dashboard/Served?ServiceDateFrom=2025-11-24&amp;ServiceDateTo=2025-11-24&amp;DumpsterInvNr=13-L-106484", "13-L-106484")</f>
        <v>13-L-106484</v>
      </c>
      <c r="C6977">
        <v>1.1000000000000001</v>
      </c>
      <c r="D6977" t="s">
        <v>9610</v>
      </c>
      <c r="E6977" t="s">
        <v>11</v>
      </c>
      <c r="G6977" t="s">
        <v>1912</v>
      </c>
      <c r="H6977" t="s">
        <v>432</v>
      </c>
    </row>
    <row r="6978" spans="1:8" hidden="1" x14ac:dyDescent="0.25">
      <c r="A6978" t="s">
        <v>9609</v>
      </c>
      <c r="B6978" s="1" t="str">
        <f>HYPERLINK("https://asmlis.vasa.lt/Dashboard/Served?ServiceDateFrom=2025-11-24&amp;ServiceDateTo=2025-11-24&amp;DumpsterInvNr=13-M-206306", "13-M-206306")</f>
        <v>13-M-206306</v>
      </c>
      <c r="C6978">
        <v>0.12</v>
      </c>
      <c r="D6978" t="s">
        <v>9611</v>
      </c>
      <c r="E6978" t="s">
        <v>11</v>
      </c>
      <c r="F6978" t="s">
        <v>1209</v>
      </c>
      <c r="G6978" t="s">
        <v>4876</v>
      </c>
      <c r="H6978" t="s">
        <v>938</v>
      </c>
    </row>
    <row r="6979" spans="1:8" hidden="1" x14ac:dyDescent="0.25">
      <c r="A6979" t="s">
        <v>9612</v>
      </c>
      <c r="B6979" s="1" t="str">
        <f>HYPERLINK("https://asmlis.vasa.lt/Dashboard/Served?ServiceDateFrom=2025-11-24&amp;ServiceDateTo=2025-11-24&amp;DumpsterInvNr=13-L-312357", "13-L-312357")</f>
        <v>13-L-312357</v>
      </c>
      <c r="C6979">
        <v>0.77</v>
      </c>
      <c r="D6979" t="s">
        <v>9605</v>
      </c>
      <c r="E6979" t="s">
        <v>11</v>
      </c>
      <c r="F6979" t="s">
        <v>13</v>
      </c>
      <c r="G6979" t="s">
        <v>9</v>
      </c>
      <c r="H6979" t="s">
        <v>14</v>
      </c>
    </row>
    <row r="6980" spans="1:8" hidden="1" x14ac:dyDescent="0.25">
      <c r="A6980" t="s">
        <v>9613</v>
      </c>
      <c r="B6980" s="1" t="str">
        <f>HYPERLINK("https://asmlis.vasa.lt/Dashboard/Served?ServiceDateFrom=2025-11-24&amp;ServiceDateTo=2025-11-24&amp;DumpsterInvNr=13-P-221792", "13-P-221792")</f>
        <v>13-P-221792</v>
      </c>
      <c r="C6980">
        <v>0.24</v>
      </c>
      <c r="D6980" t="s">
        <v>9614</v>
      </c>
      <c r="E6980" t="s">
        <v>11</v>
      </c>
      <c r="G6980" t="s">
        <v>234</v>
      </c>
      <c r="H6980" t="s">
        <v>14</v>
      </c>
    </row>
    <row r="6981" spans="1:8" hidden="1" x14ac:dyDescent="0.25">
      <c r="A6981" t="s">
        <v>9615</v>
      </c>
      <c r="B6981" s="1" t="str">
        <f>HYPERLINK("https://asmlis.vasa.lt/Dashboard/Served?ServiceDateFrom=2025-11-24&amp;ServiceDateTo=2025-11-24&amp;DumpsterInvNr=13-M-202117", "13-M-202117")</f>
        <v>13-M-202117</v>
      </c>
      <c r="C6981">
        <v>0.12</v>
      </c>
      <c r="D6981" t="s">
        <v>9616</v>
      </c>
      <c r="E6981" t="s">
        <v>11</v>
      </c>
      <c r="F6981" t="s">
        <v>1209</v>
      </c>
      <c r="G6981" t="s">
        <v>4876</v>
      </c>
      <c r="H6981" t="s">
        <v>938</v>
      </c>
    </row>
    <row r="6982" spans="1:8" hidden="1" x14ac:dyDescent="0.25">
      <c r="A6982" t="s">
        <v>9617</v>
      </c>
      <c r="B6982" s="1" t="str">
        <f>HYPERLINK("https://asmlis.vasa.lt/Dashboard/Served?ServiceDateFrom=2025-11-24&amp;ServiceDateTo=2025-11-24&amp;DumpsterInvNr=13-L-408860", "13-L-408860")</f>
        <v>13-L-408860</v>
      </c>
      <c r="C6982">
        <v>0.24</v>
      </c>
      <c r="D6982" t="s">
        <v>9618</v>
      </c>
      <c r="E6982" t="s">
        <v>11</v>
      </c>
      <c r="G6982" t="s">
        <v>74</v>
      </c>
      <c r="H6982" t="s">
        <v>14</v>
      </c>
    </row>
    <row r="6983" spans="1:8" hidden="1" x14ac:dyDescent="0.25">
      <c r="A6983" t="s">
        <v>9619</v>
      </c>
      <c r="B6983" s="1" t="str">
        <f>HYPERLINK("https://asmlis.vasa.lt/Dashboard/Served?ServiceDateFrom=2025-11-24&amp;ServiceDateTo=2025-11-24&amp;DumpsterInvNr=13-M-202163", "13-M-202163")</f>
        <v>13-M-202163</v>
      </c>
      <c r="C6983">
        <v>0.12</v>
      </c>
      <c r="D6983" t="s">
        <v>9620</v>
      </c>
      <c r="E6983" t="s">
        <v>11</v>
      </c>
      <c r="F6983" t="s">
        <v>1209</v>
      </c>
      <c r="G6983" t="s">
        <v>4876</v>
      </c>
      <c r="H6983" t="s">
        <v>938</v>
      </c>
    </row>
    <row r="6984" spans="1:8" hidden="1" x14ac:dyDescent="0.25">
      <c r="A6984" t="s">
        <v>9621</v>
      </c>
      <c r="B6984" s="1" t="str">
        <f>HYPERLINK("https://asmlis.vasa.lt/Dashboard/Served?ServiceDateFrom=2025-11-24&amp;ServiceDateTo=2025-11-24&amp;DumpsterInvNr=13-L-133730", "13-L-133730")</f>
        <v>13-L-133730</v>
      </c>
      <c r="C6984">
        <v>0.24</v>
      </c>
      <c r="D6984" t="s">
        <v>9622</v>
      </c>
      <c r="E6984" t="s">
        <v>11</v>
      </c>
      <c r="G6984" t="s">
        <v>1912</v>
      </c>
      <c r="H6984" t="s">
        <v>432</v>
      </c>
    </row>
    <row r="6985" spans="1:8" hidden="1" x14ac:dyDescent="0.25">
      <c r="A6985" t="s">
        <v>9624</v>
      </c>
      <c r="B6985" s="1" t="str">
        <f>HYPERLINK("https://asmlis.vasa.lt/Dashboard/Served?ServiceDateFrom=2025-11-24&amp;ServiceDateTo=2025-11-24&amp;DumpsterInvNr=13-P-111989", "13-P-111989")</f>
        <v>13-P-111989</v>
      </c>
      <c r="C6985">
        <v>0.24</v>
      </c>
      <c r="D6985" t="s">
        <v>9622</v>
      </c>
      <c r="E6985" t="s">
        <v>11</v>
      </c>
      <c r="G6985" t="s">
        <v>1917</v>
      </c>
      <c r="H6985" t="s">
        <v>432</v>
      </c>
    </row>
    <row r="6986" spans="1:8" hidden="1" x14ac:dyDescent="0.25">
      <c r="A6986" t="s">
        <v>9625</v>
      </c>
      <c r="B6986" s="1" t="str">
        <f>HYPERLINK("https://asmlis.vasa.lt/Dashboard/Served?ServiceDateFrom=2025-11-24&amp;ServiceDateTo=2025-11-24&amp;DumpsterInvNr=13-L-408861", "13-L-408861")</f>
        <v>13-L-408861</v>
      </c>
      <c r="C6986">
        <v>0.24</v>
      </c>
      <c r="D6986" t="s">
        <v>9626</v>
      </c>
      <c r="E6986" t="s">
        <v>11</v>
      </c>
      <c r="F6986" t="s">
        <v>1209</v>
      </c>
      <c r="G6986" t="s">
        <v>74</v>
      </c>
      <c r="H6986" t="s">
        <v>14</v>
      </c>
    </row>
    <row r="6987" spans="1:8" hidden="1" x14ac:dyDescent="0.25">
      <c r="A6987" t="s">
        <v>9625</v>
      </c>
      <c r="B6987" s="1" t="str">
        <f>HYPERLINK("https://asmlis.vasa.lt/Dashboard/Served?ServiceDateFrom=2025-11-24&amp;ServiceDateTo=2025-11-24&amp;DumpsterInvNr=13-L-425051", "13-L-425051")</f>
        <v>13-L-425051</v>
      </c>
      <c r="C6987">
        <v>1.1000000000000001</v>
      </c>
      <c r="D6987" t="s">
        <v>9592</v>
      </c>
      <c r="E6987" t="s">
        <v>11</v>
      </c>
      <c r="G6987" t="s">
        <v>74</v>
      </c>
      <c r="H6987" t="s">
        <v>14</v>
      </c>
    </row>
    <row r="6988" spans="1:8" hidden="1" x14ac:dyDescent="0.25">
      <c r="A6988" t="s">
        <v>9627</v>
      </c>
      <c r="B6988" s="1" t="str">
        <f>HYPERLINK("https://asmlis.vasa.lt/Dashboard/Served?ServiceDateFrom=2025-11-24&amp;ServiceDateTo=2025-11-24&amp;DumpsterInvNr=13-M-202282", "13-M-202282")</f>
        <v>13-M-202282</v>
      </c>
      <c r="C6988">
        <v>0.12</v>
      </c>
      <c r="D6988" t="s">
        <v>9628</v>
      </c>
      <c r="E6988" t="s">
        <v>11</v>
      </c>
      <c r="F6988" t="s">
        <v>1209</v>
      </c>
      <c r="G6988" t="s">
        <v>4876</v>
      </c>
      <c r="H6988" t="s">
        <v>938</v>
      </c>
    </row>
    <row r="6989" spans="1:8" hidden="1" x14ac:dyDescent="0.25">
      <c r="A6989" t="s">
        <v>9629</v>
      </c>
      <c r="B6989" s="1" t="str">
        <f>HYPERLINK("https://asmlis.vasa.lt/Dashboard/Served?ServiceDateFrom=2025-11-24&amp;ServiceDateTo=2025-11-24&amp;DumpsterInvNr=13-P-210622", "13-P-210622")</f>
        <v>13-P-210622</v>
      </c>
      <c r="C6989">
        <v>0.24</v>
      </c>
      <c r="D6989" t="s">
        <v>9630</v>
      </c>
      <c r="E6989" t="s">
        <v>11</v>
      </c>
      <c r="G6989" t="s">
        <v>234</v>
      </c>
      <c r="H6989" t="s">
        <v>14</v>
      </c>
    </row>
    <row r="6990" spans="1:8" hidden="1" x14ac:dyDescent="0.25">
      <c r="A6990" t="s">
        <v>9631</v>
      </c>
      <c r="B6990" s="1" t="str">
        <f>HYPERLINK("https://asmlis.vasa.lt/Dashboard/Served?ServiceDateFrom=2025-11-24&amp;ServiceDateTo=2025-11-24&amp;DumpsterInvNr=13-L-202621", "13-L-202621")</f>
        <v>13-L-202621</v>
      </c>
      <c r="C6990">
        <v>1.1000000000000001</v>
      </c>
      <c r="D6990" t="s">
        <v>9526</v>
      </c>
      <c r="E6990" t="s">
        <v>11</v>
      </c>
      <c r="G6990" t="s">
        <v>936</v>
      </c>
      <c r="H6990" t="s">
        <v>938</v>
      </c>
    </row>
    <row r="6991" spans="1:8" hidden="1" x14ac:dyDescent="0.25">
      <c r="A6991" t="s">
        <v>9631</v>
      </c>
      <c r="B6991" s="1" t="str">
        <f>HYPERLINK("https://asmlis.vasa.lt/Dashboard/Served?ServiceDateFrom=2025-11-24&amp;ServiceDateTo=2025-11-24&amp;DumpsterInvNr=13-P-210683", "13-P-210683")</f>
        <v>13-P-210683</v>
      </c>
      <c r="C6991">
        <v>0.24</v>
      </c>
      <c r="D6991" t="s">
        <v>9632</v>
      </c>
      <c r="E6991" t="s">
        <v>11</v>
      </c>
      <c r="G6991" t="s">
        <v>234</v>
      </c>
      <c r="H6991" t="s">
        <v>14</v>
      </c>
    </row>
    <row r="6992" spans="1:8" hidden="1" x14ac:dyDescent="0.25">
      <c r="A6992" t="s">
        <v>9633</v>
      </c>
      <c r="B6992" s="1" t="str">
        <f>HYPERLINK("https://asmlis.vasa.lt/Dashboard/Served?ServiceDateFrom=2025-11-24&amp;ServiceDateTo=2025-11-24&amp;DumpsterInvNr=13-M-204867", "13-M-204867")</f>
        <v>13-M-204867</v>
      </c>
      <c r="C6992">
        <v>0.12</v>
      </c>
      <c r="D6992" t="s">
        <v>9634</v>
      </c>
      <c r="E6992" t="s">
        <v>11</v>
      </c>
      <c r="F6992" t="s">
        <v>1209</v>
      </c>
      <c r="G6992" t="s">
        <v>4876</v>
      </c>
      <c r="H6992" t="s">
        <v>938</v>
      </c>
    </row>
    <row r="6993" spans="1:8" hidden="1" x14ac:dyDescent="0.25">
      <c r="A6993" t="s">
        <v>9636</v>
      </c>
      <c r="B6993" s="1" t="str">
        <f>HYPERLINK("https://asmlis.vasa.lt/Dashboard/Served?ServiceDateFrom=2025-11-24&amp;ServiceDateTo=2025-11-24&amp;DumpsterInvNr=13-L-220319", "13-L-220319")</f>
        <v>13-L-220319</v>
      </c>
      <c r="C6993">
        <v>0.12</v>
      </c>
      <c r="D6993" t="s">
        <v>4623</v>
      </c>
      <c r="E6993" t="s">
        <v>11</v>
      </c>
      <c r="G6993" t="s">
        <v>936</v>
      </c>
      <c r="H6993" t="s">
        <v>938</v>
      </c>
    </row>
    <row r="6994" spans="1:8" hidden="1" x14ac:dyDescent="0.25">
      <c r="A6994" t="s">
        <v>9637</v>
      </c>
      <c r="B6994" s="1" t="str">
        <f>HYPERLINK("https://asmlis.vasa.lt/Dashboard/Served?ServiceDateFrom=2025-11-24&amp;ServiceDateTo=2025-11-24&amp;DumpsterInvNr=13-P-413748", "13-P-413748")</f>
        <v>13-P-413748</v>
      </c>
      <c r="C6994">
        <v>5</v>
      </c>
      <c r="D6994" t="s">
        <v>9639</v>
      </c>
      <c r="E6994" t="s">
        <v>11</v>
      </c>
      <c r="G6994" t="s">
        <v>264</v>
      </c>
      <c r="H6994" t="s">
        <v>14</v>
      </c>
    </row>
    <row r="6995" spans="1:8" hidden="1" x14ac:dyDescent="0.25">
      <c r="A6995" t="s">
        <v>9640</v>
      </c>
      <c r="B6995" s="1" t="str">
        <f>HYPERLINK("https://asmlis.vasa.lt/Dashboard/Served?ServiceDateFrom=2025-11-24&amp;ServiceDateTo=2025-11-24&amp;DumpsterInvNr=13-M-202300", "13-M-202300")</f>
        <v>13-M-202300</v>
      </c>
      <c r="C6995">
        <v>0.12</v>
      </c>
      <c r="D6995" t="s">
        <v>9641</v>
      </c>
      <c r="E6995" t="s">
        <v>11</v>
      </c>
      <c r="F6995" t="s">
        <v>1209</v>
      </c>
      <c r="G6995" t="s">
        <v>4876</v>
      </c>
      <c r="H6995" t="s">
        <v>938</v>
      </c>
    </row>
    <row r="6996" spans="1:8" hidden="1" x14ac:dyDescent="0.25">
      <c r="A6996" t="s">
        <v>9642</v>
      </c>
      <c r="B6996" s="1" t="str">
        <f>HYPERLINK("https://asmlis.vasa.lt/Dashboard/Served?ServiceDateFrom=2025-11-24&amp;ServiceDateTo=2025-11-24&amp;DumpsterInvNr=13-L-133820", "13-L-133820")</f>
        <v>13-L-133820</v>
      </c>
      <c r="C6996">
        <v>5</v>
      </c>
      <c r="D6996" t="s">
        <v>9467</v>
      </c>
      <c r="E6996" t="s">
        <v>11</v>
      </c>
      <c r="F6996" t="s">
        <v>13</v>
      </c>
      <c r="G6996" t="s">
        <v>430</v>
      </c>
      <c r="H6996" t="s">
        <v>432</v>
      </c>
    </row>
    <row r="6997" spans="1:8" hidden="1" x14ac:dyDescent="0.25">
      <c r="A6997" t="s">
        <v>9642</v>
      </c>
      <c r="B6997" s="1" t="str">
        <f>HYPERLINK("https://asmlis.vasa.lt/Dashboard/Served?ServiceDateFrom=2025-11-24&amp;ServiceDateTo=2025-11-24&amp;DumpsterInvNr=13-L-312051", "13-L-312051")</f>
        <v>13-L-312051</v>
      </c>
      <c r="C6997">
        <v>1.1000000000000001</v>
      </c>
      <c r="D6997" t="s">
        <v>9643</v>
      </c>
      <c r="E6997" t="s">
        <v>11</v>
      </c>
      <c r="G6997" t="s">
        <v>9</v>
      </c>
      <c r="H6997" t="s">
        <v>14</v>
      </c>
    </row>
    <row r="6998" spans="1:8" hidden="1" x14ac:dyDescent="0.25">
      <c r="A6998" t="s">
        <v>9642</v>
      </c>
      <c r="B6998" s="1" t="str">
        <f>HYPERLINK("https://asmlis.vasa.lt/Dashboard/Served?ServiceDateFrom=2025-11-24&amp;ServiceDateTo=2025-11-24&amp;DumpsterInvNr=13-M-200958", "13-M-200958")</f>
        <v>13-M-200958</v>
      </c>
      <c r="C6998">
        <v>0.12</v>
      </c>
      <c r="D6998" t="s">
        <v>9644</v>
      </c>
      <c r="E6998" t="s">
        <v>11</v>
      </c>
      <c r="F6998" t="s">
        <v>1209</v>
      </c>
      <c r="G6998" t="s">
        <v>4876</v>
      </c>
      <c r="H6998" t="s">
        <v>938</v>
      </c>
    </row>
    <row r="6999" spans="1:8" hidden="1" x14ac:dyDescent="0.25">
      <c r="A6999" t="s">
        <v>9645</v>
      </c>
      <c r="B6999" s="1" t="str">
        <f>HYPERLINK("https://asmlis.vasa.lt/Dashboard/Served?ServiceDateFrom=2025-11-24&amp;ServiceDateTo=2025-11-24&amp;DumpsterInvNr=13-P-415395", "13-P-415395")</f>
        <v>13-P-415395</v>
      </c>
      <c r="C6999">
        <v>5</v>
      </c>
      <c r="D6999" t="s">
        <v>9646</v>
      </c>
      <c r="E6999" t="s">
        <v>11</v>
      </c>
      <c r="F6999" t="s">
        <v>13</v>
      </c>
      <c r="G6999" t="s">
        <v>264</v>
      </c>
      <c r="H6999" t="s">
        <v>14</v>
      </c>
    </row>
    <row r="7000" spans="1:8" hidden="1" x14ac:dyDescent="0.25">
      <c r="A7000" t="s">
        <v>9647</v>
      </c>
      <c r="B7000" s="1" t="str">
        <f>HYPERLINK("https://asmlis.vasa.lt/Dashboard/Served?ServiceDateFrom=2025-11-24&amp;ServiceDateTo=2025-11-24&amp;DumpsterInvNr=13-P-500739", "13-P-500739")</f>
        <v>13-P-500739</v>
      </c>
      <c r="C7000">
        <v>5</v>
      </c>
      <c r="D7000" t="s">
        <v>5890</v>
      </c>
      <c r="E7000" t="s">
        <v>11</v>
      </c>
      <c r="F7000" t="s">
        <v>13</v>
      </c>
      <c r="G7000" t="s">
        <v>2178</v>
      </c>
      <c r="H7000" t="s">
        <v>432</v>
      </c>
    </row>
    <row r="7001" spans="1:8" hidden="1" x14ac:dyDescent="0.25">
      <c r="A7001" t="s">
        <v>9648</v>
      </c>
      <c r="B7001" s="1" t="str">
        <f>HYPERLINK("https://asmlis.vasa.lt/Dashboard/Served?ServiceDateFrom=2025-11-24&amp;ServiceDateTo=2025-11-24&amp;DumpsterInvNr=13-P-115132", "13-P-115132")</f>
        <v>13-P-115132</v>
      </c>
      <c r="C7001">
        <v>1.1000000000000001</v>
      </c>
      <c r="D7001" t="s">
        <v>9649</v>
      </c>
      <c r="E7001" t="s">
        <v>11</v>
      </c>
      <c r="G7001" t="s">
        <v>1917</v>
      </c>
      <c r="H7001" t="s">
        <v>432</v>
      </c>
    </row>
    <row r="7002" spans="1:8" hidden="1" x14ac:dyDescent="0.25">
      <c r="A7002" t="s">
        <v>9650</v>
      </c>
      <c r="B7002" s="1" t="str">
        <f>HYPERLINK("https://asmlis.vasa.lt/Dashboard/Served?ServiceDateFrom=2025-11-24&amp;ServiceDateTo=2025-11-24&amp;DumpsterInvNr=13-L-426898", "13-L-426898")</f>
        <v>13-L-426898</v>
      </c>
      <c r="C7002">
        <v>0.24</v>
      </c>
      <c r="D7002" t="s">
        <v>9651</v>
      </c>
      <c r="E7002" t="s">
        <v>11</v>
      </c>
      <c r="G7002" t="s">
        <v>74</v>
      </c>
      <c r="H7002" t="s">
        <v>14</v>
      </c>
    </row>
    <row r="7003" spans="1:8" hidden="1" x14ac:dyDescent="0.25">
      <c r="A7003" t="s">
        <v>9652</v>
      </c>
      <c r="B7003" s="1" t="str">
        <f>HYPERLINK("https://asmlis.vasa.lt/Dashboard/Served?ServiceDateFrom=2025-11-24&amp;ServiceDateTo=2025-11-24&amp;DumpsterInvNr=13-L-220320", "13-L-220320")</f>
        <v>13-L-220320</v>
      </c>
      <c r="C7003">
        <v>0.24</v>
      </c>
      <c r="D7003" t="s">
        <v>9653</v>
      </c>
      <c r="E7003" t="s">
        <v>11</v>
      </c>
      <c r="F7003" t="s">
        <v>1209</v>
      </c>
      <c r="G7003" t="s">
        <v>936</v>
      </c>
      <c r="H7003" t="s">
        <v>938</v>
      </c>
    </row>
    <row r="7004" spans="1:8" hidden="1" x14ac:dyDescent="0.25">
      <c r="A7004" t="s">
        <v>9654</v>
      </c>
      <c r="B7004" s="1" t="str">
        <f>HYPERLINK("https://asmlis.vasa.lt/Dashboard/Served?ServiceDateFrom=2025-11-24&amp;ServiceDateTo=2025-11-24&amp;DumpsterInvNr=13-P-102350", "13-P-102350")</f>
        <v>13-P-102350</v>
      </c>
      <c r="C7004">
        <v>5</v>
      </c>
      <c r="D7004" t="s">
        <v>4026</v>
      </c>
      <c r="E7004" t="s">
        <v>11</v>
      </c>
      <c r="F7004" t="s">
        <v>13</v>
      </c>
      <c r="G7004" t="s">
        <v>1917</v>
      </c>
      <c r="H7004" t="s">
        <v>432</v>
      </c>
    </row>
    <row r="7005" spans="1:8" hidden="1" x14ac:dyDescent="0.25">
      <c r="A7005" t="s">
        <v>9655</v>
      </c>
      <c r="B7005" s="1" t="str">
        <f>HYPERLINK("https://asmlis.vasa.lt/Dashboard/Served?ServiceDateFrom=2025-11-24&amp;ServiceDateTo=2025-11-24&amp;DumpsterInvNr=13-P-102349", "13-P-102349")</f>
        <v>13-P-102349</v>
      </c>
      <c r="C7005">
        <v>5</v>
      </c>
      <c r="D7005" t="s">
        <v>4092</v>
      </c>
      <c r="E7005" t="s">
        <v>11</v>
      </c>
      <c r="F7005" t="s">
        <v>13</v>
      </c>
      <c r="G7005" t="s">
        <v>1917</v>
      </c>
      <c r="H7005" t="s">
        <v>432</v>
      </c>
    </row>
    <row r="7006" spans="1:8" hidden="1" x14ac:dyDescent="0.25">
      <c r="A7006" t="s">
        <v>9656</v>
      </c>
      <c r="B7006" s="1" t="str">
        <f>HYPERLINK("https://asmlis.vasa.lt/Dashboard/Served?ServiceDateFrom=2025-11-24&amp;ServiceDateTo=2025-11-24&amp;DumpsterInvNr=13-P-115135", "13-P-115135")</f>
        <v>13-P-115135</v>
      </c>
      <c r="C7006">
        <v>1.1000000000000001</v>
      </c>
      <c r="D7006" t="s">
        <v>9649</v>
      </c>
      <c r="E7006" t="s">
        <v>11</v>
      </c>
      <c r="G7006" t="s">
        <v>1917</v>
      </c>
      <c r="H7006" t="s">
        <v>432</v>
      </c>
    </row>
    <row r="7007" spans="1:8" hidden="1" x14ac:dyDescent="0.25">
      <c r="A7007" t="s">
        <v>9657</v>
      </c>
      <c r="B7007" s="1" t="str">
        <f>HYPERLINK("https://asmlis.vasa.lt/Dashboard/Served?ServiceDateFrom=2025-11-24&amp;ServiceDateTo=2025-11-24&amp;DumpsterInvNr=13-P-211975", "13-P-211975")</f>
        <v>13-P-211975</v>
      </c>
      <c r="C7007">
        <v>0.24</v>
      </c>
      <c r="D7007" t="s">
        <v>9658</v>
      </c>
      <c r="E7007" t="s">
        <v>11</v>
      </c>
      <c r="G7007" t="s">
        <v>234</v>
      </c>
      <c r="H7007" t="s">
        <v>14</v>
      </c>
    </row>
    <row r="7008" spans="1:8" hidden="1" x14ac:dyDescent="0.25">
      <c r="A7008" t="s">
        <v>9659</v>
      </c>
      <c r="B7008" s="1" t="str">
        <f>HYPERLINK("https://asmlis.vasa.lt/Dashboard/Served?ServiceDateFrom=2025-11-24&amp;ServiceDateTo=2025-11-24&amp;DumpsterInvNr=13-S-211971", "13-S-211971")</f>
        <v>13-S-211971</v>
      </c>
      <c r="C7008">
        <v>0.12</v>
      </c>
      <c r="D7008" t="s">
        <v>9660</v>
      </c>
      <c r="E7008" t="s">
        <v>11</v>
      </c>
      <c r="G7008" t="s">
        <v>234</v>
      </c>
      <c r="H7008" t="s">
        <v>14</v>
      </c>
    </row>
    <row r="7009" spans="1:8" hidden="1" x14ac:dyDescent="0.25">
      <c r="A7009" t="s">
        <v>9661</v>
      </c>
      <c r="B7009" s="1" t="str">
        <f>HYPERLINK("https://asmlis.vasa.lt/Dashboard/Served?ServiceDateFrom=2025-11-24&amp;ServiceDateTo=2025-11-24&amp;DumpsterInvNr=13-L-425050", "13-L-425050")</f>
        <v>13-L-425050</v>
      </c>
      <c r="C7009">
        <v>1.1000000000000001</v>
      </c>
      <c r="D7009" t="s">
        <v>9592</v>
      </c>
      <c r="E7009" t="s">
        <v>11</v>
      </c>
      <c r="G7009" t="s">
        <v>74</v>
      </c>
      <c r="H7009" t="s">
        <v>14</v>
      </c>
    </row>
    <row r="7010" spans="1:8" hidden="1" x14ac:dyDescent="0.25">
      <c r="A7010" t="s">
        <v>9661</v>
      </c>
      <c r="B7010" s="1" t="str">
        <f>HYPERLINK("https://asmlis.vasa.lt/Dashboard/Served?ServiceDateFrom=2025-11-24&amp;ServiceDateTo=2025-11-24&amp;DumpsterInvNr=13-M-206004", "13-M-206004")</f>
        <v>13-M-206004</v>
      </c>
      <c r="C7010">
        <v>0.12</v>
      </c>
      <c r="D7010" t="s">
        <v>9662</v>
      </c>
      <c r="E7010" t="s">
        <v>11</v>
      </c>
      <c r="G7010" t="s">
        <v>4876</v>
      </c>
      <c r="H7010" t="s">
        <v>938</v>
      </c>
    </row>
    <row r="7011" spans="1:8" hidden="1" x14ac:dyDescent="0.25">
      <c r="A7011" t="s">
        <v>9663</v>
      </c>
      <c r="B7011" s="1" t="str">
        <f>HYPERLINK("https://asmlis.vasa.lt/Dashboard/Served?ServiceDateFrom=2025-11-24&amp;ServiceDateTo=2025-11-24&amp;DumpsterInvNr=13-L-209090", "13-L-209090")</f>
        <v>13-L-209090</v>
      </c>
      <c r="C7011">
        <v>0.12</v>
      </c>
      <c r="D7011" t="s">
        <v>4205</v>
      </c>
      <c r="E7011" t="s">
        <v>11</v>
      </c>
      <c r="F7011" t="s">
        <v>1209</v>
      </c>
      <c r="G7011" t="s">
        <v>936</v>
      </c>
      <c r="H7011" t="s">
        <v>938</v>
      </c>
    </row>
    <row r="7012" spans="1:8" hidden="1" x14ac:dyDescent="0.25">
      <c r="A7012" t="s">
        <v>9664</v>
      </c>
      <c r="B7012" s="1" t="str">
        <f>HYPERLINK("https://asmlis.vasa.lt/Dashboard/Served?ServiceDateFrom=2025-11-24&amp;ServiceDateTo=2025-11-24&amp;DumpsterInvNr=13-L-107339", "13-L-107339")</f>
        <v>13-L-107339</v>
      </c>
      <c r="C7012">
        <v>5</v>
      </c>
      <c r="D7012" t="s">
        <v>9665</v>
      </c>
      <c r="E7012" t="s">
        <v>11</v>
      </c>
      <c r="F7012" t="s">
        <v>13</v>
      </c>
      <c r="G7012" t="s">
        <v>1912</v>
      </c>
      <c r="H7012" t="s">
        <v>432</v>
      </c>
    </row>
    <row r="7013" spans="1:8" hidden="1" x14ac:dyDescent="0.25">
      <c r="A7013" t="s">
        <v>9666</v>
      </c>
      <c r="B7013" s="1" t="str">
        <f>HYPERLINK("https://asmlis.vasa.lt/Dashboard/Served?ServiceDateFrom=2025-11-24&amp;ServiceDateTo=2025-11-24&amp;DumpsterInvNr=13-L-107340", "13-L-107340")</f>
        <v>13-L-107340</v>
      </c>
      <c r="C7013">
        <v>5</v>
      </c>
      <c r="D7013" t="s">
        <v>9665</v>
      </c>
      <c r="E7013" t="s">
        <v>11</v>
      </c>
      <c r="F7013" t="s">
        <v>13</v>
      </c>
      <c r="G7013" t="s">
        <v>1912</v>
      </c>
      <c r="H7013" t="s">
        <v>432</v>
      </c>
    </row>
    <row r="7014" spans="1:8" hidden="1" x14ac:dyDescent="0.25">
      <c r="A7014" t="s">
        <v>9667</v>
      </c>
      <c r="B7014" s="1" t="str">
        <f>HYPERLINK("https://asmlis.vasa.lt/Dashboard/Served?ServiceDateFrom=2025-11-24&amp;ServiceDateTo=2025-11-24&amp;DumpsterInvNr=13-L-219348", "13-L-219348")</f>
        <v>13-L-219348</v>
      </c>
      <c r="C7014">
        <v>0.12</v>
      </c>
      <c r="D7014" t="s">
        <v>4170</v>
      </c>
      <c r="E7014" t="s">
        <v>11</v>
      </c>
      <c r="F7014" t="s">
        <v>1209</v>
      </c>
      <c r="G7014" t="s">
        <v>936</v>
      </c>
      <c r="H7014" t="s">
        <v>938</v>
      </c>
    </row>
    <row r="7015" spans="1:8" hidden="1" x14ac:dyDescent="0.25">
      <c r="A7015" t="s">
        <v>9668</v>
      </c>
      <c r="B7015" s="1" t="str">
        <f>HYPERLINK("https://asmlis.vasa.lt/Dashboard/Served?ServiceDateFrom=2025-11-24&amp;ServiceDateTo=2025-11-24&amp;DumpsterInvNr=13-L-308891", "13-L-308891")</f>
        <v>13-L-308891</v>
      </c>
      <c r="C7015">
        <v>1.1000000000000001</v>
      </c>
      <c r="D7015" t="s">
        <v>9670</v>
      </c>
      <c r="E7015" t="s">
        <v>11</v>
      </c>
      <c r="F7015" t="s">
        <v>13</v>
      </c>
      <c r="G7015" t="s">
        <v>9</v>
      </c>
      <c r="H7015" t="s">
        <v>14</v>
      </c>
    </row>
    <row r="7016" spans="1:8" hidden="1" x14ac:dyDescent="0.25">
      <c r="A7016" t="s">
        <v>9668</v>
      </c>
      <c r="B7016" s="1" t="str">
        <f>HYPERLINK("https://asmlis.vasa.lt/Dashboard/Served?ServiceDateFrom=2025-11-24&amp;ServiceDateTo=2025-11-24&amp;DumpsterInvNr=13-L-305775", "13-L-305775")</f>
        <v>13-L-305775</v>
      </c>
      <c r="C7016">
        <v>3</v>
      </c>
      <c r="D7016" t="s">
        <v>8201</v>
      </c>
      <c r="E7016" t="s">
        <v>11</v>
      </c>
      <c r="F7016" t="s">
        <v>13</v>
      </c>
      <c r="G7016" t="s">
        <v>9</v>
      </c>
      <c r="H7016" t="s">
        <v>14</v>
      </c>
    </row>
    <row r="7017" spans="1:8" hidden="1" x14ac:dyDescent="0.25">
      <c r="A7017" t="s">
        <v>9668</v>
      </c>
      <c r="B7017" s="1" t="str">
        <f>HYPERLINK("https://asmlis.vasa.lt/Dashboard/Served?ServiceDateFrom=2025-11-24&amp;ServiceDateTo=2025-11-24&amp;DumpsterInvNr=13-P-212052", "13-P-212052")</f>
        <v>13-P-212052</v>
      </c>
      <c r="C7017">
        <v>0.24</v>
      </c>
      <c r="D7017" t="s">
        <v>9660</v>
      </c>
      <c r="E7017" t="s">
        <v>11</v>
      </c>
      <c r="G7017" t="s">
        <v>234</v>
      </c>
      <c r="H7017" t="s">
        <v>14</v>
      </c>
    </row>
    <row r="7018" spans="1:8" hidden="1" x14ac:dyDescent="0.25">
      <c r="A7018" t="s">
        <v>9671</v>
      </c>
      <c r="B7018" s="1" t="str">
        <f>HYPERLINK("https://asmlis.vasa.lt/Dashboard/Served?ServiceDateFrom=2025-11-24&amp;ServiceDateTo=2025-11-24&amp;DumpsterInvNr=13-P-501774", "13-P-501774")</f>
        <v>13-P-501774</v>
      </c>
      <c r="C7018">
        <v>5</v>
      </c>
      <c r="D7018" t="s">
        <v>9672</v>
      </c>
      <c r="E7018" t="s">
        <v>11</v>
      </c>
      <c r="F7018" t="s">
        <v>13</v>
      </c>
      <c r="G7018" t="s">
        <v>2178</v>
      </c>
      <c r="H7018" t="s">
        <v>432</v>
      </c>
    </row>
    <row r="7019" spans="1:8" hidden="1" x14ac:dyDescent="0.25">
      <c r="A7019" t="s">
        <v>9673</v>
      </c>
      <c r="B7019" s="1" t="str">
        <f>HYPERLINK("https://asmlis.vasa.lt/Dashboard/Served?ServiceDateFrom=2025-11-24&amp;ServiceDateTo=2025-11-24&amp;DumpsterInvNr=13-P-411021", "13-P-411021")</f>
        <v>13-P-411021</v>
      </c>
      <c r="C7019">
        <v>0.24</v>
      </c>
      <c r="D7019" t="s">
        <v>8472</v>
      </c>
      <c r="E7019" t="s">
        <v>11</v>
      </c>
      <c r="G7019" t="s">
        <v>264</v>
      </c>
      <c r="H7019" t="s">
        <v>14</v>
      </c>
    </row>
    <row r="7020" spans="1:8" hidden="1" x14ac:dyDescent="0.25">
      <c r="A7020" t="s">
        <v>9675</v>
      </c>
      <c r="B7020" s="1" t="str">
        <f>HYPERLINK("https://asmlis.vasa.lt/Dashboard/Served?ServiceDateFrom=2025-11-24&amp;ServiceDateTo=2025-11-24&amp;DumpsterInvNr=13-P-115134", "13-P-115134")</f>
        <v>13-P-115134</v>
      </c>
      <c r="C7020">
        <v>1.1000000000000001</v>
      </c>
      <c r="D7020" t="s">
        <v>9649</v>
      </c>
      <c r="E7020" t="s">
        <v>11</v>
      </c>
      <c r="G7020" t="s">
        <v>1917</v>
      </c>
      <c r="H7020" t="s">
        <v>432</v>
      </c>
    </row>
    <row r="7021" spans="1:8" hidden="1" x14ac:dyDescent="0.25">
      <c r="A7021" t="s">
        <v>9676</v>
      </c>
      <c r="B7021" s="1" t="str">
        <f>HYPERLINK("https://asmlis.vasa.lt/Dashboard/Served?ServiceDateFrom=2025-11-24&amp;ServiceDateTo=2025-11-24&amp;DumpsterInvNr=13-M-204331", "13-M-204331")</f>
        <v>13-M-204331</v>
      </c>
      <c r="C7021">
        <v>0.12</v>
      </c>
      <c r="D7021" t="s">
        <v>9677</v>
      </c>
      <c r="E7021" t="s">
        <v>11</v>
      </c>
      <c r="G7021" t="s">
        <v>4876</v>
      </c>
      <c r="H7021" t="s">
        <v>938</v>
      </c>
    </row>
    <row r="7022" spans="1:8" hidden="1" x14ac:dyDescent="0.25">
      <c r="A7022" t="s">
        <v>2992</v>
      </c>
      <c r="B7022" s="1" t="str">
        <f>HYPERLINK("https://asmlis.vasa.lt/Dashboard/Served?ServiceDateFrom=2025-11-24&amp;ServiceDateTo=2025-11-24&amp;DumpsterInvNr=13-L-424346", "13-L-424346")</f>
        <v>13-L-424346</v>
      </c>
      <c r="C7022">
        <v>0.24</v>
      </c>
      <c r="D7022" t="s">
        <v>4887</v>
      </c>
      <c r="E7022" t="s">
        <v>11</v>
      </c>
      <c r="G7022" t="s">
        <v>74</v>
      </c>
      <c r="H7022" t="s">
        <v>14</v>
      </c>
    </row>
    <row r="7023" spans="1:8" hidden="1" x14ac:dyDescent="0.25">
      <c r="A7023" t="s">
        <v>2992</v>
      </c>
      <c r="B7023" s="1" t="str">
        <f>HYPERLINK("https://asmlis.vasa.lt/Dashboard/Served?ServiceDateFrom=2025-11-24&amp;ServiceDateTo=2025-11-24&amp;DumpsterInvNr=13-L-424345", "13-L-424345")</f>
        <v>13-L-424345</v>
      </c>
      <c r="C7023">
        <v>0.24</v>
      </c>
      <c r="D7023" t="s">
        <v>4883</v>
      </c>
      <c r="E7023" t="s">
        <v>11</v>
      </c>
      <c r="G7023" t="s">
        <v>74</v>
      </c>
      <c r="H7023" t="s">
        <v>14</v>
      </c>
    </row>
    <row r="7024" spans="1:8" hidden="1" x14ac:dyDescent="0.25">
      <c r="A7024" t="s">
        <v>3435</v>
      </c>
      <c r="B7024" s="1" t="str">
        <f>HYPERLINK("https://asmlis.vasa.lt/Dashboard/Served?ServiceDateFrom=2025-11-24&amp;ServiceDateTo=2025-11-24&amp;DumpsterInvNr=13-L-215576", "13-L-215576")</f>
        <v>13-L-215576</v>
      </c>
      <c r="C7024">
        <v>0.24</v>
      </c>
      <c r="D7024" t="s">
        <v>9678</v>
      </c>
      <c r="E7024" t="s">
        <v>11</v>
      </c>
      <c r="G7024" t="s">
        <v>936</v>
      </c>
      <c r="H7024" t="s">
        <v>938</v>
      </c>
    </row>
    <row r="7025" spans="1:8" hidden="1" x14ac:dyDescent="0.25">
      <c r="A7025" t="s">
        <v>3871</v>
      </c>
      <c r="B7025" s="1" t="str">
        <f>HYPERLINK("https://asmlis.vasa.lt/Dashboard/Served?ServiceDateFrom=2025-11-24&amp;ServiceDateTo=2025-11-24&amp;DumpsterInvNr=13-L-213469", "13-L-213469")</f>
        <v>13-L-213469</v>
      </c>
      <c r="C7025">
        <v>1.1000000000000001</v>
      </c>
      <c r="D7025" t="s">
        <v>9679</v>
      </c>
      <c r="E7025" t="s">
        <v>11</v>
      </c>
      <c r="G7025" t="s">
        <v>936</v>
      </c>
      <c r="H7025" t="s">
        <v>938</v>
      </c>
    </row>
    <row r="7026" spans="1:8" hidden="1" x14ac:dyDescent="0.25">
      <c r="A7026" t="s">
        <v>3918</v>
      </c>
      <c r="B7026" s="1" t="str">
        <f>HYPERLINK("https://asmlis.vasa.lt/Dashboard/Served?ServiceDateFrom=2025-11-24&amp;ServiceDateTo=2025-11-24&amp;DumpsterInvNr=13-L-216616", "13-L-216616")</f>
        <v>13-L-216616</v>
      </c>
      <c r="C7026">
        <v>0.24</v>
      </c>
      <c r="D7026" t="s">
        <v>9680</v>
      </c>
      <c r="E7026" t="s">
        <v>11</v>
      </c>
      <c r="F7026" t="s">
        <v>1209</v>
      </c>
      <c r="G7026" t="s">
        <v>936</v>
      </c>
      <c r="H7026" t="s">
        <v>938</v>
      </c>
    </row>
    <row r="7027" spans="1:8" hidden="1" x14ac:dyDescent="0.25">
      <c r="A7027" t="s">
        <v>4100</v>
      </c>
      <c r="B7027" s="1" t="str">
        <f>HYPERLINK("https://asmlis.vasa.lt/Dashboard/Served?ServiceDateFrom=2025-11-24&amp;ServiceDateTo=2025-11-24&amp;DumpsterInvNr=13-M-202056", "13-M-202056")</f>
        <v>13-M-202056</v>
      </c>
      <c r="C7027">
        <v>0.12</v>
      </c>
      <c r="D7027" t="s">
        <v>9682</v>
      </c>
      <c r="E7027" t="s">
        <v>11</v>
      </c>
      <c r="F7027" t="s">
        <v>1209</v>
      </c>
      <c r="G7027" t="s">
        <v>4876</v>
      </c>
      <c r="H7027" t="s">
        <v>938</v>
      </c>
    </row>
    <row r="7028" spans="1:8" hidden="1" x14ac:dyDescent="0.25">
      <c r="A7028" t="s">
        <v>4368</v>
      </c>
      <c r="B7028" s="1" t="str">
        <f>HYPERLINK("https://asmlis.vasa.lt/Dashboard/Served?ServiceDateFrom=2025-11-24&amp;ServiceDateTo=2025-11-24&amp;DumpsterInvNr=13-L-218394", "13-L-218394")</f>
        <v>13-L-218394</v>
      </c>
      <c r="C7028">
        <v>1.1000000000000001</v>
      </c>
      <c r="D7028" t="s">
        <v>9679</v>
      </c>
      <c r="E7028" t="s">
        <v>11</v>
      </c>
      <c r="F7028" t="s">
        <v>13</v>
      </c>
      <c r="G7028" t="s">
        <v>936</v>
      </c>
      <c r="H7028" t="s">
        <v>938</v>
      </c>
    </row>
    <row r="7029" spans="1:8" hidden="1" x14ac:dyDescent="0.25">
      <c r="A7029" t="s">
        <v>4368</v>
      </c>
      <c r="B7029" s="1" t="str">
        <f>HYPERLINK("https://asmlis.vasa.lt/Dashboard/Served?ServiceDateFrom=2025-11-24&amp;ServiceDateTo=2025-11-24&amp;DumpsterInvNr=13-M-203907", "13-M-203907")</f>
        <v>13-M-203907</v>
      </c>
      <c r="C7029">
        <v>0.12</v>
      </c>
      <c r="D7029" t="s">
        <v>9662</v>
      </c>
      <c r="E7029" t="s">
        <v>11</v>
      </c>
      <c r="F7029" t="s">
        <v>1209</v>
      </c>
      <c r="G7029" t="s">
        <v>4876</v>
      </c>
      <c r="H7029" t="s">
        <v>938</v>
      </c>
    </row>
    <row r="7030" spans="1:8" hidden="1" x14ac:dyDescent="0.25">
      <c r="A7030" t="s">
        <v>5362</v>
      </c>
      <c r="B7030" s="1" t="str">
        <f>HYPERLINK("https://asmlis.vasa.lt/Dashboard/Served?ServiceDateFrom=2025-11-24&amp;ServiceDateTo=2025-11-24&amp;DumpsterInvNr=13-P-402472", "13-P-402472")</f>
        <v>13-P-402472</v>
      </c>
      <c r="C7030">
        <v>1.1000000000000001</v>
      </c>
      <c r="D7030" t="s">
        <v>9683</v>
      </c>
      <c r="E7030" t="s">
        <v>11</v>
      </c>
      <c r="G7030" t="s">
        <v>264</v>
      </c>
      <c r="H7030" t="s">
        <v>14</v>
      </c>
    </row>
    <row r="7031" spans="1:8" hidden="1" x14ac:dyDescent="0.25">
      <c r="A7031" t="s">
        <v>5512</v>
      </c>
      <c r="B7031" s="1" t="str">
        <f>HYPERLINK("https://asmlis.vasa.lt/Dashboard/Served?ServiceDateFrom=2025-11-24&amp;ServiceDateTo=2025-11-24&amp;DumpsterInvNr=13-M-202147", "13-M-202147")</f>
        <v>13-M-202147</v>
      </c>
      <c r="C7031">
        <v>0.12</v>
      </c>
      <c r="D7031" t="s">
        <v>9684</v>
      </c>
      <c r="E7031" t="s">
        <v>11</v>
      </c>
      <c r="F7031" t="s">
        <v>1209</v>
      </c>
      <c r="G7031" t="s">
        <v>4876</v>
      </c>
      <c r="H7031" t="s">
        <v>938</v>
      </c>
    </row>
    <row r="7032" spans="1:8" hidden="1" x14ac:dyDescent="0.25">
      <c r="A7032" t="s">
        <v>5789</v>
      </c>
      <c r="B7032" s="1" t="str">
        <f>HYPERLINK("https://asmlis.vasa.lt/Dashboard/Served?ServiceDateFrom=2025-11-24&amp;ServiceDateTo=2025-11-24&amp;DumpsterInvNr=13-L-124887", "13-L-124887")</f>
        <v>13-L-124887</v>
      </c>
      <c r="C7032">
        <v>1.1000000000000001</v>
      </c>
      <c r="D7032" t="s">
        <v>9686</v>
      </c>
      <c r="E7032" t="s">
        <v>11</v>
      </c>
      <c r="G7032" t="s">
        <v>430</v>
      </c>
      <c r="H7032" t="s">
        <v>432</v>
      </c>
    </row>
    <row r="7033" spans="1:8" hidden="1" x14ac:dyDescent="0.25">
      <c r="A7033" t="s">
        <v>6260</v>
      </c>
      <c r="B7033" s="1" t="str">
        <f>HYPERLINK("https://asmlis.vasa.lt/Dashboard/Served?ServiceDateFrom=2025-11-24&amp;ServiceDateTo=2025-11-24&amp;DumpsterInvNr=13-M-206065", "13-M-206065")</f>
        <v>13-M-206065</v>
      </c>
      <c r="C7033">
        <v>0.12</v>
      </c>
      <c r="D7033" t="s">
        <v>9688</v>
      </c>
      <c r="E7033" t="s">
        <v>11</v>
      </c>
      <c r="F7033" t="s">
        <v>1209</v>
      </c>
      <c r="G7033" t="s">
        <v>4876</v>
      </c>
      <c r="H7033" t="s">
        <v>938</v>
      </c>
    </row>
    <row r="7034" spans="1:8" hidden="1" x14ac:dyDescent="0.25">
      <c r="A7034" t="s">
        <v>6476</v>
      </c>
      <c r="B7034" s="1" t="str">
        <f>HYPERLINK("https://asmlis.vasa.lt/Dashboard/Served?ServiceDateFrom=2025-11-24&amp;ServiceDateTo=2025-11-24&amp;DumpsterInvNr=13-P-203777", "13-P-203777")</f>
        <v>13-P-203777</v>
      </c>
      <c r="C7034">
        <v>0.24</v>
      </c>
      <c r="D7034" t="s">
        <v>9689</v>
      </c>
      <c r="E7034" t="s">
        <v>11</v>
      </c>
      <c r="G7034" t="s">
        <v>234</v>
      </c>
      <c r="H7034" t="s">
        <v>14</v>
      </c>
    </row>
    <row r="7035" spans="1:8" hidden="1" x14ac:dyDescent="0.25">
      <c r="A7035" t="s">
        <v>6644</v>
      </c>
      <c r="B7035" s="1" t="str">
        <f>HYPERLINK("https://asmlis.vasa.lt/Dashboard/Served?ServiceDateFrom=2025-11-24&amp;ServiceDateTo=2025-11-24&amp;DumpsterInvNr=13-M-201981", "13-M-201981")</f>
        <v>13-M-201981</v>
      </c>
      <c r="C7035">
        <v>0.12</v>
      </c>
      <c r="D7035" t="s">
        <v>9690</v>
      </c>
      <c r="E7035" t="s">
        <v>11</v>
      </c>
      <c r="F7035" t="s">
        <v>1209</v>
      </c>
      <c r="G7035" t="s">
        <v>4876</v>
      </c>
      <c r="H7035" t="s">
        <v>938</v>
      </c>
    </row>
    <row r="7036" spans="1:8" hidden="1" x14ac:dyDescent="0.25">
      <c r="A7036" t="s">
        <v>9563</v>
      </c>
      <c r="B7036" s="1" t="str">
        <f>HYPERLINK("https://asmlis.vasa.lt/Dashboard/Served?ServiceDateFrom=2025-11-24&amp;ServiceDateTo=2025-11-24&amp;DumpsterInvNr=13-P-203779", "13-P-203779")</f>
        <v>13-P-203779</v>
      </c>
      <c r="C7036">
        <v>0.12</v>
      </c>
      <c r="D7036" t="s">
        <v>9691</v>
      </c>
      <c r="E7036" t="s">
        <v>11</v>
      </c>
      <c r="G7036" t="s">
        <v>234</v>
      </c>
      <c r="H7036" t="s">
        <v>14</v>
      </c>
    </row>
    <row r="7037" spans="1:8" hidden="1" x14ac:dyDescent="0.25">
      <c r="A7037" t="s">
        <v>7272</v>
      </c>
      <c r="B7037" s="1" t="str">
        <f>HYPERLINK("https://asmlis.vasa.lt/Dashboard/Served?ServiceDateFrom=2025-11-24&amp;ServiceDateTo=2025-11-24&amp;DumpsterInvNr=13-P-402494", "13-P-402494")</f>
        <v>13-P-402494</v>
      </c>
      <c r="C7037">
        <v>1.1000000000000001</v>
      </c>
      <c r="D7037" t="s">
        <v>9683</v>
      </c>
      <c r="E7037" t="s">
        <v>11</v>
      </c>
      <c r="G7037" t="s">
        <v>264</v>
      </c>
      <c r="H7037" t="s">
        <v>14</v>
      </c>
    </row>
    <row r="7038" spans="1:8" hidden="1" x14ac:dyDescent="0.25">
      <c r="A7038" t="s">
        <v>7426</v>
      </c>
      <c r="B7038" s="1" t="str">
        <f>HYPERLINK("https://asmlis.vasa.lt/Dashboard/Served?ServiceDateFrom=2025-11-24&amp;ServiceDateTo=2025-11-24&amp;DumpsterInvNr=13-L-219347", "13-L-219347")</f>
        <v>13-L-219347</v>
      </c>
      <c r="C7038">
        <v>0.12</v>
      </c>
      <c r="D7038" t="s">
        <v>4143</v>
      </c>
      <c r="E7038" t="s">
        <v>11</v>
      </c>
      <c r="F7038" t="s">
        <v>1209</v>
      </c>
      <c r="G7038" t="s">
        <v>936</v>
      </c>
      <c r="H7038" t="s">
        <v>938</v>
      </c>
    </row>
    <row r="7039" spans="1:8" hidden="1" x14ac:dyDescent="0.25">
      <c r="A7039" t="s">
        <v>7516</v>
      </c>
      <c r="B7039" s="1" t="str">
        <f>HYPERLINK("https://asmlis.vasa.lt/Dashboard/Served?ServiceDateFrom=2025-11-24&amp;ServiceDateTo=2025-11-24&amp;DumpsterInvNr=13-P-413817", "13-P-413817")</f>
        <v>13-P-413817</v>
      </c>
      <c r="C7039">
        <v>5</v>
      </c>
      <c r="D7039" t="s">
        <v>9692</v>
      </c>
      <c r="E7039" t="s">
        <v>11</v>
      </c>
      <c r="G7039" t="s">
        <v>264</v>
      </c>
      <c r="H7039" t="s">
        <v>14</v>
      </c>
    </row>
    <row r="7040" spans="1:8" hidden="1" x14ac:dyDescent="0.25">
      <c r="A7040" t="s">
        <v>7516</v>
      </c>
      <c r="B7040" s="1" t="str">
        <f>HYPERLINK("https://asmlis.vasa.lt/Dashboard/Served?ServiceDateFrom=2025-11-24&amp;ServiceDateTo=2025-11-24&amp;DumpsterInvNr=13-S-205673", "13-S-205673")</f>
        <v>13-S-205673</v>
      </c>
      <c r="C7040">
        <v>0.12</v>
      </c>
      <c r="D7040" t="s">
        <v>9693</v>
      </c>
      <c r="E7040" t="s">
        <v>11</v>
      </c>
      <c r="F7040" t="s">
        <v>1209</v>
      </c>
      <c r="G7040" t="s">
        <v>234</v>
      </c>
      <c r="H7040" t="s">
        <v>14</v>
      </c>
    </row>
    <row r="7041" spans="1:8" hidden="1" x14ac:dyDescent="0.25">
      <c r="A7041" t="s">
        <v>9635</v>
      </c>
      <c r="B7041" s="1" t="str">
        <f>HYPERLINK("https://asmlis.vasa.lt/Dashboard/Served?ServiceDateFrom=2025-11-24&amp;ServiceDateTo=2025-11-24&amp;DumpsterInvNr=13-L-146450", "13-L-146450")</f>
        <v>13-L-146450</v>
      </c>
      <c r="C7041">
        <v>0.24</v>
      </c>
      <c r="D7041" t="s">
        <v>9694</v>
      </c>
      <c r="E7041" t="s">
        <v>11</v>
      </c>
      <c r="G7041" t="s">
        <v>1912</v>
      </c>
      <c r="H7041" t="s">
        <v>432</v>
      </c>
    </row>
    <row r="7042" spans="1:8" hidden="1" x14ac:dyDescent="0.25">
      <c r="A7042" t="s">
        <v>8482</v>
      </c>
      <c r="B7042" s="1" t="str">
        <f>HYPERLINK("https://asmlis.vasa.lt/Dashboard/Served?ServiceDateFrom=2025-11-24&amp;ServiceDateTo=2025-11-24&amp;DumpsterInvNr=13-P-112499", "13-P-112499")</f>
        <v>13-P-112499</v>
      </c>
      <c r="C7042">
        <v>0.24</v>
      </c>
      <c r="D7042" t="s">
        <v>9695</v>
      </c>
      <c r="E7042" t="s">
        <v>11</v>
      </c>
      <c r="G7042" t="s">
        <v>1917</v>
      </c>
      <c r="H7042" t="s">
        <v>432</v>
      </c>
    </row>
    <row r="7043" spans="1:8" hidden="1" x14ac:dyDescent="0.25">
      <c r="A7043" t="s">
        <v>8614</v>
      </c>
      <c r="B7043" s="1" t="str">
        <f>HYPERLINK("https://asmlis.vasa.lt/Dashboard/Served?ServiceDateFrom=2025-11-24&amp;ServiceDateTo=2025-11-24&amp;DumpsterInvNr=13-M-202396", "13-M-202396")</f>
        <v>13-M-202396</v>
      </c>
      <c r="C7043">
        <v>0.12</v>
      </c>
      <c r="D7043" t="s">
        <v>9696</v>
      </c>
      <c r="E7043" t="s">
        <v>11</v>
      </c>
      <c r="G7043" t="s">
        <v>4876</v>
      </c>
      <c r="H7043" t="s">
        <v>938</v>
      </c>
    </row>
    <row r="7044" spans="1:8" hidden="1" x14ac:dyDescent="0.25">
      <c r="A7044" t="s">
        <v>9697</v>
      </c>
      <c r="B7044" s="1" t="str">
        <f>HYPERLINK("https://asmlis.vasa.lt/Dashboard/Served?ServiceDateFrom=2025-11-24&amp;ServiceDateTo=2025-11-24&amp;DumpsterInvNr=13-P-208140", "13-P-208140")</f>
        <v>13-P-208140</v>
      </c>
      <c r="C7044">
        <v>0.24</v>
      </c>
      <c r="D7044" t="s">
        <v>9698</v>
      </c>
      <c r="E7044" t="s">
        <v>11</v>
      </c>
      <c r="F7044" t="s">
        <v>1209</v>
      </c>
      <c r="G7044" t="s">
        <v>234</v>
      </c>
      <c r="H7044" t="s">
        <v>14</v>
      </c>
    </row>
    <row r="7045" spans="1:8" hidden="1" x14ac:dyDescent="0.25">
      <c r="A7045" t="s">
        <v>9700</v>
      </c>
      <c r="B7045" s="1" t="str">
        <f>HYPERLINK("https://asmlis.vasa.lt/Dashboard/Served?ServiceDateFrom=2025-11-24&amp;ServiceDateTo=2025-11-24&amp;DumpsterInvNr=13-L-141706", "13-L-141706")</f>
        <v>13-L-141706</v>
      </c>
      <c r="C7045">
        <v>1.1000000000000001</v>
      </c>
      <c r="D7045" t="s">
        <v>9701</v>
      </c>
      <c r="E7045" t="s">
        <v>11</v>
      </c>
      <c r="G7045" t="s">
        <v>1912</v>
      </c>
      <c r="H7045" t="s">
        <v>432</v>
      </c>
    </row>
    <row r="7046" spans="1:8" hidden="1" x14ac:dyDescent="0.25">
      <c r="A7046" t="s">
        <v>9702</v>
      </c>
      <c r="B7046" s="1" t="str">
        <f>HYPERLINK("https://asmlis.vasa.lt/Dashboard/Served?ServiceDateFrom=2025-11-24&amp;ServiceDateTo=2025-11-24&amp;DumpsterInvNr=13-P-300863", "13-P-300863")</f>
        <v>13-P-300863</v>
      </c>
      <c r="C7046">
        <v>5</v>
      </c>
      <c r="D7046" t="s">
        <v>1180</v>
      </c>
      <c r="E7046" t="s">
        <v>11</v>
      </c>
      <c r="F7046" t="s">
        <v>13</v>
      </c>
      <c r="G7046" t="s">
        <v>412</v>
      </c>
      <c r="H7046" t="s">
        <v>14</v>
      </c>
    </row>
    <row r="7047" spans="1:8" hidden="1" x14ac:dyDescent="0.25">
      <c r="A7047" t="s">
        <v>9703</v>
      </c>
      <c r="B7047" s="1" t="str">
        <f>HYPERLINK("https://asmlis.vasa.lt/Dashboard/Served?ServiceDateFrom=2025-11-24&amp;ServiceDateTo=2025-11-24&amp;DumpsterInvNr=13-L-224341", "13-L-224341")</f>
        <v>13-L-224341</v>
      </c>
      <c r="C7047">
        <v>1.1000000000000001</v>
      </c>
      <c r="D7047" t="s">
        <v>9704</v>
      </c>
      <c r="E7047" t="s">
        <v>11</v>
      </c>
      <c r="G7047" t="s">
        <v>936</v>
      </c>
      <c r="H7047" t="s">
        <v>938</v>
      </c>
    </row>
    <row r="7048" spans="1:8" hidden="1" x14ac:dyDescent="0.25">
      <c r="A7048" t="s">
        <v>9705</v>
      </c>
      <c r="B7048" s="1" t="str">
        <f>HYPERLINK("https://asmlis.vasa.lt/Dashboard/Served?ServiceDateFrom=2025-11-24&amp;ServiceDateTo=2025-11-24&amp;DumpsterInvNr=13-S-206256", "13-S-206256")</f>
        <v>13-S-206256</v>
      </c>
      <c r="C7048">
        <v>3</v>
      </c>
      <c r="D7048" t="s">
        <v>9098</v>
      </c>
      <c r="E7048" t="s">
        <v>11</v>
      </c>
      <c r="F7048" t="s">
        <v>13</v>
      </c>
      <c r="G7048" t="s">
        <v>234</v>
      </c>
      <c r="H7048" t="s">
        <v>14</v>
      </c>
    </row>
    <row r="7049" spans="1:8" hidden="1" x14ac:dyDescent="0.25">
      <c r="A7049" t="s">
        <v>9706</v>
      </c>
      <c r="B7049" s="1" t="str">
        <f>HYPERLINK("https://asmlis.vasa.lt/Dashboard/Served?ServiceDateFrom=2025-11-24&amp;ServiceDateTo=2025-11-24&amp;DumpsterInvNr=13-M-202290", "13-M-202290")</f>
        <v>13-M-202290</v>
      </c>
      <c r="C7049">
        <v>0.12</v>
      </c>
      <c r="D7049" t="s">
        <v>9707</v>
      </c>
      <c r="E7049" t="s">
        <v>11</v>
      </c>
      <c r="F7049" t="s">
        <v>1209</v>
      </c>
      <c r="G7049" t="s">
        <v>4876</v>
      </c>
      <c r="H7049" t="s">
        <v>938</v>
      </c>
    </row>
    <row r="7050" spans="1:8" hidden="1" x14ac:dyDescent="0.25">
      <c r="A7050" t="s">
        <v>9708</v>
      </c>
      <c r="B7050" s="1" t="str">
        <f>HYPERLINK("https://asmlis.vasa.lt/Dashboard/Served?ServiceDateFrom=2025-11-24&amp;ServiceDateTo=2025-11-24&amp;DumpsterInvNr=13-L-421848", "13-L-421848")</f>
        <v>13-L-421848</v>
      </c>
      <c r="C7050">
        <v>1.1000000000000001</v>
      </c>
      <c r="D7050" t="s">
        <v>9709</v>
      </c>
      <c r="E7050" t="s">
        <v>11</v>
      </c>
      <c r="G7050" t="s">
        <v>74</v>
      </c>
      <c r="H7050" t="s">
        <v>14</v>
      </c>
    </row>
    <row r="7051" spans="1:8" hidden="1" x14ac:dyDescent="0.25">
      <c r="A7051" t="s">
        <v>9710</v>
      </c>
      <c r="B7051" s="1" t="str">
        <f>HYPERLINK("https://asmlis.vasa.lt/Dashboard/Served?ServiceDateFrom=2025-11-24&amp;ServiceDateTo=2025-11-24&amp;DumpsterInvNr=13-L-313811", "13-L-313811")</f>
        <v>13-L-313811</v>
      </c>
      <c r="C7051">
        <v>0.77</v>
      </c>
      <c r="D7051" t="s">
        <v>9711</v>
      </c>
      <c r="E7051" t="s">
        <v>11</v>
      </c>
      <c r="G7051" t="s">
        <v>9</v>
      </c>
      <c r="H7051" t="s">
        <v>14</v>
      </c>
    </row>
    <row r="7052" spans="1:8" hidden="1" x14ac:dyDescent="0.25">
      <c r="A7052" t="s">
        <v>9712</v>
      </c>
      <c r="B7052" s="1" t="str">
        <f>HYPERLINK("https://asmlis.vasa.lt/Dashboard/Served?ServiceDateFrom=2025-11-24&amp;ServiceDateTo=2025-11-24&amp;DumpsterInvNr=13-L-418556", "13-L-418556")</f>
        <v>13-L-418556</v>
      </c>
      <c r="C7052">
        <v>0.24</v>
      </c>
      <c r="D7052" t="s">
        <v>9713</v>
      </c>
      <c r="E7052" t="s">
        <v>11</v>
      </c>
      <c r="G7052" t="s">
        <v>74</v>
      </c>
      <c r="H7052" t="s">
        <v>14</v>
      </c>
    </row>
    <row r="7053" spans="1:8" hidden="1" x14ac:dyDescent="0.25">
      <c r="A7053" t="s">
        <v>9712</v>
      </c>
      <c r="B7053" s="1" t="str">
        <f>HYPERLINK("https://asmlis.vasa.lt/Dashboard/Served?ServiceDateFrom=2025-11-24&amp;ServiceDateTo=2025-11-24&amp;DumpsterInvNr=13-L-222568", "13-L-222568")</f>
        <v>13-L-222568</v>
      </c>
      <c r="C7053">
        <v>0.66</v>
      </c>
      <c r="D7053" t="s">
        <v>9526</v>
      </c>
      <c r="E7053" t="s">
        <v>11</v>
      </c>
      <c r="G7053" t="s">
        <v>936</v>
      </c>
      <c r="H7053" t="s">
        <v>938</v>
      </c>
    </row>
    <row r="7054" spans="1:8" hidden="1" x14ac:dyDescent="0.25">
      <c r="A7054" t="s">
        <v>8416</v>
      </c>
      <c r="B7054" s="1" t="str">
        <f>HYPERLINK("https://asmlis.vasa.lt/Dashboard/Served?ServiceDateFrom=2025-11-24&amp;ServiceDateTo=2025-11-24&amp;DumpsterInvNr=13-L-317506", "13-L-317506")</f>
        <v>13-L-317506</v>
      </c>
      <c r="C7054">
        <v>0.77</v>
      </c>
      <c r="D7054" t="s">
        <v>9715</v>
      </c>
      <c r="E7054" t="s">
        <v>11</v>
      </c>
      <c r="G7054" t="s">
        <v>9</v>
      </c>
      <c r="H7054" t="s">
        <v>14</v>
      </c>
    </row>
    <row r="7055" spans="1:8" hidden="1" x14ac:dyDescent="0.25">
      <c r="A7055" t="s">
        <v>8436</v>
      </c>
      <c r="B7055" s="1" t="str">
        <f>HYPERLINK("https://asmlis.vasa.lt/Dashboard/Served?ServiceDateFrom=2025-11-24&amp;ServiceDateTo=2025-11-24&amp;DumpsterInvNr=13-M-202284", "13-M-202284")</f>
        <v>13-M-202284</v>
      </c>
      <c r="C7055">
        <v>0.12</v>
      </c>
      <c r="D7055" t="s">
        <v>9716</v>
      </c>
      <c r="E7055" t="s">
        <v>11</v>
      </c>
      <c r="F7055" t="s">
        <v>1209</v>
      </c>
      <c r="G7055" t="s">
        <v>4876</v>
      </c>
      <c r="H7055" t="s">
        <v>938</v>
      </c>
    </row>
    <row r="7056" spans="1:8" hidden="1" x14ac:dyDescent="0.25">
      <c r="A7056" t="s">
        <v>9717</v>
      </c>
      <c r="B7056" s="1" t="str">
        <f>HYPERLINK("https://asmlis.vasa.lt/Dashboard/Served?ServiceDateFrom=2025-11-24&amp;ServiceDateTo=2025-11-24&amp;DumpsterInvNr=13-S-205722", "13-S-205722")</f>
        <v>13-S-205722</v>
      </c>
      <c r="C7056">
        <v>0.12</v>
      </c>
      <c r="D7056" t="s">
        <v>9718</v>
      </c>
      <c r="E7056" t="s">
        <v>11</v>
      </c>
      <c r="G7056" t="s">
        <v>234</v>
      </c>
      <c r="H7056" t="s">
        <v>14</v>
      </c>
    </row>
    <row r="7057" spans="1:8" hidden="1" x14ac:dyDescent="0.25">
      <c r="A7057" t="s">
        <v>9719</v>
      </c>
      <c r="B7057" s="1" t="str">
        <f>HYPERLINK("https://asmlis.vasa.lt/Dashboard/Served?ServiceDateFrom=2025-11-24&amp;ServiceDateTo=2025-11-24&amp;DumpsterInvNr=13-L-102635", "13-L-102635")</f>
        <v>13-L-102635</v>
      </c>
      <c r="C7057">
        <v>0.12</v>
      </c>
      <c r="D7057" t="s">
        <v>9720</v>
      </c>
      <c r="E7057" t="s">
        <v>11</v>
      </c>
      <c r="F7057" t="s">
        <v>1209</v>
      </c>
      <c r="G7057" t="s">
        <v>1912</v>
      </c>
      <c r="H7057" t="s">
        <v>432</v>
      </c>
    </row>
    <row r="7058" spans="1:8" hidden="1" x14ac:dyDescent="0.25">
      <c r="A7058" t="s">
        <v>9719</v>
      </c>
      <c r="B7058" s="1" t="str">
        <f>HYPERLINK("https://asmlis.vasa.lt/Dashboard/Served?ServiceDateFrom=2025-11-24&amp;ServiceDateTo=2025-11-24&amp;DumpsterInvNr=13-L-224360", "13-L-224360")</f>
        <v>13-L-224360</v>
      </c>
      <c r="C7058">
        <v>1.1000000000000001</v>
      </c>
      <c r="D7058" t="s">
        <v>9704</v>
      </c>
      <c r="E7058" t="s">
        <v>11</v>
      </c>
      <c r="G7058" t="s">
        <v>936</v>
      </c>
      <c r="H7058" t="s">
        <v>938</v>
      </c>
    </row>
    <row r="7059" spans="1:8" hidden="1" x14ac:dyDescent="0.25">
      <c r="A7059" t="s">
        <v>9722</v>
      </c>
      <c r="B7059" s="1" t="str">
        <f>HYPERLINK("https://asmlis.vasa.lt/Dashboard/Served?ServiceDateFrom=2025-11-24&amp;ServiceDateTo=2025-11-24&amp;DumpsterInvNr=13-M-202421", "13-M-202421")</f>
        <v>13-M-202421</v>
      </c>
      <c r="C7059">
        <v>0.12</v>
      </c>
      <c r="D7059" t="s">
        <v>9723</v>
      </c>
      <c r="E7059" t="s">
        <v>11</v>
      </c>
      <c r="F7059" t="s">
        <v>1209</v>
      </c>
      <c r="G7059" t="s">
        <v>4876</v>
      </c>
      <c r="H7059" t="s">
        <v>938</v>
      </c>
    </row>
    <row r="7060" spans="1:8" hidden="1" x14ac:dyDescent="0.25">
      <c r="A7060" t="s">
        <v>9724</v>
      </c>
      <c r="B7060" s="1" t="str">
        <f>HYPERLINK("https://asmlis.vasa.lt/Dashboard/Served?ServiceDateFrom=2025-11-24&amp;ServiceDateTo=2025-11-24&amp;DumpsterInvNr=13-L-114199", "13-L-114199")</f>
        <v>13-L-114199</v>
      </c>
      <c r="C7060">
        <v>0.24</v>
      </c>
      <c r="D7060" t="s">
        <v>9725</v>
      </c>
      <c r="E7060" t="s">
        <v>11</v>
      </c>
      <c r="G7060" t="s">
        <v>1912</v>
      </c>
      <c r="H7060" t="s">
        <v>432</v>
      </c>
    </row>
    <row r="7061" spans="1:8" hidden="1" x14ac:dyDescent="0.25">
      <c r="A7061" t="s">
        <v>9727</v>
      </c>
      <c r="B7061" s="1" t="str">
        <f>HYPERLINK("https://asmlis.vasa.lt/Dashboard/Served?ServiceDateFrom=2025-11-24&amp;ServiceDateTo=2025-11-24&amp;DumpsterInvNr=13-L-135452", "13-L-135452")</f>
        <v>13-L-135452</v>
      </c>
      <c r="C7061">
        <v>5</v>
      </c>
      <c r="D7061" t="s">
        <v>9728</v>
      </c>
      <c r="E7061" t="s">
        <v>11</v>
      </c>
      <c r="F7061" t="s">
        <v>13</v>
      </c>
      <c r="G7061" t="s">
        <v>430</v>
      </c>
      <c r="H7061" t="s">
        <v>432</v>
      </c>
    </row>
    <row r="7062" spans="1:8" hidden="1" x14ac:dyDescent="0.25">
      <c r="A7062" t="s">
        <v>9729</v>
      </c>
      <c r="B7062" s="1" t="str">
        <f>HYPERLINK("https://asmlis.vasa.lt/Dashboard/Served?ServiceDateFrom=2025-11-24&amp;ServiceDateTo=2025-11-24&amp;DumpsterInvNr=13-P-114908", "13-P-114908")</f>
        <v>13-P-114908</v>
      </c>
      <c r="C7062">
        <v>0.24</v>
      </c>
      <c r="D7062" t="s">
        <v>9725</v>
      </c>
      <c r="E7062" t="s">
        <v>11</v>
      </c>
      <c r="G7062" t="s">
        <v>1917</v>
      </c>
      <c r="H7062" t="s">
        <v>432</v>
      </c>
    </row>
    <row r="7063" spans="1:8" hidden="1" x14ac:dyDescent="0.25">
      <c r="A7063" t="s">
        <v>9731</v>
      </c>
      <c r="B7063" s="1" t="str">
        <f>HYPERLINK("https://asmlis.vasa.lt/Dashboard/Served?ServiceDateFrom=2025-11-24&amp;ServiceDateTo=2025-11-24&amp;DumpsterInvNr=13-P-207400", "13-P-207400")</f>
        <v>13-P-207400</v>
      </c>
      <c r="C7063">
        <v>0.24</v>
      </c>
      <c r="D7063" t="s">
        <v>9732</v>
      </c>
      <c r="E7063" t="s">
        <v>11</v>
      </c>
      <c r="G7063" t="s">
        <v>234</v>
      </c>
      <c r="H7063" t="s">
        <v>14</v>
      </c>
    </row>
    <row r="7064" spans="1:8" hidden="1" x14ac:dyDescent="0.25">
      <c r="A7064" t="s">
        <v>9731</v>
      </c>
      <c r="B7064" s="1" t="str">
        <f>HYPERLINK("https://asmlis.vasa.lt/Dashboard/Served?ServiceDateFrom=2025-11-24&amp;ServiceDateTo=2025-11-24&amp;DumpsterInvNr=13-M-206064", "13-M-206064")</f>
        <v>13-M-206064</v>
      </c>
      <c r="C7064">
        <v>0.12</v>
      </c>
      <c r="D7064" t="s">
        <v>9733</v>
      </c>
      <c r="E7064" t="s">
        <v>11</v>
      </c>
      <c r="F7064" t="s">
        <v>1209</v>
      </c>
      <c r="G7064" t="s">
        <v>4876</v>
      </c>
      <c r="H7064" t="s">
        <v>938</v>
      </c>
    </row>
    <row r="7065" spans="1:8" hidden="1" x14ac:dyDescent="0.25">
      <c r="A7065" t="s">
        <v>9734</v>
      </c>
      <c r="B7065" s="1" t="str">
        <f>HYPERLINK("https://asmlis.vasa.lt/Dashboard/Served?ServiceDateFrom=2025-11-24&amp;ServiceDateTo=2025-11-24&amp;DumpsterInvNr=13-L-425208", "13-L-425208")</f>
        <v>13-L-425208</v>
      </c>
      <c r="C7065">
        <v>1.1000000000000001</v>
      </c>
      <c r="D7065" t="s">
        <v>9709</v>
      </c>
      <c r="E7065" t="s">
        <v>11</v>
      </c>
      <c r="F7065" t="s">
        <v>13</v>
      </c>
      <c r="G7065" t="s">
        <v>74</v>
      </c>
      <c r="H7065" t="s">
        <v>14</v>
      </c>
    </row>
    <row r="7066" spans="1:8" hidden="1" x14ac:dyDescent="0.25">
      <c r="A7066" t="s">
        <v>9736</v>
      </c>
      <c r="B7066" s="1" t="str">
        <f>HYPERLINK("https://asmlis.vasa.lt/Dashboard/Served?ServiceDateFrom=2025-11-24&amp;ServiceDateTo=2025-11-24&amp;DumpsterInvNr=13-L-423927", "13-L-423927")</f>
        <v>13-L-423927</v>
      </c>
      <c r="C7066">
        <v>1.1000000000000001</v>
      </c>
      <c r="D7066" t="s">
        <v>9709</v>
      </c>
      <c r="E7066" t="s">
        <v>11</v>
      </c>
      <c r="F7066" t="s">
        <v>13</v>
      </c>
      <c r="G7066" t="s">
        <v>74</v>
      </c>
      <c r="H7066" t="s">
        <v>14</v>
      </c>
    </row>
    <row r="7067" spans="1:8" hidden="1" x14ac:dyDescent="0.25">
      <c r="A7067" t="s">
        <v>9737</v>
      </c>
      <c r="B7067" s="1" t="str">
        <f>HYPERLINK("https://asmlis.vasa.lt/Dashboard/Served?ServiceDateFrom=2025-11-24&amp;ServiceDateTo=2025-11-24&amp;DumpsterInvNr=13-L-304374", "13-L-304374")</f>
        <v>13-L-304374</v>
      </c>
      <c r="C7067">
        <v>5</v>
      </c>
      <c r="D7067" t="s">
        <v>9738</v>
      </c>
      <c r="E7067" t="s">
        <v>11</v>
      </c>
      <c r="G7067" t="s">
        <v>9</v>
      </c>
      <c r="H7067" t="s">
        <v>14</v>
      </c>
    </row>
    <row r="7068" spans="1:8" hidden="1" x14ac:dyDescent="0.25">
      <c r="A7068" t="s">
        <v>8470</v>
      </c>
      <c r="B7068" s="1" t="str">
        <f>HYPERLINK("https://asmlis.vasa.lt/Dashboard/Served?ServiceDateFrom=2025-11-24&amp;ServiceDateTo=2025-11-24&amp;DumpsterInvNr=13-L-426716", "13-L-426716")</f>
        <v>13-L-426716</v>
      </c>
      <c r="C7068">
        <v>1.1000000000000001</v>
      </c>
      <c r="D7068" t="s">
        <v>9709</v>
      </c>
      <c r="E7068" t="s">
        <v>11</v>
      </c>
      <c r="F7068" t="s">
        <v>13</v>
      </c>
      <c r="G7068" t="s">
        <v>74</v>
      </c>
      <c r="H7068" t="s">
        <v>14</v>
      </c>
    </row>
    <row r="7069" spans="1:8" hidden="1" x14ac:dyDescent="0.25">
      <c r="A7069" t="s">
        <v>9739</v>
      </c>
      <c r="B7069" s="1" t="str">
        <f>HYPERLINK("https://asmlis.vasa.lt/Dashboard/Served?ServiceDateFrom=2025-11-24&amp;ServiceDateTo=2025-11-24&amp;DumpsterInvNr=13-L-426048", "13-L-426048")</f>
        <v>13-L-426048</v>
      </c>
      <c r="C7069">
        <v>1.1000000000000001</v>
      </c>
      <c r="D7069" t="s">
        <v>9709</v>
      </c>
      <c r="E7069" t="s">
        <v>11</v>
      </c>
      <c r="F7069" t="s">
        <v>13</v>
      </c>
      <c r="G7069" t="s">
        <v>74</v>
      </c>
      <c r="H7069" t="s">
        <v>14</v>
      </c>
    </row>
    <row r="7070" spans="1:8" hidden="1" x14ac:dyDescent="0.25">
      <c r="A7070" t="s">
        <v>9740</v>
      </c>
      <c r="B7070" s="1" t="str">
        <f>HYPERLINK("https://asmlis.vasa.lt/Dashboard/Served?ServiceDateFrom=2025-11-24&amp;ServiceDateTo=2025-11-24&amp;DumpsterInvNr=13-M-202340", "13-M-202340")</f>
        <v>13-M-202340</v>
      </c>
      <c r="C7070">
        <v>0.12</v>
      </c>
      <c r="D7070" t="s">
        <v>9741</v>
      </c>
      <c r="E7070" t="s">
        <v>11</v>
      </c>
      <c r="G7070" t="s">
        <v>4876</v>
      </c>
      <c r="H7070" t="s">
        <v>938</v>
      </c>
    </row>
    <row r="7071" spans="1:8" hidden="1" x14ac:dyDescent="0.25">
      <c r="A7071" t="s">
        <v>9742</v>
      </c>
      <c r="B7071" s="1" t="str">
        <f>HYPERLINK("https://asmlis.vasa.lt/Dashboard/Served?ServiceDateFrom=2025-11-24&amp;ServiceDateTo=2025-11-24&amp;DumpsterInvNr=13-P-115133", "13-P-115133")</f>
        <v>13-P-115133</v>
      </c>
      <c r="C7071">
        <v>1.1000000000000001</v>
      </c>
      <c r="D7071" t="s">
        <v>9649</v>
      </c>
      <c r="E7071" t="s">
        <v>11</v>
      </c>
      <c r="G7071" t="s">
        <v>1917</v>
      </c>
      <c r="H7071" t="s">
        <v>432</v>
      </c>
    </row>
    <row r="7072" spans="1:8" hidden="1" x14ac:dyDescent="0.25">
      <c r="A7072" t="s">
        <v>9743</v>
      </c>
      <c r="B7072" s="1" t="str">
        <f>HYPERLINK("https://asmlis.vasa.lt/Dashboard/Served?ServiceDateFrom=2025-11-24&amp;ServiceDateTo=2025-11-24&amp;DumpsterInvNr=13-P-413999", "13-P-413999")</f>
        <v>13-P-413999</v>
      </c>
      <c r="C7072">
        <v>5</v>
      </c>
      <c r="D7072" t="s">
        <v>9744</v>
      </c>
      <c r="E7072" t="s">
        <v>11</v>
      </c>
      <c r="G7072" t="s">
        <v>264</v>
      </c>
      <c r="H7072" t="s">
        <v>14</v>
      </c>
    </row>
    <row r="7073" spans="1:8" hidden="1" x14ac:dyDescent="0.25">
      <c r="A7073" t="s">
        <v>9745</v>
      </c>
      <c r="B7073" s="1" t="str">
        <f>HYPERLINK("https://asmlis.vasa.lt/Dashboard/Served?ServiceDateFrom=2025-11-24&amp;ServiceDateTo=2025-11-24&amp;DumpsterInvNr=13-L-317716", "13-L-317716")</f>
        <v>13-L-317716</v>
      </c>
      <c r="C7073">
        <v>0.77</v>
      </c>
      <c r="D7073" t="s">
        <v>9746</v>
      </c>
      <c r="E7073" t="s">
        <v>11</v>
      </c>
      <c r="G7073" t="s">
        <v>9</v>
      </c>
      <c r="H7073" t="s">
        <v>14</v>
      </c>
    </row>
    <row r="7074" spans="1:8" hidden="1" x14ac:dyDescent="0.25">
      <c r="A7074" t="s">
        <v>9747</v>
      </c>
      <c r="B7074" s="1" t="str">
        <f>HYPERLINK("https://asmlis.vasa.lt/Dashboard/Served?ServiceDateFrom=2025-11-24&amp;ServiceDateTo=2025-11-24&amp;DumpsterInvNr=13-P-413862", "13-P-413862")</f>
        <v>13-P-413862</v>
      </c>
      <c r="C7074">
        <v>0.24</v>
      </c>
      <c r="D7074" t="s">
        <v>8550</v>
      </c>
      <c r="E7074" t="s">
        <v>11</v>
      </c>
      <c r="G7074" t="s">
        <v>264</v>
      </c>
      <c r="H7074" t="s">
        <v>14</v>
      </c>
    </row>
    <row r="7075" spans="1:8" hidden="1" x14ac:dyDescent="0.25">
      <c r="A7075" t="s">
        <v>9748</v>
      </c>
      <c r="B7075" s="1" t="str">
        <f>HYPERLINK("https://asmlis.vasa.lt/Dashboard/Served?ServiceDateFrom=2025-11-24&amp;ServiceDateTo=2025-11-24&amp;DumpsterInvNr=13-P-301794", "13-P-301794")</f>
        <v>13-P-301794</v>
      </c>
      <c r="C7075">
        <v>1.1000000000000001</v>
      </c>
      <c r="D7075" t="s">
        <v>9749</v>
      </c>
      <c r="E7075" t="s">
        <v>11</v>
      </c>
      <c r="G7075" t="s">
        <v>412</v>
      </c>
      <c r="H7075" t="s">
        <v>14</v>
      </c>
    </row>
    <row r="7076" spans="1:8" hidden="1" x14ac:dyDescent="0.25">
      <c r="A7076" t="s">
        <v>9750</v>
      </c>
      <c r="B7076" s="1" t="str">
        <f>HYPERLINK("https://asmlis.vasa.lt/Dashboard/Served?ServiceDateFrom=2025-11-24&amp;ServiceDateTo=2025-11-24&amp;DumpsterInvNr=13-S-207770", "13-S-207770")</f>
        <v>13-S-207770</v>
      </c>
      <c r="C7076">
        <v>0.12</v>
      </c>
      <c r="D7076" t="s">
        <v>9751</v>
      </c>
      <c r="E7076" t="s">
        <v>11</v>
      </c>
      <c r="G7076" t="s">
        <v>234</v>
      </c>
      <c r="H7076" t="s">
        <v>14</v>
      </c>
    </row>
    <row r="7077" spans="1:8" hidden="1" x14ac:dyDescent="0.25">
      <c r="A7077" t="s">
        <v>9750</v>
      </c>
      <c r="B7077" s="1" t="str">
        <f>HYPERLINK("https://asmlis.vasa.lt/Dashboard/Served?ServiceDateFrom=2025-11-24&amp;ServiceDateTo=2025-11-24&amp;DumpsterInvNr=13-P-212376", "13-P-212376")</f>
        <v>13-P-212376</v>
      </c>
      <c r="C7077">
        <v>0.24</v>
      </c>
      <c r="D7077" t="s">
        <v>9751</v>
      </c>
      <c r="E7077" t="s">
        <v>11</v>
      </c>
      <c r="G7077" t="s">
        <v>234</v>
      </c>
      <c r="H7077" t="s">
        <v>14</v>
      </c>
    </row>
    <row r="7078" spans="1:8" hidden="1" x14ac:dyDescent="0.25">
      <c r="A7078" t="s">
        <v>9750</v>
      </c>
      <c r="B7078" s="1" t="str">
        <f>HYPERLINK("https://asmlis.vasa.lt/Dashboard/Served?ServiceDateFrom=2025-11-24&amp;ServiceDateTo=2025-11-24&amp;DumpsterInvNr=13-P-212795", "13-P-212795")</f>
        <v>13-P-212795</v>
      </c>
      <c r="C7078">
        <v>0.24</v>
      </c>
      <c r="D7078" t="s">
        <v>9510</v>
      </c>
      <c r="E7078" t="s">
        <v>11</v>
      </c>
      <c r="G7078" t="s">
        <v>234</v>
      </c>
      <c r="H7078" t="s">
        <v>14</v>
      </c>
    </row>
    <row r="7079" spans="1:8" hidden="1" x14ac:dyDescent="0.25">
      <c r="A7079" t="s">
        <v>9752</v>
      </c>
      <c r="B7079" s="1" t="str">
        <f>HYPERLINK("https://asmlis.vasa.lt/Dashboard/Served?ServiceDateFrom=2025-11-24&amp;ServiceDateTo=2025-11-24&amp;DumpsterInvNr=13-P-500741", "13-P-500741")</f>
        <v>13-P-500741</v>
      </c>
      <c r="C7079">
        <v>5</v>
      </c>
      <c r="D7079" t="s">
        <v>6120</v>
      </c>
      <c r="E7079" t="s">
        <v>11</v>
      </c>
      <c r="F7079" t="s">
        <v>13</v>
      </c>
      <c r="G7079" t="s">
        <v>2178</v>
      </c>
      <c r="H7079" t="s">
        <v>432</v>
      </c>
    </row>
    <row r="7080" spans="1:8" hidden="1" x14ac:dyDescent="0.25">
      <c r="A7080" t="s">
        <v>9753</v>
      </c>
      <c r="B7080" s="1" t="str">
        <f>HYPERLINK("https://asmlis.vasa.lt/Dashboard/Served?ServiceDateFrom=2025-11-24&amp;ServiceDateTo=2025-11-24&amp;DumpsterInvNr=13-P-500740", "13-P-500740")</f>
        <v>13-P-500740</v>
      </c>
      <c r="C7080">
        <v>5</v>
      </c>
      <c r="D7080" t="s">
        <v>6120</v>
      </c>
      <c r="E7080" t="s">
        <v>11</v>
      </c>
      <c r="F7080" t="s">
        <v>13</v>
      </c>
      <c r="G7080" t="s">
        <v>2178</v>
      </c>
      <c r="H7080" t="s">
        <v>432</v>
      </c>
    </row>
    <row r="7081" spans="1:8" hidden="1" x14ac:dyDescent="0.25">
      <c r="A7081" t="s">
        <v>9753</v>
      </c>
      <c r="B7081" s="1" t="str">
        <f>HYPERLINK("https://asmlis.vasa.lt/Dashboard/Served?ServiceDateFrom=2025-11-24&amp;ServiceDateTo=2025-11-24&amp;DumpsterInvNr=13-P-301804", "13-P-301804")</f>
        <v>13-P-301804</v>
      </c>
      <c r="C7081">
        <v>1.1000000000000001</v>
      </c>
      <c r="D7081" t="s">
        <v>9749</v>
      </c>
      <c r="E7081" t="s">
        <v>11</v>
      </c>
      <c r="F7081" t="s">
        <v>13</v>
      </c>
      <c r="G7081" t="s">
        <v>412</v>
      </c>
      <c r="H7081" t="s">
        <v>14</v>
      </c>
    </row>
    <row r="7082" spans="1:8" hidden="1" x14ac:dyDescent="0.25">
      <c r="A7082" t="s">
        <v>9754</v>
      </c>
      <c r="B7082" s="1" t="str">
        <f>HYPERLINK("https://asmlis.vasa.lt/Dashboard/Served?ServiceDateFrom=2025-11-24&amp;ServiceDateTo=2025-11-24&amp;DumpsterInvNr=13-L-217674", "13-L-217674")</f>
        <v>13-L-217674</v>
      </c>
      <c r="C7082">
        <v>1.1000000000000001</v>
      </c>
      <c r="D7082" t="s">
        <v>9526</v>
      </c>
      <c r="E7082" t="s">
        <v>11</v>
      </c>
      <c r="G7082" t="s">
        <v>936</v>
      </c>
      <c r="H7082" t="s">
        <v>938</v>
      </c>
    </row>
    <row r="7083" spans="1:8" hidden="1" x14ac:dyDescent="0.25">
      <c r="A7083" t="s">
        <v>9754</v>
      </c>
      <c r="B7083" s="1" t="str">
        <f>HYPERLINK("https://asmlis.vasa.lt/Dashboard/Served?ServiceDateFrom=2025-11-24&amp;ServiceDateTo=2025-11-24&amp;DumpsterInvNr=13-M-202436", "13-M-202436")</f>
        <v>13-M-202436</v>
      </c>
      <c r="C7083">
        <v>0.12</v>
      </c>
      <c r="D7083" t="s">
        <v>9755</v>
      </c>
      <c r="E7083" t="s">
        <v>11</v>
      </c>
      <c r="G7083" t="s">
        <v>4876</v>
      </c>
      <c r="H7083" t="s">
        <v>938</v>
      </c>
    </row>
    <row r="7084" spans="1:8" hidden="1" x14ac:dyDescent="0.25">
      <c r="A7084" t="s">
        <v>9756</v>
      </c>
      <c r="B7084" s="1" t="str">
        <f>HYPERLINK("https://asmlis.vasa.lt/Dashboard/Served?ServiceDateFrom=2025-11-24&amp;ServiceDateTo=2025-11-24&amp;DumpsterInvNr=13-P-408721", "13-P-408721")</f>
        <v>13-P-408721</v>
      </c>
      <c r="C7084">
        <v>0.24</v>
      </c>
      <c r="D7084" t="s">
        <v>8530</v>
      </c>
      <c r="E7084" t="s">
        <v>11</v>
      </c>
      <c r="G7084" t="s">
        <v>264</v>
      </c>
      <c r="H7084" t="s">
        <v>14</v>
      </c>
    </row>
    <row r="7085" spans="1:8" hidden="1" x14ac:dyDescent="0.25">
      <c r="A7085" t="s">
        <v>9757</v>
      </c>
      <c r="B7085" s="1" t="str">
        <f>HYPERLINK("https://asmlis.vasa.lt/Dashboard/Served?ServiceDateFrom=2025-11-24&amp;ServiceDateTo=2025-11-24&amp;DumpsterInvNr=13-M-202022", "13-M-202022")</f>
        <v>13-M-202022</v>
      </c>
      <c r="C7085">
        <v>0.12</v>
      </c>
      <c r="D7085" t="s">
        <v>9758</v>
      </c>
      <c r="E7085" t="s">
        <v>11</v>
      </c>
      <c r="F7085" t="s">
        <v>1209</v>
      </c>
      <c r="G7085" t="s">
        <v>4876</v>
      </c>
      <c r="H7085" t="s">
        <v>938</v>
      </c>
    </row>
    <row r="7086" spans="1:8" hidden="1" x14ac:dyDescent="0.25">
      <c r="A7086" t="s">
        <v>9759</v>
      </c>
      <c r="B7086" s="1" t="str">
        <f>HYPERLINK("https://asmlis.vasa.lt/Dashboard/Served?ServiceDateFrom=2025-11-24&amp;ServiceDateTo=2025-11-24&amp;DumpsterInvNr=13-P-400558", "13-P-400558")</f>
        <v>13-P-400558</v>
      </c>
      <c r="C7086">
        <v>3</v>
      </c>
      <c r="D7086" t="s">
        <v>1529</v>
      </c>
      <c r="E7086" t="s">
        <v>11</v>
      </c>
      <c r="F7086" t="s">
        <v>13</v>
      </c>
      <c r="G7086" t="s">
        <v>264</v>
      </c>
      <c r="H7086" t="s">
        <v>14</v>
      </c>
    </row>
    <row r="7087" spans="1:8" hidden="1" x14ac:dyDescent="0.25">
      <c r="A7087" t="s">
        <v>9760</v>
      </c>
      <c r="B7087" s="1" t="str">
        <f>HYPERLINK("https://asmlis.vasa.lt/Dashboard/Served?ServiceDateFrom=2025-11-24&amp;ServiceDateTo=2025-11-24&amp;DumpsterInvNr=13-P-400510", "13-P-400510")</f>
        <v>13-P-400510</v>
      </c>
      <c r="C7087">
        <v>3</v>
      </c>
      <c r="D7087" t="s">
        <v>1529</v>
      </c>
      <c r="E7087" t="s">
        <v>11</v>
      </c>
      <c r="F7087" t="s">
        <v>13</v>
      </c>
      <c r="G7087" t="s">
        <v>264</v>
      </c>
      <c r="H7087" t="s">
        <v>14</v>
      </c>
    </row>
    <row r="7088" spans="1:8" hidden="1" x14ac:dyDescent="0.25">
      <c r="A7088" t="s">
        <v>9761</v>
      </c>
      <c r="B7088" s="1" t="str">
        <f>HYPERLINK("https://asmlis.vasa.lt/Dashboard/Served?ServiceDateFrom=2025-11-24&amp;ServiceDateTo=2025-11-24&amp;DumpsterInvNr=13-P-106621", "13-P-106621")</f>
        <v>13-P-106621</v>
      </c>
      <c r="C7088">
        <v>0.24</v>
      </c>
      <c r="D7088" t="s">
        <v>9762</v>
      </c>
      <c r="E7088" t="s">
        <v>11</v>
      </c>
      <c r="G7088" t="s">
        <v>1917</v>
      </c>
      <c r="H7088" t="s">
        <v>432</v>
      </c>
    </row>
    <row r="7089" spans="1:10" hidden="1" x14ac:dyDescent="0.25">
      <c r="A7089" t="s">
        <v>9764</v>
      </c>
      <c r="B7089" s="1" t="str">
        <f>HYPERLINK("https://asmlis.vasa.lt/Dashboard/Served?ServiceDateFrom=2025-11-24&amp;ServiceDateTo=2025-11-24&amp;DumpsterInvNr=13-L-215065", "13-L-215065")</f>
        <v>13-L-215065</v>
      </c>
      <c r="C7089">
        <v>1.1000000000000001</v>
      </c>
      <c r="D7089" t="s">
        <v>9526</v>
      </c>
      <c r="E7089" t="s">
        <v>11</v>
      </c>
      <c r="G7089" t="s">
        <v>936</v>
      </c>
      <c r="H7089" t="s">
        <v>938</v>
      </c>
    </row>
    <row r="7090" spans="1:10" hidden="1" x14ac:dyDescent="0.25">
      <c r="A7090" t="s">
        <v>9765</v>
      </c>
      <c r="B7090" s="1" t="str">
        <f>HYPERLINK("https://asmlis.vasa.lt/Dashboard/Served?ServiceDateFrom=2025-11-24&amp;ServiceDateTo=2025-11-24&amp;DumpsterInvNr=13-L-318577", "13-L-318577")</f>
        <v>13-L-318577</v>
      </c>
      <c r="C7090">
        <v>0.77</v>
      </c>
      <c r="D7090" t="s">
        <v>9766</v>
      </c>
      <c r="E7090" t="s">
        <v>11</v>
      </c>
      <c r="G7090" t="s">
        <v>9</v>
      </c>
      <c r="H7090" t="s">
        <v>14</v>
      </c>
    </row>
    <row r="7091" spans="1:10" hidden="1" x14ac:dyDescent="0.25">
      <c r="A7091" t="s">
        <v>9767</v>
      </c>
      <c r="B7091" s="1" t="str">
        <f>HYPERLINK("https://asmlis.vasa.lt/Dashboard/Served?ServiceDateFrom=2025-11-24&amp;ServiceDateTo=2025-11-24&amp;DumpsterInvNr=13-L-139625", "13-L-139625")</f>
        <v>13-L-139625</v>
      </c>
      <c r="C7091">
        <v>1.1000000000000001</v>
      </c>
      <c r="D7091" t="s">
        <v>9768</v>
      </c>
      <c r="E7091" t="s">
        <v>11</v>
      </c>
      <c r="G7091" t="s">
        <v>430</v>
      </c>
      <c r="H7091" t="s">
        <v>432</v>
      </c>
    </row>
    <row r="7092" spans="1:10" hidden="1" x14ac:dyDescent="0.25">
      <c r="A7092" t="s">
        <v>9769</v>
      </c>
      <c r="B7092" s="1" t="str">
        <f>HYPERLINK("https://asmlis.vasa.lt/Dashboard/Served?ServiceDateFrom=2025-11-24&amp;ServiceDateTo=2025-11-24&amp;DumpsterInvNr=13-M-204017", "13-M-204017")</f>
        <v>13-M-204017</v>
      </c>
      <c r="C7092">
        <v>0.12</v>
      </c>
      <c r="D7092" t="s">
        <v>9771</v>
      </c>
      <c r="E7092" t="s">
        <v>11</v>
      </c>
      <c r="G7092" t="s">
        <v>4876</v>
      </c>
      <c r="H7092" t="s">
        <v>938</v>
      </c>
    </row>
    <row r="7093" spans="1:10" hidden="1" x14ac:dyDescent="0.25">
      <c r="A7093" t="s">
        <v>9772</v>
      </c>
      <c r="B7093" s="1" t="str">
        <f>HYPERLINK("https://asmlis.vasa.lt/Dashboard/Served?ServiceDateFrom=2025-11-24&amp;ServiceDateTo=2025-11-24&amp;DumpsterInvNr=13-P-205169", "13-P-205169")</f>
        <v>13-P-205169</v>
      </c>
      <c r="C7093">
        <v>0.24</v>
      </c>
      <c r="D7093" t="s">
        <v>9773</v>
      </c>
      <c r="E7093" t="s">
        <v>11</v>
      </c>
      <c r="F7093" t="s">
        <v>1209</v>
      </c>
      <c r="G7093" t="s">
        <v>234</v>
      </c>
      <c r="H7093" t="s">
        <v>14</v>
      </c>
    </row>
    <row r="7094" spans="1:10" hidden="1" x14ac:dyDescent="0.25">
      <c r="A7094" t="s">
        <v>9774</v>
      </c>
      <c r="B7094" s="1" t="str">
        <f>HYPERLINK("https://asmlis.vasa.lt/Dashboard/Served?ServiceDateFrom=2025-11-24&amp;ServiceDateTo=2025-11-24&amp;DumpsterInvNr=13-P-413847", "13-P-413847")</f>
        <v>13-P-413847</v>
      </c>
      <c r="C7094">
        <v>0.24</v>
      </c>
      <c r="D7094" t="s">
        <v>9775</v>
      </c>
      <c r="E7094" t="s">
        <v>11</v>
      </c>
      <c r="G7094" t="s">
        <v>264</v>
      </c>
      <c r="H7094" t="s">
        <v>14</v>
      </c>
    </row>
    <row r="7095" spans="1:10" hidden="1" x14ac:dyDescent="0.25">
      <c r="A7095" t="s">
        <v>9774</v>
      </c>
      <c r="B7095" s="1" t="str">
        <f>HYPERLINK("https://asmlis.vasa.lt/Dashboard/Served?ServiceDateFrom=2025-11-24&amp;ServiceDateTo=2025-11-24&amp;DumpsterInvNr=13-M-202172", "13-M-202172")</f>
        <v>13-M-202172</v>
      </c>
      <c r="C7095">
        <v>0.12</v>
      </c>
      <c r="D7095" t="s">
        <v>9776</v>
      </c>
      <c r="E7095" t="s">
        <v>11</v>
      </c>
      <c r="G7095" t="s">
        <v>4876</v>
      </c>
      <c r="H7095" t="s">
        <v>938</v>
      </c>
    </row>
    <row r="7096" spans="1:10" hidden="1" x14ac:dyDescent="0.25">
      <c r="A7096" t="s">
        <v>9777</v>
      </c>
      <c r="B7096" s="1" t="str">
        <f>HYPERLINK("https://asmlis.vasa.lt/Dashboard/Served?ServiceDateFrom=2025-11-24&amp;ServiceDateTo=2025-11-24&amp;DumpsterInvNr=13-P-500556", "13-P-500556")</f>
        <v>13-P-500556</v>
      </c>
      <c r="C7096">
        <v>5</v>
      </c>
      <c r="D7096" t="s">
        <v>9779</v>
      </c>
      <c r="E7096" t="s">
        <v>11</v>
      </c>
      <c r="F7096" t="s">
        <v>13</v>
      </c>
      <c r="G7096" t="s">
        <v>2178</v>
      </c>
      <c r="H7096" t="s">
        <v>432</v>
      </c>
    </row>
    <row r="7097" spans="1:10" hidden="1" x14ac:dyDescent="0.25">
      <c r="A7097" t="s">
        <v>9780</v>
      </c>
      <c r="B7097" s="1" t="str">
        <f>HYPERLINK("https://asmlis.vasa.lt/Dashboard/Served?ServiceDateFrom=2025-11-24&amp;ServiceDateTo=2025-11-24&amp;DumpsterInvNr=13-P-304030", "13-P-304030")</f>
        <v>13-P-304030</v>
      </c>
      <c r="C7097">
        <v>3</v>
      </c>
      <c r="D7097" t="s">
        <v>9781</v>
      </c>
      <c r="E7097" t="s">
        <v>11</v>
      </c>
      <c r="G7097" t="s">
        <v>412</v>
      </c>
      <c r="H7097" t="s">
        <v>14</v>
      </c>
    </row>
    <row r="7098" spans="1:10" hidden="1" x14ac:dyDescent="0.25">
      <c r="A7098" t="s">
        <v>9780</v>
      </c>
      <c r="B7098" s="1" t="str">
        <f>HYPERLINK("https://asmlis.vasa.lt/Dashboard/Served?ServiceDateFrom=2025-11-24&amp;ServiceDateTo=2025-11-24&amp;DumpsterInvNr=13-M-206340", "13-M-206340")</f>
        <v>13-M-206340</v>
      </c>
      <c r="C7098">
        <v>0.12</v>
      </c>
      <c r="D7098" t="s">
        <v>9776</v>
      </c>
      <c r="E7098" t="s">
        <v>11</v>
      </c>
      <c r="F7098" t="s">
        <v>1209</v>
      </c>
      <c r="G7098" t="s">
        <v>4876</v>
      </c>
      <c r="H7098" t="s">
        <v>938</v>
      </c>
    </row>
    <row r="7099" spans="1:10" hidden="1" x14ac:dyDescent="0.25">
      <c r="A7099" t="s">
        <v>9782</v>
      </c>
      <c r="B7099" s="1" t="str">
        <f>HYPERLINK("https://asmlis.vasa.lt/Dashboard/Served?ServiceDateFrom=2025-11-24&amp;ServiceDateTo=2025-11-24&amp;DumpsterInvNr=13-L-106998", "13-L-106998")</f>
        <v>13-L-106998</v>
      </c>
      <c r="C7099">
        <v>1.1000000000000001</v>
      </c>
      <c r="D7099" t="s">
        <v>9783</v>
      </c>
      <c r="E7099" t="s">
        <v>11</v>
      </c>
      <c r="G7099" t="s">
        <v>1912</v>
      </c>
      <c r="H7099" t="s">
        <v>432</v>
      </c>
    </row>
    <row r="7100" spans="1:10" hidden="1" x14ac:dyDescent="0.25">
      <c r="A7100" t="s">
        <v>9784</v>
      </c>
      <c r="B7100" s="1" t="str">
        <f>HYPERLINK("https://asmlis.vasa.lt/Dashboard/Served?ServiceDateFrom=2025-11-24&amp;ServiceDateTo=2025-11-24&amp;DumpsterInvNr=13-M-206080", "13-M-206080")</f>
        <v>13-M-206080</v>
      </c>
      <c r="C7100">
        <v>0.12</v>
      </c>
      <c r="D7100" t="s">
        <v>9776</v>
      </c>
      <c r="E7100" t="s">
        <v>11</v>
      </c>
      <c r="F7100" t="s">
        <v>1209</v>
      </c>
      <c r="G7100" t="s">
        <v>4876</v>
      </c>
      <c r="H7100" t="s">
        <v>938</v>
      </c>
    </row>
    <row r="7101" spans="1:10" hidden="1" x14ac:dyDescent="0.25">
      <c r="A7101" t="s">
        <v>9784</v>
      </c>
      <c r="B7101" s="1" t="str">
        <f>HYPERLINK("https://asmlis.vasa.lt/Dashboard/Served?ServiceDateFrom=2025-11-24&amp;ServiceDateTo=2025-11-24&amp;DumpsterInvNr=13-L-140827", "13-L-140827")</f>
        <v>13-L-140827</v>
      </c>
      <c r="C7101">
        <v>0.24</v>
      </c>
      <c r="D7101" t="s">
        <v>9785</v>
      </c>
      <c r="E7101" t="s">
        <v>11</v>
      </c>
      <c r="G7101" t="s">
        <v>1912</v>
      </c>
      <c r="H7101" t="s">
        <v>432</v>
      </c>
    </row>
    <row r="7102" spans="1:10" hidden="1" x14ac:dyDescent="0.25">
      <c r="A7102" t="s">
        <v>9787</v>
      </c>
      <c r="B7102" s="1" t="str">
        <f>HYPERLINK("https://asmlis.vasa.lt/Dashboard/Served?ServiceDateFrom=2025-11-24&amp;ServiceDateTo=2025-11-24&amp;DumpsterInvNr=13-P-114905", "13-P-114905")</f>
        <v>13-P-114905</v>
      </c>
      <c r="C7102">
        <v>0.24</v>
      </c>
      <c r="D7102" t="s">
        <v>9785</v>
      </c>
      <c r="E7102" t="s">
        <v>11</v>
      </c>
      <c r="G7102" t="s">
        <v>1917</v>
      </c>
      <c r="H7102" t="s">
        <v>432</v>
      </c>
    </row>
    <row r="7103" spans="1:10" hidden="1" x14ac:dyDescent="0.25">
      <c r="A7103" t="s">
        <v>9788</v>
      </c>
      <c r="B7103" s="1" t="str">
        <f>HYPERLINK("https://asmlis.vasa.lt/Dashboard/Served?ServiceDateFrom=2025-11-24&amp;ServiceDateTo=2025-11-24&amp;DumpsterInvNr=13-S-206575", "13-S-206575")</f>
        <v>13-S-206575</v>
      </c>
      <c r="C7103">
        <v>0.12</v>
      </c>
      <c r="D7103" t="s">
        <v>9789</v>
      </c>
      <c r="E7103" t="s">
        <v>11</v>
      </c>
      <c r="F7103" t="s">
        <v>1209</v>
      </c>
      <c r="G7103" t="s">
        <v>234</v>
      </c>
      <c r="H7103" t="s">
        <v>14</v>
      </c>
    </row>
    <row r="7104" spans="1:10" x14ac:dyDescent="0.25">
      <c r="A7104" t="s">
        <v>9790</v>
      </c>
      <c r="B7104" s="1" t="str">
        <f>HYPERLINK("https://asmlis.vasa.lt/Dashboard/Served?ServiceDateFrom=2025-11-24&amp;ServiceDateTo=2025-11-24&amp;DumpsterInvNr=13-L-137812", "13-L-137812")</f>
        <v>13-L-137812</v>
      </c>
      <c r="C7104">
        <v>5</v>
      </c>
      <c r="D7104" t="s">
        <v>9791</v>
      </c>
      <c r="E7104" t="s">
        <v>11</v>
      </c>
      <c r="F7104" t="s">
        <v>2491</v>
      </c>
      <c r="G7104" t="s">
        <v>430</v>
      </c>
      <c r="H7104" t="s">
        <v>432</v>
      </c>
      <c r="J7104" t="s">
        <v>17511</v>
      </c>
    </row>
    <row r="7105" spans="1:10" hidden="1" x14ac:dyDescent="0.25">
      <c r="A7105" t="s">
        <v>9793</v>
      </c>
      <c r="B7105" s="1" t="str">
        <f>HYPERLINK("https://asmlis.vasa.lt/Dashboard/Served?ServiceDateFrom=2025-11-24&amp;ServiceDateTo=2025-11-24&amp;DumpsterInvNr=13-L-208460", "13-L-208460")</f>
        <v>13-L-208460</v>
      </c>
      <c r="C7105">
        <v>1.1000000000000001</v>
      </c>
      <c r="D7105" t="s">
        <v>4534</v>
      </c>
      <c r="E7105" t="s">
        <v>11</v>
      </c>
      <c r="G7105" t="s">
        <v>936</v>
      </c>
      <c r="H7105" t="s">
        <v>938</v>
      </c>
    </row>
    <row r="7106" spans="1:10" hidden="1" x14ac:dyDescent="0.25">
      <c r="A7106" t="s">
        <v>9794</v>
      </c>
      <c r="B7106" s="1" t="str">
        <f>HYPERLINK("https://asmlis.vasa.lt/Dashboard/Served?ServiceDateFrom=2025-11-24&amp;ServiceDateTo=2025-11-24&amp;DumpsterInvNr=13-M-203949", "13-M-203949")</f>
        <v>13-M-203949</v>
      </c>
      <c r="C7106">
        <v>0.12</v>
      </c>
      <c r="D7106" t="s">
        <v>9795</v>
      </c>
      <c r="E7106" t="s">
        <v>11</v>
      </c>
      <c r="F7106" t="s">
        <v>1209</v>
      </c>
      <c r="G7106" t="s">
        <v>4876</v>
      </c>
      <c r="H7106" t="s">
        <v>938</v>
      </c>
    </row>
    <row r="7107" spans="1:10" hidden="1" x14ac:dyDescent="0.25">
      <c r="A7107" t="s">
        <v>9792</v>
      </c>
      <c r="B7107" s="1" t="str">
        <f>HYPERLINK("https://asmlis.vasa.lt/Dashboard/Served?ServiceDateFrom=2025-11-24&amp;ServiceDateTo=2025-11-24&amp;DumpsterInvNr=13-L-102850", "13-L-102850")</f>
        <v>13-L-102850</v>
      </c>
      <c r="C7107">
        <v>0.12</v>
      </c>
      <c r="D7107" t="s">
        <v>9796</v>
      </c>
      <c r="E7107" t="s">
        <v>11</v>
      </c>
      <c r="F7107" t="s">
        <v>1209</v>
      </c>
      <c r="G7107" t="s">
        <v>1912</v>
      </c>
      <c r="H7107" t="s">
        <v>432</v>
      </c>
    </row>
    <row r="7108" spans="1:10" hidden="1" x14ac:dyDescent="0.25">
      <c r="A7108" t="s">
        <v>9798</v>
      </c>
      <c r="B7108" s="1" t="str">
        <f>HYPERLINK("https://asmlis.vasa.lt/Dashboard/Served?ServiceDateFrom=2025-11-24&amp;ServiceDateTo=2025-11-24&amp;DumpsterInvNr=13-P-400519", "13-P-400519")</f>
        <v>13-P-400519</v>
      </c>
      <c r="C7108">
        <v>5</v>
      </c>
      <c r="D7108" t="s">
        <v>9799</v>
      </c>
      <c r="E7108" t="s">
        <v>11</v>
      </c>
      <c r="F7108" t="s">
        <v>13</v>
      </c>
      <c r="G7108" t="s">
        <v>264</v>
      </c>
      <c r="H7108" t="s">
        <v>14</v>
      </c>
    </row>
    <row r="7109" spans="1:10" hidden="1" x14ac:dyDescent="0.25">
      <c r="A7109" t="s">
        <v>9800</v>
      </c>
      <c r="B7109" s="1" t="str">
        <f>HYPERLINK("https://asmlis.vasa.lt/Dashboard/Served?ServiceDateFrom=2025-11-24&amp;ServiceDateTo=2025-11-24&amp;DumpsterInvNr=13-L-109549", "13-L-109549")</f>
        <v>13-L-109549</v>
      </c>
      <c r="C7109">
        <v>0.24</v>
      </c>
      <c r="D7109" t="s">
        <v>9801</v>
      </c>
      <c r="E7109" t="s">
        <v>11</v>
      </c>
      <c r="F7109" t="s">
        <v>1209</v>
      </c>
      <c r="G7109" t="s">
        <v>1912</v>
      </c>
      <c r="H7109" t="s">
        <v>432</v>
      </c>
    </row>
    <row r="7110" spans="1:10" x14ac:dyDescent="0.25">
      <c r="A7110" t="s">
        <v>9803</v>
      </c>
      <c r="B7110" s="1" t="str">
        <f>HYPERLINK("https://asmlis.vasa.lt/Dashboard/Served?ServiceDateFrom=2025-11-24&amp;ServiceDateTo=2025-11-24&amp;DumpsterInvNr=13-L-135451", "13-L-135451")</f>
        <v>13-L-135451</v>
      </c>
      <c r="C7110">
        <v>5</v>
      </c>
      <c r="D7110" t="s">
        <v>9804</v>
      </c>
      <c r="E7110" t="s">
        <v>11</v>
      </c>
      <c r="F7110" t="s">
        <v>2491</v>
      </c>
      <c r="G7110" t="s">
        <v>430</v>
      </c>
      <c r="H7110" t="s">
        <v>432</v>
      </c>
      <c r="J7110" t="s">
        <v>17511</v>
      </c>
    </row>
    <row r="7111" spans="1:10" hidden="1" x14ac:dyDescent="0.25">
      <c r="A7111" t="s">
        <v>9805</v>
      </c>
      <c r="B7111" s="1" t="str">
        <f>HYPERLINK("https://asmlis.vasa.lt/Dashboard/Served?ServiceDateFrom=2025-11-24&amp;ServiceDateTo=2025-11-24&amp;DumpsterInvNr=13-M-203939", "13-M-203939")</f>
        <v>13-M-203939</v>
      </c>
      <c r="C7111">
        <v>0.12</v>
      </c>
      <c r="D7111" t="s">
        <v>9806</v>
      </c>
      <c r="E7111" t="s">
        <v>11</v>
      </c>
      <c r="F7111" t="s">
        <v>1209</v>
      </c>
      <c r="G7111" t="s">
        <v>4876</v>
      </c>
      <c r="H7111" t="s">
        <v>938</v>
      </c>
    </row>
    <row r="7112" spans="1:10" hidden="1" x14ac:dyDescent="0.25">
      <c r="A7112" t="s">
        <v>9807</v>
      </c>
      <c r="B7112" s="1" t="str">
        <f>HYPERLINK("https://asmlis.vasa.lt/Dashboard/Served?ServiceDateFrom=2025-11-24&amp;ServiceDateTo=2025-11-24&amp;DumpsterInvNr=13-M-204744", "13-M-204744")</f>
        <v>13-M-204744</v>
      </c>
      <c r="C7112">
        <v>0.12</v>
      </c>
      <c r="D7112" t="s">
        <v>9809</v>
      </c>
      <c r="E7112" t="s">
        <v>11</v>
      </c>
      <c r="F7112" t="s">
        <v>1209</v>
      </c>
      <c r="G7112" t="s">
        <v>4876</v>
      </c>
      <c r="H7112" t="s">
        <v>938</v>
      </c>
    </row>
    <row r="7113" spans="1:10" hidden="1" x14ac:dyDescent="0.25">
      <c r="A7113" t="s">
        <v>9810</v>
      </c>
      <c r="B7113" s="1" t="str">
        <f>HYPERLINK("https://asmlis.vasa.lt/Dashboard/Served?ServiceDateFrom=2025-11-24&amp;ServiceDateTo=2025-11-24&amp;DumpsterInvNr=13-L-205087", "13-L-205087")</f>
        <v>13-L-205087</v>
      </c>
      <c r="C7113">
        <v>0.77</v>
      </c>
      <c r="D7113" t="s">
        <v>4534</v>
      </c>
      <c r="E7113" t="s">
        <v>11</v>
      </c>
      <c r="F7113" t="s">
        <v>13</v>
      </c>
      <c r="G7113" t="s">
        <v>936</v>
      </c>
      <c r="H7113" t="s">
        <v>938</v>
      </c>
    </row>
    <row r="7114" spans="1:10" hidden="1" x14ac:dyDescent="0.25">
      <c r="A7114" t="s">
        <v>9810</v>
      </c>
      <c r="B7114" s="1" t="str">
        <f>HYPERLINK("https://asmlis.vasa.lt/Dashboard/Served?ServiceDateFrom=2025-11-24&amp;ServiceDateTo=2025-11-24&amp;DumpsterInvNr=13-L-317794", "13-L-317794")</f>
        <v>13-L-317794</v>
      </c>
      <c r="C7114">
        <v>0.77</v>
      </c>
      <c r="D7114" t="s">
        <v>9711</v>
      </c>
      <c r="E7114" t="s">
        <v>11</v>
      </c>
      <c r="G7114" t="s">
        <v>9</v>
      </c>
      <c r="H7114" t="s">
        <v>14</v>
      </c>
    </row>
    <row r="7115" spans="1:10" hidden="1" x14ac:dyDescent="0.25">
      <c r="A7115" t="s">
        <v>9811</v>
      </c>
      <c r="B7115" s="1" t="str">
        <f>HYPERLINK("https://asmlis.vasa.lt/Dashboard/Served?ServiceDateFrom=2025-11-24&amp;ServiceDateTo=2025-11-24&amp;DumpsterInvNr=13-L-318644", "13-L-318644")</f>
        <v>13-L-318644</v>
      </c>
      <c r="C7115">
        <v>0.77</v>
      </c>
      <c r="D7115" t="s">
        <v>9812</v>
      </c>
      <c r="E7115" t="s">
        <v>11</v>
      </c>
      <c r="G7115" t="s">
        <v>9</v>
      </c>
      <c r="H7115" t="s">
        <v>14</v>
      </c>
    </row>
    <row r="7116" spans="1:10" hidden="1" x14ac:dyDescent="0.25">
      <c r="A7116" t="s">
        <v>9813</v>
      </c>
      <c r="B7116" s="1" t="str">
        <f>HYPERLINK("https://asmlis.vasa.lt/Dashboard/Served?ServiceDateFrom=2025-11-24&amp;ServiceDateTo=2025-11-24&amp;DumpsterInvNr=13-M-204882", "13-M-204882")</f>
        <v>13-M-204882</v>
      </c>
      <c r="C7116">
        <v>0.12</v>
      </c>
      <c r="D7116" t="s">
        <v>9814</v>
      </c>
      <c r="E7116" t="s">
        <v>11</v>
      </c>
      <c r="F7116" t="s">
        <v>1209</v>
      </c>
      <c r="G7116" t="s">
        <v>4876</v>
      </c>
      <c r="H7116" t="s">
        <v>938</v>
      </c>
    </row>
    <row r="7117" spans="1:10" hidden="1" x14ac:dyDescent="0.25">
      <c r="A7117" t="s">
        <v>9815</v>
      </c>
      <c r="B7117" s="1" t="str">
        <f>HYPERLINK("https://asmlis.vasa.lt/Dashboard/Served?ServiceDateFrom=2025-11-24&amp;ServiceDateTo=2025-11-24&amp;DumpsterInvNr=13-L-318586", "13-L-318586")</f>
        <v>13-L-318586</v>
      </c>
      <c r="C7117">
        <v>0.77</v>
      </c>
      <c r="D7117" t="s">
        <v>9816</v>
      </c>
      <c r="E7117" t="s">
        <v>11</v>
      </c>
      <c r="G7117" t="s">
        <v>9</v>
      </c>
      <c r="H7117" t="s">
        <v>14</v>
      </c>
    </row>
    <row r="7118" spans="1:10" hidden="1" x14ac:dyDescent="0.25">
      <c r="A7118" t="s">
        <v>9817</v>
      </c>
      <c r="B7118" s="1" t="str">
        <f>HYPERLINK("https://asmlis.vasa.lt/Dashboard/Served?ServiceDateFrom=2025-11-24&amp;ServiceDateTo=2025-11-24&amp;DumpsterInvNr=13-L-223016", "13-L-223016")</f>
        <v>13-L-223016</v>
      </c>
      <c r="C7118">
        <v>0.24</v>
      </c>
      <c r="D7118" t="s">
        <v>9818</v>
      </c>
      <c r="E7118" t="s">
        <v>11</v>
      </c>
      <c r="G7118" t="s">
        <v>936</v>
      </c>
      <c r="H7118" t="s">
        <v>938</v>
      </c>
    </row>
    <row r="7119" spans="1:10" hidden="1" x14ac:dyDescent="0.25">
      <c r="A7119" t="s">
        <v>9817</v>
      </c>
      <c r="B7119" s="1" t="str">
        <f>HYPERLINK("https://asmlis.vasa.lt/Dashboard/Served?ServiceDateFrom=2025-11-24&amp;ServiceDateTo=2025-11-24&amp;DumpsterInvNr=13-M-202145", "13-M-202145")</f>
        <v>13-M-202145</v>
      </c>
      <c r="C7119">
        <v>0.12</v>
      </c>
      <c r="D7119" t="s">
        <v>9819</v>
      </c>
      <c r="E7119" t="s">
        <v>11</v>
      </c>
      <c r="F7119" t="s">
        <v>1209</v>
      </c>
      <c r="G7119" t="s">
        <v>4876</v>
      </c>
      <c r="H7119" t="s">
        <v>938</v>
      </c>
    </row>
    <row r="7120" spans="1:10" hidden="1" x14ac:dyDescent="0.25">
      <c r="A7120" t="s">
        <v>9820</v>
      </c>
      <c r="B7120" s="1" t="str">
        <f>HYPERLINK("https://asmlis.vasa.lt/Dashboard/Served?ServiceDateFrom=2025-11-24&amp;ServiceDateTo=2025-11-24&amp;DumpsterInvNr=13-P-212091", "13-P-212091")</f>
        <v>13-P-212091</v>
      </c>
      <c r="C7120">
        <v>1.1000000000000001</v>
      </c>
      <c r="D7120" t="s">
        <v>9821</v>
      </c>
      <c r="E7120" t="s">
        <v>11</v>
      </c>
      <c r="F7120" t="s">
        <v>13</v>
      </c>
      <c r="G7120" t="s">
        <v>234</v>
      </c>
      <c r="H7120" t="s">
        <v>14</v>
      </c>
    </row>
    <row r="7121" spans="1:10" hidden="1" x14ac:dyDescent="0.25">
      <c r="A7121" t="s">
        <v>9822</v>
      </c>
      <c r="B7121" s="1" t="str">
        <f>HYPERLINK("https://asmlis.vasa.lt/Dashboard/Served?ServiceDateFrom=2025-11-24&amp;ServiceDateTo=2025-11-24&amp;DumpsterInvNr=13-L-208147", "13-L-208147")</f>
        <v>13-L-208147</v>
      </c>
      <c r="C7121">
        <v>1.1000000000000001</v>
      </c>
      <c r="D7121" t="s">
        <v>9823</v>
      </c>
      <c r="E7121" t="s">
        <v>11</v>
      </c>
      <c r="G7121" t="s">
        <v>936</v>
      </c>
      <c r="H7121" t="s">
        <v>938</v>
      </c>
    </row>
    <row r="7122" spans="1:10" hidden="1" x14ac:dyDescent="0.25">
      <c r="A7122" t="s">
        <v>9824</v>
      </c>
      <c r="B7122" s="1" t="str">
        <f>HYPERLINK("https://asmlis.vasa.lt/Dashboard/Served?ServiceDateFrom=2025-11-24&amp;ServiceDateTo=2025-11-24&amp;DumpsterInvNr=13-M-202400", "13-M-202400")</f>
        <v>13-M-202400</v>
      </c>
      <c r="C7122">
        <v>0.12</v>
      </c>
      <c r="D7122" t="s">
        <v>9825</v>
      </c>
      <c r="E7122" t="s">
        <v>11</v>
      </c>
      <c r="F7122" t="s">
        <v>1209</v>
      </c>
      <c r="G7122" t="s">
        <v>4876</v>
      </c>
      <c r="H7122" t="s">
        <v>938</v>
      </c>
    </row>
    <row r="7123" spans="1:10" hidden="1" x14ac:dyDescent="0.25">
      <c r="A7123" t="s">
        <v>9826</v>
      </c>
      <c r="B7123" s="1" t="str">
        <f>HYPERLINK("https://asmlis.vasa.lt/Dashboard/Served?ServiceDateFrom=2025-11-24&amp;ServiceDateTo=2025-11-24&amp;DumpsterInvNr=13-P-401672", "13-P-401672")</f>
        <v>13-P-401672</v>
      </c>
      <c r="C7123">
        <v>5</v>
      </c>
      <c r="D7123" t="s">
        <v>9827</v>
      </c>
      <c r="E7123" t="s">
        <v>11</v>
      </c>
      <c r="F7123" t="s">
        <v>13</v>
      </c>
      <c r="G7123" t="s">
        <v>264</v>
      </c>
      <c r="H7123" t="s">
        <v>14</v>
      </c>
    </row>
    <row r="7124" spans="1:10" hidden="1" x14ac:dyDescent="0.25">
      <c r="A7124" t="s">
        <v>9828</v>
      </c>
      <c r="B7124" s="1" t="str">
        <f>HYPERLINK("https://asmlis.vasa.lt/Dashboard/Served?ServiceDateFrom=2025-11-24&amp;ServiceDateTo=2025-11-24&amp;DumpsterInvNr=13-L-143541", "13-L-143541")</f>
        <v>13-L-143541</v>
      </c>
      <c r="C7124">
        <v>0.24</v>
      </c>
      <c r="D7124" t="s">
        <v>9829</v>
      </c>
      <c r="E7124" t="s">
        <v>11</v>
      </c>
      <c r="G7124" t="s">
        <v>1912</v>
      </c>
      <c r="H7124" t="s">
        <v>432</v>
      </c>
    </row>
    <row r="7125" spans="1:10" hidden="1" x14ac:dyDescent="0.25">
      <c r="A7125" t="s">
        <v>9830</v>
      </c>
      <c r="B7125" s="1" t="str">
        <f>HYPERLINK("https://asmlis.vasa.lt/Dashboard/Served?ServiceDateFrom=2025-11-24&amp;ServiceDateTo=2025-11-24&amp;DumpsterInvNr=13-T-000152", "13-T-000152")</f>
        <v>13-T-000152</v>
      </c>
      <c r="C7125">
        <v>2.5</v>
      </c>
      <c r="D7125" t="s">
        <v>7691</v>
      </c>
      <c r="E7125" t="s">
        <v>11</v>
      </c>
      <c r="F7125" t="s">
        <v>13</v>
      </c>
      <c r="G7125" t="s">
        <v>1899</v>
      </c>
      <c r="H7125" t="s">
        <v>432</v>
      </c>
    </row>
    <row r="7126" spans="1:10" hidden="1" x14ac:dyDescent="0.25">
      <c r="A7126" t="s">
        <v>9830</v>
      </c>
      <c r="B7126" s="1" t="str">
        <f>HYPERLINK("https://asmlis.vasa.lt/Dashboard/Served?ServiceDateFrom=2025-11-24&amp;ServiceDateTo=2025-11-24&amp;DumpsterInvNr=13-M-202292", "13-M-202292")</f>
        <v>13-M-202292</v>
      </c>
      <c r="C7126">
        <v>0.12</v>
      </c>
      <c r="D7126" t="s">
        <v>9831</v>
      </c>
      <c r="E7126" t="s">
        <v>11</v>
      </c>
      <c r="G7126" t="s">
        <v>4876</v>
      </c>
      <c r="H7126" t="s">
        <v>938</v>
      </c>
    </row>
    <row r="7127" spans="1:10" hidden="1" x14ac:dyDescent="0.25">
      <c r="A7127" t="s">
        <v>9832</v>
      </c>
      <c r="B7127" s="1" t="str">
        <f>HYPERLINK("https://asmlis.vasa.lt/Dashboard/Served?ServiceDateFrom=2025-11-24&amp;ServiceDateTo=2025-11-24&amp;DumpsterInvNr=13-P-112503", "13-P-112503")</f>
        <v>13-P-112503</v>
      </c>
      <c r="C7127">
        <v>0.24</v>
      </c>
      <c r="D7127" t="s">
        <v>9829</v>
      </c>
      <c r="E7127" t="s">
        <v>11</v>
      </c>
      <c r="G7127" t="s">
        <v>1917</v>
      </c>
      <c r="H7127" t="s">
        <v>432</v>
      </c>
    </row>
    <row r="7128" spans="1:10" hidden="1" x14ac:dyDescent="0.25">
      <c r="A7128" t="s">
        <v>9833</v>
      </c>
      <c r="B7128" s="1" t="str">
        <f>HYPERLINK("https://asmlis.vasa.lt/Dashboard/Served?ServiceDateFrom=2025-11-24&amp;ServiceDateTo=2025-11-24&amp;DumpsterInvNr=13-P-304029", "13-P-304029")</f>
        <v>13-P-304029</v>
      </c>
      <c r="C7128">
        <v>5</v>
      </c>
      <c r="D7128" t="s">
        <v>9781</v>
      </c>
      <c r="E7128" t="s">
        <v>11</v>
      </c>
      <c r="F7128" t="s">
        <v>13</v>
      </c>
      <c r="G7128" t="s">
        <v>412</v>
      </c>
      <c r="H7128" t="s">
        <v>14</v>
      </c>
    </row>
    <row r="7129" spans="1:10" hidden="1" x14ac:dyDescent="0.25">
      <c r="A7129" t="s">
        <v>9834</v>
      </c>
      <c r="B7129" s="1" t="str">
        <f>HYPERLINK("https://asmlis.vasa.lt/Dashboard/Served?ServiceDateFrom=2025-11-24&amp;ServiceDateTo=2025-11-24&amp;DumpsterInvNr=13-P-211034", "13-P-211034")</f>
        <v>13-P-211034</v>
      </c>
      <c r="C7129">
        <v>0.24</v>
      </c>
      <c r="D7129" t="s">
        <v>9835</v>
      </c>
      <c r="E7129" t="s">
        <v>11</v>
      </c>
      <c r="G7129" t="s">
        <v>234</v>
      </c>
      <c r="H7129" t="s">
        <v>14</v>
      </c>
    </row>
    <row r="7130" spans="1:10" hidden="1" x14ac:dyDescent="0.25">
      <c r="A7130" t="s">
        <v>9836</v>
      </c>
      <c r="B7130" s="1" t="str">
        <f>HYPERLINK("https://asmlis.vasa.lt/Dashboard/Served?ServiceDateFrom=2025-11-24&amp;ServiceDateTo=2025-11-24&amp;DumpsterInvNr=13-L-411373", "13-L-411373")</f>
        <v>13-L-411373</v>
      </c>
      <c r="C7130">
        <v>1.1000000000000001</v>
      </c>
      <c r="D7130" t="s">
        <v>9837</v>
      </c>
      <c r="E7130" t="s">
        <v>11</v>
      </c>
      <c r="G7130" t="s">
        <v>74</v>
      </c>
      <c r="H7130" t="s">
        <v>14</v>
      </c>
    </row>
    <row r="7131" spans="1:10" hidden="1" x14ac:dyDescent="0.25">
      <c r="A7131" t="s">
        <v>9836</v>
      </c>
      <c r="B7131" s="1" t="str">
        <f>HYPERLINK("https://asmlis.vasa.lt/Dashboard/Served?ServiceDateFrom=2025-11-24&amp;ServiceDateTo=2025-11-24&amp;DumpsterInvNr=13-T-000156", "13-T-000156")</f>
        <v>13-T-000156</v>
      </c>
      <c r="C7131">
        <v>2.5</v>
      </c>
      <c r="D7131" t="s">
        <v>7691</v>
      </c>
      <c r="E7131" t="s">
        <v>11</v>
      </c>
      <c r="F7131" t="s">
        <v>13</v>
      </c>
      <c r="G7131" t="s">
        <v>1899</v>
      </c>
      <c r="H7131" t="s">
        <v>432</v>
      </c>
    </row>
    <row r="7132" spans="1:10" hidden="1" x14ac:dyDescent="0.25">
      <c r="A7132" t="s">
        <v>9838</v>
      </c>
      <c r="B7132" s="1" t="str">
        <f>HYPERLINK("https://asmlis.vasa.lt/Dashboard/Served?ServiceDateFrom=2025-11-24&amp;ServiceDateTo=2025-11-24&amp;DumpsterInvNr=13-M-206091", "13-M-206091")</f>
        <v>13-M-206091</v>
      </c>
      <c r="C7132">
        <v>0.12</v>
      </c>
      <c r="D7132" t="s">
        <v>9839</v>
      </c>
      <c r="E7132" t="s">
        <v>11</v>
      </c>
      <c r="F7132" t="s">
        <v>1209</v>
      </c>
      <c r="G7132" t="s">
        <v>4876</v>
      </c>
      <c r="H7132" t="s">
        <v>938</v>
      </c>
    </row>
    <row r="7133" spans="1:10" x14ac:dyDescent="0.25">
      <c r="A7133" t="s">
        <v>9840</v>
      </c>
      <c r="B7133" s="1" t="str">
        <f>HYPERLINK("https://asmlis.vasa.lt/Dashboard/Served?ServiceDateFrom=2025-11-24&amp;ServiceDateTo=2025-11-24&amp;DumpsterInvNr=13-P-413334", "13-P-413334")</f>
        <v>13-P-413334</v>
      </c>
      <c r="C7133">
        <v>0.24</v>
      </c>
      <c r="D7133" t="s">
        <v>8643</v>
      </c>
      <c r="E7133" t="s">
        <v>11</v>
      </c>
      <c r="F7133" t="s">
        <v>1215</v>
      </c>
      <c r="G7133" t="s">
        <v>264</v>
      </c>
      <c r="H7133" t="s">
        <v>14</v>
      </c>
      <c r="J7133" t="s">
        <v>17511</v>
      </c>
    </row>
    <row r="7134" spans="1:10" hidden="1" x14ac:dyDescent="0.25">
      <c r="A7134" t="s">
        <v>9842</v>
      </c>
      <c r="B7134" s="1" t="str">
        <f>HYPERLINK("https://asmlis.vasa.lt/Dashboard/Served?ServiceDateFrom=2025-11-24&amp;ServiceDateTo=2025-11-24&amp;DumpsterInvNr=13-P-112465", "13-P-112465")</f>
        <v>13-P-112465</v>
      </c>
      <c r="C7134">
        <v>0.24</v>
      </c>
      <c r="D7134" t="s">
        <v>9843</v>
      </c>
      <c r="E7134" t="s">
        <v>11</v>
      </c>
      <c r="G7134" t="s">
        <v>1917</v>
      </c>
      <c r="H7134" t="s">
        <v>432</v>
      </c>
    </row>
    <row r="7135" spans="1:10" x14ac:dyDescent="0.25">
      <c r="A7135" t="s">
        <v>9845</v>
      </c>
      <c r="B7135" s="1" t="str">
        <f>HYPERLINK("https://asmlis.vasa.lt/Dashboard/Served?ServiceDateFrom=2025-11-24&amp;ServiceDateTo=2025-11-24&amp;DumpsterInvNr=13-P-412854", "13-P-412854")</f>
        <v>13-P-412854</v>
      </c>
      <c r="C7135">
        <v>0.24</v>
      </c>
      <c r="D7135" t="s">
        <v>8633</v>
      </c>
      <c r="E7135" t="s">
        <v>11</v>
      </c>
      <c r="F7135" t="s">
        <v>1215</v>
      </c>
      <c r="G7135" t="s">
        <v>264</v>
      </c>
      <c r="H7135" t="s">
        <v>14</v>
      </c>
      <c r="J7135" t="s">
        <v>17511</v>
      </c>
    </row>
    <row r="7136" spans="1:10" hidden="1" x14ac:dyDescent="0.25">
      <c r="A7136" t="s">
        <v>9845</v>
      </c>
      <c r="B7136" s="1" t="str">
        <f>HYPERLINK("https://asmlis.vasa.lt/Dashboard/Served?ServiceDateFrom=2025-11-24&amp;ServiceDateTo=2025-11-24&amp;DumpsterInvNr=13-P-102348", "13-P-102348")</f>
        <v>13-P-102348</v>
      </c>
      <c r="C7136">
        <v>5</v>
      </c>
      <c r="D7136" t="s">
        <v>4223</v>
      </c>
      <c r="E7136" t="s">
        <v>11</v>
      </c>
      <c r="F7136" t="s">
        <v>13</v>
      </c>
      <c r="G7136" t="s">
        <v>1917</v>
      </c>
      <c r="H7136" t="s">
        <v>432</v>
      </c>
    </row>
    <row r="7137" spans="1:8" hidden="1" x14ac:dyDescent="0.25">
      <c r="A7137" t="s">
        <v>9848</v>
      </c>
      <c r="B7137" s="1" t="str">
        <f>HYPERLINK("https://asmlis.vasa.lt/Dashboard/Served?ServiceDateFrom=2025-11-24&amp;ServiceDateTo=2025-11-24&amp;DumpsterInvNr=13-M-202394", "13-M-202394")</f>
        <v>13-M-202394</v>
      </c>
      <c r="C7137">
        <v>0.12</v>
      </c>
      <c r="D7137" t="s">
        <v>9849</v>
      </c>
      <c r="E7137" t="s">
        <v>11</v>
      </c>
      <c r="G7137" t="s">
        <v>4876</v>
      </c>
      <c r="H7137" t="s">
        <v>938</v>
      </c>
    </row>
    <row r="7138" spans="1:8" hidden="1" x14ac:dyDescent="0.25">
      <c r="A7138" t="s">
        <v>9848</v>
      </c>
      <c r="B7138" s="1" t="str">
        <f>HYPERLINK("https://asmlis.vasa.lt/Dashboard/Served?ServiceDateFrom=2025-11-24&amp;ServiceDateTo=2025-11-24&amp;DumpsterInvNr=13-L-143557", "13-L-143557")</f>
        <v>13-L-143557</v>
      </c>
      <c r="C7138">
        <v>0.24</v>
      </c>
      <c r="D7138" t="s">
        <v>9843</v>
      </c>
      <c r="E7138" t="s">
        <v>11</v>
      </c>
      <c r="F7138" t="s">
        <v>1209</v>
      </c>
      <c r="G7138" t="s">
        <v>1912</v>
      </c>
      <c r="H7138" t="s">
        <v>432</v>
      </c>
    </row>
    <row r="7139" spans="1:8" hidden="1" x14ac:dyDescent="0.25">
      <c r="A7139" t="s">
        <v>9851</v>
      </c>
      <c r="B7139" s="1" t="str">
        <f>HYPERLINK("https://asmlis.vasa.lt/Dashboard/Served?ServiceDateFrom=2025-11-24&amp;ServiceDateTo=2025-11-24&amp;DumpsterInvNr=13-L-211023", "13-L-211023")</f>
        <v>13-L-211023</v>
      </c>
      <c r="C7139">
        <v>0.24</v>
      </c>
      <c r="D7139" t="s">
        <v>9852</v>
      </c>
      <c r="E7139" t="s">
        <v>11</v>
      </c>
      <c r="G7139" t="s">
        <v>936</v>
      </c>
      <c r="H7139" t="s">
        <v>938</v>
      </c>
    </row>
    <row r="7140" spans="1:8" hidden="1" x14ac:dyDescent="0.25">
      <c r="A7140" t="s">
        <v>9853</v>
      </c>
      <c r="B7140" s="1" t="str">
        <f>HYPERLINK("https://asmlis.vasa.lt/Dashboard/Served?ServiceDateFrom=2025-11-24&amp;ServiceDateTo=2025-11-24&amp;DumpsterInvNr=13-M-200991", "13-M-200991")</f>
        <v>13-M-200991</v>
      </c>
      <c r="C7140">
        <v>0.12</v>
      </c>
      <c r="D7140" t="s">
        <v>9854</v>
      </c>
      <c r="E7140" t="s">
        <v>11</v>
      </c>
      <c r="F7140" t="s">
        <v>1209</v>
      </c>
      <c r="G7140" t="s">
        <v>4876</v>
      </c>
      <c r="H7140" t="s">
        <v>938</v>
      </c>
    </row>
    <row r="7141" spans="1:8" hidden="1" x14ac:dyDescent="0.25">
      <c r="A7141" t="s">
        <v>9855</v>
      </c>
      <c r="B7141" s="1" t="str">
        <f>HYPERLINK("https://asmlis.vasa.lt/Dashboard/Served?ServiceDateFrom=2025-11-24&amp;ServiceDateTo=2025-11-24&amp;DumpsterInvNr=13-P-205435", "13-P-205435")</f>
        <v>13-P-205435</v>
      </c>
      <c r="C7141">
        <v>0.24</v>
      </c>
      <c r="D7141" t="s">
        <v>9856</v>
      </c>
      <c r="E7141" t="s">
        <v>11</v>
      </c>
      <c r="G7141" t="s">
        <v>234</v>
      </c>
      <c r="H7141" t="s">
        <v>14</v>
      </c>
    </row>
    <row r="7142" spans="1:8" hidden="1" x14ac:dyDescent="0.25">
      <c r="A7142" t="s">
        <v>9857</v>
      </c>
      <c r="B7142" s="1" t="str">
        <f>HYPERLINK("https://asmlis.vasa.lt/Dashboard/Served?ServiceDateFrom=2025-11-24&amp;ServiceDateTo=2025-11-24&amp;DumpsterInvNr=13-L-425665", "13-L-425665")</f>
        <v>13-L-425665</v>
      </c>
      <c r="C7142">
        <v>1.1000000000000001</v>
      </c>
      <c r="D7142" t="s">
        <v>9837</v>
      </c>
      <c r="E7142" t="s">
        <v>11</v>
      </c>
      <c r="G7142" t="s">
        <v>74</v>
      </c>
      <c r="H7142" t="s">
        <v>14</v>
      </c>
    </row>
    <row r="7143" spans="1:8" hidden="1" x14ac:dyDescent="0.25">
      <c r="A7143" t="s">
        <v>9857</v>
      </c>
      <c r="B7143" s="1" t="str">
        <f>HYPERLINK("https://asmlis.vasa.lt/Dashboard/Served?ServiceDateFrom=2025-11-24&amp;ServiceDateTo=2025-11-24&amp;DumpsterInvNr=13-P-400658", "13-P-400658")</f>
        <v>13-P-400658</v>
      </c>
      <c r="C7143">
        <v>5</v>
      </c>
      <c r="D7143" t="s">
        <v>9858</v>
      </c>
      <c r="E7143" t="s">
        <v>11</v>
      </c>
      <c r="F7143" t="s">
        <v>13</v>
      </c>
      <c r="G7143" t="s">
        <v>264</v>
      </c>
      <c r="H7143" t="s">
        <v>14</v>
      </c>
    </row>
    <row r="7144" spans="1:8" hidden="1" x14ac:dyDescent="0.25">
      <c r="A7144" t="s">
        <v>9859</v>
      </c>
      <c r="B7144" s="1" t="str">
        <f>HYPERLINK("https://asmlis.vasa.lt/Dashboard/Served?ServiceDateFrom=2025-11-24&amp;ServiceDateTo=2025-11-24&amp;DumpsterInvNr=13-M-202171", "13-M-202171")</f>
        <v>13-M-202171</v>
      </c>
      <c r="C7144">
        <v>0.12</v>
      </c>
      <c r="D7144" t="s">
        <v>9860</v>
      </c>
      <c r="E7144" t="s">
        <v>11</v>
      </c>
      <c r="F7144" t="s">
        <v>1209</v>
      </c>
      <c r="G7144" t="s">
        <v>4876</v>
      </c>
      <c r="H7144" t="s">
        <v>938</v>
      </c>
    </row>
    <row r="7145" spans="1:8" hidden="1" x14ac:dyDescent="0.25">
      <c r="A7145" t="s">
        <v>9846</v>
      </c>
      <c r="B7145" s="1" t="str">
        <f>HYPERLINK("https://asmlis.vasa.lt/Dashboard/Served?ServiceDateFrom=2025-11-24&amp;ServiceDateTo=2025-11-24&amp;DumpsterInvNr=13-P-211044", "13-P-211044")</f>
        <v>13-P-211044</v>
      </c>
      <c r="C7145">
        <v>0.24</v>
      </c>
      <c r="D7145" t="s">
        <v>9861</v>
      </c>
      <c r="E7145" t="s">
        <v>11</v>
      </c>
      <c r="F7145" t="s">
        <v>1209</v>
      </c>
      <c r="G7145" t="s">
        <v>234</v>
      </c>
      <c r="H7145" t="s">
        <v>14</v>
      </c>
    </row>
    <row r="7146" spans="1:8" hidden="1" x14ac:dyDescent="0.25">
      <c r="A7146" t="s">
        <v>9862</v>
      </c>
      <c r="B7146" s="1" t="str">
        <f>HYPERLINK("https://asmlis.vasa.lt/Dashboard/Served?ServiceDateFrom=2025-11-24&amp;ServiceDateTo=2025-11-24&amp;DumpsterInvNr=13-M-202054", "13-M-202054")</f>
        <v>13-M-202054</v>
      </c>
      <c r="C7146">
        <v>0.12</v>
      </c>
      <c r="D7146" t="s">
        <v>9863</v>
      </c>
      <c r="E7146" t="s">
        <v>11</v>
      </c>
      <c r="F7146" t="s">
        <v>1209</v>
      </c>
      <c r="G7146" t="s">
        <v>4876</v>
      </c>
      <c r="H7146" t="s">
        <v>938</v>
      </c>
    </row>
    <row r="7147" spans="1:8" hidden="1" x14ac:dyDescent="0.25">
      <c r="A7147" t="s">
        <v>9864</v>
      </c>
      <c r="B7147" s="1" t="str">
        <f>HYPERLINK("https://asmlis.vasa.lt/Dashboard/Served?ServiceDateFrom=2025-11-24&amp;ServiceDateTo=2025-11-24&amp;DumpsterInvNr=13-L-318585", "13-L-318585")</f>
        <v>13-L-318585</v>
      </c>
      <c r="C7147">
        <v>0.77</v>
      </c>
      <c r="D7147" t="s">
        <v>9865</v>
      </c>
      <c r="E7147" t="s">
        <v>11</v>
      </c>
      <c r="G7147" t="s">
        <v>9</v>
      </c>
      <c r="H7147" t="s">
        <v>14</v>
      </c>
    </row>
    <row r="7148" spans="1:8" hidden="1" x14ac:dyDescent="0.25">
      <c r="A7148" t="s">
        <v>9518</v>
      </c>
      <c r="B7148" s="1" t="str">
        <f>HYPERLINK("https://asmlis.vasa.lt/Dashboard/Served?ServiceDateFrom=2025-11-24&amp;ServiceDateTo=2025-11-24&amp;DumpsterInvNr=13-L-220323", "13-L-220323")</f>
        <v>13-L-220323</v>
      </c>
      <c r="C7148">
        <v>0.12</v>
      </c>
      <c r="D7148" t="s">
        <v>6918</v>
      </c>
      <c r="E7148" t="s">
        <v>11</v>
      </c>
      <c r="G7148" t="s">
        <v>936</v>
      </c>
      <c r="H7148" t="s">
        <v>938</v>
      </c>
    </row>
    <row r="7149" spans="1:8" hidden="1" x14ac:dyDescent="0.25">
      <c r="A7149" t="s">
        <v>9866</v>
      </c>
      <c r="B7149" s="1" t="str">
        <f>HYPERLINK("https://asmlis.vasa.lt/Dashboard/Served?ServiceDateFrom=2025-11-24&amp;ServiceDateTo=2025-11-24&amp;DumpsterInvNr=13-L-317793", "13-L-317793")</f>
        <v>13-L-317793</v>
      </c>
      <c r="C7149">
        <v>0.77</v>
      </c>
      <c r="D7149" t="s">
        <v>9711</v>
      </c>
      <c r="E7149" t="s">
        <v>11</v>
      </c>
      <c r="F7149" t="s">
        <v>13</v>
      </c>
      <c r="G7149" t="s">
        <v>9</v>
      </c>
      <c r="H7149" t="s">
        <v>14</v>
      </c>
    </row>
    <row r="7150" spans="1:8" hidden="1" x14ac:dyDescent="0.25">
      <c r="A7150" t="s">
        <v>9501</v>
      </c>
      <c r="B7150" s="1" t="str">
        <f>HYPERLINK("https://asmlis.vasa.lt/Dashboard/Served?ServiceDateFrom=2025-11-24&amp;ServiceDateTo=2025-11-24&amp;DumpsterInvNr=13-L-425666", "13-L-425666")</f>
        <v>13-L-425666</v>
      </c>
      <c r="C7150">
        <v>1.1000000000000001</v>
      </c>
      <c r="D7150" t="s">
        <v>9837</v>
      </c>
      <c r="E7150" t="s">
        <v>11</v>
      </c>
      <c r="G7150" t="s">
        <v>74</v>
      </c>
      <c r="H7150" t="s">
        <v>14</v>
      </c>
    </row>
    <row r="7151" spans="1:8" hidden="1" x14ac:dyDescent="0.25">
      <c r="A7151" t="s">
        <v>9867</v>
      </c>
      <c r="B7151" s="1" t="str">
        <f>HYPERLINK("https://asmlis.vasa.lt/Dashboard/Served?ServiceDateFrom=2025-11-24&amp;ServiceDateTo=2025-11-24&amp;DumpsterInvNr=13-P-408845", "13-P-408845")</f>
        <v>13-P-408845</v>
      </c>
      <c r="C7151">
        <v>0.24</v>
      </c>
      <c r="D7151" t="s">
        <v>8665</v>
      </c>
      <c r="E7151" t="s">
        <v>11</v>
      </c>
      <c r="G7151" t="s">
        <v>264</v>
      </c>
      <c r="H7151" t="s">
        <v>14</v>
      </c>
    </row>
    <row r="7152" spans="1:8" hidden="1" x14ac:dyDescent="0.25">
      <c r="A7152" t="s">
        <v>9867</v>
      </c>
      <c r="B7152" s="1" t="str">
        <f>HYPERLINK("https://asmlis.vasa.lt/Dashboard/Served?ServiceDateFrom=2025-11-24&amp;ServiceDateTo=2025-11-24&amp;DumpsterInvNr=13-P-115317", "13-P-115317")</f>
        <v>13-P-115317</v>
      </c>
      <c r="C7152">
        <v>1.1000000000000001</v>
      </c>
      <c r="D7152" t="s">
        <v>9868</v>
      </c>
      <c r="E7152" t="s">
        <v>11</v>
      </c>
      <c r="G7152" t="s">
        <v>1917</v>
      </c>
      <c r="H7152" t="s">
        <v>432</v>
      </c>
    </row>
    <row r="7153" spans="1:8" hidden="1" x14ac:dyDescent="0.25">
      <c r="A7153" t="s">
        <v>9550</v>
      </c>
      <c r="B7153" s="1" t="str">
        <f>HYPERLINK("https://asmlis.vasa.lt/Dashboard/Served?ServiceDateFrom=2025-11-24&amp;ServiceDateTo=2025-11-24&amp;DumpsterInvNr=13-L-304373", "13-L-304373")</f>
        <v>13-L-304373</v>
      </c>
      <c r="C7153">
        <v>5</v>
      </c>
      <c r="D7153" t="s">
        <v>9869</v>
      </c>
      <c r="E7153" t="s">
        <v>11</v>
      </c>
      <c r="F7153" t="s">
        <v>13</v>
      </c>
      <c r="G7153" t="s">
        <v>9</v>
      </c>
      <c r="H7153" t="s">
        <v>14</v>
      </c>
    </row>
    <row r="7154" spans="1:8" hidden="1" x14ac:dyDescent="0.25">
      <c r="A7154" t="s">
        <v>9550</v>
      </c>
      <c r="B7154" s="1" t="str">
        <f>HYPERLINK("https://asmlis.vasa.lt/Dashboard/Served?ServiceDateFrom=2025-11-24&amp;ServiceDateTo=2025-11-24&amp;DumpsterInvNr=13-L-304394", "13-L-304394")</f>
        <v>13-L-304394</v>
      </c>
      <c r="C7154">
        <v>1.3</v>
      </c>
      <c r="D7154" t="s">
        <v>9869</v>
      </c>
      <c r="E7154" t="s">
        <v>11</v>
      </c>
      <c r="F7154" t="s">
        <v>13</v>
      </c>
      <c r="G7154" t="s">
        <v>9</v>
      </c>
      <c r="H7154" t="s">
        <v>14</v>
      </c>
    </row>
    <row r="7155" spans="1:8" hidden="1" x14ac:dyDescent="0.25">
      <c r="A7155" t="s">
        <v>9550</v>
      </c>
      <c r="B7155" s="1" t="str">
        <f>HYPERLINK("https://asmlis.vasa.lt/Dashboard/Served?ServiceDateFrom=2025-11-24&amp;ServiceDateTo=2025-11-24&amp;DumpsterInvNr=13-P-413630", "13-P-413630")</f>
        <v>13-P-413630</v>
      </c>
      <c r="C7155">
        <v>0.24</v>
      </c>
      <c r="D7155" t="s">
        <v>8655</v>
      </c>
      <c r="E7155" t="s">
        <v>11</v>
      </c>
      <c r="G7155" t="s">
        <v>264</v>
      </c>
      <c r="H7155" t="s">
        <v>14</v>
      </c>
    </row>
    <row r="7156" spans="1:8" hidden="1" x14ac:dyDescent="0.25">
      <c r="A7156" t="s">
        <v>9687</v>
      </c>
      <c r="B7156" s="1" t="str">
        <f>HYPERLINK("https://asmlis.vasa.lt/Dashboard/Served?ServiceDateFrom=2025-11-24&amp;ServiceDateTo=2025-11-24&amp;DumpsterInvNr=13-L-221228", "13-L-221228")</f>
        <v>13-L-221228</v>
      </c>
      <c r="C7156">
        <v>1.1000000000000001</v>
      </c>
      <c r="D7156" t="s">
        <v>9870</v>
      </c>
      <c r="E7156" t="s">
        <v>11</v>
      </c>
      <c r="G7156" t="s">
        <v>936</v>
      </c>
      <c r="H7156" t="s">
        <v>938</v>
      </c>
    </row>
    <row r="7157" spans="1:8" hidden="1" x14ac:dyDescent="0.25">
      <c r="A7157" t="s">
        <v>9871</v>
      </c>
      <c r="B7157" s="1" t="str">
        <f>HYPERLINK("https://asmlis.vasa.lt/Dashboard/Served?ServiceDateFrom=2025-11-24&amp;ServiceDateTo=2025-11-24&amp;DumpsterInvNr=13-P-212406", "13-P-212406")</f>
        <v>13-P-212406</v>
      </c>
      <c r="C7157">
        <v>5</v>
      </c>
      <c r="D7157" t="s">
        <v>4016</v>
      </c>
      <c r="E7157" t="s">
        <v>11</v>
      </c>
      <c r="F7157" t="s">
        <v>13</v>
      </c>
      <c r="G7157" t="s">
        <v>234</v>
      </c>
      <c r="H7157" t="s">
        <v>14</v>
      </c>
    </row>
    <row r="7158" spans="1:8" hidden="1" x14ac:dyDescent="0.25">
      <c r="A7158" t="s">
        <v>9872</v>
      </c>
      <c r="B7158" s="1" t="str">
        <f>HYPERLINK("https://asmlis.vasa.lt/Dashboard/Served?ServiceDateFrom=2025-11-24&amp;ServiceDateTo=2025-11-24&amp;DumpsterInvNr=13-L-119214", "13-L-119214")</f>
        <v>13-L-119214</v>
      </c>
      <c r="C7158">
        <v>0.24</v>
      </c>
      <c r="D7158" t="s">
        <v>9873</v>
      </c>
      <c r="E7158" t="s">
        <v>11</v>
      </c>
      <c r="G7158" t="s">
        <v>1912</v>
      </c>
      <c r="H7158" t="s">
        <v>432</v>
      </c>
    </row>
    <row r="7159" spans="1:8" hidden="1" x14ac:dyDescent="0.25">
      <c r="A7159" t="s">
        <v>9875</v>
      </c>
      <c r="B7159" s="1" t="str">
        <f>HYPERLINK("https://asmlis.vasa.lt/Dashboard/Served?ServiceDateFrom=2025-11-24&amp;ServiceDateTo=2025-11-24&amp;DumpsterInvNr=13-L-102669", "13-L-102669")</f>
        <v>13-L-102669</v>
      </c>
      <c r="C7159">
        <v>0.24</v>
      </c>
      <c r="D7159" t="s">
        <v>9876</v>
      </c>
      <c r="E7159" t="s">
        <v>11</v>
      </c>
      <c r="G7159" t="s">
        <v>1912</v>
      </c>
      <c r="H7159" t="s">
        <v>432</v>
      </c>
    </row>
    <row r="7160" spans="1:8" hidden="1" x14ac:dyDescent="0.25">
      <c r="A7160" t="s">
        <v>9877</v>
      </c>
      <c r="B7160" s="1" t="str">
        <f>HYPERLINK("https://asmlis.vasa.lt/Dashboard/Served?ServiceDateFrom=2025-11-24&amp;ServiceDateTo=2025-11-24&amp;DumpsterInvNr=13-P-500557", "13-P-500557")</f>
        <v>13-P-500557</v>
      </c>
      <c r="C7160">
        <v>3</v>
      </c>
      <c r="D7160" t="s">
        <v>9779</v>
      </c>
      <c r="E7160" t="s">
        <v>11</v>
      </c>
      <c r="F7160" t="s">
        <v>13</v>
      </c>
      <c r="G7160" t="s">
        <v>2178</v>
      </c>
      <c r="H7160" t="s">
        <v>432</v>
      </c>
    </row>
    <row r="7161" spans="1:8" hidden="1" x14ac:dyDescent="0.25">
      <c r="A7161" t="s">
        <v>9878</v>
      </c>
      <c r="B7161" s="1" t="str">
        <f>HYPERLINK("https://asmlis.vasa.lt/Dashboard/Served?ServiceDateFrom=2025-11-24&amp;ServiceDateTo=2025-11-24&amp;DumpsterInvNr=13-P-105557", "13-P-105557")</f>
        <v>13-P-105557</v>
      </c>
      <c r="C7161">
        <v>1.1000000000000001</v>
      </c>
      <c r="D7161" t="s">
        <v>9868</v>
      </c>
      <c r="E7161" t="s">
        <v>11</v>
      </c>
      <c r="G7161" t="s">
        <v>1917</v>
      </c>
      <c r="H7161" t="s">
        <v>432</v>
      </c>
    </row>
    <row r="7162" spans="1:8" hidden="1" x14ac:dyDescent="0.25">
      <c r="A7162" t="s">
        <v>9546</v>
      </c>
      <c r="B7162" s="1" t="str">
        <f>HYPERLINK("https://asmlis.vasa.lt/Dashboard/Served?ServiceDateFrom=2025-11-24&amp;ServiceDateTo=2025-11-24&amp;DumpsterInvNr=13-L-142488", "13-L-142488")</f>
        <v>13-L-142488</v>
      </c>
      <c r="C7162">
        <v>1.1000000000000001</v>
      </c>
      <c r="D7162" t="s">
        <v>9879</v>
      </c>
      <c r="E7162" t="s">
        <v>11</v>
      </c>
      <c r="G7162" t="s">
        <v>430</v>
      </c>
      <c r="H7162" t="s">
        <v>432</v>
      </c>
    </row>
    <row r="7163" spans="1:8" hidden="1" x14ac:dyDescent="0.25">
      <c r="A7163" t="s">
        <v>9586</v>
      </c>
      <c r="B7163" s="1" t="str">
        <f>HYPERLINK("https://asmlis.vasa.lt/Dashboard/Served?ServiceDateFrom=2025-11-24&amp;ServiceDateTo=2025-11-24&amp;DumpsterInvNr=13-S-206467", "13-S-206467")</f>
        <v>13-S-206467</v>
      </c>
      <c r="C7163">
        <v>0.12</v>
      </c>
      <c r="D7163" t="s">
        <v>9880</v>
      </c>
      <c r="E7163" t="s">
        <v>11</v>
      </c>
      <c r="F7163" t="s">
        <v>1209</v>
      </c>
      <c r="G7163" t="s">
        <v>234</v>
      </c>
      <c r="H7163" t="s">
        <v>14</v>
      </c>
    </row>
    <row r="7164" spans="1:8" hidden="1" x14ac:dyDescent="0.25">
      <c r="A7164" t="s">
        <v>9623</v>
      </c>
      <c r="B7164" s="1" t="str">
        <f>HYPERLINK("https://asmlis.vasa.lt/Dashboard/Served?ServiceDateFrom=2025-11-24&amp;ServiceDateTo=2025-11-24&amp;DumpsterInvNr=13-L-203592", "13-L-203592")</f>
        <v>13-L-203592</v>
      </c>
      <c r="C7164">
        <v>0.24</v>
      </c>
      <c r="D7164" t="s">
        <v>7148</v>
      </c>
      <c r="E7164" t="s">
        <v>11</v>
      </c>
      <c r="G7164" t="s">
        <v>936</v>
      </c>
      <c r="H7164" t="s">
        <v>938</v>
      </c>
    </row>
    <row r="7165" spans="1:8" hidden="1" x14ac:dyDescent="0.25">
      <c r="A7165" t="s">
        <v>9881</v>
      </c>
      <c r="B7165" s="1" t="str">
        <f>HYPERLINK("https://asmlis.vasa.lt/Dashboard/Served?ServiceDateFrom=2025-11-24&amp;ServiceDateTo=2025-11-24&amp;DumpsterInvNr=13-L-130813", "13-L-130813")</f>
        <v>13-L-130813</v>
      </c>
      <c r="C7165">
        <v>0.12</v>
      </c>
      <c r="D7165" t="s">
        <v>9882</v>
      </c>
      <c r="E7165" t="s">
        <v>11</v>
      </c>
      <c r="G7165" t="s">
        <v>1912</v>
      </c>
      <c r="H7165" t="s">
        <v>432</v>
      </c>
    </row>
    <row r="7166" spans="1:8" hidden="1" x14ac:dyDescent="0.25">
      <c r="A7166" t="s">
        <v>9721</v>
      </c>
      <c r="B7166" s="1" t="str">
        <f>HYPERLINK("https://asmlis.vasa.lt/Dashboard/Served?ServiceDateFrom=2025-11-24&amp;ServiceDateTo=2025-11-24&amp;DumpsterInvNr=13-P-211974", "13-P-211974")</f>
        <v>13-P-211974</v>
      </c>
      <c r="C7166">
        <v>0.24</v>
      </c>
      <c r="D7166" t="s">
        <v>9880</v>
      </c>
      <c r="E7166" t="s">
        <v>11</v>
      </c>
      <c r="F7166" t="s">
        <v>1209</v>
      </c>
      <c r="G7166" t="s">
        <v>234</v>
      </c>
      <c r="H7166" t="s">
        <v>14</v>
      </c>
    </row>
    <row r="7167" spans="1:8" hidden="1" x14ac:dyDescent="0.25">
      <c r="A7167" t="s">
        <v>9726</v>
      </c>
      <c r="B7167" s="1" t="str">
        <f>HYPERLINK("https://asmlis.vasa.lt/Dashboard/Served?ServiceDateFrom=2025-11-24&amp;ServiceDateTo=2025-11-24&amp;DumpsterInvNr=13-P-413993", "13-P-413993")</f>
        <v>13-P-413993</v>
      </c>
      <c r="C7167">
        <v>5</v>
      </c>
      <c r="D7167" t="s">
        <v>9884</v>
      </c>
      <c r="E7167" t="s">
        <v>11</v>
      </c>
      <c r="F7167" t="s">
        <v>13</v>
      </c>
      <c r="G7167" t="s">
        <v>264</v>
      </c>
      <c r="H7167" t="s">
        <v>14</v>
      </c>
    </row>
    <row r="7168" spans="1:8" hidden="1" x14ac:dyDescent="0.25">
      <c r="A7168" t="s">
        <v>9885</v>
      </c>
      <c r="B7168" s="1" t="str">
        <f>HYPERLINK("https://asmlis.vasa.lt/Dashboard/Served?ServiceDateFrom=2025-11-24&amp;ServiceDateTo=2025-11-24&amp;DumpsterInvNr=13-L-218807", "13-L-218807")</f>
        <v>13-L-218807</v>
      </c>
      <c r="C7168">
        <v>0.24</v>
      </c>
      <c r="D7168" t="s">
        <v>9886</v>
      </c>
      <c r="E7168" t="s">
        <v>11</v>
      </c>
      <c r="F7168" t="s">
        <v>13</v>
      </c>
      <c r="G7168" t="s">
        <v>936</v>
      </c>
      <c r="H7168" t="s">
        <v>938</v>
      </c>
    </row>
    <row r="7169" spans="1:10" hidden="1" x14ac:dyDescent="0.25">
      <c r="A7169" t="s">
        <v>9885</v>
      </c>
      <c r="B7169" s="1" t="str">
        <f>HYPERLINK("https://asmlis.vasa.lt/Dashboard/Served?ServiceDateFrom=2025-11-24&amp;ServiceDateTo=2025-11-24&amp;DumpsterInvNr=13-P-502526", "13-P-502526")</f>
        <v>13-P-502526</v>
      </c>
      <c r="C7169">
        <v>5</v>
      </c>
      <c r="D7169" t="s">
        <v>8061</v>
      </c>
      <c r="E7169" t="s">
        <v>11</v>
      </c>
      <c r="F7169" t="s">
        <v>13</v>
      </c>
      <c r="G7169" t="s">
        <v>2178</v>
      </c>
      <c r="H7169" t="s">
        <v>432</v>
      </c>
    </row>
    <row r="7170" spans="1:10" x14ac:dyDescent="0.25">
      <c r="A7170" t="s">
        <v>9885</v>
      </c>
      <c r="B7170" s="1" t="str">
        <f>HYPERLINK("https://asmlis.vasa.lt/Dashboard/Served?ServiceDateFrom=2025-11-24&amp;ServiceDateTo=2025-11-24&amp;DumpsterInvNr=13-M-206028", "13-M-206028")</f>
        <v>13-M-206028</v>
      </c>
      <c r="C7170">
        <v>0.12</v>
      </c>
      <c r="D7170" t="s">
        <v>9887</v>
      </c>
      <c r="E7170" t="s">
        <v>11</v>
      </c>
      <c r="F7170" t="s">
        <v>2491</v>
      </c>
      <c r="G7170" t="s">
        <v>4876</v>
      </c>
      <c r="H7170" t="s">
        <v>938</v>
      </c>
      <c r="J7170" t="s">
        <v>17511</v>
      </c>
    </row>
    <row r="7171" spans="1:10" hidden="1" x14ac:dyDescent="0.25">
      <c r="A7171" t="s">
        <v>9889</v>
      </c>
      <c r="B7171" s="1" t="str">
        <f>HYPERLINK("https://asmlis.vasa.lt/Dashboard/Served?ServiceDateFrom=2025-11-24&amp;ServiceDateTo=2025-11-24&amp;DumpsterInvNr=13-L-422536", "13-L-422536")</f>
        <v>13-L-422536</v>
      </c>
      <c r="C7171">
        <v>0.12</v>
      </c>
      <c r="D7171" t="s">
        <v>9890</v>
      </c>
      <c r="E7171" t="s">
        <v>11</v>
      </c>
      <c r="G7171" t="s">
        <v>74</v>
      </c>
      <c r="H7171" t="s">
        <v>14</v>
      </c>
    </row>
    <row r="7172" spans="1:10" hidden="1" x14ac:dyDescent="0.25">
      <c r="A7172" t="s">
        <v>9888</v>
      </c>
      <c r="B7172" s="1" t="str">
        <f>HYPERLINK("https://asmlis.vasa.lt/Dashboard/Served?ServiceDateFrom=2025-11-24&amp;ServiceDateTo=2025-11-24&amp;DumpsterInvNr=13-P-115318", "13-P-115318")</f>
        <v>13-P-115318</v>
      </c>
      <c r="C7172">
        <v>1.1000000000000001</v>
      </c>
      <c r="D7172" t="s">
        <v>9868</v>
      </c>
      <c r="E7172" t="s">
        <v>11</v>
      </c>
      <c r="G7172" t="s">
        <v>1917</v>
      </c>
      <c r="H7172" t="s">
        <v>432</v>
      </c>
    </row>
    <row r="7173" spans="1:10" hidden="1" x14ac:dyDescent="0.25">
      <c r="A7173" t="s">
        <v>9891</v>
      </c>
      <c r="B7173" s="1" t="str">
        <f>HYPERLINK("https://asmlis.vasa.lt/Dashboard/Served?ServiceDateFrom=2025-11-24&amp;ServiceDateTo=2025-11-24&amp;DumpsterInvNr=13-L-317006", "13-L-317006")</f>
        <v>13-L-317006</v>
      </c>
      <c r="C7173">
        <v>5</v>
      </c>
      <c r="D7173" t="s">
        <v>8135</v>
      </c>
      <c r="E7173" t="s">
        <v>11</v>
      </c>
      <c r="F7173" t="s">
        <v>13</v>
      </c>
      <c r="G7173" t="s">
        <v>9</v>
      </c>
      <c r="H7173" t="s">
        <v>14</v>
      </c>
    </row>
    <row r="7174" spans="1:10" hidden="1" x14ac:dyDescent="0.25">
      <c r="A7174" t="s">
        <v>9892</v>
      </c>
      <c r="B7174" s="1" t="str">
        <f>HYPERLINK("https://asmlis.vasa.lt/Dashboard/Served?ServiceDateFrom=2025-11-24&amp;ServiceDateTo=2025-11-24&amp;DumpsterInvNr=13-L-137800", "13-L-137800")</f>
        <v>13-L-137800</v>
      </c>
      <c r="C7174">
        <v>0.24</v>
      </c>
      <c r="D7174" t="s">
        <v>9893</v>
      </c>
      <c r="E7174" t="s">
        <v>11</v>
      </c>
      <c r="G7174" t="s">
        <v>1912</v>
      </c>
      <c r="H7174" t="s">
        <v>432</v>
      </c>
    </row>
    <row r="7175" spans="1:10" hidden="1" x14ac:dyDescent="0.25">
      <c r="A7175" t="s">
        <v>9894</v>
      </c>
      <c r="B7175" s="1" t="str">
        <f>HYPERLINK("https://asmlis.vasa.lt/Dashboard/Served?ServiceDateFrom=2025-11-24&amp;ServiceDateTo=2025-11-24&amp;DumpsterInvNr=13-M-206035", "13-M-206035")</f>
        <v>13-M-206035</v>
      </c>
      <c r="C7175">
        <v>0.12</v>
      </c>
      <c r="D7175" t="s">
        <v>9895</v>
      </c>
      <c r="E7175" t="s">
        <v>11</v>
      </c>
      <c r="F7175" t="s">
        <v>1209</v>
      </c>
      <c r="G7175" t="s">
        <v>4876</v>
      </c>
      <c r="H7175" t="s">
        <v>938</v>
      </c>
    </row>
    <row r="7176" spans="1:10" hidden="1" x14ac:dyDescent="0.25">
      <c r="A7176" t="s">
        <v>9894</v>
      </c>
      <c r="B7176" s="1" t="str">
        <f>HYPERLINK("https://asmlis.vasa.lt/Dashboard/Served?ServiceDateFrom=2025-11-24&amp;ServiceDateTo=2025-11-24&amp;DumpsterInvNr=13-P-114904", "13-P-114904")</f>
        <v>13-P-114904</v>
      </c>
      <c r="C7176">
        <v>0.24</v>
      </c>
      <c r="D7176" t="s">
        <v>9882</v>
      </c>
      <c r="E7176" t="s">
        <v>11</v>
      </c>
      <c r="G7176" t="s">
        <v>1917</v>
      </c>
      <c r="H7176" t="s">
        <v>432</v>
      </c>
    </row>
    <row r="7177" spans="1:10" hidden="1" x14ac:dyDescent="0.25">
      <c r="A7177" t="s">
        <v>9896</v>
      </c>
      <c r="B7177" s="1" t="str">
        <f>HYPERLINK("https://asmlis.vasa.lt/Dashboard/Served?ServiceDateFrom=2025-11-24&amp;ServiceDateTo=2025-11-24&amp;DumpsterInvNr=13-P-210641", "13-P-210641")</f>
        <v>13-P-210641</v>
      </c>
      <c r="C7177">
        <v>0.24</v>
      </c>
      <c r="D7177" t="s">
        <v>9897</v>
      </c>
      <c r="E7177" t="s">
        <v>11</v>
      </c>
      <c r="G7177" t="s">
        <v>234</v>
      </c>
      <c r="H7177" t="s">
        <v>14</v>
      </c>
    </row>
    <row r="7178" spans="1:10" hidden="1" x14ac:dyDescent="0.25">
      <c r="A7178" t="s">
        <v>9898</v>
      </c>
      <c r="B7178" s="1" t="str">
        <f>HYPERLINK("https://asmlis.vasa.lt/Dashboard/Served?ServiceDateFrom=2025-11-24&amp;ServiceDateTo=2025-11-24&amp;DumpsterInvNr=13-L-224944", "13-L-224944")</f>
        <v>13-L-224944</v>
      </c>
      <c r="C7178">
        <v>1.1000000000000001</v>
      </c>
      <c r="D7178" t="s">
        <v>9899</v>
      </c>
      <c r="E7178" t="s">
        <v>11</v>
      </c>
      <c r="F7178" t="s">
        <v>13</v>
      </c>
      <c r="G7178" t="s">
        <v>936</v>
      </c>
      <c r="H7178" t="s">
        <v>938</v>
      </c>
    </row>
    <row r="7179" spans="1:10" hidden="1" x14ac:dyDescent="0.25">
      <c r="A7179" t="s">
        <v>9900</v>
      </c>
      <c r="B7179" s="1" t="str">
        <f>HYPERLINK("https://asmlis.vasa.lt/Dashboard/Served?ServiceDateFrom=2025-11-24&amp;ServiceDateTo=2025-11-24&amp;DumpsterInvNr=13-L-142467", "13-L-142467")</f>
        <v>13-L-142467</v>
      </c>
      <c r="C7179">
        <v>1.1000000000000001</v>
      </c>
      <c r="D7179" t="s">
        <v>9879</v>
      </c>
      <c r="E7179" t="s">
        <v>11</v>
      </c>
      <c r="G7179" t="s">
        <v>430</v>
      </c>
      <c r="H7179" t="s">
        <v>432</v>
      </c>
    </row>
    <row r="7180" spans="1:10" hidden="1" x14ac:dyDescent="0.25">
      <c r="A7180" t="s">
        <v>9902</v>
      </c>
      <c r="B7180" s="1" t="str">
        <f>HYPERLINK("https://asmlis.vasa.lt/Dashboard/Served?ServiceDateFrom=2025-11-24&amp;ServiceDateTo=2025-11-24&amp;DumpsterInvNr=13-L-390066", "13-L-390066")</f>
        <v>13-L-390066</v>
      </c>
      <c r="C7180">
        <v>0.77</v>
      </c>
      <c r="D7180" t="s">
        <v>9903</v>
      </c>
      <c r="E7180" t="s">
        <v>11</v>
      </c>
      <c r="G7180" t="s">
        <v>9</v>
      </c>
      <c r="H7180" t="s">
        <v>14</v>
      </c>
    </row>
    <row r="7181" spans="1:10" hidden="1" x14ac:dyDescent="0.25">
      <c r="A7181" t="s">
        <v>9904</v>
      </c>
      <c r="B7181" s="1" t="str">
        <f>HYPERLINK("https://asmlis.vasa.lt/Dashboard/Served?ServiceDateFrom=2025-11-24&amp;ServiceDateTo=2025-11-24&amp;DumpsterInvNr=13-L-120435", "13-L-120435")</f>
        <v>13-L-120435</v>
      </c>
      <c r="C7181">
        <v>1.1000000000000001</v>
      </c>
      <c r="D7181" t="s">
        <v>9905</v>
      </c>
      <c r="E7181" t="s">
        <v>11</v>
      </c>
      <c r="G7181" t="s">
        <v>1912</v>
      </c>
      <c r="H7181" t="s">
        <v>432</v>
      </c>
    </row>
    <row r="7182" spans="1:10" hidden="1" x14ac:dyDescent="0.25">
      <c r="A7182" t="s">
        <v>9906</v>
      </c>
      <c r="B7182" s="1" t="str">
        <f>HYPERLINK("https://asmlis.vasa.lt/Dashboard/Served?ServiceDateFrom=2025-11-24&amp;ServiceDateTo=2025-11-24&amp;DumpsterInvNr=13-L-207518", "13-L-207518")</f>
        <v>13-L-207518</v>
      </c>
      <c r="C7182">
        <v>0.12</v>
      </c>
      <c r="D7182" t="s">
        <v>7137</v>
      </c>
      <c r="E7182" t="s">
        <v>11</v>
      </c>
      <c r="G7182" t="s">
        <v>936</v>
      </c>
      <c r="H7182" t="s">
        <v>938</v>
      </c>
    </row>
    <row r="7183" spans="1:10" hidden="1" x14ac:dyDescent="0.25">
      <c r="A7183" t="s">
        <v>9906</v>
      </c>
      <c r="B7183" s="1" t="str">
        <f>HYPERLINK("https://asmlis.vasa.lt/Dashboard/Served?ServiceDateFrom=2025-11-24&amp;ServiceDateTo=2025-11-24&amp;DumpsterInvNr=13-L-203589", "13-L-203589")</f>
        <v>13-L-203589</v>
      </c>
      <c r="C7183">
        <v>0.12</v>
      </c>
      <c r="D7183" t="s">
        <v>7126</v>
      </c>
      <c r="E7183" t="s">
        <v>11</v>
      </c>
      <c r="G7183" t="s">
        <v>936</v>
      </c>
      <c r="H7183" t="s">
        <v>938</v>
      </c>
    </row>
    <row r="7184" spans="1:10" hidden="1" x14ac:dyDescent="0.25">
      <c r="A7184" t="s">
        <v>9907</v>
      </c>
      <c r="B7184" s="1" t="str">
        <f>HYPERLINK("https://asmlis.vasa.lt/Dashboard/Served?ServiceDateFrom=2025-11-24&amp;ServiceDateTo=2025-11-24&amp;DumpsterInvNr=13-P-210639", "13-P-210639")</f>
        <v>13-P-210639</v>
      </c>
      <c r="C7184">
        <v>0.24</v>
      </c>
      <c r="D7184" t="s">
        <v>9908</v>
      </c>
      <c r="E7184" t="s">
        <v>11</v>
      </c>
      <c r="G7184" t="s">
        <v>234</v>
      </c>
      <c r="H7184" t="s">
        <v>14</v>
      </c>
    </row>
    <row r="7185" spans="1:8" hidden="1" x14ac:dyDescent="0.25">
      <c r="A7185" t="s">
        <v>9909</v>
      </c>
      <c r="B7185" s="1" t="str">
        <f>HYPERLINK("https://asmlis.vasa.lt/Dashboard/Served?ServiceDateFrom=2025-11-24&amp;ServiceDateTo=2025-11-24&amp;DumpsterInvNr=13-M-204910", "13-M-204910")</f>
        <v>13-M-204910</v>
      </c>
      <c r="C7185">
        <v>0.12</v>
      </c>
      <c r="D7185" t="s">
        <v>9910</v>
      </c>
      <c r="E7185" t="s">
        <v>11</v>
      </c>
      <c r="F7185" t="s">
        <v>1209</v>
      </c>
      <c r="G7185" t="s">
        <v>4876</v>
      </c>
      <c r="H7185" t="s">
        <v>938</v>
      </c>
    </row>
    <row r="7186" spans="1:8" hidden="1" x14ac:dyDescent="0.25">
      <c r="A7186" t="s">
        <v>9442</v>
      </c>
      <c r="B7186" s="1" t="str">
        <f>HYPERLINK("https://asmlis.vasa.lt/Dashboard/Served?ServiceDateFrom=2025-11-24&amp;ServiceDateTo=2025-11-24&amp;DumpsterInvNr=13-L-120436", "13-L-120436")</f>
        <v>13-L-120436</v>
      </c>
      <c r="C7186">
        <v>1.1000000000000001</v>
      </c>
      <c r="D7186" t="s">
        <v>9905</v>
      </c>
      <c r="E7186" t="s">
        <v>11</v>
      </c>
      <c r="G7186" t="s">
        <v>1912</v>
      </c>
      <c r="H7186" t="s">
        <v>432</v>
      </c>
    </row>
    <row r="7187" spans="1:8" hidden="1" x14ac:dyDescent="0.25">
      <c r="A7187" t="s">
        <v>9911</v>
      </c>
      <c r="B7187" s="1" t="str">
        <f>HYPERLINK("https://asmlis.vasa.lt/Dashboard/Served?ServiceDateFrom=2025-11-24&amp;ServiceDateTo=2025-11-24&amp;DumpsterInvNr=13-S-210512", "13-S-210512")</f>
        <v>13-S-210512</v>
      </c>
      <c r="C7187">
        <v>0.12</v>
      </c>
      <c r="D7187" t="s">
        <v>9908</v>
      </c>
      <c r="E7187" t="s">
        <v>11</v>
      </c>
      <c r="G7187" t="s">
        <v>234</v>
      </c>
      <c r="H7187" t="s">
        <v>14</v>
      </c>
    </row>
    <row r="7188" spans="1:8" hidden="1" x14ac:dyDescent="0.25">
      <c r="A7188" t="s">
        <v>9730</v>
      </c>
      <c r="B7188" s="1" t="str">
        <f>HYPERLINK("https://asmlis.vasa.lt/Dashboard/Served?ServiceDateFrom=2025-11-24&amp;ServiceDateTo=2025-11-24&amp;DumpsterInvNr=13-L-318759", "13-L-318759")</f>
        <v>13-L-318759</v>
      </c>
      <c r="C7188">
        <v>1.1000000000000001</v>
      </c>
      <c r="D7188" t="s">
        <v>5792</v>
      </c>
      <c r="E7188" t="s">
        <v>11</v>
      </c>
      <c r="G7188" t="s">
        <v>9</v>
      </c>
      <c r="H7188" t="s">
        <v>14</v>
      </c>
    </row>
    <row r="7189" spans="1:8" hidden="1" x14ac:dyDescent="0.25">
      <c r="A7189" t="s">
        <v>9730</v>
      </c>
      <c r="B7189" s="1" t="str">
        <f>HYPERLINK("https://asmlis.vasa.lt/Dashboard/Served?ServiceDateFrom=2025-11-24&amp;ServiceDateTo=2025-11-24&amp;DumpsterInvNr=13-L-422509", "13-L-422509")</f>
        <v>13-L-422509</v>
      </c>
      <c r="C7189">
        <v>0.12</v>
      </c>
      <c r="D7189" t="s">
        <v>9912</v>
      </c>
      <c r="E7189" t="s">
        <v>11</v>
      </c>
      <c r="G7189" t="s">
        <v>74</v>
      </c>
      <c r="H7189" t="s">
        <v>14</v>
      </c>
    </row>
    <row r="7190" spans="1:8" hidden="1" x14ac:dyDescent="0.25">
      <c r="A7190" t="s">
        <v>9730</v>
      </c>
      <c r="B7190" s="1" t="str">
        <f>HYPERLINK("https://asmlis.vasa.lt/Dashboard/Served?ServiceDateFrom=2025-11-24&amp;ServiceDateTo=2025-11-24&amp;DumpsterInvNr=13-L-409182", "13-L-409182")</f>
        <v>13-L-409182</v>
      </c>
      <c r="C7190">
        <v>0.12</v>
      </c>
      <c r="D7190" t="s">
        <v>9913</v>
      </c>
      <c r="E7190" t="s">
        <v>11</v>
      </c>
      <c r="G7190" t="s">
        <v>74</v>
      </c>
      <c r="H7190" t="s">
        <v>14</v>
      </c>
    </row>
    <row r="7191" spans="1:8" hidden="1" x14ac:dyDescent="0.25">
      <c r="A7191" t="s">
        <v>9914</v>
      </c>
      <c r="B7191" s="1" t="str">
        <f>HYPERLINK("https://asmlis.vasa.lt/Dashboard/Served?ServiceDateFrom=2025-11-24&amp;ServiceDateTo=2025-11-24&amp;DumpsterInvNr=13-P-413916", "13-P-413916")</f>
        <v>13-P-413916</v>
      </c>
      <c r="C7191">
        <v>5</v>
      </c>
      <c r="D7191" t="s">
        <v>675</v>
      </c>
      <c r="E7191" t="s">
        <v>11</v>
      </c>
      <c r="F7191" t="s">
        <v>13</v>
      </c>
      <c r="G7191" t="s">
        <v>264</v>
      </c>
      <c r="H7191" t="s">
        <v>14</v>
      </c>
    </row>
    <row r="7192" spans="1:8" hidden="1" x14ac:dyDescent="0.25">
      <c r="A7192" t="s">
        <v>9763</v>
      </c>
      <c r="B7192" s="1" t="str">
        <f>HYPERLINK("https://asmlis.vasa.lt/Dashboard/Served?ServiceDateFrom=2025-11-24&amp;ServiceDateTo=2025-11-24&amp;DumpsterInvNr=13-L-134447", "13-L-134447")</f>
        <v>13-L-134447</v>
      </c>
      <c r="C7192">
        <v>0.24</v>
      </c>
      <c r="D7192" t="s">
        <v>9882</v>
      </c>
      <c r="E7192" t="s">
        <v>11</v>
      </c>
      <c r="G7192" t="s">
        <v>1912</v>
      </c>
      <c r="H7192" t="s">
        <v>432</v>
      </c>
    </row>
    <row r="7193" spans="1:8" hidden="1" x14ac:dyDescent="0.25">
      <c r="A7193" t="s">
        <v>9915</v>
      </c>
      <c r="B7193" s="1" t="str">
        <f>HYPERLINK("https://asmlis.vasa.lt/Dashboard/Served?ServiceDateFrom=2025-11-24&amp;ServiceDateTo=2025-11-24&amp;DumpsterInvNr=13-P-112163", "13-P-112163")</f>
        <v>13-P-112163</v>
      </c>
      <c r="C7193">
        <v>0.24</v>
      </c>
      <c r="D7193" t="s">
        <v>9893</v>
      </c>
      <c r="E7193" t="s">
        <v>11</v>
      </c>
      <c r="G7193" t="s">
        <v>1917</v>
      </c>
      <c r="H7193" t="s">
        <v>432</v>
      </c>
    </row>
    <row r="7194" spans="1:8" hidden="1" x14ac:dyDescent="0.25">
      <c r="A7194" t="s">
        <v>9786</v>
      </c>
      <c r="B7194" s="1" t="str">
        <f>HYPERLINK("https://asmlis.vasa.lt/Dashboard/Served?ServiceDateFrom=2025-11-24&amp;ServiceDateTo=2025-11-24&amp;DumpsterInvNr=13-L-228078", "13-L-228078")</f>
        <v>13-L-228078</v>
      </c>
      <c r="C7194">
        <v>1.1000000000000001</v>
      </c>
      <c r="D7194" t="s">
        <v>2833</v>
      </c>
      <c r="E7194" t="s">
        <v>11</v>
      </c>
      <c r="F7194" t="s">
        <v>13</v>
      </c>
      <c r="G7194" t="s">
        <v>936</v>
      </c>
      <c r="H7194" t="s">
        <v>938</v>
      </c>
    </row>
    <row r="7195" spans="1:8" hidden="1" x14ac:dyDescent="0.25">
      <c r="A7195" t="s">
        <v>9797</v>
      </c>
      <c r="B7195" s="1" t="str">
        <f>HYPERLINK("https://asmlis.vasa.lt/Dashboard/Served?ServiceDateFrom=2025-11-24&amp;ServiceDateTo=2025-11-24&amp;DumpsterInvNr=13-L-133427", "13-L-133427")</f>
        <v>13-L-133427</v>
      </c>
      <c r="C7195">
        <v>5</v>
      </c>
      <c r="D7195" t="s">
        <v>9917</v>
      </c>
      <c r="E7195" t="s">
        <v>11</v>
      </c>
      <c r="F7195" t="s">
        <v>13</v>
      </c>
      <c r="G7195" t="s">
        <v>430</v>
      </c>
      <c r="H7195" t="s">
        <v>432</v>
      </c>
    </row>
    <row r="7196" spans="1:8" hidden="1" x14ac:dyDescent="0.25">
      <c r="A7196" t="s">
        <v>9802</v>
      </c>
      <c r="B7196" s="1" t="str">
        <f>HYPERLINK("https://asmlis.vasa.lt/Dashboard/Served?ServiceDateFrom=2025-11-24&amp;ServiceDateTo=2025-11-24&amp;DumpsterInvNr=13-S-212446", "13-S-212446")</f>
        <v>13-S-212446</v>
      </c>
      <c r="C7196">
        <v>3</v>
      </c>
      <c r="D7196" t="s">
        <v>9918</v>
      </c>
      <c r="E7196" t="s">
        <v>11</v>
      </c>
      <c r="F7196" t="s">
        <v>13</v>
      </c>
      <c r="G7196" t="s">
        <v>234</v>
      </c>
      <c r="H7196" t="s">
        <v>14</v>
      </c>
    </row>
    <row r="7197" spans="1:8" hidden="1" x14ac:dyDescent="0.25">
      <c r="A7197" t="s">
        <v>9919</v>
      </c>
      <c r="B7197" s="1" t="str">
        <f>HYPERLINK("https://asmlis.vasa.lt/Dashboard/Served?ServiceDateFrom=2025-11-24&amp;ServiceDateTo=2025-11-24&amp;DumpsterInvNr=13-L-120438", "13-L-120438")</f>
        <v>13-L-120438</v>
      </c>
      <c r="C7197">
        <v>1.1000000000000001</v>
      </c>
      <c r="D7197" t="s">
        <v>9905</v>
      </c>
      <c r="E7197" t="s">
        <v>11</v>
      </c>
      <c r="G7197" t="s">
        <v>1912</v>
      </c>
      <c r="H7197" t="s">
        <v>432</v>
      </c>
    </row>
    <row r="7198" spans="1:8" hidden="1" x14ac:dyDescent="0.25">
      <c r="A7198" t="s">
        <v>9919</v>
      </c>
      <c r="B7198" s="1" t="str">
        <f>HYPERLINK("https://asmlis.vasa.lt/Dashboard/Served?ServiceDateFrom=2025-11-24&amp;ServiceDateTo=2025-11-24&amp;DumpsterInvNr=13-L-211713", "13-L-211713")</f>
        <v>13-L-211713</v>
      </c>
      <c r="C7198">
        <v>1.1000000000000001</v>
      </c>
      <c r="D7198" t="s">
        <v>2833</v>
      </c>
      <c r="E7198" t="s">
        <v>11</v>
      </c>
      <c r="F7198" t="s">
        <v>13</v>
      </c>
      <c r="G7198" t="s">
        <v>936</v>
      </c>
      <c r="H7198" t="s">
        <v>938</v>
      </c>
    </row>
    <row r="7199" spans="1:8" hidden="1" x14ac:dyDescent="0.25">
      <c r="A7199" t="s">
        <v>9919</v>
      </c>
      <c r="B7199" s="1" t="str">
        <f>HYPERLINK("https://asmlis.vasa.lt/Dashboard/Served?ServiceDateFrom=2025-11-24&amp;ServiceDateTo=2025-11-24&amp;DumpsterInvNr=13-P-408749", "13-P-408749")</f>
        <v>13-P-408749</v>
      </c>
      <c r="C7199">
        <v>0.24</v>
      </c>
      <c r="D7199" t="s">
        <v>8678</v>
      </c>
      <c r="E7199" t="s">
        <v>11</v>
      </c>
      <c r="F7199" t="s">
        <v>13</v>
      </c>
      <c r="G7199" t="s">
        <v>264</v>
      </c>
      <c r="H7199" t="s">
        <v>14</v>
      </c>
    </row>
    <row r="7200" spans="1:8" hidden="1" x14ac:dyDescent="0.25">
      <c r="A7200" t="s">
        <v>9844</v>
      </c>
      <c r="B7200" s="1" t="str">
        <f>HYPERLINK("https://asmlis.vasa.lt/Dashboard/Served?ServiceDateFrom=2025-11-24&amp;ServiceDateTo=2025-11-24&amp;DumpsterInvNr=13-P-112589", "13-P-112589")</f>
        <v>13-P-112589</v>
      </c>
      <c r="C7200">
        <v>0.24</v>
      </c>
      <c r="D7200" t="s">
        <v>9921</v>
      </c>
      <c r="E7200" t="s">
        <v>11</v>
      </c>
      <c r="F7200" t="s">
        <v>1209</v>
      </c>
      <c r="G7200" t="s">
        <v>1917</v>
      </c>
      <c r="H7200" t="s">
        <v>432</v>
      </c>
    </row>
    <row r="7201" spans="1:8" hidden="1" x14ac:dyDescent="0.25">
      <c r="A7201" t="s">
        <v>9850</v>
      </c>
      <c r="B7201" s="1" t="str">
        <f>HYPERLINK("https://asmlis.vasa.lt/Dashboard/Served?ServiceDateFrom=2025-11-24&amp;ServiceDateTo=2025-11-24&amp;DumpsterInvNr=13-L-408899", "13-L-408899")</f>
        <v>13-L-408899</v>
      </c>
      <c r="C7201">
        <v>0.12</v>
      </c>
      <c r="D7201" t="s">
        <v>9922</v>
      </c>
      <c r="E7201" t="s">
        <v>11</v>
      </c>
      <c r="F7201" t="s">
        <v>1209</v>
      </c>
      <c r="G7201" t="s">
        <v>74</v>
      </c>
      <c r="H7201" t="s">
        <v>14</v>
      </c>
    </row>
    <row r="7202" spans="1:8" hidden="1" x14ac:dyDescent="0.25">
      <c r="A7202" t="s">
        <v>9923</v>
      </c>
      <c r="B7202" s="1" t="str">
        <f>HYPERLINK("https://asmlis.vasa.lt/Dashboard/Served?ServiceDateFrom=2025-11-24&amp;ServiceDateTo=2025-11-24&amp;DumpsterInvNr=13-L-143883", "13-L-143883")</f>
        <v>13-L-143883</v>
      </c>
      <c r="C7202">
        <v>0.24</v>
      </c>
      <c r="D7202" t="s">
        <v>9921</v>
      </c>
      <c r="E7202" t="s">
        <v>11</v>
      </c>
      <c r="F7202" t="s">
        <v>1209</v>
      </c>
      <c r="G7202" t="s">
        <v>1912</v>
      </c>
      <c r="H7202" t="s">
        <v>432</v>
      </c>
    </row>
    <row r="7203" spans="1:8" hidden="1" x14ac:dyDescent="0.25">
      <c r="A7203" t="s">
        <v>9924</v>
      </c>
      <c r="B7203" s="1" t="str">
        <f>HYPERLINK("https://asmlis.vasa.lt/Dashboard/Served?ServiceDateFrom=2025-11-24&amp;ServiceDateTo=2025-11-24&amp;DumpsterInvNr=13-P-211023", "13-P-211023")</f>
        <v>13-P-211023</v>
      </c>
      <c r="C7203">
        <v>0.24</v>
      </c>
      <c r="D7203" t="s">
        <v>9751</v>
      </c>
      <c r="E7203" t="s">
        <v>11</v>
      </c>
      <c r="F7203" t="s">
        <v>1209</v>
      </c>
      <c r="G7203" t="s">
        <v>234</v>
      </c>
      <c r="H7203" t="s">
        <v>14</v>
      </c>
    </row>
    <row r="7204" spans="1:8" hidden="1" x14ac:dyDescent="0.25">
      <c r="A7204" t="s">
        <v>9925</v>
      </c>
      <c r="B7204" s="1" t="str">
        <f>HYPERLINK("https://asmlis.vasa.lt/Dashboard/Served?ServiceDateFrom=2025-11-24&amp;ServiceDateTo=2025-11-24&amp;DumpsterInvNr=13-P-112145", "13-P-112145")</f>
        <v>13-P-112145</v>
      </c>
      <c r="C7204">
        <v>0.24</v>
      </c>
      <c r="D7204" t="s">
        <v>9876</v>
      </c>
      <c r="E7204" t="s">
        <v>11</v>
      </c>
      <c r="F7204" t="s">
        <v>1209</v>
      </c>
      <c r="G7204" t="s">
        <v>1917</v>
      </c>
      <c r="H7204" t="s">
        <v>432</v>
      </c>
    </row>
    <row r="7205" spans="1:8" hidden="1" x14ac:dyDescent="0.25">
      <c r="A7205" t="s">
        <v>9927</v>
      </c>
      <c r="B7205" s="1" t="str">
        <f>HYPERLINK("https://asmlis.vasa.lt/Dashboard/Served?ServiceDateFrom=2025-11-24&amp;ServiceDateTo=2025-11-24&amp;DumpsterInvNr=13-P-212360", "13-P-212360")</f>
        <v>13-P-212360</v>
      </c>
      <c r="C7205">
        <v>1.1000000000000001</v>
      </c>
      <c r="D7205" t="s">
        <v>9821</v>
      </c>
      <c r="E7205" t="s">
        <v>11</v>
      </c>
      <c r="F7205" t="s">
        <v>13</v>
      </c>
      <c r="G7205" t="s">
        <v>234</v>
      </c>
      <c r="H7205" t="s">
        <v>14</v>
      </c>
    </row>
    <row r="7206" spans="1:8" hidden="1" x14ac:dyDescent="0.25">
      <c r="A7206" t="s">
        <v>9928</v>
      </c>
      <c r="B7206" s="1" t="str">
        <f>HYPERLINK("https://asmlis.vasa.lt/Dashboard/Served?ServiceDateFrom=2025-11-24&amp;ServiceDateTo=2025-11-24&amp;DumpsterInvNr=13-P-114903", "13-P-114903")</f>
        <v>13-P-114903</v>
      </c>
      <c r="C7206">
        <v>0.24</v>
      </c>
      <c r="D7206" t="s">
        <v>9882</v>
      </c>
      <c r="E7206" t="s">
        <v>11</v>
      </c>
      <c r="F7206" t="s">
        <v>1209</v>
      </c>
      <c r="G7206" t="s">
        <v>1917</v>
      </c>
      <c r="H7206" t="s">
        <v>432</v>
      </c>
    </row>
    <row r="7207" spans="1:8" hidden="1" x14ac:dyDescent="0.25">
      <c r="A7207" t="s">
        <v>9929</v>
      </c>
      <c r="B7207" s="1" t="str">
        <f>HYPERLINK("https://asmlis.vasa.lt/Dashboard/Served?ServiceDateFrom=2025-11-24&amp;ServiceDateTo=2025-11-24&amp;DumpsterInvNr=13-P-401451", "13-P-401451")</f>
        <v>13-P-401451</v>
      </c>
      <c r="C7207">
        <v>1.1000000000000001</v>
      </c>
      <c r="D7207" t="s">
        <v>9930</v>
      </c>
      <c r="E7207" t="s">
        <v>11</v>
      </c>
      <c r="G7207" t="s">
        <v>264</v>
      </c>
      <c r="H7207" t="s">
        <v>14</v>
      </c>
    </row>
    <row r="7208" spans="1:8" hidden="1" x14ac:dyDescent="0.25">
      <c r="A7208" t="s">
        <v>9931</v>
      </c>
      <c r="B7208" s="1" t="str">
        <f>HYPERLINK("https://asmlis.vasa.lt/Dashboard/Served?ServiceDateFrom=2025-11-24&amp;ServiceDateTo=2025-11-24&amp;DumpsterInvNr=13-L-120437", "13-L-120437")</f>
        <v>13-L-120437</v>
      </c>
      <c r="C7208">
        <v>1.1000000000000001</v>
      </c>
      <c r="D7208" t="s">
        <v>9905</v>
      </c>
      <c r="E7208" t="s">
        <v>11</v>
      </c>
      <c r="G7208" t="s">
        <v>1912</v>
      </c>
      <c r="H7208" t="s">
        <v>432</v>
      </c>
    </row>
    <row r="7209" spans="1:8" hidden="1" x14ac:dyDescent="0.25">
      <c r="A7209" t="s">
        <v>9932</v>
      </c>
      <c r="B7209" s="1" t="str">
        <f>HYPERLINK("https://asmlis.vasa.lt/Dashboard/Served?ServiceDateFrom=2025-11-24&amp;ServiceDateTo=2025-11-24&amp;DumpsterInvNr=13-P-401846", "13-P-401846")</f>
        <v>13-P-401846</v>
      </c>
      <c r="C7209">
        <v>5</v>
      </c>
      <c r="D7209" t="s">
        <v>4020</v>
      </c>
      <c r="E7209" t="s">
        <v>11</v>
      </c>
      <c r="F7209" t="s">
        <v>13</v>
      </c>
      <c r="G7209" t="s">
        <v>264</v>
      </c>
      <c r="H7209" t="s">
        <v>14</v>
      </c>
    </row>
    <row r="7210" spans="1:8" hidden="1" x14ac:dyDescent="0.25">
      <c r="A7210" t="s">
        <v>9933</v>
      </c>
      <c r="B7210" s="1" t="str">
        <f>HYPERLINK("https://asmlis.vasa.lt/Dashboard/Served?ServiceDateFrom=2025-11-24&amp;ServiceDateTo=2025-11-24&amp;DumpsterInvNr=13-P-416129", "13-P-416129")</f>
        <v>13-P-416129</v>
      </c>
      <c r="C7210">
        <v>1.1000000000000001</v>
      </c>
      <c r="D7210" t="s">
        <v>9930</v>
      </c>
      <c r="E7210" t="s">
        <v>11</v>
      </c>
      <c r="G7210" t="s">
        <v>264</v>
      </c>
      <c r="H7210" t="s">
        <v>14</v>
      </c>
    </row>
    <row r="7211" spans="1:8" hidden="1" x14ac:dyDescent="0.25">
      <c r="A7211" t="s">
        <v>9681</v>
      </c>
      <c r="B7211" s="1" t="str">
        <f>HYPERLINK("https://asmlis.vasa.lt/Dashboard/Served?ServiceDateFrom=2025-11-24&amp;ServiceDateTo=2025-11-24&amp;DumpsterInvNr=13-P-102356", "13-P-102356")</f>
        <v>13-P-102356</v>
      </c>
      <c r="C7211">
        <v>5</v>
      </c>
      <c r="D7211" t="s">
        <v>4710</v>
      </c>
      <c r="E7211" t="s">
        <v>11</v>
      </c>
      <c r="F7211" t="s">
        <v>13</v>
      </c>
      <c r="G7211" t="s">
        <v>1917</v>
      </c>
      <c r="H7211" t="s">
        <v>432</v>
      </c>
    </row>
    <row r="7212" spans="1:8" hidden="1" x14ac:dyDescent="0.25">
      <c r="A7212" t="s">
        <v>9935</v>
      </c>
      <c r="B7212" s="1" t="str">
        <f>HYPERLINK("https://asmlis.vasa.lt/Dashboard/Served?ServiceDateFrom=2025-11-24&amp;ServiceDateTo=2025-11-24&amp;DumpsterInvNr=13-P-109398", "13-P-109398")</f>
        <v>13-P-109398</v>
      </c>
      <c r="C7212">
        <v>1.1000000000000001</v>
      </c>
      <c r="D7212" t="s">
        <v>9936</v>
      </c>
      <c r="E7212" t="s">
        <v>11</v>
      </c>
      <c r="G7212" t="s">
        <v>1917</v>
      </c>
      <c r="H7212" t="s">
        <v>432</v>
      </c>
    </row>
    <row r="7213" spans="1:8" hidden="1" x14ac:dyDescent="0.25">
      <c r="A7213" t="s">
        <v>9937</v>
      </c>
      <c r="B7213" s="1" t="str">
        <f>HYPERLINK("https://asmlis.vasa.lt/Dashboard/Served?ServiceDateFrom=2025-11-24&amp;ServiceDateTo=2025-11-24&amp;DumpsterInvNr=13-L-422538", "13-L-422538")</f>
        <v>13-L-422538</v>
      </c>
      <c r="C7213">
        <v>0.12</v>
      </c>
      <c r="D7213" t="s">
        <v>9938</v>
      </c>
      <c r="E7213" t="s">
        <v>11</v>
      </c>
      <c r="G7213" t="s">
        <v>74</v>
      </c>
      <c r="H7213" t="s">
        <v>14</v>
      </c>
    </row>
    <row r="7214" spans="1:8" hidden="1" x14ac:dyDescent="0.25">
      <c r="A7214" t="s">
        <v>9937</v>
      </c>
      <c r="B7214" s="1" t="str">
        <f>HYPERLINK("https://asmlis.vasa.lt/Dashboard/Served?ServiceDateFrom=2025-11-24&amp;ServiceDateTo=2025-11-24&amp;DumpsterInvNr=13-L-422537", "13-L-422537")</f>
        <v>13-L-422537</v>
      </c>
      <c r="C7214">
        <v>0.12</v>
      </c>
      <c r="D7214" t="s">
        <v>9939</v>
      </c>
      <c r="E7214" t="s">
        <v>11</v>
      </c>
      <c r="G7214" t="s">
        <v>74</v>
      </c>
      <c r="H7214" t="s">
        <v>14</v>
      </c>
    </row>
    <row r="7215" spans="1:8" hidden="1" x14ac:dyDescent="0.25">
      <c r="A7215" t="s">
        <v>9685</v>
      </c>
      <c r="B7215" s="1" t="str">
        <f>HYPERLINK("https://asmlis.vasa.lt/Dashboard/Served?ServiceDateFrom=2025-11-24&amp;ServiceDateTo=2025-11-24&amp;DumpsterInvNr=13-S-207369", "13-S-207369")</f>
        <v>13-S-207369</v>
      </c>
      <c r="C7215">
        <v>3</v>
      </c>
      <c r="D7215" t="s">
        <v>8930</v>
      </c>
      <c r="E7215" t="s">
        <v>11</v>
      </c>
      <c r="F7215" t="s">
        <v>13</v>
      </c>
      <c r="G7215" t="s">
        <v>234</v>
      </c>
      <c r="H7215" t="s">
        <v>14</v>
      </c>
    </row>
    <row r="7216" spans="1:8" hidden="1" x14ac:dyDescent="0.25">
      <c r="A7216" t="s">
        <v>9940</v>
      </c>
      <c r="B7216" s="1" t="str">
        <f>HYPERLINK("https://asmlis.vasa.lt/Dashboard/Served?ServiceDateFrom=2025-11-24&amp;ServiceDateTo=2025-11-24&amp;DumpsterInvNr=13-P-210730", "13-P-210730")</f>
        <v>13-P-210730</v>
      </c>
      <c r="C7216">
        <v>0.24</v>
      </c>
      <c r="D7216" t="s">
        <v>9941</v>
      </c>
      <c r="E7216" t="s">
        <v>11</v>
      </c>
      <c r="F7216" t="s">
        <v>1209</v>
      </c>
      <c r="G7216" t="s">
        <v>234</v>
      </c>
      <c r="H7216" t="s">
        <v>14</v>
      </c>
    </row>
    <row r="7217" spans="1:10" hidden="1" x14ac:dyDescent="0.25">
      <c r="A7217" t="s">
        <v>9942</v>
      </c>
      <c r="B7217" s="1" t="str">
        <f>HYPERLINK("https://asmlis.vasa.lt/Dashboard/Served?ServiceDateFrom=2025-11-24&amp;ServiceDateTo=2025-11-24&amp;DumpsterInvNr=13-L-134670", "13-L-134670")</f>
        <v>13-L-134670</v>
      </c>
      <c r="C7217">
        <v>5</v>
      </c>
      <c r="D7217" t="s">
        <v>9943</v>
      </c>
      <c r="E7217" t="s">
        <v>11</v>
      </c>
      <c r="F7217" t="s">
        <v>13</v>
      </c>
      <c r="G7217" t="s">
        <v>1912</v>
      </c>
      <c r="H7217" t="s">
        <v>432</v>
      </c>
    </row>
    <row r="7218" spans="1:10" x14ac:dyDescent="0.25">
      <c r="A7218" t="s">
        <v>9944</v>
      </c>
      <c r="B7218" s="1" t="str">
        <f>HYPERLINK("https://asmlis.vasa.lt/Dashboard/Served?ServiceDateFrom=2025-11-24&amp;ServiceDateTo=2025-11-24&amp;DumpsterInvNr=13-P-416949", "13-P-416949")</f>
        <v>13-P-416949</v>
      </c>
      <c r="C7218">
        <v>0.24</v>
      </c>
      <c r="D7218" t="s">
        <v>8965</v>
      </c>
      <c r="E7218" t="s">
        <v>11</v>
      </c>
      <c r="F7218" t="s">
        <v>1215</v>
      </c>
      <c r="G7218" t="s">
        <v>264</v>
      </c>
      <c r="H7218" t="s">
        <v>14</v>
      </c>
      <c r="J7218" t="s">
        <v>17511</v>
      </c>
    </row>
    <row r="7219" spans="1:10" hidden="1" x14ac:dyDescent="0.25">
      <c r="A7219" t="s">
        <v>9945</v>
      </c>
      <c r="B7219" s="1" t="str">
        <f>HYPERLINK("https://asmlis.vasa.lt/Dashboard/Served?ServiceDateFrom=2025-11-24&amp;ServiceDateTo=2025-11-24&amp;DumpsterInvNr=13-P-500440", "13-P-500440")</f>
        <v>13-P-500440</v>
      </c>
      <c r="C7219">
        <v>5</v>
      </c>
      <c r="D7219" t="s">
        <v>8003</v>
      </c>
      <c r="E7219" t="s">
        <v>11</v>
      </c>
      <c r="F7219" t="s">
        <v>13</v>
      </c>
      <c r="G7219" t="s">
        <v>2178</v>
      </c>
      <c r="H7219" t="s">
        <v>432</v>
      </c>
    </row>
    <row r="7220" spans="1:10" hidden="1" x14ac:dyDescent="0.25">
      <c r="A7220" t="s">
        <v>9946</v>
      </c>
      <c r="B7220" s="1" t="str">
        <f>HYPERLINK("https://asmlis.vasa.lt/Dashboard/Served?ServiceDateFrom=2025-11-24&amp;ServiceDateTo=2025-11-24&amp;DumpsterInvNr=13-P-416985", "13-P-416985")</f>
        <v>13-P-416985</v>
      </c>
      <c r="C7220">
        <v>1.1000000000000001</v>
      </c>
      <c r="D7220" t="s">
        <v>9930</v>
      </c>
      <c r="E7220" t="s">
        <v>11</v>
      </c>
      <c r="G7220" t="s">
        <v>264</v>
      </c>
      <c r="H7220" t="s">
        <v>14</v>
      </c>
    </row>
    <row r="7221" spans="1:10" hidden="1" x14ac:dyDescent="0.25">
      <c r="A7221" t="s">
        <v>9947</v>
      </c>
      <c r="B7221" s="1" t="str">
        <f>HYPERLINK("https://asmlis.vasa.lt/Dashboard/Served?ServiceDateFrom=2025-11-24&amp;ServiceDateTo=2025-11-24&amp;DumpsterInvNr=13-P-109400", "13-P-109400")</f>
        <v>13-P-109400</v>
      </c>
      <c r="C7221">
        <v>1.1000000000000001</v>
      </c>
      <c r="D7221" t="s">
        <v>9936</v>
      </c>
      <c r="E7221" t="s">
        <v>11</v>
      </c>
      <c r="G7221" t="s">
        <v>1917</v>
      </c>
      <c r="H7221" t="s">
        <v>432</v>
      </c>
    </row>
    <row r="7222" spans="1:10" hidden="1" x14ac:dyDescent="0.25">
      <c r="A7222" t="s">
        <v>9948</v>
      </c>
      <c r="B7222" s="1" t="str">
        <f>HYPERLINK("https://asmlis.vasa.lt/Dashboard/Served?ServiceDateFrom=2025-11-24&amp;ServiceDateTo=2025-11-24&amp;DumpsterInvNr=13-P-205806", "13-P-205806")</f>
        <v>13-P-205806</v>
      </c>
      <c r="C7222">
        <v>0.24</v>
      </c>
      <c r="D7222" t="s">
        <v>9949</v>
      </c>
      <c r="E7222" t="s">
        <v>11</v>
      </c>
      <c r="F7222" t="s">
        <v>1209</v>
      </c>
      <c r="G7222" t="s">
        <v>234</v>
      </c>
      <c r="H7222" t="s">
        <v>14</v>
      </c>
    </row>
    <row r="7223" spans="1:10" hidden="1" x14ac:dyDescent="0.25">
      <c r="A7223" t="s">
        <v>9950</v>
      </c>
      <c r="B7223" s="1" t="str">
        <f>HYPERLINK("https://asmlis.vasa.lt/Dashboard/Served?ServiceDateFrom=2025-11-24&amp;ServiceDateTo=2025-11-24&amp;DumpsterInvNr=13-L-102852", "13-L-102852")</f>
        <v>13-L-102852</v>
      </c>
      <c r="C7223">
        <v>0.24</v>
      </c>
      <c r="D7223" t="s">
        <v>9951</v>
      </c>
      <c r="E7223" t="s">
        <v>11</v>
      </c>
      <c r="G7223" t="s">
        <v>1912</v>
      </c>
      <c r="H7223" t="s">
        <v>432</v>
      </c>
    </row>
    <row r="7224" spans="1:10" hidden="1" x14ac:dyDescent="0.25">
      <c r="A7224" t="s">
        <v>9950</v>
      </c>
      <c r="B7224" s="1" t="str">
        <f>HYPERLINK("https://asmlis.vasa.lt/Dashboard/Served?ServiceDateFrom=2025-11-24&amp;ServiceDateTo=2025-11-24&amp;DumpsterInvNr=13-T-000239", "13-T-000239")</f>
        <v>13-T-000239</v>
      </c>
      <c r="C7224">
        <v>2.5</v>
      </c>
      <c r="D7224" t="s">
        <v>9953</v>
      </c>
      <c r="E7224" t="s">
        <v>11</v>
      </c>
      <c r="F7224" t="s">
        <v>13</v>
      </c>
      <c r="G7224" t="s">
        <v>1899</v>
      </c>
      <c r="H7224" t="s">
        <v>432</v>
      </c>
    </row>
    <row r="7225" spans="1:10" hidden="1" x14ac:dyDescent="0.25">
      <c r="A7225" t="s">
        <v>9954</v>
      </c>
      <c r="B7225" s="1" t="str">
        <f>HYPERLINK("https://asmlis.vasa.lt/Dashboard/Served?ServiceDateFrom=2025-11-24&amp;ServiceDateTo=2025-11-24&amp;DumpsterInvNr=13-L-220272", "13-L-220272")</f>
        <v>13-L-220272</v>
      </c>
      <c r="C7225">
        <v>1.1000000000000001</v>
      </c>
      <c r="D7225" t="s">
        <v>2833</v>
      </c>
      <c r="E7225" t="s">
        <v>11</v>
      </c>
      <c r="F7225" t="s">
        <v>13</v>
      </c>
      <c r="G7225" t="s">
        <v>936</v>
      </c>
      <c r="H7225" t="s">
        <v>938</v>
      </c>
    </row>
    <row r="7226" spans="1:10" x14ac:dyDescent="0.25">
      <c r="A7226" t="s">
        <v>9954</v>
      </c>
      <c r="B7226" s="1" t="str">
        <f>HYPERLINK("https://asmlis.vasa.lt/Dashboard/Served?ServiceDateFrom=2025-11-24&amp;ServiceDateTo=2025-11-24&amp;DumpsterInvNr=13-P-416970", "13-P-416970")</f>
        <v>13-P-416970</v>
      </c>
      <c r="C7226">
        <v>0.24</v>
      </c>
      <c r="D7226" t="s">
        <v>9008</v>
      </c>
      <c r="E7226" t="s">
        <v>11</v>
      </c>
      <c r="F7226" t="s">
        <v>1215</v>
      </c>
      <c r="G7226" t="s">
        <v>264</v>
      </c>
      <c r="H7226" t="s">
        <v>14</v>
      </c>
      <c r="J7226" t="s">
        <v>17511</v>
      </c>
    </row>
    <row r="7227" spans="1:10" hidden="1" x14ac:dyDescent="0.25">
      <c r="A7227" t="s">
        <v>9955</v>
      </c>
      <c r="B7227" s="1" t="str">
        <f>HYPERLINK("https://asmlis.vasa.lt/Dashboard/Served?ServiceDateFrom=2025-11-24&amp;ServiceDateTo=2025-11-24&amp;DumpsterInvNr=13-P-116301", "13-P-116301")</f>
        <v>13-P-116301</v>
      </c>
      <c r="C7227">
        <v>0.24</v>
      </c>
      <c r="D7227" t="s">
        <v>9951</v>
      </c>
      <c r="E7227" t="s">
        <v>11</v>
      </c>
      <c r="G7227" t="s">
        <v>1917</v>
      </c>
      <c r="H7227" t="s">
        <v>432</v>
      </c>
    </row>
    <row r="7228" spans="1:10" hidden="1" x14ac:dyDescent="0.25">
      <c r="A7228" t="s">
        <v>9956</v>
      </c>
      <c r="B7228" s="1" t="str">
        <f>HYPERLINK("https://asmlis.vasa.lt/Dashboard/Served?ServiceDateFrom=2025-11-24&amp;ServiceDateTo=2025-11-24&amp;DumpsterInvNr=13-M-206194", "13-M-206194")</f>
        <v>13-M-206194</v>
      </c>
      <c r="C7228">
        <v>0.12</v>
      </c>
      <c r="D7228" t="s">
        <v>9957</v>
      </c>
      <c r="E7228" t="s">
        <v>11</v>
      </c>
      <c r="F7228" t="s">
        <v>1209</v>
      </c>
      <c r="G7228" t="s">
        <v>4876</v>
      </c>
      <c r="H7228" t="s">
        <v>938</v>
      </c>
    </row>
    <row r="7229" spans="1:10" hidden="1" x14ac:dyDescent="0.25">
      <c r="A7229" t="s">
        <v>9958</v>
      </c>
      <c r="B7229" s="1" t="str">
        <f>HYPERLINK("https://asmlis.vasa.lt/Dashboard/Served?ServiceDateFrom=2025-11-24&amp;ServiceDateTo=2025-11-24&amp;DumpsterInvNr=13-P-210689", "13-P-210689")</f>
        <v>13-P-210689</v>
      </c>
      <c r="C7229">
        <v>0.24</v>
      </c>
      <c r="D7229" t="s">
        <v>9959</v>
      </c>
      <c r="E7229" t="s">
        <v>11</v>
      </c>
      <c r="F7229" t="s">
        <v>1209</v>
      </c>
      <c r="G7229" t="s">
        <v>234</v>
      </c>
      <c r="H7229" t="s">
        <v>14</v>
      </c>
    </row>
    <row r="7230" spans="1:10" hidden="1" x14ac:dyDescent="0.25">
      <c r="A7230" t="s">
        <v>9960</v>
      </c>
      <c r="B7230" s="1" t="str">
        <f>HYPERLINK("https://asmlis.vasa.lt/Dashboard/Served?ServiceDateFrom=2025-11-24&amp;ServiceDateTo=2025-11-24&amp;DumpsterInvNr=13-P-109399", "13-P-109399")</f>
        <v>13-P-109399</v>
      </c>
      <c r="C7230">
        <v>1.1000000000000001</v>
      </c>
      <c r="D7230" t="s">
        <v>9936</v>
      </c>
      <c r="E7230" t="s">
        <v>11</v>
      </c>
      <c r="G7230" t="s">
        <v>1917</v>
      </c>
      <c r="H7230" t="s">
        <v>432</v>
      </c>
    </row>
    <row r="7231" spans="1:10" hidden="1" x14ac:dyDescent="0.25">
      <c r="A7231" t="s">
        <v>9961</v>
      </c>
      <c r="B7231" s="1" t="str">
        <f>HYPERLINK("https://asmlis.vasa.lt/Dashboard/Served?ServiceDateFrom=2025-11-24&amp;ServiceDateTo=2025-11-24&amp;DumpsterInvNr=13-T-000240", "13-T-000240")</f>
        <v>13-T-000240</v>
      </c>
      <c r="C7231">
        <v>2.5</v>
      </c>
      <c r="D7231" t="s">
        <v>9953</v>
      </c>
      <c r="E7231" t="s">
        <v>11</v>
      </c>
      <c r="F7231" t="s">
        <v>13</v>
      </c>
      <c r="G7231" t="s">
        <v>1899</v>
      </c>
      <c r="H7231" t="s">
        <v>432</v>
      </c>
    </row>
    <row r="7232" spans="1:10" hidden="1" x14ac:dyDescent="0.25">
      <c r="A7232" t="s">
        <v>9962</v>
      </c>
      <c r="B7232" s="1" t="str">
        <f>HYPERLINK("https://asmlis.vasa.lt/Dashboard/Served?ServiceDateFrom=2025-11-24&amp;ServiceDateTo=2025-11-24&amp;DumpsterInvNr=13-P-405318", "13-P-405318")</f>
        <v>13-P-405318</v>
      </c>
      <c r="C7232">
        <v>0.24</v>
      </c>
      <c r="D7232" t="s">
        <v>9003</v>
      </c>
      <c r="E7232" t="s">
        <v>11</v>
      </c>
      <c r="G7232" t="s">
        <v>264</v>
      </c>
      <c r="H7232" t="s">
        <v>14</v>
      </c>
    </row>
    <row r="7233" spans="1:10" x14ac:dyDescent="0.25">
      <c r="A7233" t="s">
        <v>9963</v>
      </c>
      <c r="B7233" s="1" t="str">
        <f>HYPERLINK("https://asmlis.vasa.lt/Dashboard/Served?ServiceDateFrom=2025-11-24&amp;ServiceDateTo=2025-11-24&amp;DumpsterInvNr=13-P-412442", "13-P-412442")</f>
        <v>13-P-412442</v>
      </c>
      <c r="C7233">
        <v>0.24</v>
      </c>
      <c r="D7233" t="s">
        <v>9015</v>
      </c>
      <c r="E7233" t="s">
        <v>11</v>
      </c>
      <c r="F7233" t="s">
        <v>1215</v>
      </c>
      <c r="G7233" t="s">
        <v>264</v>
      </c>
      <c r="H7233" t="s">
        <v>14</v>
      </c>
      <c r="J7233" t="s">
        <v>17511</v>
      </c>
    </row>
    <row r="7234" spans="1:10" hidden="1" x14ac:dyDescent="0.25">
      <c r="A7234" t="s">
        <v>9964</v>
      </c>
      <c r="B7234" s="1" t="str">
        <f>HYPERLINK("https://asmlis.vasa.lt/Dashboard/Served?ServiceDateFrom=2025-11-24&amp;ServiceDateTo=2025-11-24&amp;DumpsterInvNr=13-L-422510", "13-L-422510")</f>
        <v>13-L-422510</v>
      </c>
      <c r="C7234">
        <v>0.12</v>
      </c>
      <c r="D7234" t="s">
        <v>9965</v>
      </c>
      <c r="E7234" t="s">
        <v>11</v>
      </c>
      <c r="G7234" t="s">
        <v>74</v>
      </c>
      <c r="H7234" t="s">
        <v>14</v>
      </c>
    </row>
    <row r="7235" spans="1:10" hidden="1" x14ac:dyDescent="0.25">
      <c r="A7235" t="s">
        <v>9966</v>
      </c>
      <c r="B7235" s="1" t="str">
        <f>HYPERLINK("https://asmlis.vasa.lt/Dashboard/Served?ServiceDateFrom=2025-11-24&amp;ServiceDateTo=2025-11-24&amp;DumpsterInvNr=13-P-413814", "13-P-413814")</f>
        <v>13-P-413814</v>
      </c>
      <c r="C7235">
        <v>5</v>
      </c>
      <c r="D7235" t="s">
        <v>677</v>
      </c>
      <c r="E7235" t="s">
        <v>11</v>
      </c>
      <c r="G7235" t="s">
        <v>264</v>
      </c>
      <c r="H7235" t="s">
        <v>14</v>
      </c>
    </row>
    <row r="7236" spans="1:10" hidden="1" x14ac:dyDescent="0.25">
      <c r="A7236" t="s">
        <v>9967</v>
      </c>
      <c r="B7236" s="1" t="str">
        <f>HYPERLINK("https://asmlis.vasa.lt/Dashboard/Served?ServiceDateFrom=2025-11-24&amp;ServiceDateTo=2025-11-24&amp;DumpsterInvNr=13-P-212649", "13-P-212649")</f>
        <v>13-P-212649</v>
      </c>
      <c r="C7236">
        <v>0.24</v>
      </c>
      <c r="D7236" t="s">
        <v>9968</v>
      </c>
      <c r="E7236" t="s">
        <v>11</v>
      </c>
      <c r="F7236" t="s">
        <v>1209</v>
      </c>
      <c r="G7236" t="s">
        <v>234</v>
      </c>
      <c r="H7236" t="s">
        <v>14</v>
      </c>
    </row>
    <row r="7237" spans="1:10" hidden="1" x14ac:dyDescent="0.25">
      <c r="A7237" t="s">
        <v>9451</v>
      </c>
      <c r="B7237" s="1" t="str">
        <f>HYPERLINK("https://asmlis.vasa.lt/Dashboard/Served?ServiceDateFrom=2025-11-24&amp;ServiceDateTo=2025-11-24&amp;DumpsterInvNr=13-P-401382", "13-P-401382")</f>
        <v>13-P-401382</v>
      </c>
      <c r="C7237">
        <v>0.24</v>
      </c>
      <c r="D7237" t="s">
        <v>9969</v>
      </c>
      <c r="E7237" t="s">
        <v>11</v>
      </c>
      <c r="G7237" t="s">
        <v>264</v>
      </c>
      <c r="H7237" t="s">
        <v>14</v>
      </c>
    </row>
    <row r="7238" spans="1:10" hidden="1" x14ac:dyDescent="0.25">
      <c r="A7238" t="s">
        <v>9466</v>
      </c>
      <c r="B7238" s="1" t="str">
        <f>HYPERLINK("https://asmlis.vasa.lt/Dashboard/Served?ServiceDateFrom=2025-11-24&amp;ServiceDateTo=2025-11-24&amp;DumpsterInvNr=13-L-105153", "13-L-105153")</f>
        <v>13-L-105153</v>
      </c>
      <c r="C7238">
        <v>1.1000000000000001</v>
      </c>
      <c r="D7238" t="s">
        <v>9970</v>
      </c>
      <c r="E7238" t="s">
        <v>11</v>
      </c>
      <c r="G7238" t="s">
        <v>430</v>
      </c>
      <c r="H7238" t="s">
        <v>432</v>
      </c>
    </row>
    <row r="7239" spans="1:10" hidden="1" x14ac:dyDescent="0.25">
      <c r="A7239" t="s">
        <v>9674</v>
      </c>
      <c r="B7239" s="1" t="str">
        <f>HYPERLINK("https://asmlis.vasa.lt/Dashboard/Served?ServiceDateFrom=2025-11-24&amp;ServiceDateTo=2025-11-24&amp;DumpsterInvNr=13-L-106346", "13-L-106346")</f>
        <v>13-L-106346</v>
      </c>
      <c r="C7239">
        <v>0.24</v>
      </c>
      <c r="D7239" t="s">
        <v>9972</v>
      </c>
      <c r="E7239" t="s">
        <v>11</v>
      </c>
      <c r="G7239" t="s">
        <v>1912</v>
      </c>
      <c r="H7239" t="s">
        <v>432</v>
      </c>
    </row>
    <row r="7240" spans="1:10" hidden="1" x14ac:dyDescent="0.25">
      <c r="A7240" t="s">
        <v>9674</v>
      </c>
      <c r="B7240" s="1" t="str">
        <f>HYPERLINK("https://asmlis.vasa.lt/Dashboard/Served?ServiceDateFrom=2025-11-24&amp;ServiceDateTo=2025-11-24&amp;DumpsterInvNr=13-P-305401", "13-P-305401")</f>
        <v>13-P-305401</v>
      </c>
      <c r="C7240">
        <v>2.5</v>
      </c>
      <c r="D7240" t="s">
        <v>9973</v>
      </c>
      <c r="E7240" t="s">
        <v>11</v>
      </c>
      <c r="F7240" t="s">
        <v>13</v>
      </c>
      <c r="G7240" t="s">
        <v>412</v>
      </c>
      <c r="H7240" t="s">
        <v>14</v>
      </c>
    </row>
    <row r="7241" spans="1:10" hidden="1" x14ac:dyDescent="0.25">
      <c r="A7241" t="s">
        <v>9674</v>
      </c>
      <c r="B7241" s="1" t="str">
        <f>HYPERLINK("https://asmlis.vasa.lt/Dashboard/Served?ServiceDateFrom=2025-11-24&amp;ServiceDateTo=2025-11-24&amp;DumpsterInvNr=13-P-205282", "13-P-205282")</f>
        <v>13-P-205282</v>
      </c>
      <c r="C7241">
        <v>0.24</v>
      </c>
      <c r="D7241" t="s">
        <v>9718</v>
      </c>
      <c r="E7241" t="s">
        <v>11</v>
      </c>
      <c r="G7241" t="s">
        <v>234</v>
      </c>
      <c r="H7241" t="s">
        <v>14</v>
      </c>
    </row>
    <row r="7242" spans="1:10" hidden="1" x14ac:dyDescent="0.25">
      <c r="A7242" t="s">
        <v>9974</v>
      </c>
      <c r="B7242" s="1" t="str">
        <f>HYPERLINK("https://asmlis.vasa.lt/Dashboard/Served?ServiceDateFrom=2025-11-24&amp;ServiceDateTo=2025-11-24&amp;DumpsterInvNr=13-P-302213", "13-P-302213")</f>
        <v>13-P-302213</v>
      </c>
      <c r="C7242">
        <v>1.1000000000000001</v>
      </c>
      <c r="D7242" t="s">
        <v>9975</v>
      </c>
      <c r="E7242" t="s">
        <v>11</v>
      </c>
      <c r="G7242" t="s">
        <v>412</v>
      </c>
      <c r="H7242" t="s">
        <v>14</v>
      </c>
    </row>
    <row r="7243" spans="1:10" hidden="1" x14ac:dyDescent="0.25">
      <c r="A7243" t="s">
        <v>9976</v>
      </c>
      <c r="B7243" s="1" t="str">
        <f>HYPERLINK("https://asmlis.vasa.lt/Dashboard/Served?ServiceDateFrom=2025-11-24&amp;ServiceDateTo=2025-11-24&amp;DumpsterInvNr=13-L-147469", "13-L-147469")</f>
        <v>13-L-147469</v>
      </c>
      <c r="C7243">
        <v>5</v>
      </c>
      <c r="D7243" t="s">
        <v>9977</v>
      </c>
      <c r="E7243" t="s">
        <v>11</v>
      </c>
      <c r="F7243" t="s">
        <v>13</v>
      </c>
      <c r="G7243" t="s">
        <v>430</v>
      </c>
      <c r="H7243" t="s">
        <v>432</v>
      </c>
    </row>
    <row r="7244" spans="1:10" hidden="1" x14ac:dyDescent="0.25">
      <c r="A7244" t="s">
        <v>9979</v>
      </c>
      <c r="B7244" s="1" t="str">
        <f>HYPERLINK("https://asmlis.vasa.lt/Dashboard/Served?ServiceDateFrom=2025-11-24&amp;ServiceDateTo=2025-11-24&amp;DumpsterInvNr=13-P-416022", "13-P-416022")</f>
        <v>13-P-416022</v>
      </c>
      <c r="C7244">
        <v>0.24</v>
      </c>
      <c r="D7244" t="s">
        <v>9980</v>
      </c>
      <c r="E7244" t="s">
        <v>11</v>
      </c>
      <c r="G7244" t="s">
        <v>264</v>
      </c>
      <c r="H7244" t="s">
        <v>14</v>
      </c>
    </row>
    <row r="7245" spans="1:10" hidden="1" x14ac:dyDescent="0.25">
      <c r="A7245" t="s">
        <v>9981</v>
      </c>
      <c r="B7245" s="1" t="str">
        <f>HYPERLINK("https://asmlis.vasa.lt/Dashboard/Served?ServiceDateFrom=2025-11-24&amp;ServiceDateTo=2025-11-24&amp;DumpsterInvNr=13-L-305084", "13-L-305084")</f>
        <v>13-L-305084</v>
      </c>
      <c r="C7245">
        <v>0.66</v>
      </c>
      <c r="D7245" t="s">
        <v>9982</v>
      </c>
      <c r="E7245" t="s">
        <v>11</v>
      </c>
      <c r="G7245" t="s">
        <v>9</v>
      </c>
      <c r="H7245" t="s">
        <v>14</v>
      </c>
    </row>
    <row r="7246" spans="1:10" hidden="1" x14ac:dyDescent="0.25">
      <c r="A7246" t="s">
        <v>9983</v>
      </c>
      <c r="B7246" s="1" t="str">
        <f>HYPERLINK("https://asmlis.vasa.lt/Dashboard/Served?ServiceDateFrom=2025-11-24&amp;ServiceDateTo=2025-11-24&amp;DumpsterInvNr=13-P-302603", "13-P-302603")</f>
        <v>13-P-302603</v>
      </c>
      <c r="C7246">
        <v>2.5</v>
      </c>
      <c r="D7246" t="s">
        <v>9973</v>
      </c>
      <c r="E7246" t="s">
        <v>11</v>
      </c>
      <c r="F7246" t="s">
        <v>13</v>
      </c>
      <c r="G7246" t="s">
        <v>412</v>
      </c>
      <c r="H7246" t="s">
        <v>14</v>
      </c>
    </row>
    <row r="7247" spans="1:10" hidden="1" x14ac:dyDescent="0.25">
      <c r="A7247" t="s">
        <v>9984</v>
      </c>
      <c r="B7247" s="1" t="str">
        <f>HYPERLINK("https://asmlis.vasa.lt/Dashboard/Served?ServiceDateFrom=2025-11-24&amp;ServiceDateTo=2025-11-24&amp;DumpsterInvNr=13-P-112571", "13-P-112571")</f>
        <v>13-P-112571</v>
      </c>
      <c r="C7247">
        <v>0.24</v>
      </c>
      <c r="D7247" t="s">
        <v>9972</v>
      </c>
      <c r="E7247" t="s">
        <v>11</v>
      </c>
      <c r="F7247" t="s">
        <v>1209</v>
      </c>
      <c r="G7247" t="s">
        <v>1917</v>
      </c>
      <c r="H7247" t="s">
        <v>432</v>
      </c>
    </row>
    <row r="7248" spans="1:10" hidden="1" x14ac:dyDescent="0.25">
      <c r="A7248" t="s">
        <v>9984</v>
      </c>
      <c r="B7248" s="1" t="str">
        <f>HYPERLINK("https://asmlis.vasa.lt/Dashboard/Served?ServiceDateFrom=2025-11-24&amp;ServiceDateTo=2025-11-24&amp;DumpsterInvNr=13-P-290033", "13-P-290033")</f>
        <v>13-P-290033</v>
      </c>
      <c r="C7248">
        <v>0.24</v>
      </c>
      <c r="D7248" t="s">
        <v>9985</v>
      </c>
      <c r="E7248" t="s">
        <v>11</v>
      </c>
      <c r="G7248" t="s">
        <v>234</v>
      </c>
      <c r="H7248" t="s">
        <v>14</v>
      </c>
    </row>
    <row r="7249" spans="1:8" hidden="1" x14ac:dyDescent="0.25">
      <c r="A7249" t="s">
        <v>9986</v>
      </c>
      <c r="B7249" s="1" t="str">
        <f>HYPERLINK("https://asmlis.vasa.lt/Dashboard/Served?ServiceDateFrom=2025-11-24&amp;ServiceDateTo=2025-11-24&amp;DumpsterInvNr=13-L-105154", "13-L-105154")</f>
        <v>13-L-105154</v>
      </c>
      <c r="C7249">
        <v>1.1000000000000001</v>
      </c>
      <c r="D7249" t="s">
        <v>9970</v>
      </c>
      <c r="E7249" t="s">
        <v>11</v>
      </c>
      <c r="G7249" t="s">
        <v>430</v>
      </c>
      <c r="H7249" t="s">
        <v>432</v>
      </c>
    </row>
    <row r="7250" spans="1:8" hidden="1" x14ac:dyDescent="0.25">
      <c r="A7250" t="s">
        <v>9987</v>
      </c>
      <c r="B7250" s="1" t="str">
        <f>HYPERLINK("https://asmlis.vasa.lt/Dashboard/Served?ServiceDateFrom=2025-11-24&amp;ServiceDateTo=2025-11-24&amp;DumpsterInvNr=13-S-212410", "13-S-212410")</f>
        <v>13-S-212410</v>
      </c>
      <c r="C7250">
        <v>0.12</v>
      </c>
      <c r="D7250" t="s">
        <v>9985</v>
      </c>
      <c r="E7250" t="s">
        <v>11</v>
      </c>
      <c r="F7250" t="s">
        <v>1209</v>
      </c>
      <c r="G7250" t="s">
        <v>234</v>
      </c>
      <c r="H7250" t="s">
        <v>14</v>
      </c>
    </row>
    <row r="7251" spans="1:8" hidden="1" x14ac:dyDescent="0.25">
      <c r="A7251" t="s">
        <v>9988</v>
      </c>
      <c r="B7251" s="1" t="str">
        <f>HYPERLINK("https://asmlis.vasa.lt/Dashboard/Served?ServiceDateFrom=2025-11-24&amp;ServiceDateTo=2025-11-24&amp;DumpsterInvNr=13-P-509657", "13-P-509657")</f>
        <v>13-P-509657</v>
      </c>
      <c r="C7251">
        <v>2.5</v>
      </c>
      <c r="D7251" t="s">
        <v>9989</v>
      </c>
      <c r="E7251" t="s">
        <v>12</v>
      </c>
      <c r="F7251" t="s">
        <v>13</v>
      </c>
      <c r="H7251" t="s">
        <v>432</v>
      </c>
    </row>
    <row r="7252" spans="1:8" hidden="1" x14ac:dyDescent="0.25">
      <c r="A7252" t="s">
        <v>9990</v>
      </c>
      <c r="B7252" s="1" t="str">
        <f>HYPERLINK("https://asmlis.vasa.lt/Dashboard/Served?ServiceDateFrom=2025-11-24&amp;ServiceDateTo=2025-11-24&amp;DumpsterInvNr=13-L-422539", "13-L-422539")</f>
        <v>13-L-422539</v>
      </c>
      <c r="C7252">
        <v>0.12</v>
      </c>
      <c r="D7252" t="s">
        <v>9991</v>
      </c>
      <c r="E7252" t="s">
        <v>11</v>
      </c>
      <c r="G7252" t="s">
        <v>74</v>
      </c>
      <c r="H7252" t="s">
        <v>14</v>
      </c>
    </row>
    <row r="7253" spans="1:8" hidden="1" x14ac:dyDescent="0.25">
      <c r="A7253" t="s">
        <v>9992</v>
      </c>
      <c r="B7253" s="1" t="str">
        <f>HYPERLINK("https://asmlis.vasa.lt/Dashboard/Served?ServiceDateFrom=2025-11-24&amp;ServiceDateTo=2025-11-24&amp;DumpsterInvNr=13-P-210638", "13-P-210638")</f>
        <v>13-P-210638</v>
      </c>
      <c r="C7253">
        <v>0.24</v>
      </c>
      <c r="D7253" t="s">
        <v>9993</v>
      </c>
      <c r="E7253" t="s">
        <v>11</v>
      </c>
      <c r="F7253" t="s">
        <v>1209</v>
      </c>
      <c r="G7253" t="s">
        <v>234</v>
      </c>
      <c r="H7253" t="s">
        <v>14</v>
      </c>
    </row>
    <row r="7254" spans="1:8" hidden="1" x14ac:dyDescent="0.25">
      <c r="A7254" t="s">
        <v>9994</v>
      </c>
      <c r="B7254" s="1" t="str">
        <f>HYPERLINK("https://asmlis.vasa.lt/Dashboard/Served?ServiceDateFrom=2025-11-24&amp;ServiceDateTo=2025-11-24&amp;DumpsterInvNr=13-P-414650", "13-P-414650")</f>
        <v>13-P-414650</v>
      </c>
      <c r="C7254">
        <v>0.24</v>
      </c>
      <c r="D7254" t="s">
        <v>9980</v>
      </c>
      <c r="E7254" t="s">
        <v>11</v>
      </c>
      <c r="F7254" t="s">
        <v>1209</v>
      </c>
      <c r="G7254" t="s">
        <v>264</v>
      </c>
      <c r="H7254" t="s">
        <v>14</v>
      </c>
    </row>
    <row r="7255" spans="1:8" hidden="1" x14ac:dyDescent="0.25">
      <c r="A7255" t="s">
        <v>9995</v>
      </c>
      <c r="B7255" s="1" t="str">
        <f>HYPERLINK("https://asmlis.vasa.lt/Dashboard/Served?ServiceDateFrom=2025-11-24&amp;ServiceDateTo=2025-11-24&amp;DumpsterInvNr=13-P-404565", "13-P-404565")</f>
        <v>13-P-404565</v>
      </c>
      <c r="C7255">
        <v>0.24</v>
      </c>
      <c r="D7255" t="s">
        <v>9969</v>
      </c>
      <c r="E7255" t="s">
        <v>11</v>
      </c>
      <c r="F7255" t="s">
        <v>1209</v>
      </c>
      <c r="G7255" t="s">
        <v>264</v>
      </c>
      <c r="H7255" t="s">
        <v>14</v>
      </c>
    </row>
    <row r="7256" spans="1:8" hidden="1" x14ac:dyDescent="0.25">
      <c r="A7256" t="s">
        <v>9996</v>
      </c>
      <c r="B7256" s="1" t="str">
        <f>HYPERLINK("https://asmlis.vasa.lt/Dashboard/Served?ServiceDateFrom=2025-11-24&amp;ServiceDateTo=2025-11-24&amp;DumpsterInvNr=13-L-225109", "13-L-225109")</f>
        <v>13-L-225109</v>
      </c>
      <c r="C7256">
        <v>1.1000000000000001</v>
      </c>
      <c r="D7256" t="s">
        <v>9997</v>
      </c>
      <c r="E7256" t="s">
        <v>11</v>
      </c>
      <c r="G7256" t="s">
        <v>936</v>
      </c>
      <c r="H7256" t="s">
        <v>938</v>
      </c>
    </row>
    <row r="7257" spans="1:8" hidden="1" x14ac:dyDescent="0.25">
      <c r="A7257" t="s">
        <v>9998</v>
      </c>
      <c r="B7257" s="1" t="str">
        <f>HYPERLINK("https://asmlis.vasa.lt/Dashboard/Served?ServiceDateFrom=2025-11-24&amp;ServiceDateTo=2025-11-24&amp;DumpsterInvNr=13-P-302098", "13-P-302098")</f>
        <v>13-P-302098</v>
      </c>
      <c r="C7257">
        <v>1.1000000000000001</v>
      </c>
      <c r="D7257" t="s">
        <v>9975</v>
      </c>
      <c r="E7257" t="s">
        <v>11</v>
      </c>
      <c r="G7257" t="s">
        <v>412</v>
      </c>
      <c r="H7257" t="s">
        <v>14</v>
      </c>
    </row>
    <row r="7258" spans="1:8" hidden="1" x14ac:dyDescent="0.25">
      <c r="A7258" t="s">
        <v>9998</v>
      </c>
      <c r="B7258" s="1" t="str">
        <f>HYPERLINK("https://asmlis.vasa.lt/Dashboard/Served?ServiceDateFrom=2025-11-24&amp;ServiceDateTo=2025-11-24&amp;DumpsterInvNr=13-M-206049", "13-M-206049")</f>
        <v>13-M-206049</v>
      </c>
      <c r="C7258">
        <v>0.12</v>
      </c>
      <c r="D7258" t="s">
        <v>9999</v>
      </c>
      <c r="E7258" t="s">
        <v>11</v>
      </c>
      <c r="F7258" t="s">
        <v>1209</v>
      </c>
      <c r="G7258" t="s">
        <v>4876</v>
      </c>
      <c r="H7258" t="s">
        <v>938</v>
      </c>
    </row>
    <row r="7259" spans="1:8" hidden="1" x14ac:dyDescent="0.25">
      <c r="A7259" t="s">
        <v>4015</v>
      </c>
      <c r="B7259" s="1" t="str">
        <f>HYPERLINK("https://asmlis.vasa.lt/Dashboard/Served?ServiceDateFrom=2025-11-24&amp;ServiceDateTo=2025-11-24&amp;DumpsterInvNr=13-P-414607", "13-P-414607")</f>
        <v>13-P-414607</v>
      </c>
      <c r="C7259">
        <v>0.24</v>
      </c>
      <c r="D7259" t="s">
        <v>10000</v>
      </c>
      <c r="E7259" t="s">
        <v>11</v>
      </c>
      <c r="G7259" t="s">
        <v>264</v>
      </c>
      <c r="H7259" t="s">
        <v>14</v>
      </c>
    </row>
    <row r="7260" spans="1:8" hidden="1" x14ac:dyDescent="0.25">
      <c r="A7260" t="s">
        <v>8423</v>
      </c>
      <c r="B7260" s="1" t="str">
        <f>HYPERLINK("https://asmlis.vasa.lt/Dashboard/Served?ServiceDateFrom=2025-11-24&amp;ServiceDateTo=2025-11-24&amp;DumpsterInvNr=13-S-209604", "13-S-209604")</f>
        <v>13-S-209604</v>
      </c>
      <c r="C7260">
        <v>0.12</v>
      </c>
      <c r="D7260" t="s">
        <v>9689</v>
      </c>
      <c r="E7260" t="s">
        <v>11</v>
      </c>
      <c r="F7260" t="s">
        <v>1209</v>
      </c>
      <c r="G7260" t="s">
        <v>234</v>
      </c>
      <c r="H7260" t="s">
        <v>14</v>
      </c>
    </row>
    <row r="7261" spans="1:8" hidden="1" x14ac:dyDescent="0.25">
      <c r="A7261" t="s">
        <v>8423</v>
      </c>
      <c r="B7261" s="1" t="str">
        <f>HYPERLINK("https://asmlis.vasa.lt/Dashboard/Served?ServiceDateFrom=2025-11-24&amp;ServiceDateTo=2025-11-24&amp;DumpsterInvNr=13-P-205341", "13-P-205341")</f>
        <v>13-P-205341</v>
      </c>
      <c r="C7261">
        <v>0.24</v>
      </c>
      <c r="D7261" t="s">
        <v>9693</v>
      </c>
      <c r="E7261" t="s">
        <v>11</v>
      </c>
      <c r="F7261" t="s">
        <v>1209</v>
      </c>
      <c r="G7261" t="s">
        <v>234</v>
      </c>
      <c r="H7261" t="s">
        <v>14</v>
      </c>
    </row>
    <row r="7262" spans="1:8" hidden="1" x14ac:dyDescent="0.25">
      <c r="A7262" t="s">
        <v>8824</v>
      </c>
      <c r="B7262" s="1" t="str">
        <f>HYPERLINK("https://asmlis.vasa.lt/Dashboard/Served?ServiceDateFrom=2025-11-24&amp;ServiceDateTo=2025-11-24&amp;DumpsterInvNr=13-P-205262", "13-P-205262")</f>
        <v>13-P-205262</v>
      </c>
      <c r="C7262">
        <v>0.24</v>
      </c>
      <c r="D7262" t="s">
        <v>10003</v>
      </c>
      <c r="E7262" t="s">
        <v>11</v>
      </c>
      <c r="F7262" t="s">
        <v>1209</v>
      </c>
      <c r="G7262" t="s">
        <v>234</v>
      </c>
      <c r="H7262" t="s">
        <v>14</v>
      </c>
    </row>
    <row r="7263" spans="1:8" hidden="1" x14ac:dyDescent="0.25">
      <c r="A7263" t="s">
        <v>9565</v>
      </c>
      <c r="B7263" s="1" t="str">
        <f>HYPERLINK("https://asmlis.vasa.lt/Dashboard/Served?ServiceDateFrom=2025-11-24&amp;ServiceDateTo=2025-11-24&amp;DumpsterInvNr=13-M-204340", "13-M-204340")</f>
        <v>13-M-204340</v>
      </c>
      <c r="C7263">
        <v>0.12</v>
      </c>
      <c r="D7263" t="s">
        <v>10004</v>
      </c>
      <c r="E7263" t="s">
        <v>11</v>
      </c>
      <c r="F7263" t="s">
        <v>1209</v>
      </c>
      <c r="G7263" t="s">
        <v>4876</v>
      </c>
      <c r="H7263" t="s">
        <v>938</v>
      </c>
    </row>
    <row r="7264" spans="1:8" hidden="1" x14ac:dyDescent="0.25">
      <c r="A7264" t="s">
        <v>10005</v>
      </c>
      <c r="B7264" s="1" t="str">
        <f>HYPERLINK("https://asmlis.vasa.lt/Dashboard/Served?ServiceDateFrom=2025-11-24&amp;ServiceDateTo=2025-11-24&amp;DumpsterInvNr=13-S-209605", "13-S-209605")</f>
        <v>13-S-209605</v>
      </c>
      <c r="C7264">
        <v>0.12</v>
      </c>
      <c r="D7264" t="s">
        <v>9691</v>
      </c>
      <c r="E7264" t="s">
        <v>11</v>
      </c>
      <c r="F7264" t="s">
        <v>1209</v>
      </c>
      <c r="G7264" t="s">
        <v>234</v>
      </c>
      <c r="H7264" t="s">
        <v>14</v>
      </c>
    </row>
    <row r="7265" spans="1:8" hidden="1" x14ac:dyDescent="0.25">
      <c r="A7265" t="s">
        <v>10007</v>
      </c>
      <c r="B7265" s="1" t="str">
        <f>HYPERLINK("https://asmlis.vasa.lt/Dashboard/Served?ServiceDateFrom=2025-11-24&amp;ServiceDateTo=2025-11-24&amp;DumpsterInvNr=13-L-106682", "13-L-106682")</f>
        <v>13-L-106682</v>
      </c>
      <c r="C7265">
        <v>1.1000000000000001</v>
      </c>
      <c r="D7265" t="s">
        <v>10008</v>
      </c>
      <c r="E7265" t="s">
        <v>11</v>
      </c>
      <c r="G7265" t="s">
        <v>1912</v>
      </c>
      <c r="H7265" t="s">
        <v>432</v>
      </c>
    </row>
    <row r="7266" spans="1:8" hidden="1" x14ac:dyDescent="0.25">
      <c r="A7266" t="s">
        <v>10009</v>
      </c>
      <c r="B7266" s="1" t="str">
        <f>HYPERLINK("https://asmlis.vasa.lt/Dashboard/Served?ServiceDateFrom=2025-11-24&amp;ServiceDateTo=2025-11-24&amp;DumpsterInvNr=13-M-206020", "13-M-206020")</f>
        <v>13-M-206020</v>
      </c>
      <c r="C7266">
        <v>0.12</v>
      </c>
      <c r="D7266" t="s">
        <v>10010</v>
      </c>
      <c r="E7266" t="s">
        <v>11</v>
      </c>
      <c r="G7266" t="s">
        <v>4876</v>
      </c>
      <c r="H7266" t="s">
        <v>938</v>
      </c>
    </row>
    <row r="7267" spans="1:8" hidden="1" x14ac:dyDescent="0.25">
      <c r="A7267" t="s">
        <v>10011</v>
      </c>
      <c r="B7267" s="1" t="str">
        <f>HYPERLINK("https://asmlis.vasa.lt/Dashboard/Served?ServiceDateFrom=2025-11-24&amp;ServiceDateTo=2025-11-24&amp;DumpsterInvNr=13-P-413957", "13-P-413957")</f>
        <v>13-P-413957</v>
      </c>
      <c r="C7267">
        <v>5</v>
      </c>
      <c r="D7267" t="s">
        <v>681</v>
      </c>
      <c r="E7267" t="s">
        <v>11</v>
      </c>
      <c r="F7267" t="s">
        <v>13</v>
      </c>
      <c r="G7267" t="s">
        <v>264</v>
      </c>
      <c r="H7267" t="s">
        <v>14</v>
      </c>
    </row>
    <row r="7268" spans="1:8" hidden="1" x14ac:dyDescent="0.25">
      <c r="A7268" t="s">
        <v>10012</v>
      </c>
      <c r="B7268" s="1" t="str">
        <f>HYPERLINK("https://asmlis.vasa.lt/Dashboard/Served?ServiceDateFrom=2025-11-24&amp;ServiceDateTo=2025-11-24&amp;DumpsterInvNr=13-L-317202", "13-L-317202")</f>
        <v>13-L-317202</v>
      </c>
      <c r="C7268">
        <v>0.24</v>
      </c>
      <c r="D7268" t="s">
        <v>5784</v>
      </c>
      <c r="E7268" t="s">
        <v>11</v>
      </c>
      <c r="F7268" t="s">
        <v>13</v>
      </c>
      <c r="G7268" t="s">
        <v>9</v>
      </c>
      <c r="H7268" t="s">
        <v>14</v>
      </c>
    </row>
    <row r="7269" spans="1:8" hidden="1" x14ac:dyDescent="0.25">
      <c r="A7269" t="s">
        <v>10013</v>
      </c>
      <c r="B7269" s="1" t="str">
        <f>HYPERLINK("https://asmlis.vasa.lt/Dashboard/Served?ServiceDateFrom=2025-11-24&amp;ServiceDateTo=2025-11-24&amp;DumpsterInvNr=13-L-106681", "13-L-106681")</f>
        <v>13-L-106681</v>
      </c>
      <c r="C7269">
        <v>1.1000000000000001</v>
      </c>
      <c r="D7269" t="s">
        <v>10008</v>
      </c>
      <c r="E7269" t="s">
        <v>11</v>
      </c>
      <c r="G7269" t="s">
        <v>1912</v>
      </c>
      <c r="H7269" t="s">
        <v>432</v>
      </c>
    </row>
    <row r="7270" spans="1:8" hidden="1" x14ac:dyDescent="0.25">
      <c r="A7270" t="s">
        <v>10013</v>
      </c>
      <c r="B7270" s="1" t="str">
        <f>HYPERLINK("https://asmlis.vasa.lt/Dashboard/Served?ServiceDateFrom=2025-11-24&amp;ServiceDateTo=2025-11-24&amp;DumpsterInvNr=13-M-202118", "13-M-202118")</f>
        <v>13-M-202118</v>
      </c>
      <c r="C7270">
        <v>0.12</v>
      </c>
      <c r="D7270" t="s">
        <v>10014</v>
      </c>
      <c r="E7270" t="s">
        <v>11</v>
      </c>
      <c r="F7270" t="s">
        <v>1209</v>
      </c>
      <c r="G7270" t="s">
        <v>4876</v>
      </c>
      <c r="H7270" t="s">
        <v>938</v>
      </c>
    </row>
    <row r="7271" spans="1:8" hidden="1" x14ac:dyDescent="0.25">
      <c r="A7271" t="s">
        <v>10016</v>
      </c>
      <c r="B7271" s="1" t="str">
        <f>HYPERLINK("https://asmlis.vasa.lt/Dashboard/Served?ServiceDateFrom=2025-11-24&amp;ServiceDateTo=2025-11-24&amp;DumpsterInvNr=13-L-422540", "13-L-422540")</f>
        <v>13-L-422540</v>
      </c>
      <c r="C7271">
        <v>0.12</v>
      </c>
      <c r="D7271" t="s">
        <v>10017</v>
      </c>
      <c r="E7271" t="s">
        <v>11</v>
      </c>
      <c r="G7271" t="s">
        <v>74</v>
      </c>
      <c r="H7271" t="s">
        <v>14</v>
      </c>
    </row>
    <row r="7272" spans="1:8" hidden="1" x14ac:dyDescent="0.25">
      <c r="A7272" t="s">
        <v>10018</v>
      </c>
      <c r="B7272" s="1" t="str">
        <f>HYPERLINK("https://asmlis.vasa.lt/Dashboard/Served?ServiceDateFrom=2025-11-24&amp;ServiceDateTo=2025-11-24&amp;DumpsterInvNr=13-L-425985", "13-L-425985")</f>
        <v>13-L-425985</v>
      </c>
      <c r="C7272">
        <v>1.1000000000000001</v>
      </c>
      <c r="D7272" t="s">
        <v>10019</v>
      </c>
      <c r="E7272" t="s">
        <v>11</v>
      </c>
      <c r="G7272" t="s">
        <v>74</v>
      </c>
      <c r="H7272" t="s">
        <v>14</v>
      </c>
    </row>
    <row r="7273" spans="1:8" hidden="1" x14ac:dyDescent="0.25">
      <c r="A7273" t="s">
        <v>10020</v>
      </c>
      <c r="B7273" s="1" t="str">
        <f>HYPERLINK("https://asmlis.vasa.lt/Dashboard/Served?ServiceDateFrom=2025-11-24&amp;ServiceDateTo=2025-11-24&amp;DumpsterInvNr=13-L-225108", "13-L-225108")</f>
        <v>13-L-225108</v>
      </c>
      <c r="C7273">
        <v>1.1000000000000001</v>
      </c>
      <c r="D7273" t="s">
        <v>9997</v>
      </c>
      <c r="E7273" t="s">
        <v>11</v>
      </c>
      <c r="F7273" t="s">
        <v>13</v>
      </c>
      <c r="G7273" t="s">
        <v>936</v>
      </c>
      <c r="H7273" t="s">
        <v>938</v>
      </c>
    </row>
    <row r="7274" spans="1:8" hidden="1" x14ac:dyDescent="0.25">
      <c r="A7274" t="s">
        <v>10021</v>
      </c>
      <c r="B7274" s="1" t="str">
        <f>HYPERLINK("https://asmlis.vasa.lt/Dashboard/Served?ServiceDateFrom=2025-11-24&amp;ServiceDateTo=2025-11-24&amp;DumpsterInvNr=13-P-212463", "13-P-212463")</f>
        <v>13-P-212463</v>
      </c>
      <c r="C7274">
        <v>0.24</v>
      </c>
      <c r="D7274" t="s">
        <v>10022</v>
      </c>
      <c r="E7274" t="s">
        <v>11</v>
      </c>
      <c r="G7274" t="s">
        <v>234</v>
      </c>
      <c r="H7274" t="s">
        <v>14</v>
      </c>
    </row>
    <row r="7275" spans="1:8" hidden="1" x14ac:dyDescent="0.25">
      <c r="A7275" t="s">
        <v>10023</v>
      </c>
      <c r="B7275" s="1" t="str">
        <f>HYPERLINK("https://asmlis.vasa.lt/Dashboard/Served?ServiceDateFrom=2025-11-24&amp;ServiceDateTo=2025-11-24&amp;DumpsterInvNr=13-P-109423", "13-P-109423")</f>
        <v>13-P-109423</v>
      </c>
      <c r="C7275">
        <v>1.1000000000000001</v>
      </c>
      <c r="D7275" t="s">
        <v>10024</v>
      </c>
      <c r="E7275" t="s">
        <v>11</v>
      </c>
      <c r="G7275" t="s">
        <v>1917</v>
      </c>
      <c r="H7275" t="s">
        <v>432</v>
      </c>
    </row>
    <row r="7276" spans="1:8" hidden="1" x14ac:dyDescent="0.25">
      <c r="A7276" t="s">
        <v>10025</v>
      </c>
      <c r="B7276" s="1" t="str">
        <f>HYPERLINK("https://asmlis.vasa.lt/Dashboard/Served?ServiceDateFrom=2025-11-24&amp;ServiceDateTo=2025-11-24&amp;DumpsterInvNr=13-L-106679", "13-L-106679")</f>
        <v>13-L-106679</v>
      </c>
      <c r="C7276">
        <v>1.1000000000000001</v>
      </c>
      <c r="D7276" t="s">
        <v>10008</v>
      </c>
      <c r="E7276" t="s">
        <v>11</v>
      </c>
      <c r="G7276" t="s">
        <v>1912</v>
      </c>
      <c r="H7276" t="s">
        <v>432</v>
      </c>
    </row>
    <row r="7277" spans="1:8" hidden="1" x14ac:dyDescent="0.25">
      <c r="A7277" t="s">
        <v>10027</v>
      </c>
      <c r="B7277" s="1" t="str">
        <f>HYPERLINK("https://asmlis.vasa.lt/Dashboard/Served?ServiceDateFrom=2025-11-24&amp;ServiceDateTo=2025-11-24&amp;DumpsterInvNr=13-P-210572", "13-P-210572")</f>
        <v>13-P-210572</v>
      </c>
      <c r="C7277">
        <v>0.24</v>
      </c>
      <c r="D7277" t="s">
        <v>10028</v>
      </c>
      <c r="E7277" t="s">
        <v>11</v>
      </c>
      <c r="G7277" t="s">
        <v>234</v>
      </c>
      <c r="H7277" t="s">
        <v>14</v>
      </c>
    </row>
    <row r="7278" spans="1:8" hidden="1" x14ac:dyDescent="0.25">
      <c r="A7278" t="s">
        <v>10029</v>
      </c>
      <c r="B7278" s="1" t="str">
        <f>HYPERLINK("https://asmlis.vasa.lt/Dashboard/Served?ServiceDateFrom=2025-11-24&amp;ServiceDateTo=2025-11-24&amp;DumpsterInvNr=13-M-202381", "13-M-202381")</f>
        <v>13-M-202381</v>
      </c>
      <c r="C7278">
        <v>0.12</v>
      </c>
      <c r="D7278" t="s">
        <v>10030</v>
      </c>
      <c r="E7278" t="s">
        <v>11</v>
      </c>
      <c r="G7278" t="s">
        <v>4876</v>
      </c>
      <c r="H7278" t="s">
        <v>938</v>
      </c>
    </row>
    <row r="7279" spans="1:8" hidden="1" x14ac:dyDescent="0.25">
      <c r="A7279" t="s">
        <v>10031</v>
      </c>
      <c r="B7279" s="1" t="str">
        <f>HYPERLINK("https://asmlis.vasa.lt/Dashboard/Served?ServiceDateFrom=2025-11-24&amp;ServiceDateTo=2025-11-24&amp;DumpsterInvNr=13-L-208321", "13-L-208321")</f>
        <v>13-L-208321</v>
      </c>
      <c r="C7279">
        <v>0.24</v>
      </c>
      <c r="D7279" t="s">
        <v>7065</v>
      </c>
      <c r="E7279" t="s">
        <v>11</v>
      </c>
      <c r="G7279" t="s">
        <v>936</v>
      </c>
      <c r="H7279" t="s">
        <v>938</v>
      </c>
    </row>
    <row r="7280" spans="1:8" hidden="1" x14ac:dyDescent="0.25">
      <c r="A7280" t="s">
        <v>3679</v>
      </c>
      <c r="B7280" s="1" t="str">
        <f>HYPERLINK("https://asmlis.vasa.lt/Dashboard/Served?ServiceDateFrom=2025-11-24&amp;ServiceDateTo=2025-11-24&amp;DumpsterInvNr=13-L-225256", "13-L-225256")</f>
        <v>13-L-225256</v>
      </c>
      <c r="C7280">
        <v>0.24</v>
      </c>
      <c r="D7280" t="s">
        <v>7096</v>
      </c>
      <c r="E7280" t="s">
        <v>11</v>
      </c>
      <c r="F7280" t="s">
        <v>1209</v>
      </c>
      <c r="G7280" t="s">
        <v>936</v>
      </c>
      <c r="H7280" t="s">
        <v>938</v>
      </c>
    </row>
    <row r="7281" spans="1:8" hidden="1" x14ac:dyDescent="0.25">
      <c r="A7281" t="s">
        <v>10033</v>
      </c>
      <c r="B7281" s="1" t="str">
        <f>HYPERLINK("https://asmlis.vasa.lt/Dashboard/Served?ServiceDateFrom=2025-11-24&amp;ServiceDateTo=2025-11-24&amp;DumpsterInvNr=13-P-205193", "13-P-205193")</f>
        <v>13-P-205193</v>
      </c>
      <c r="C7281">
        <v>0.24</v>
      </c>
      <c r="D7281" t="s">
        <v>10034</v>
      </c>
      <c r="E7281" t="s">
        <v>11</v>
      </c>
      <c r="G7281" t="s">
        <v>234</v>
      </c>
      <c r="H7281" t="s">
        <v>14</v>
      </c>
    </row>
    <row r="7282" spans="1:8" hidden="1" x14ac:dyDescent="0.25">
      <c r="A7282" t="s">
        <v>4109</v>
      </c>
      <c r="B7282" s="1" t="str">
        <f>HYPERLINK("https://asmlis.vasa.lt/Dashboard/Served?ServiceDateFrom=2025-11-24&amp;ServiceDateTo=2025-11-24&amp;DumpsterInvNr=13-P-416271", "13-P-416271")</f>
        <v>13-P-416271</v>
      </c>
      <c r="C7282">
        <v>0.24</v>
      </c>
      <c r="D7282" t="s">
        <v>10035</v>
      </c>
      <c r="E7282" t="s">
        <v>11</v>
      </c>
      <c r="G7282" t="s">
        <v>264</v>
      </c>
      <c r="H7282" t="s">
        <v>14</v>
      </c>
    </row>
    <row r="7283" spans="1:8" hidden="1" x14ac:dyDescent="0.25">
      <c r="A7283" t="s">
        <v>4866</v>
      </c>
      <c r="B7283" s="1" t="str">
        <f>HYPERLINK("https://asmlis.vasa.lt/Dashboard/Served?ServiceDateFrom=2025-11-24&amp;ServiceDateTo=2025-11-24&amp;DumpsterInvNr=13-P-109402", "13-P-109402")</f>
        <v>13-P-109402</v>
      </c>
      <c r="C7283">
        <v>1.1000000000000001</v>
      </c>
      <c r="D7283" t="s">
        <v>10024</v>
      </c>
      <c r="E7283" t="s">
        <v>11</v>
      </c>
      <c r="G7283" t="s">
        <v>1917</v>
      </c>
      <c r="H7283" t="s">
        <v>432</v>
      </c>
    </row>
    <row r="7284" spans="1:8" hidden="1" x14ac:dyDescent="0.25">
      <c r="A7284" t="s">
        <v>9495</v>
      </c>
      <c r="B7284" s="1" t="str">
        <f>HYPERLINK("https://asmlis.vasa.lt/Dashboard/Served?ServiceDateFrom=2025-11-24&amp;ServiceDateTo=2025-11-24&amp;DumpsterInvNr=13-P-415919", "13-P-415919")</f>
        <v>13-P-415919</v>
      </c>
      <c r="C7284">
        <v>0.24</v>
      </c>
      <c r="D7284" t="s">
        <v>10036</v>
      </c>
      <c r="E7284" t="s">
        <v>11</v>
      </c>
      <c r="G7284" t="s">
        <v>264</v>
      </c>
      <c r="H7284" t="s">
        <v>14</v>
      </c>
    </row>
    <row r="7285" spans="1:8" hidden="1" x14ac:dyDescent="0.25">
      <c r="A7285" t="s">
        <v>5250</v>
      </c>
      <c r="B7285" s="1" t="str">
        <f>HYPERLINK("https://asmlis.vasa.lt/Dashboard/Served?ServiceDateFrom=2025-11-24&amp;ServiceDateTo=2025-11-24&amp;DumpsterInvNr=13-L-106680", "13-L-106680")</f>
        <v>13-L-106680</v>
      </c>
      <c r="C7285">
        <v>1.1000000000000001</v>
      </c>
      <c r="D7285" t="s">
        <v>10008</v>
      </c>
      <c r="E7285" t="s">
        <v>11</v>
      </c>
      <c r="G7285" t="s">
        <v>1912</v>
      </c>
      <c r="H7285" t="s">
        <v>432</v>
      </c>
    </row>
    <row r="7286" spans="1:8" hidden="1" x14ac:dyDescent="0.25">
      <c r="A7286" t="s">
        <v>5883</v>
      </c>
      <c r="B7286" s="1" t="str">
        <f>HYPERLINK("https://asmlis.vasa.lt/Dashboard/Served?ServiceDateFrom=2025-11-24&amp;ServiceDateTo=2025-11-24&amp;DumpsterInvNr=13-L-305474", "13-L-305474")</f>
        <v>13-L-305474</v>
      </c>
      <c r="C7286">
        <v>0.77</v>
      </c>
      <c r="D7286" t="s">
        <v>5726</v>
      </c>
      <c r="E7286" t="s">
        <v>11</v>
      </c>
      <c r="G7286" t="s">
        <v>9</v>
      </c>
      <c r="H7286" t="s">
        <v>14</v>
      </c>
    </row>
    <row r="7287" spans="1:8" hidden="1" x14ac:dyDescent="0.25">
      <c r="A7287" t="s">
        <v>9699</v>
      </c>
      <c r="B7287" s="1" t="str">
        <f>HYPERLINK("https://asmlis.vasa.lt/Dashboard/Served?ServiceDateFrom=2025-11-24&amp;ServiceDateTo=2025-11-24&amp;DumpsterInvNr=13-L-425667", "13-L-425667")</f>
        <v>13-L-425667</v>
      </c>
      <c r="C7287">
        <v>0.24</v>
      </c>
      <c r="D7287" t="s">
        <v>5160</v>
      </c>
      <c r="E7287" t="s">
        <v>11</v>
      </c>
      <c r="G7287" t="s">
        <v>74</v>
      </c>
      <c r="H7287" t="s">
        <v>14</v>
      </c>
    </row>
    <row r="7288" spans="1:8" hidden="1" x14ac:dyDescent="0.25">
      <c r="A7288" t="s">
        <v>7761</v>
      </c>
      <c r="B7288" s="1" t="str">
        <f>HYPERLINK("https://asmlis.vasa.lt/Dashboard/Served?ServiceDateFrom=2025-11-24&amp;ServiceDateTo=2025-11-24&amp;DumpsterInvNr=13-P-416808", "13-P-416808")</f>
        <v>13-P-416808</v>
      </c>
      <c r="C7288">
        <v>2.5</v>
      </c>
      <c r="D7288" t="s">
        <v>4425</v>
      </c>
      <c r="E7288" t="s">
        <v>11</v>
      </c>
      <c r="F7288" t="s">
        <v>13</v>
      </c>
      <c r="G7288" t="s">
        <v>264</v>
      </c>
      <c r="H7288" t="s">
        <v>14</v>
      </c>
    </row>
    <row r="7289" spans="1:8" hidden="1" x14ac:dyDescent="0.25">
      <c r="A7289" t="s">
        <v>7761</v>
      </c>
      <c r="B7289" s="1" t="str">
        <f>HYPERLINK("https://asmlis.vasa.lt/Dashboard/Served?ServiceDateFrom=2025-11-24&amp;ServiceDateTo=2025-11-24&amp;DumpsterInvNr=13-P-102355", "13-P-102355")</f>
        <v>13-P-102355</v>
      </c>
      <c r="C7289">
        <v>5</v>
      </c>
      <c r="D7289" t="s">
        <v>4417</v>
      </c>
      <c r="E7289" t="s">
        <v>11</v>
      </c>
      <c r="F7289" t="s">
        <v>13</v>
      </c>
      <c r="G7289" t="s">
        <v>1917</v>
      </c>
      <c r="H7289" t="s">
        <v>432</v>
      </c>
    </row>
    <row r="7290" spans="1:8" hidden="1" x14ac:dyDescent="0.25">
      <c r="A7290" t="s">
        <v>8020</v>
      </c>
      <c r="B7290" s="1" t="str">
        <f>HYPERLINK("https://asmlis.vasa.lt/Dashboard/Served?ServiceDateFrom=2025-11-24&amp;ServiceDateTo=2025-11-24&amp;DumpsterInvNr=13-L-223389", "13-L-223389")</f>
        <v>13-L-223389</v>
      </c>
      <c r="C7290">
        <v>1.1000000000000001</v>
      </c>
      <c r="D7290" t="s">
        <v>10038</v>
      </c>
      <c r="E7290" t="s">
        <v>11</v>
      </c>
      <c r="G7290" t="s">
        <v>936</v>
      </c>
      <c r="H7290" t="s">
        <v>938</v>
      </c>
    </row>
    <row r="7291" spans="1:8" hidden="1" x14ac:dyDescent="0.25">
      <c r="A7291" t="s">
        <v>10039</v>
      </c>
      <c r="B7291" s="1" t="str">
        <f>HYPERLINK("https://asmlis.vasa.lt/Dashboard/Served?ServiceDateFrom=2025-11-24&amp;ServiceDateTo=2025-11-24&amp;DumpsterInvNr=13-L-225092", "13-L-225092")</f>
        <v>13-L-225092</v>
      </c>
      <c r="C7291">
        <v>1.1000000000000001</v>
      </c>
      <c r="D7291" t="s">
        <v>10040</v>
      </c>
      <c r="E7291" t="s">
        <v>11</v>
      </c>
      <c r="G7291" t="s">
        <v>936</v>
      </c>
      <c r="H7291" t="s">
        <v>938</v>
      </c>
    </row>
    <row r="7292" spans="1:8" hidden="1" x14ac:dyDescent="0.25">
      <c r="A7292" t="s">
        <v>10039</v>
      </c>
      <c r="B7292" s="1" t="str">
        <f>HYPERLINK("https://asmlis.vasa.lt/Dashboard/Served?ServiceDateFrom=2025-11-24&amp;ServiceDateTo=2025-11-24&amp;DumpsterInvNr=13-P-415431", "13-P-415431")</f>
        <v>13-P-415431</v>
      </c>
      <c r="C7292">
        <v>2.5</v>
      </c>
      <c r="D7292" t="s">
        <v>4425</v>
      </c>
      <c r="E7292" t="s">
        <v>11</v>
      </c>
      <c r="F7292" t="s">
        <v>13</v>
      </c>
      <c r="G7292" t="s">
        <v>264</v>
      </c>
      <c r="H7292" t="s">
        <v>14</v>
      </c>
    </row>
    <row r="7293" spans="1:8" hidden="1" x14ac:dyDescent="0.25">
      <c r="A7293" t="s">
        <v>10039</v>
      </c>
      <c r="B7293" s="1" t="str">
        <f>HYPERLINK("https://asmlis.vasa.lt/Dashboard/Served?ServiceDateFrom=2025-11-24&amp;ServiceDateTo=2025-11-24&amp;DumpsterInvNr=13-L-111482", "13-L-111482")</f>
        <v>13-L-111482</v>
      </c>
      <c r="C7293">
        <v>5</v>
      </c>
      <c r="D7293" t="s">
        <v>10041</v>
      </c>
      <c r="E7293" t="s">
        <v>12</v>
      </c>
      <c r="F7293" t="s">
        <v>10042</v>
      </c>
      <c r="H7293" t="s">
        <v>432</v>
      </c>
    </row>
    <row r="7294" spans="1:8" hidden="1" x14ac:dyDescent="0.25">
      <c r="A7294" t="s">
        <v>10043</v>
      </c>
      <c r="B7294" s="1" t="str">
        <f>HYPERLINK("https://asmlis.vasa.lt/Dashboard/Served?ServiceDateFrom=2025-11-24&amp;ServiceDateTo=2025-11-24&amp;DumpsterInvNr=13-P-415487", "13-P-415487")</f>
        <v>13-P-415487</v>
      </c>
      <c r="C7294">
        <v>2.5</v>
      </c>
      <c r="D7294" t="s">
        <v>4425</v>
      </c>
      <c r="E7294" t="s">
        <v>11</v>
      </c>
      <c r="F7294" t="s">
        <v>13</v>
      </c>
      <c r="G7294" t="s">
        <v>264</v>
      </c>
      <c r="H7294" t="s">
        <v>14</v>
      </c>
    </row>
    <row r="7295" spans="1:8" hidden="1" x14ac:dyDescent="0.25">
      <c r="A7295" t="s">
        <v>8089</v>
      </c>
      <c r="B7295" s="1" t="str">
        <f>HYPERLINK("https://asmlis.vasa.lt/Dashboard/Served?ServiceDateFrom=2025-11-24&amp;ServiceDateTo=2025-11-24&amp;DumpsterInvNr=13-L-138842", "13-L-138842")</f>
        <v>13-L-138842</v>
      </c>
      <c r="C7295">
        <v>5</v>
      </c>
      <c r="D7295" t="s">
        <v>10044</v>
      </c>
      <c r="E7295" t="s">
        <v>11</v>
      </c>
      <c r="F7295" t="s">
        <v>13</v>
      </c>
      <c r="G7295" t="s">
        <v>430</v>
      </c>
      <c r="H7295" t="s">
        <v>432</v>
      </c>
    </row>
    <row r="7296" spans="1:8" hidden="1" x14ac:dyDescent="0.25">
      <c r="A7296" t="s">
        <v>8117</v>
      </c>
      <c r="B7296" s="1" t="str">
        <f>HYPERLINK("https://asmlis.vasa.lt/Dashboard/Served?ServiceDateFrom=2025-11-24&amp;ServiceDateTo=2025-11-24&amp;DumpsterInvNr=13-P-109424", "13-P-109424")</f>
        <v>13-P-109424</v>
      </c>
      <c r="C7296">
        <v>1.1000000000000001</v>
      </c>
      <c r="D7296" t="s">
        <v>10024</v>
      </c>
      <c r="E7296" t="s">
        <v>11</v>
      </c>
      <c r="G7296" t="s">
        <v>1917</v>
      </c>
      <c r="H7296" t="s">
        <v>432</v>
      </c>
    </row>
    <row r="7297" spans="1:8" hidden="1" x14ac:dyDescent="0.25">
      <c r="A7297" t="s">
        <v>8903</v>
      </c>
      <c r="B7297" s="1" t="str">
        <f>HYPERLINK("https://asmlis.vasa.lt/Dashboard/Served?ServiceDateFrom=2025-11-24&amp;ServiceDateTo=2025-11-24&amp;DumpsterInvNr=13-L-129568", "13-L-129568")</f>
        <v>13-L-129568</v>
      </c>
      <c r="C7297">
        <v>0.77</v>
      </c>
      <c r="D7297" t="s">
        <v>10045</v>
      </c>
      <c r="E7297" t="s">
        <v>11</v>
      </c>
      <c r="G7297" t="s">
        <v>1912</v>
      </c>
      <c r="H7297" t="s">
        <v>432</v>
      </c>
    </row>
    <row r="7298" spans="1:8" hidden="1" x14ac:dyDescent="0.25">
      <c r="A7298" t="s">
        <v>8903</v>
      </c>
      <c r="B7298" s="1" t="str">
        <f>HYPERLINK("https://asmlis.vasa.lt/Dashboard/Served?ServiceDateFrom=2025-11-24&amp;ServiceDateTo=2025-11-24&amp;DumpsterInvNr=13-M-204578", "13-M-204578")</f>
        <v>13-M-204578</v>
      </c>
      <c r="C7298">
        <v>0.12</v>
      </c>
      <c r="D7298" t="s">
        <v>10046</v>
      </c>
      <c r="E7298" t="s">
        <v>11</v>
      </c>
      <c r="G7298" t="s">
        <v>4876</v>
      </c>
      <c r="H7298" t="s">
        <v>938</v>
      </c>
    </row>
    <row r="7299" spans="1:8" hidden="1" x14ac:dyDescent="0.25">
      <c r="A7299" t="s">
        <v>9041</v>
      </c>
      <c r="B7299" s="1" t="str">
        <f>HYPERLINK("https://asmlis.vasa.lt/Dashboard/Served?ServiceDateFrom=2025-11-24&amp;ServiceDateTo=2025-11-24&amp;DumpsterInvNr=13-M-204893", "13-M-204893")</f>
        <v>13-M-204893</v>
      </c>
      <c r="C7299">
        <v>0.12</v>
      </c>
      <c r="D7299" t="s">
        <v>10047</v>
      </c>
      <c r="E7299" t="s">
        <v>11</v>
      </c>
      <c r="F7299" t="s">
        <v>1209</v>
      </c>
      <c r="G7299" t="s">
        <v>4876</v>
      </c>
      <c r="H7299" t="s">
        <v>938</v>
      </c>
    </row>
    <row r="7300" spans="1:8" hidden="1" x14ac:dyDescent="0.25">
      <c r="A7300" t="s">
        <v>9244</v>
      </c>
      <c r="B7300" s="1" t="str">
        <f>HYPERLINK("https://asmlis.vasa.lt/Dashboard/Served?ServiceDateFrom=2025-11-24&amp;ServiceDateTo=2025-11-24&amp;DumpsterInvNr=13-L-220325", "13-L-220325")</f>
        <v>13-L-220325</v>
      </c>
      <c r="C7300">
        <v>0.24</v>
      </c>
      <c r="D7300" t="s">
        <v>7029</v>
      </c>
      <c r="E7300" t="s">
        <v>11</v>
      </c>
      <c r="G7300" t="s">
        <v>936</v>
      </c>
      <c r="H7300" t="s">
        <v>938</v>
      </c>
    </row>
    <row r="7301" spans="1:8" hidden="1" x14ac:dyDescent="0.25">
      <c r="A7301" t="s">
        <v>10048</v>
      </c>
      <c r="B7301" s="1" t="str">
        <f>HYPERLINK("https://asmlis.vasa.lt/Dashboard/Served?ServiceDateFrom=2025-11-24&amp;ServiceDateTo=2025-11-24&amp;DumpsterInvNr=13-L-416721", "13-L-416721")</f>
        <v>13-L-416721</v>
      </c>
      <c r="C7301">
        <v>1.1000000000000001</v>
      </c>
      <c r="D7301" t="s">
        <v>10049</v>
      </c>
      <c r="E7301" t="s">
        <v>11</v>
      </c>
      <c r="F7301" t="s">
        <v>13</v>
      </c>
      <c r="G7301" t="s">
        <v>74</v>
      </c>
      <c r="H7301" t="s">
        <v>14</v>
      </c>
    </row>
    <row r="7302" spans="1:8" hidden="1" x14ac:dyDescent="0.25">
      <c r="A7302" t="s">
        <v>10050</v>
      </c>
      <c r="B7302" s="1" t="str">
        <f>HYPERLINK("https://asmlis.vasa.lt/Dashboard/Served?ServiceDateFrom=2025-11-24&amp;ServiceDateTo=2025-11-24&amp;DumpsterInvNr=13-M-206196", "13-M-206196")</f>
        <v>13-M-206196</v>
      </c>
      <c r="C7302">
        <v>0.12</v>
      </c>
      <c r="D7302" t="s">
        <v>10051</v>
      </c>
      <c r="E7302" t="s">
        <v>11</v>
      </c>
      <c r="F7302" t="s">
        <v>1209</v>
      </c>
      <c r="G7302" t="s">
        <v>4876</v>
      </c>
      <c r="H7302" t="s">
        <v>938</v>
      </c>
    </row>
    <row r="7303" spans="1:8" hidden="1" x14ac:dyDescent="0.25">
      <c r="A7303" t="s">
        <v>10052</v>
      </c>
      <c r="B7303" s="1" t="str">
        <f>HYPERLINK("https://asmlis.vasa.lt/Dashboard/Served?ServiceDateFrom=2025-11-24&amp;ServiceDateTo=2025-11-24&amp;DumpsterInvNr=13-L-131968", "13-L-131968")</f>
        <v>13-L-131968</v>
      </c>
      <c r="C7303">
        <v>1.1000000000000001</v>
      </c>
      <c r="D7303" t="s">
        <v>10053</v>
      </c>
      <c r="E7303" t="s">
        <v>11</v>
      </c>
      <c r="G7303" t="s">
        <v>430</v>
      </c>
      <c r="H7303" t="s">
        <v>432</v>
      </c>
    </row>
    <row r="7304" spans="1:8" hidden="1" x14ac:dyDescent="0.25">
      <c r="A7304" t="s">
        <v>10054</v>
      </c>
      <c r="B7304" s="1" t="str">
        <f>HYPERLINK("https://asmlis.vasa.lt/Dashboard/Served?ServiceDateFrom=2025-11-24&amp;ServiceDateTo=2025-11-24&amp;DumpsterInvNr=13-L-213839", "13-L-213839")</f>
        <v>13-L-213839</v>
      </c>
      <c r="C7304">
        <v>0.24</v>
      </c>
      <c r="D7304" t="s">
        <v>7022</v>
      </c>
      <c r="E7304" t="s">
        <v>11</v>
      </c>
      <c r="G7304" t="s">
        <v>936</v>
      </c>
      <c r="H7304" t="s">
        <v>938</v>
      </c>
    </row>
    <row r="7305" spans="1:8" hidden="1" x14ac:dyDescent="0.25">
      <c r="A7305" t="s">
        <v>10055</v>
      </c>
      <c r="B7305" s="1" t="str">
        <f>HYPERLINK("https://asmlis.vasa.lt/Dashboard/Served?ServiceDateFrom=2025-11-24&amp;ServiceDateTo=2025-11-24&amp;DumpsterInvNr=13-L-227610", "13-L-227610")</f>
        <v>13-L-227610</v>
      </c>
      <c r="C7305">
        <v>1.1000000000000001</v>
      </c>
      <c r="D7305" t="s">
        <v>10040</v>
      </c>
      <c r="E7305" t="s">
        <v>11</v>
      </c>
      <c r="G7305" t="s">
        <v>936</v>
      </c>
      <c r="H7305" t="s">
        <v>938</v>
      </c>
    </row>
    <row r="7306" spans="1:8" hidden="1" x14ac:dyDescent="0.25">
      <c r="A7306" t="s">
        <v>10055</v>
      </c>
      <c r="B7306" s="1" t="str">
        <f>HYPERLINK("https://asmlis.vasa.lt/Dashboard/Served?ServiceDateFrom=2025-11-24&amp;ServiceDateTo=2025-11-24&amp;DumpsterInvNr=13-P-411639", "13-P-411639")</f>
        <v>13-P-411639</v>
      </c>
      <c r="C7306">
        <v>0.24</v>
      </c>
      <c r="D7306" t="s">
        <v>10056</v>
      </c>
      <c r="E7306" t="s">
        <v>11</v>
      </c>
      <c r="G7306" t="s">
        <v>264</v>
      </c>
      <c r="H7306" t="s">
        <v>14</v>
      </c>
    </row>
    <row r="7307" spans="1:8" hidden="1" x14ac:dyDescent="0.25">
      <c r="A7307" t="s">
        <v>10057</v>
      </c>
      <c r="B7307" s="1" t="str">
        <f>HYPERLINK("https://asmlis.vasa.lt/Dashboard/Served?ServiceDateFrom=2025-11-24&amp;ServiceDateTo=2025-11-24&amp;DumpsterInvNr=13-P-109401", "13-P-109401")</f>
        <v>13-P-109401</v>
      </c>
      <c r="C7307">
        <v>1.1000000000000001</v>
      </c>
      <c r="D7307" t="s">
        <v>10024</v>
      </c>
      <c r="E7307" t="s">
        <v>11</v>
      </c>
      <c r="G7307" t="s">
        <v>1917</v>
      </c>
      <c r="H7307" t="s">
        <v>432</v>
      </c>
    </row>
    <row r="7308" spans="1:8" hidden="1" x14ac:dyDescent="0.25">
      <c r="A7308" t="s">
        <v>10058</v>
      </c>
      <c r="B7308" s="1" t="str">
        <f>HYPERLINK("https://asmlis.vasa.lt/Dashboard/Served?ServiceDateFrom=2025-11-24&amp;ServiceDateTo=2025-11-24&amp;DumpsterInvNr=13-M-204865", "13-M-204865")</f>
        <v>13-M-204865</v>
      </c>
      <c r="C7308">
        <v>0.12</v>
      </c>
      <c r="D7308" t="s">
        <v>10059</v>
      </c>
      <c r="E7308" t="s">
        <v>11</v>
      </c>
      <c r="F7308" t="s">
        <v>1209</v>
      </c>
      <c r="G7308" t="s">
        <v>4876</v>
      </c>
      <c r="H7308" t="s">
        <v>938</v>
      </c>
    </row>
    <row r="7309" spans="1:8" hidden="1" x14ac:dyDescent="0.25">
      <c r="A7309" t="s">
        <v>10060</v>
      </c>
      <c r="B7309" s="1" t="str">
        <f>HYPERLINK("https://asmlis.vasa.lt/Dashboard/Served?ServiceDateFrom=2025-11-24&amp;ServiceDateTo=2025-11-24&amp;DumpsterInvNr=13-P-413833", "13-P-413833")</f>
        <v>13-P-413833</v>
      </c>
      <c r="C7309">
        <v>5</v>
      </c>
      <c r="D7309" t="s">
        <v>10061</v>
      </c>
      <c r="E7309" t="s">
        <v>11</v>
      </c>
      <c r="F7309" t="s">
        <v>13</v>
      </c>
      <c r="G7309" t="s">
        <v>264</v>
      </c>
      <c r="H7309" t="s">
        <v>14</v>
      </c>
    </row>
    <row r="7310" spans="1:8" hidden="1" x14ac:dyDescent="0.25">
      <c r="A7310" t="s">
        <v>10062</v>
      </c>
      <c r="B7310" s="1" t="str">
        <f>HYPERLINK("https://asmlis.vasa.lt/Dashboard/Served?ServiceDateFrom=2025-11-24&amp;ServiceDateTo=2025-11-24&amp;DumpsterInvNr=13-L-424675", "13-L-424675")</f>
        <v>13-L-424675</v>
      </c>
      <c r="C7310">
        <v>0.24</v>
      </c>
      <c r="D7310" t="s">
        <v>5173</v>
      </c>
      <c r="E7310" t="s">
        <v>11</v>
      </c>
      <c r="G7310" t="s">
        <v>74</v>
      </c>
      <c r="H7310" t="s">
        <v>14</v>
      </c>
    </row>
    <row r="7311" spans="1:8" hidden="1" x14ac:dyDescent="0.25">
      <c r="A7311" t="s">
        <v>10062</v>
      </c>
      <c r="B7311" s="1" t="str">
        <f>HYPERLINK("https://asmlis.vasa.lt/Dashboard/Served?ServiceDateFrom=2025-11-24&amp;ServiceDateTo=2025-11-24&amp;DumpsterInvNr=13-M-204383", "13-M-204383")</f>
        <v>13-M-204383</v>
      </c>
      <c r="C7311">
        <v>0.12</v>
      </c>
      <c r="D7311" t="s">
        <v>10063</v>
      </c>
      <c r="E7311" t="s">
        <v>11</v>
      </c>
      <c r="F7311" t="s">
        <v>1209</v>
      </c>
      <c r="G7311" t="s">
        <v>4876</v>
      </c>
      <c r="H7311" t="s">
        <v>938</v>
      </c>
    </row>
    <row r="7312" spans="1:8" hidden="1" x14ac:dyDescent="0.25">
      <c r="A7312" t="s">
        <v>10064</v>
      </c>
      <c r="B7312" s="1" t="str">
        <f>HYPERLINK("https://asmlis.vasa.lt/Dashboard/Served?ServiceDateFrom=2025-11-24&amp;ServiceDateTo=2025-11-24&amp;DumpsterInvNr=13-L-225090", "13-L-225090")</f>
        <v>13-L-225090</v>
      </c>
      <c r="C7312">
        <v>1.1000000000000001</v>
      </c>
      <c r="D7312" t="s">
        <v>10040</v>
      </c>
      <c r="E7312" t="s">
        <v>11</v>
      </c>
      <c r="G7312" t="s">
        <v>936</v>
      </c>
      <c r="H7312" t="s">
        <v>938</v>
      </c>
    </row>
    <row r="7313" spans="1:8" hidden="1" x14ac:dyDescent="0.25">
      <c r="A7313" t="s">
        <v>10065</v>
      </c>
      <c r="B7313" s="1" t="str">
        <f>HYPERLINK("https://asmlis.vasa.lt/Dashboard/Served?ServiceDateFrom=2025-11-24&amp;ServiceDateTo=2025-11-24&amp;DumpsterInvNr=13-P-412254", "13-P-412254")</f>
        <v>13-P-412254</v>
      </c>
      <c r="C7313">
        <v>0.24</v>
      </c>
      <c r="D7313" t="s">
        <v>10066</v>
      </c>
      <c r="E7313" t="s">
        <v>11</v>
      </c>
      <c r="G7313" t="s">
        <v>264</v>
      </c>
      <c r="H7313" t="s">
        <v>14</v>
      </c>
    </row>
    <row r="7314" spans="1:8" hidden="1" x14ac:dyDescent="0.25">
      <c r="A7314" t="s">
        <v>10067</v>
      </c>
      <c r="B7314" s="1" t="str">
        <f>HYPERLINK("https://asmlis.vasa.lt/Dashboard/Served?ServiceDateFrom=2025-11-24&amp;ServiceDateTo=2025-11-24&amp;DumpsterInvNr=13-P-212087", "13-P-212087")</f>
        <v>13-P-212087</v>
      </c>
      <c r="C7314">
        <v>1.1000000000000001</v>
      </c>
      <c r="D7314" t="s">
        <v>10068</v>
      </c>
      <c r="E7314" t="s">
        <v>11</v>
      </c>
      <c r="F7314" t="s">
        <v>13</v>
      </c>
      <c r="G7314" t="s">
        <v>234</v>
      </c>
      <c r="H7314" t="s">
        <v>14</v>
      </c>
    </row>
    <row r="7315" spans="1:8" hidden="1" x14ac:dyDescent="0.25">
      <c r="A7315" t="s">
        <v>10069</v>
      </c>
      <c r="B7315" s="1" t="str">
        <f>HYPERLINK("https://asmlis.vasa.lt/Dashboard/Served?ServiceDateFrom=2025-11-24&amp;ServiceDateTo=2025-11-24&amp;DumpsterInvNr=13-L-316700", "13-L-316700")</f>
        <v>13-L-316700</v>
      </c>
      <c r="C7315">
        <v>0.66</v>
      </c>
      <c r="D7315" t="s">
        <v>9711</v>
      </c>
      <c r="E7315" t="s">
        <v>11</v>
      </c>
      <c r="F7315" t="s">
        <v>13</v>
      </c>
      <c r="G7315" t="s">
        <v>9</v>
      </c>
      <c r="H7315" t="s">
        <v>14</v>
      </c>
    </row>
    <row r="7316" spans="1:8" hidden="1" x14ac:dyDescent="0.25">
      <c r="A7316" t="s">
        <v>10070</v>
      </c>
      <c r="B7316" s="1" t="str">
        <f>HYPERLINK("https://asmlis.vasa.lt/Dashboard/Served?ServiceDateFrom=2025-11-24&amp;ServiceDateTo=2025-11-24&amp;DumpsterInvNr=13-P-300801", "13-P-300801")</f>
        <v>13-P-300801</v>
      </c>
      <c r="C7316">
        <v>2.5</v>
      </c>
      <c r="D7316" t="s">
        <v>10071</v>
      </c>
      <c r="E7316" t="s">
        <v>11</v>
      </c>
      <c r="G7316" t="s">
        <v>412</v>
      </c>
      <c r="H7316" t="s">
        <v>14</v>
      </c>
    </row>
    <row r="7317" spans="1:8" hidden="1" x14ac:dyDescent="0.25">
      <c r="A7317" t="s">
        <v>10072</v>
      </c>
      <c r="B7317" s="1" t="str">
        <f>HYPERLINK("https://asmlis.vasa.lt/Dashboard/Served?ServiceDateFrom=2025-11-24&amp;ServiceDateTo=2025-11-24&amp;DumpsterInvNr=13-L-201496", "13-L-201496")</f>
        <v>13-L-201496</v>
      </c>
      <c r="C7317">
        <v>0.24</v>
      </c>
      <c r="D7317" t="s">
        <v>7000</v>
      </c>
      <c r="E7317" t="s">
        <v>11</v>
      </c>
      <c r="G7317" t="s">
        <v>936</v>
      </c>
      <c r="H7317" t="s">
        <v>938</v>
      </c>
    </row>
    <row r="7318" spans="1:8" hidden="1" x14ac:dyDescent="0.25">
      <c r="A7318" t="s">
        <v>10073</v>
      </c>
      <c r="B7318" s="1" t="str">
        <f>HYPERLINK("https://asmlis.vasa.lt/Dashboard/Served?ServiceDateFrom=2025-11-24&amp;ServiceDateTo=2025-11-24&amp;DumpsterInvNr=13-L-137723", "13-L-137723")</f>
        <v>13-L-137723</v>
      </c>
      <c r="C7318">
        <v>5</v>
      </c>
      <c r="D7318" t="s">
        <v>2843</v>
      </c>
      <c r="E7318" t="s">
        <v>11</v>
      </c>
      <c r="F7318" t="s">
        <v>13</v>
      </c>
      <c r="G7318" t="s">
        <v>1912</v>
      </c>
      <c r="H7318" t="s">
        <v>432</v>
      </c>
    </row>
    <row r="7319" spans="1:8" hidden="1" x14ac:dyDescent="0.25">
      <c r="A7319" t="s">
        <v>10073</v>
      </c>
      <c r="B7319" s="1" t="str">
        <f>HYPERLINK("https://asmlis.vasa.lt/Dashboard/Served?ServiceDateFrom=2025-11-24&amp;ServiceDateTo=2025-11-24&amp;DumpsterInvNr=13-L-316699", "13-L-316699")</f>
        <v>13-L-316699</v>
      </c>
      <c r="C7319">
        <v>0.66</v>
      </c>
      <c r="D7319" t="s">
        <v>9711</v>
      </c>
      <c r="E7319" t="s">
        <v>11</v>
      </c>
      <c r="F7319" t="s">
        <v>13</v>
      </c>
      <c r="G7319" t="s">
        <v>9</v>
      </c>
      <c r="H7319" t="s">
        <v>14</v>
      </c>
    </row>
    <row r="7320" spans="1:8" hidden="1" x14ac:dyDescent="0.25">
      <c r="A7320" t="s">
        <v>10074</v>
      </c>
      <c r="B7320" s="1" t="str">
        <f>HYPERLINK("https://asmlis.vasa.lt/Dashboard/Served?ServiceDateFrom=2025-11-24&amp;ServiceDateTo=2025-11-24&amp;DumpsterInvNr=13-P-504007", "13-P-504007")</f>
        <v>13-P-504007</v>
      </c>
      <c r="C7320">
        <v>1.1000000000000001</v>
      </c>
      <c r="D7320" t="s">
        <v>7920</v>
      </c>
      <c r="E7320" t="s">
        <v>11</v>
      </c>
      <c r="G7320" t="s">
        <v>2178</v>
      </c>
      <c r="H7320" t="s">
        <v>432</v>
      </c>
    </row>
    <row r="7321" spans="1:8" hidden="1" x14ac:dyDescent="0.25">
      <c r="A7321" t="s">
        <v>10075</v>
      </c>
      <c r="B7321" s="1" t="str">
        <f>HYPERLINK("https://asmlis.vasa.lt/Dashboard/Served?ServiceDateFrom=2025-11-24&amp;ServiceDateTo=2025-11-24&amp;DumpsterInvNr=13-L-130746", "13-L-130746")</f>
        <v>13-L-130746</v>
      </c>
      <c r="C7321">
        <v>0.12</v>
      </c>
      <c r="D7321" t="s">
        <v>10076</v>
      </c>
      <c r="E7321" t="s">
        <v>11</v>
      </c>
      <c r="G7321" t="s">
        <v>1912</v>
      </c>
      <c r="H7321" t="s">
        <v>432</v>
      </c>
    </row>
    <row r="7322" spans="1:8" hidden="1" x14ac:dyDescent="0.25">
      <c r="A7322" t="s">
        <v>10077</v>
      </c>
      <c r="B7322" s="1" t="str">
        <f>HYPERLINK("https://asmlis.vasa.lt/Dashboard/Served?ServiceDateFrom=2025-11-24&amp;ServiceDateTo=2025-11-24&amp;DumpsterInvNr=13-L-425993", "13-L-425993")</f>
        <v>13-L-425993</v>
      </c>
      <c r="C7322">
        <v>0.24</v>
      </c>
      <c r="D7322" t="s">
        <v>4949</v>
      </c>
      <c r="E7322" t="s">
        <v>11</v>
      </c>
      <c r="G7322" t="s">
        <v>74</v>
      </c>
      <c r="H7322" t="s">
        <v>14</v>
      </c>
    </row>
    <row r="7323" spans="1:8" hidden="1" x14ac:dyDescent="0.25">
      <c r="A7323" t="s">
        <v>10078</v>
      </c>
      <c r="B7323" s="1" t="str">
        <f>HYPERLINK("https://asmlis.vasa.lt/Dashboard/Served?ServiceDateFrom=2025-11-24&amp;ServiceDateTo=2025-11-24&amp;DumpsterInvNr=13-L-139001", "13-L-139001")</f>
        <v>13-L-139001</v>
      </c>
      <c r="C7323">
        <v>5</v>
      </c>
      <c r="D7323" t="s">
        <v>10079</v>
      </c>
      <c r="E7323" t="s">
        <v>11</v>
      </c>
      <c r="F7323" t="s">
        <v>13</v>
      </c>
      <c r="G7323" t="s">
        <v>430</v>
      </c>
      <c r="H7323" t="s">
        <v>432</v>
      </c>
    </row>
    <row r="7324" spans="1:8" hidden="1" x14ac:dyDescent="0.25">
      <c r="A7324" t="s">
        <v>10081</v>
      </c>
      <c r="B7324" s="1" t="str">
        <f>HYPERLINK("https://asmlis.vasa.lt/Dashboard/Served?ServiceDateFrom=2025-11-24&amp;ServiceDateTo=2025-11-24&amp;DumpsterInvNr=13-L-415273", "13-L-415273")</f>
        <v>13-L-415273</v>
      </c>
      <c r="C7324">
        <v>1.1000000000000001</v>
      </c>
      <c r="D7324" t="s">
        <v>10082</v>
      </c>
      <c r="E7324" t="s">
        <v>11</v>
      </c>
      <c r="G7324" t="s">
        <v>74</v>
      </c>
      <c r="H7324" t="s">
        <v>14</v>
      </c>
    </row>
    <row r="7325" spans="1:8" hidden="1" x14ac:dyDescent="0.25">
      <c r="A7325" t="s">
        <v>10083</v>
      </c>
      <c r="B7325" s="1" t="str">
        <f>HYPERLINK("https://asmlis.vasa.lt/Dashboard/Served?ServiceDateFrom=2025-11-24&amp;ServiceDateTo=2025-11-24&amp;DumpsterInvNr=13-L-227611", "13-L-227611")</f>
        <v>13-L-227611</v>
      </c>
      <c r="C7325">
        <v>1.1000000000000001</v>
      </c>
      <c r="D7325" t="s">
        <v>10040</v>
      </c>
      <c r="E7325" t="s">
        <v>11</v>
      </c>
      <c r="G7325" t="s">
        <v>936</v>
      </c>
      <c r="H7325" t="s">
        <v>938</v>
      </c>
    </row>
    <row r="7326" spans="1:8" hidden="1" x14ac:dyDescent="0.25">
      <c r="A7326" t="s">
        <v>10084</v>
      </c>
      <c r="B7326" s="1" t="str">
        <f>HYPERLINK("https://asmlis.vasa.lt/Dashboard/Served?ServiceDateFrom=2025-11-24&amp;ServiceDateTo=2025-11-24&amp;DumpsterInvNr=13-P-415976", "13-P-415976")</f>
        <v>13-P-415976</v>
      </c>
      <c r="C7326">
        <v>0.24</v>
      </c>
      <c r="D7326" t="s">
        <v>10086</v>
      </c>
      <c r="E7326" t="s">
        <v>11</v>
      </c>
      <c r="G7326" t="s">
        <v>264</v>
      </c>
      <c r="H7326" t="s">
        <v>14</v>
      </c>
    </row>
    <row r="7327" spans="1:8" hidden="1" x14ac:dyDescent="0.25">
      <c r="A7327" t="s">
        <v>10087</v>
      </c>
      <c r="B7327" s="1" t="str">
        <f>HYPERLINK("https://asmlis.vasa.lt/Dashboard/Served?ServiceDateFrom=2025-11-24&amp;ServiceDateTo=2025-11-24&amp;DumpsterInvNr=13-L-139002", "13-L-139002")</f>
        <v>13-L-139002</v>
      </c>
      <c r="C7327">
        <v>5</v>
      </c>
      <c r="D7327" t="s">
        <v>10088</v>
      </c>
      <c r="E7327" t="s">
        <v>11</v>
      </c>
      <c r="F7327" t="s">
        <v>13</v>
      </c>
      <c r="G7327" t="s">
        <v>430</v>
      </c>
      <c r="H7327" t="s">
        <v>432</v>
      </c>
    </row>
    <row r="7328" spans="1:8" hidden="1" x14ac:dyDescent="0.25">
      <c r="A7328" t="s">
        <v>10090</v>
      </c>
      <c r="B7328" s="1" t="str">
        <f>HYPERLINK("https://asmlis.vasa.lt/Dashboard/Served?ServiceDateFrom=2025-11-24&amp;ServiceDateTo=2025-11-24&amp;DumpsterInvNr=13-P-211703", "13-P-211703")</f>
        <v>13-P-211703</v>
      </c>
      <c r="C7328">
        <v>0.24</v>
      </c>
      <c r="D7328" t="s">
        <v>10091</v>
      </c>
      <c r="E7328" t="s">
        <v>11</v>
      </c>
      <c r="G7328" t="s">
        <v>234</v>
      </c>
      <c r="H7328" t="s">
        <v>14</v>
      </c>
    </row>
    <row r="7329" spans="1:8" hidden="1" x14ac:dyDescent="0.25">
      <c r="A7329" t="s">
        <v>10092</v>
      </c>
      <c r="B7329" s="1" t="str">
        <f>HYPERLINK("https://asmlis.vasa.lt/Dashboard/Served?ServiceDateFrom=2025-11-24&amp;ServiceDateTo=2025-11-24&amp;DumpsterInvNr=13-P-301761", "13-P-301761")</f>
        <v>13-P-301761</v>
      </c>
      <c r="C7329">
        <v>1.1000000000000001</v>
      </c>
      <c r="D7329" t="s">
        <v>10093</v>
      </c>
      <c r="E7329" t="s">
        <v>11</v>
      </c>
      <c r="G7329" t="s">
        <v>412</v>
      </c>
      <c r="H7329" t="s">
        <v>14</v>
      </c>
    </row>
    <row r="7330" spans="1:8" hidden="1" x14ac:dyDescent="0.25">
      <c r="A7330" t="s">
        <v>10094</v>
      </c>
      <c r="B7330" s="1" t="str">
        <f>HYPERLINK("https://asmlis.vasa.lt/Dashboard/Served?ServiceDateFrom=2025-11-24&amp;ServiceDateTo=2025-11-24&amp;DumpsterInvNr=13-L-314587", "13-L-314587")</f>
        <v>13-L-314587</v>
      </c>
      <c r="C7330">
        <v>0.24</v>
      </c>
      <c r="D7330" t="s">
        <v>10095</v>
      </c>
      <c r="E7330" t="s">
        <v>11</v>
      </c>
      <c r="G7330" t="s">
        <v>9</v>
      </c>
      <c r="H7330" t="s">
        <v>14</v>
      </c>
    </row>
    <row r="7331" spans="1:8" hidden="1" x14ac:dyDescent="0.25">
      <c r="A7331" t="s">
        <v>10094</v>
      </c>
      <c r="B7331" s="1" t="str">
        <f>HYPERLINK("https://asmlis.vasa.lt/Dashboard/Served?ServiceDateFrom=2025-11-24&amp;ServiceDateTo=2025-11-24&amp;DumpsterInvNr=13-L-314586", "13-L-314586")</f>
        <v>13-L-314586</v>
      </c>
      <c r="C7331">
        <v>0.24</v>
      </c>
      <c r="D7331" t="s">
        <v>10095</v>
      </c>
      <c r="E7331" t="s">
        <v>11</v>
      </c>
      <c r="G7331" t="s">
        <v>9</v>
      </c>
      <c r="H7331" t="s">
        <v>14</v>
      </c>
    </row>
    <row r="7332" spans="1:8" hidden="1" x14ac:dyDescent="0.25">
      <c r="A7332" t="s">
        <v>10001</v>
      </c>
      <c r="B7332" s="1" t="str">
        <f>HYPERLINK("https://asmlis.vasa.lt/Dashboard/Served?ServiceDateFrom=2025-11-24&amp;ServiceDateTo=2025-11-24&amp;DumpsterInvNr=13-L-104948", "13-L-104948")</f>
        <v>13-L-104948</v>
      </c>
      <c r="C7332">
        <v>1.1000000000000001</v>
      </c>
      <c r="D7332" t="s">
        <v>10053</v>
      </c>
      <c r="E7332" t="s">
        <v>11</v>
      </c>
      <c r="G7332" t="s">
        <v>430</v>
      </c>
      <c r="H7332" t="s">
        <v>432</v>
      </c>
    </row>
    <row r="7333" spans="1:8" hidden="1" x14ac:dyDescent="0.25">
      <c r="A7333" t="s">
        <v>10002</v>
      </c>
      <c r="B7333" s="1" t="str">
        <f>HYPERLINK("https://asmlis.vasa.lt/Dashboard/Served?ServiceDateFrom=2025-11-24&amp;ServiceDateTo=2025-11-24&amp;DumpsterInvNr=13-L-137157", "13-L-137157")</f>
        <v>13-L-137157</v>
      </c>
      <c r="C7333">
        <v>0.24</v>
      </c>
      <c r="D7333" t="s">
        <v>10096</v>
      </c>
      <c r="E7333" t="s">
        <v>11</v>
      </c>
      <c r="G7333" t="s">
        <v>1912</v>
      </c>
      <c r="H7333" t="s">
        <v>432</v>
      </c>
    </row>
    <row r="7334" spans="1:8" hidden="1" x14ac:dyDescent="0.25">
      <c r="A7334" t="s">
        <v>10002</v>
      </c>
      <c r="B7334" s="1" t="str">
        <f>HYPERLINK("https://asmlis.vasa.lt/Dashboard/Served?ServiceDateFrom=2025-11-24&amp;ServiceDateTo=2025-11-24&amp;DumpsterInvNr=13-P-112138", "13-P-112138")</f>
        <v>13-P-112138</v>
      </c>
      <c r="C7334">
        <v>0.24</v>
      </c>
      <c r="D7334" t="s">
        <v>10096</v>
      </c>
      <c r="E7334" t="s">
        <v>11</v>
      </c>
      <c r="G7334" t="s">
        <v>1917</v>
      </c>
      <c r="H7334" t="s">
        <v>432</v>
      </c>
    </row>
    <row r="7335" spans="1:8" hidden="1" x14ac:dyDescent="0.25">
      <c r="A7335" t="s">
        <v>10098</v>
      </c>
      <c r="B7335" s="1" t="str">
        <f>HYPERLINK("https://asmlis.vasa.lt/Dashboard/Served?ServiceDateFrom=2025-11-24&amp;ServiceDateTo=2025-11-24&amp;DumpsterInvNr=13-P-505647", "13-P-505647")</f>
        <v>13-P-505647</v>
      </c>
      <c r="C7335">
        <v>1.1000000000000001</v>
      </c>
      <c r="D7335" t="s">
        <v>7920</v>
      </c>
      <c r="E7335" t="s">
        <v>11</v>
      </c>
      <c r="G7335" t="s">
        <v>2178</v>
      </c>
      <c r="H7335" t="s">
        <v>432</v>
      </c>
    </row>
    <row r="7336" spans="1:8" hidden="1" x14ac:dyDescent="0.25">
      <c r="A7336" t="s">
        <v>10006</v>
      </c>
      <c r="B7336" s="1" t="str">
        <f>HYPERLINK("https://asmlis.vasa.lt/Dashboard/Served?ServiceDateFrom=2025-11-24&amp;ServiceDateTo=2025-11-24&amp;DumpsterInvNr=13-P-415937", "13-P-415937")</f>
        <v>13-P-415937</v>
      </c>
      <c r="C7336">
        <v>0.24</v>
      </c>
      <c r="D7336" t="s">
        <v>10099</v>
      </c>
      <c r="E7336" t="s">
        <v>11</v>
      </c>
      <c r="G7336" t="s">
        <v>264</v>
      </c>
      <c r="H7336" t="s">
        <v>14</v>
      </c>
    </row>
    <row r="7337" spans="1:8" hidden="1" x14ac:dyDescent="0.25">
      <c r="A7337" t="s">
        <v>10100</v>
      </c>
      <c r="B7337" s="1" t="str">
        <f>HYPERLINK("https://asmlis.vasa.lt/Dashboard/Served?ServiceDateFrom=2025-11-24&amp;ServiceDateTo=2025-11-24&amp;DumpsterInvNr=13-P-413017", "13-P-413017")</f>
        <v>13-P-413017</v>
      </c>
      <c r="C7337">
        <v>0.12</v>
      </c>
      <c r="D7337" t="s">
        <v>10101</v>
      </c>
      <c r="E7337" t="s">
        <v>11</v>
      </c>
      <c r="F7337" t="s">
        <v>1209</v>
      </c>
      <c r="G7337" t="s">
        <v>264</v>
      </c>
      <c r="H7337" t="s">
        <v>14</v>
      </c>
    </row>
    <row r="7338" spans="1:8" hidden="1" x14ac:dyDescent="0.25">
      <c r="A7338" t="s">
        <v>10102</v>
      </c>
      <c r="B7338" s="1" t="str">
        <f>HYPERLINK("https://asmlis.vasa.lt/Dashboard/Served?ServiceDateFrom=2025-11-24&amp;ServiceDateTo=2025-11-24&amp;DumpsterInvNr=13-P-414467", "13-P-414467")</f>
        <v>13-P-414467</v>
      </c>
      <c r="C7338">
        <v>0.24</v>
      </c>
      <c r="D7338" t="s">
        <v>10103</v>
      </c>
      <c r="E7338" t="s">
        <v>11</v>
      </c>
      <c r="F7338" t="s">
        <v>1209</v>
      </c>
      <c r="G7338" t="s">
        <v>264</v>
      </c>
      <c r="H7338" t="s">
        <v>14</v>
      </c>
    </row>
    <row r="7339" spans="1:8" hidden="1" x14ac:dyDescent="0.25">
      <c r="A7339" t="s">
        <v>10104</v>
      </c>
      <c r="B7339" s="1" t="str">
        <f>HYPERLINK("https://asmlis.vasa.lt/Dashboard/Served?ServiceDateFrom=2025-11-24&amp;ServiceDateTo=2025-11-24&amp;DumpsterInvNr=13-P-301801", "13-P-301801")</f>
        <v>13-P-301801</v>
      </c>
      <c r="C7339">
        <v>1.1000000000000001</v>
      </c>
      <c r="D7339" t="s">
        <v>10093</v>
      </c>
      <c r="E7339" t="s">
        <v>11</v>
      </c>
      <c r="F7339" t="s">
        <v>13</v>
      </c>
      <c r="G7339" t="s">
        <v>412</v>
      </c>
      <c r="H7339" t="s">
        <v>14</v>
      </c>
    </row>
    <row r="7340" spans="1:8" hidden="1" x14ac:dyDescent="0.25">
      <c r="A7340" t="s">
        <v>10105</v>
      </c>
      <c r="B7340" s="1" t="str">
        <f>HYPERLINK("https://asmlis.vasa.lt/Dashboard/Served?ServiceDateFrom=2025-11-24&amp;ServiceDateTo=2025-11-24&amp;DumpsterInvNr=13-L-304656", "13-L-304656")</f>
        <v>13-L-304656</v>
      </c>
      <c r="C7340">
        <v>1.1000000000000001</v>
      </c>
      <c r="D7340" t="s">
        <v>10106</v>
      </c>
      <c r="E7340" t="s">
        <v>11</v>
      </c>
      <c r="G7340" t="s">
        <v>9</v>
      </c>
      <c r="H7340" t="s">
        <v>14</v>
      </c>
    </row>
    <row r="7341" spans="1:8" hidden="1" x14ac:dyDescent="0.25">
      <c r="A7341" t="s">
        <v>10105</v>
      </c>
      <c r="B7341" s="1" t="str">
        <f>HYPERLINK("https://asmlis.vasa.lt/Dashboard/Served?ServiceDateFrom=2025-11-24&amp;ServiceDateTo=2025-11-24&amp;DumpsterInvNr=13-L-207002", "13-L-207002")</f>
        <v>13-L-207002</v>
      </c>
      <c r="C7341">
        <v>0.12</v>
      </c>
      <c r="D7341" t="s">
        <v>6960</v>
      </c>
      <c r="E7341" t="s">
        <v>11</v>
      </c>
      <c r="G7341" t="s">
        <v>936</v>
      </c>
      <c r="H7341" t="s">
        <v>938</v>
      </c>
    </row>
    <row r="7342" spans="1:8" hidden="1" x14ac:dyDescent="0.25">
      <c r="A7342" t="s">
        <v>10107</v>
      </c>
      <c r="B7342" s="1" t="str">
        <f>HYPERLINK("https://asmlis.vasa.lt/Dashboard/Served?ServiceDateFrom=2025-11-24&amp;ServiceDateTo=2025-11-24&amp;DumpsterInvNr=13-L-139748", "13-L-139748")</f>
        <v>13-L-139748</v>
      </c>
      <c r="C7342">
        <v>0.24</v>
      </c>
      <c r="D7342" t="s">
        <v>10108</v>
      </c>
      <c r="E7342" t="s">
        <v>11</v>
      </c>
      <c r="G7342" t="s">
        <v>1912</v>
      </c>
      <c r="H7342" t="s">
        <v>432</v>
      </c>
    </row>
    <row r="7343" spans="1:8" hidden="1" x14ac:dyDescent="0.25">
      <c r="A7343" t="s">
        <v>10109</v>
      </c>
      <c r="B7343" s="1" t="str">
        <f>HYPERLINK("https://asmlis.vasa.lt/Dashboard/Served?ServiceDateFrom=2025-11-24&amp;ServiceDateTo=2025-11-24&amp;DumpsterInvNr=13-P-416775", "13-P-416775")</f>
        <v>13-P-416775</v>
      </c>
      <c r="C7343">
        <v>0.24</v>
      </c>
      <c r="D7343" t="s">
        <v>10110</v>
      </c>
      <c r="E7343" t="s">
        <v>11</v>
      </c>
      <c r="G7343" t="s">
        <v>264</v>
      </c>
      <c r="H7343" t="s">
        <v>14</v>
      </c>
    </row>
    <row r="7344" spans="1:8" hidden="1" x14ac:dyDescent="0.25">
      <c r="A7344" t="s">
        <v>10111</v>
      </c>
      <c r="B7344" s="1" t="str">
        <f>HYPERLINK("https://asmlis.vasa.lt/Dashboard/Served?ServiceDateFrom=2025-11-24&amp;ServiceDateTo=2025-11-24&amp;DumpsterInvNr=13-L-104951", "13-L-104951")</f>
        <v>13-L-104951</v>
      </c>
      <c r="C7344">
        <v>1.1000000000000001</v>
      </c>
      <c r="D7344" t="s">
        <v>10053</v>
      </c>
      <c r="E7344" t="s">
        <v>11</v>
      </c>
      <c r="G7344" t="s">
        <v>430</v>
      </c>
      <c r="H7344" t="s">
        <v>432</v>
      </c>
    </row>
    <row r="7345" spans="1:8" hidden="1" x14ac:dyDescent="0.25">
      <c r="A7345" t="s">
        <v>10112</v>
      </c>
      <c r="B7345" s="1" t="str">
        <f>HYPERLINK("https://asmlis.vasa.lt/Dashboard/Served?ServiceDateFrom=2025-11-24&amp;ServiceDateTo=2025-11-24&amp;DumpsterInvNr=13-L-317003", "13-L-317003")</f>
        <v>13-L-317003</v>
      </c>
      <c r="C7345">
        <v>5</v>
      </c>
      <c r="D7345" t="s">
        <v>10113</v>
      </c>
      <c r="E7345" t="s">
        <v>11</v>
      </c>
      <c r="F7345" t="s">
        <v>13</v>
      </c>
      <c r="G7345" t="s">
        <v>9</v>
      </c>
      <c r="H7345" t="s">
        <v>14</v>
      </c>
    </row>
    <row r="7346" spans="1:8" hidden="1" x14ac:dyDescent="0.25">
      <c r="A7346" t="s">
        <v>10114</v>
      </c>
      <c r="B7346" s="1" t="str">
        <f>HYPERLINK("https://asmlis.vasa.lt/Dashboard/Served?ServiceDateFrom=2025-11-24&amp;ServiceDateTo=2025-11-24&amp;DumpsterInvNr=13-P-211736", "13-P-211736")</f>
        <v>13-P-211736</v>
      </c>
      <c r="C7346">
        <v>0.24</v>
      </c>
      <c r="D7346" t="s">
        <v>10115</v>
      </c>
      <c r="E7346" t="s">
        <v>11</v>
      </c>
      <c r="G7346" t="s">
        <v>234</v>
      </c>
      <c r="H7346" t="s">
        <v>14</v>
      </c>
    </row>
    <row r="7347" spans="1:8" hidden="1" x14ac:dyDescent="0.25">
      <c r="A7347" t="s">
        <v>10116</v>
      </c>
      <c r="B7347" s="1" t="str">
        <f>HYPERLINK("https://asmlis.vasa.lt/Dashboard/Served?ServiceDateFrom=2025-11-24&amp;ServiceDateTo=2025-11-24&amp;DumpsterInvNr=13-P-402178", "13-P-402178")</f>
        <v>13-P-402178</v>
      </c>
      <c r="C7347">
        <v>0.24</v>
      </c>
      <c r="D7347" t="s">
        <v>10117</v>
      </c>
      <c r="E7347" t="s">
        <v>11</v>
      </c>
      <c r="F7347" t="s">
        <v>1209</v>
      </c>
      <c r="G7347" t="s">
        <v>264</v>
      </c>
      <c r="H7347" t="s">
        <v>14</v>
      </c>
    </row>
    <row r="7348" spans="1:8" hidden="1" x14ac:dyDescent="0.25">
      <c r="A7348" t="s">
        <v>10118</v>
      </c>
      <c r="B7348" s="1" t="str">
        <f>HYPERLINK("https://asmlis.vasa.lt/Dashboard/Served?ServiceDateFrom=2025-11-24&amp;ServiceDateTo=2025-11-24&amp;DumpsterInvNr=13-L-421902", "13-L-421902")</f>
        <v>13-L-421902</v>
      </c>
      <c r="C7348">
        <v>0.24</v>
      </c>
      <c r="D7348" t="s">
        <v>10119</v>
      </c>
      <c r="E7348" t="s">
        <v>11</v>
      </c>
      <c r="G7348" t="s">
        <v>74</v>
      </c>
      <c r="H7348" t="s">
        <v>14</v>
      </c>
    </row>
    <row r="7349" spans="1:8" hidden="1" x14ac:dyDescent="0.25">
      <c r="A7349" t="s">
        <v>10120</v>
      </c>
      <c r="B7349" s="1" t="str">
        <f>HYPERLINK("https://asmlis.vasa.lt/Dashboard/Served?ServiceDateFrom=2025-11-24&amp;ServiceDateTo=2025-11-24&amp;DumpsterInvNr=13-P-414633", "13-P-414633")</f>
        <v>13-P-414633</v>
      </c>
      <c r="C7349">
        <v>0.24</v>
      </c>
      <c r="D7349" t="s">
        <v>10121</v>
      </c>
      <c r="E7349" t="s">
        <v>11</v>
      </c>
      <c r="F7349" t="s">
        <v>1209</v>
      </c>
      <c r="G7349" t="s">
        <v>264</v>
      </c>
      <c r="H7349" t="s">
        <v>14</v>
      </c>
    </row>
    <row r="7350" spans="1:8" hidden="1" x14ac:dyDescent="0.25">
      <c r="A7350" t="s">
        <v>10120</v>
      </c>
      <c r="B7350" s="1" t="str">
        <f>HYPERLINK("https://asmlis.vasa.lt/Dashboard/Served?ServiceDateFrom=2025-11-24&amp;ServiceDateTo=2025-11-24&amp;DumpsterInvNr=13-S-410401", "13-S-410401")</f>
        <v>13-S-410401</v>
      </c>
      <c r="C7350">
        <v>0.12</v>
      </c>
      <c r="D7350" t="s">
        <v>10117</v>
      </c>
      <c r="E7350" t="s">
        <v>11</v>
      </c>
      <c r="F7350" t="s">
        <v>1209</v>
      </c>
      <c r="G7350" t="s">
        <v>264</v>
      </c>
      <c r="H7350" t="s">
        <v>14</v>
      </c>
    </row>
    <row r="7351" spans="1:8" hidden="1" x14ac:dyDescent="0.25">
      <c r="A7351" t="s">
        <v>10122</v>
      </c>
      <c r="B7351" s="1" t="str">
        <f>HYPERLINK("https://asmlis.vasa.lt/Dashboard/Served?ServiceDateFrom=2025-11-24&amp;ServiceDateTo=2025-11-24&amp;DumpsterInvNr=13-P-300766", "13-P-300766")</f>
        <v>13-P-300766</v>
      </c>
      <c r="C7351">
        <v>2.5</v>
      </c>
      <c r="D7351" t="s">
        <v>10071</v>
      </c>
      <c r="E7351" t="s">
        <v>11</v>
      </c>
      <c r="G7351" t="s">
        <v>412</v>
      </c>
      <c r="H7351" t="s">
        <v>14</v>
      </c>
    </row>
    <row r="7352" spans="1:8" hidden="1" x14ac:dyDescent="0.25">
      <c r="A7352" t="s">
        <v>10123</v>
      </c>
      <c r="B7352" s="1" t="str">
        <f>HYPERLINK("https://asmlis.vasa.lt/Dashboard/Served?ServiceDateFrom=2025-11-24&amp;ServiceDateTo=2025-11-24&amp;DumpsterInvNr=13-M-206976", "13-M-206976")</f>
        <v>13-M-206976</v>
      </c>
      <c r="C7352">
        <v>0.12</v>
      </c>
      <c r="D7352" t="s">
        <v>9343</v>
      </c>
      <c r="E7352" t="s">
        <v>11</v>
      </c>
      <c r="F7352" t="s">
        <v>1209</v>
      </c>
      <c r="G7352" t="s">
        <v>4876</v>
      </c>
      <c r="H7352" t="s">
        <v>938</v>
      </c>
    </row>
    <row r="7353" spans="1:8" hidden="1" x14ac:dyDescent="0.25">
      <c r="A7353" t="s">
        <v>10124</v>
      </c>
      <c r="B7353" s="1" t="str">
        <f>HYPERLINK("https://asmlis.vasa.lt/Dashboard/Served?ServiceDateFrom=2025-11-24&amp;ServiceDateTo=2025-11-24&amp;DumpsterInvNr=13-P-500022", "13-P-500022")</f>
        <v>13-P-500022</v>
      </c>
      <c r="C7353">
        <v>5</v>
      </c>
      <c r="D7353" t="s">
        <v>10125</v>
      </c>
      <c r="E7353" t="s">
        <v>11</v>
      </c>
      <c r="F7353" t="s">
        <v>13</v>
      </c>
      <c r="G7353" t="s">
        <v>2178</v>
      </c>
      <c r="H7353" t="s">
        <v>432</v>
      </c>
    </row>
    <row r="7354" spans="1:8" hidden="1" x14ac:dyDescent="0.25">
      <c r="A7354" t="s">
        <v>10126</v>
      </c>
      <c r="B7354" s="1" t="str">
        <f>HYPERLINK("https://asmlis.vasa.lt/Dashboard/Served?ServiceDateFrom=2025-11-24&amp;ServiceDateTo=2025-11-24&amp;DumpsterInvNr=13-M-204032", "13-M-204032")</f>
        <v>13-M-204032</v>
      </c>
      <c r="C7354">
        <v>0.12</v>
      </c>
      <c r="D7354" t="s">
        <v>10127</v>
      </c>
      <c r="E7354" t="s">
        <v>11</v>
      </c>
      <c r="F7354" t="s">
        <v>1209</v>
      </c>
      <c r="G7354" t="s">
        <v>4876</v>
      </c>
      <c r="H7354" t="s">
        <v>938</v>
      </c>
    </row>
    <row r="7355" spans="1:8" hidden="1" x14ac:dyDescent="0.25">
      <c r="A7355" t="s">
        <v>10128</v>
      </c>
      <c r="B7355" s="1" t="str">
        <f>HYPERLINK("https://asmlis.vasa.lt/Dashboard/Served?ServiceDateFrom=2025-11-24&amp;ServiceDateTo=2025-11-24&amp;DumpsterInvNr=13-P-405405", "13-P-405405")</f>
        <v>13-P-405405</v>
      </c>
      <c r="C7355">
        <v>2.5</v>
      </c>
      <c r="D7355" t="s">
        <v>10129</v>
      </c>
      <c r="E7355" t="s">
        <v>11</v>
      </c>
      <c r="F7355" t="s">
        <v>13</v>
      </c>
      <c r="G7355" t="s">
        <v>264</v>
      </c>
      <c r="H7355" t="s">
        <v>14</v>
      </c>
    </row>
    <row r="7356" spans="1:8" hidden="1" x14ac:dyDescent="0.25">
      <c r="A7356" t="s">
        <v>10130</v>
      </c>
      <c r="B7356" s="1" t="str">
        <f>HYPERLINK("https://asmlis.vasa.lt/Dashboard/Served?ServiceDateFrom=2025-11-24&amp;ServiceDateTo=2025-11-24&amp;DumpsterInvNr=13-M-206971", "13-M-206971")</f>
        <v>13-M-206971</v>
      </c>
      <c r="C7356">
        <v>0.12</v>
      </c>
      <c r="D7356" t="s">
        <v>10131</v>
      </c>
      <c r="E7356" t="s">
        <v>11</v>
      </c>
      <c r="F7356" t="s">
        <v>1209</v>
      </c>
      <c r="G7356" t="s">
        <v>4876</v>
      </c>
      <c r="H7356" t="s">
        <v>938</v>
      </c>
    </row>
    <row r="7357" spans="1:8" hidden="1" x14ac:dyDescent="0.25">
      <c r="A7357" t="s">
        <v>10132</v>
      </c>
      <c r="B7357" s="1" t="str">
        <f>HYPERLINK("https://asmlis.vasa.lt/Dashboard/Served?ServiceDateFrom=2025-11-24&amp;ServiceDateTo=2025-11-24&amp;DumpsterInvNr=13-P-210646", "13-P-210646")</f>
        <v>13-P-210646</v>
      </c>
      <c r="C7357">
        <v>0.24</v>
      </c>
      <c r="D7357" t="s">
        <v>10133</v>
      </c>
      <c r="E7357" t="s">
        <v>11</v>
      </c>
      <c r="F7357" t="s">
        <v>1209</v>
      </c>
      <c r="G7357" t="s">
        <v>234</v>
      </c>
      <c r="H7357" t="s">
        <v>14</v>
      </c>
    </row>
    <row r="7358" spans="1:8" hidden="1" x14ac:dyDescent="0.25">
      <c r="A7358" t="s">
        <v>10134</v>
      </c>
      <c r="B7358" s="1" t="str">
        <f>HYPERLINK("https://asmlis.vasa.lt/Dashboard/Served?ServiceDateFrom=2025-11-24&amp;ServiceDateTo=2025-11-24&amp;DumpsterInvNr=13-M-200984", "13-M-200984")</f>
        <v>13-M-200984</v>
      </c>
      <c r="C7358">
        <v>0.12</v>
      </c>
      <c r="D7358" t="s">
        <v>10135</v>
      </c>
      <c r="E7358" t="s">
        <v>11</v>
      </c>
      <c r="F7358" t="s">
        <v>1209</v>
      </c>
      <c r="G7358" t="s">
        <v>4876</v>
      </c>
      <c r="H7358" t="s">
        <v>938</v>
      </c>
    </row>
    <row r="7359" spans="1:8" hidden="1" x14ac:dyDescent="0.25">
      <c r="A7359" t="s">
        <v>10136</v>
      </c>
      <c r="B7359" s="1" t="str">
        <f>HYPERLINK("https://asmlis.vasa.lt/Dashboard/Served?ServiceDateFrom=2025-11-24&amp;ServiceDateTo=2025-11-24&amp;DumpsterInvNr=13-P-211690", "13-P-211690")</f>
        <v>13-P-211690</v>
      </c>
      <c r="C7359">
        <v>0.24</v>
      </c>
      <c r="D7359" t="s">
        <v>10137</v>
      </c>
      <c r="E7359" t="s">
        <v>11</v>
      </c>
      <c r="F7359" t="s">
        <v>1209</v>
      </c>
      <c r="G7359" t="s">
        <v>234</v>
      </c>
      <c r="H7359" t="s">
        <v>14</v>
      </c>
    </row>
    <row r="7360" spans="1:8" hidden="1" x14ac:dyDescent="0.25">
      <c r="A7360" t="s">
        <v>10136</v>
      </c>
      <c r="B7360" s="1" t="str">
        <f>HYPERLINK("https://asmlis.vasa.lt/Dashboard/Served?ServiceDateFrom=2025-11-24&amp;ServiceDateTo=2025-11-24&amp;DumpsterInvNr=13-P-206013", "13-P-206013")</f>
        <v>13-P-206013</v>
      </c>
      <c r="C7360">
        <v>0.24</v>
      </c>
      <c r="D7360" t="s">
        <v>10138</v>
      </c>
      <c r="E7360" t="s">
        <v>11</v>
      </c>
      <c r="F7360" t="s">
        <v>1209</v>
      </c>
      <c r="G7360" t="s">
        <v>234</v>
      </c>
      <c r="H7360" t="s">
        <v>14</v>
      </c>
    </row>
    <row r="7361" spans="1:8" hidden="1" x14ac:dyDescent="0.25">
      <c r="A7361" t="s">
        <v>10139</v>
      </c>
      <c r="B7361" s="1" t="str">
        <f>HYPERLINK("https://asmlis.vasa.lt/Dashboard/Served?ServiceDateFrom=2025-11-24&amp;ServiceDateTo=2025-11-24&amp;DumpsterInvNr=13-L-318655", "13-L-318655")</f>
        <v>13-L-318655</v>
      </c>
      <c r="C7361">
        <v>0.24</v>
      </c>
      <c r="D7361" t="s">
        <v>10095</v>
      </c>
      <c r="E7361" t="s">
        <v>11</v>
      </c>
      <c r="F7361" t="s">
        <v>13</v>
      </c>
      <c r="G7361" t="s">
        <v>9</v>
      </c>
      <c r="H7361" t="s">
        <v>14</v>
      </c>
    </row>
    <row r="7362" spans="1:8" hidden="1" x14ac:dyDescent="0.25">
      <c r="A7362" t="s">
        <v>10140</v>
      </c>
      <c r="B7362" s="1" t="str">
        <f>HYPERLINK("https://asmlis.vasa.lt/Dashboard/Served?ServiceDateFrom=2025-11-24&amp;ServiceDateTo=2025-11-24&amp;DumpsterInvNr=13-L-210531", "13-L-210531")</f>
        <v>13-L-210531</v>
      </c>
      <c r="C7362">
        <v>0.24</v>
      </c>
      <c r="D7362" t="s">
        <v>6956</v>
      </c>
      <c r="E7362" t="s">
        <v>11</v>
      </c>
      <c r="F7362" t="s">
        <v>1209</v>
      </c>
      <c r="G7362" t="s">
        <v>936</v>
      </c>
      <c r="H7362" t="s">
        <v>938</v>
      </c>
    </row>
    <row r="7363" spans="1:8" hidden="1" x14ac:dyDescent="0.25">
      <c r="A7363" t="s">
        <v>10141</v>
      </c>
      <c r="B7363" s="1" t="str">
        <f>HYPERLINK("https://asmlis.vasa.lt/Dashboard/Served?ServiceDateFrom=2025-11-24&amp;ServiceDateTo=2025-11-24&amp;DumpsterInvNr=13-L-143981", "13-L-143981")</f>
        <v>13-L-143981</v>
      </c>
      <c r="C7363">
        <v>0.24</v>
      </c>
      <c r="D7363" t="s">
        <v>10143</v>
      </c>
      <c r="E7363" t="s">
        <v>11</v>
      </c>
      <c r="G7363" t="s">
        <v>1912</v>
      </c>
      <c r="H7363" t="s">
        <v>432</v>
      </c>
    </row>
    <row r="7364" spans="1:8" hidden="1" x14ac:dyDescent="0.25">
      <c r="A7364" t="s">
        <v>10141</v>
      </c>
      <c r="B7364" s="1" t="str">
        <f>HYPERLINK("https://asmlis.vasa.lt/Dashboard/Served?ServiceDateFrom=2025-11-24&amp;ServiceDateTo=2025-11-24&amp;DumpsterInvNr=13-P-112128", "13-P-112128")</f>
        <v>13-P-112128</v>
      </c>
      <c r="C7364">
        <v>0.24</v>
      </c>
      <c r="D7364" t="s">
        <v>10143</v>
      </c>
      <c r="E7364" t="s">
        <v>11</v>
      </c>
      <c r="G7364" t="s">
        <v>1917</v>
      </c>
      <c r="H7364" t="s">
        <v>432</v>
      </c>
    </row>
    <row r="7365" spans="1:8" hidden="1" x14ac:dyDescent="0.25">
      <c r="A7365" t="s">
        <v>10145</v>
      </c>
      <c r="B7365" s="1" t="str">
        <f>HYPERLINK("https://asmlis.vasa.lt/Dashboard/Served?ServiceDateFrom=2025-11-24&amp;ServiceDateTo=2025-11-24&amp;DumpsterInvNr=13-P-205537", "13-P-205537")</f>
        <v>13-P-205537</v>
      </c>
      <c r="C7365">
        <v>0.24</v>
      </c>
      <c r="D7365" t="s">
        <v>10146</v>
      </c>
      <c r="E7365" t="s">
        <v>11</v>
      </c>
      <c r="F7365" t="s">
        <v>1209</v>
      </c>
      <c r="G7365" t="s">
        <v>234</v>
      </c>
      <c r="H7365" t="s">
        <v>14</v>
      </c>
    </row>
    <row r="7366" spans="1:8" hidden="1" x14ac:dyDescent="0.25">
      <c r="A7366" t="s">
        <v>10147</v>
      </c>
      <c r="B7366" s="1" t="str">
        <f>HYPERLINK("https://asmlis.vasa.lt/Dashboard/Served?ServiceDateFrom=2025-11-24&amp;ServiceDateTo=2025-11-24&amp;DumpsterInvNr=13-M-204026", "13-M-204026")</f>
        <v>13-M-204026</v>
      </c>
      <c r="C7366">
        <v>0.12</v>
      </c>
      <c r="D7366" t="s">
        <v>10148</v>
      </c>
      <c r="E7366" t="s">
        <v>11</v>
      </c>
      <c r="F7366" t="s">
        <v>1209</v>
      </c>
      <c r="G7366" t="s">
        <v>4876</v>
      </c>
      <c r="H7366" t="s">
        <v>938</v>
      </c>
    </row>
    <row r="7367" spans="1:8" hidden="1" x14ac:dyDescent="0.25">
      <c r="A7367" t="s">
        <v>8209</v>
      </c>
      <c r="B7367" s="1" t="str">
        <f>HYPERLINK("https://asmlis.vasa.lt/Dashboard/Served?ServiceDateFrom=2025-11-24&amp;ServiceDateTo=2025-11-24&amp;DumpsterInvNr=13-L-413451", "13-L-413451")</f>
        <v>13-L-413451</v>
      </c>
      <c r="C7367">
        <v>0.24</v>
      </c>
      <c r="D7367" t="s">
        <v>10149</v>
      </c>
      <c r="E7367" t="s">
        <v>11</v>
      </c>
      <c r="G7367" t="s">
        <v>74</v>
      </c>
      <c r="H7367" t="s">
        <v>14</v>
      </c>
    </row>
    <row r="7368" spans="1:8" hidden="1" x14ac:dyDescent="0.25">
      <c r="A7368" t="s">
        <v>8209</v>
      </c>
      <c r="B7368" s="1" t="str">
        <f>HYPERLINK("https://asmlis.vasa.lt/Dashboard/Served?ServiceDateFrom=2025-11-24&amp;ServiceDateTo=2025-11-24&amp;DumpsterInvNr=13-L-421904", "13-L-421904")</f>
        <v>13-L-421904</v>
      </c>
      <c r="C7368">
        <v>0.24</v>
      </c>
      <c r="D7368" t="s">
        <v>10150</v>
      </c>
      <c r="E7368" t="s">
        <v>11</v>
      </c>
      <c r="G7368" t="s">
        <v>74</v>
      </c>
      <c r="H7368" t="s">
        <v>14</v>
      </c>
    </row>
    <row r="7369" spans="1:8" hidden="1" x14ac:dyDescent="0.25">
      <c r="A7369" t="s">
        <v>8574</v>
      </c>
      <c r="B7369" s="1" t="str">
        <f>HYPERLINK("https://asmlis.vasa.lt/Dashboard/Served?ServiceDateFrom=2025-11-24&amp;ServiceDateTo=2025-11-24&amp;DumpsterInvNr=13-S-204851", "13-S-204851")</f>
        <v>13-S-204851</v>
      </c>
      <c r="C7369">
        <v>0.12</v>
      </c>
      <c r="D7369" t="s">
        <v>10034</v>
      </c>
      <c r="E7369" t="s">
        <v>11</v>
      </c>
      <c r="F7369" t="s">
        <v>1209</v>
      </c>
      <c r="G7369" t="s">
        <v>234</v>
      </c>
      <c r="H7369" t="s">
        <v>14</v>
      </c>
    </row>
    <row r="7370" spans="1:8" hidden="1" x14ac:dyDescent="0.25">
      <c r="A7370" t="s">
        <v>8812</v>
      </c>
      <c r="B7370" s="1" t="str">
        <f>HYPERLINK("https://asmlis.vasa.lt/Dashboard/Served?ServiceDateFrom=2025-11-24&amp;ServiceDateTo=2025-11-24&amp;DumpsterInvNr=13-M-200947", "13-M-200947")</f>
        <v>13-M-200947</v>
      </c>
      <c r="C7370">
        <v>0.12</v>
      </c>
      <c r="D7370" t="s">
        <v>10151</v>
      </c>
      <c r="E7370" t="s">
        <v>11</v>
      </c>
      <c r="F7370" t="s">
        <v>1209</v>
      </c>
      <c r="G7370" t="s">
        <v>4876</v>
      </c>
      <c r="H7370" t="s">
        <v>938</v>
      </c>
    </row>
    <row r="7371" spans="1:8" hidden="1" x14ac:dyDescent="0.25">
      <c r="A7371" t="s">
        <v>9348</v>
      </c>
      <c r="B7371" s="1" t="str">
        <f>HYPERLINK("https://asmlis.vasa.lt/Dashboard/Served?ServiceDateFrom=2025-11-24&amp;ServiceDateTo=2025-11-24&amp;DumpsterInvNr=13-S-211586", "13-S-211586")</f>
        <v>13-S-211586</v>
      </c>
      <c r="C7371">
        <v>0.12</v>
      </c>
      <c r="D7371" t="s">
        <v>10137</v>
      </c>
      <c r="E7371" t="s">
        <v>11</v>
      </c>
      <c r="F7371" t="s">
        <v>1209</v>
      </c>
      <c r="G7371" t="s">
        <v>234</v>
      </c>
      <c r="H7371" t="s">
        <v>14</v>
      </c>
    </row>
    <row r="7372" spans="1:8" hidden="1" x14ac:dyDescent="0.25">
      <c r="A7372" t="s">
        <v>9847</v>
      </c>
      <c r="B7372" s="1" t="str">
        <f>HYPERLINK("https://asmlis.vasa.lt/Dashboard/Served?ServiceDateFrom=2025-11-24&amp;ServiceDateTo=2025-11-24&amp;DumpsterInvNr=13-P-102354", "13-P-102354")</f>
        <v>13-P-102354</v>
      </c>
      <c r="C7372">
        <v>5</v>
      </c>
      <c r="D7372" t="s">
        <v>4568</v>
      </c>
      <c r="E7372" t="s">
        <v>11</v>
      </c>
      <c r="F7372" t="s">
        <v>13</v>
      </c>
      <c r="G7372" t="s">
        <v>1917</v>
      </c>
      <c r="H7372" t="s">
        <v>432</v>
      </c>
    </row>
    <row r="7373" spans="1:8" hidden="1" x14ac:dyDescent="0.25">
      <c r="A7373" t="s">
        <v>9934</v>
      </c>
      <c r="B7373" s="1" t="str">
        <f>HYPERLINK("https://asmlis.vasa.lt/Dashboard/Served?ServiceDateFrom=2025-11-24&amp;ServiceDateTo=2025-11-24&amp;DumpsterInvNr=13-S-207745", "13-S-207745")</f>
        <v>13-S-207745</v>
      </c>
      <c r="C7373">
        <v>0.12</v>
      </c>
      <c r="D7373" t="s">
        <v>10022</v>
      </c>
      <c r="E7373" t="s">
        <v>11</v>
      </c>
      <c r="F7373" t="s">
        <v>1209</v>
      </c>
      <c r="G7373" t="s">
        <v>234</v>
      </c>
      <c r="H7373" t="s">
        <v>14</v>
      </c>
    </row>
    <row r="7374" spans="1:8" hidden="1" x14ac:dyDescent="0.25">
      <c r="A7374" t="s">
        <v>10037</v>
      </c>
      <c r="B7374" s="1" t="str">
        <f>HYPERLINK("https://asmlis.vasa.lt/Dashboard/Served?ServiceDateFrom=2025-11-24&amp;ServiceDateTo=2025-11-24&amp;DumpsterInvNr=13-M-204530", "13-M-204530")</f>
        <v>13-M-204530</v>
      </c>
      <c r="C7374">
        <v>0.12</v>
      </c>
      <c r="D7374" t="s">
        <v>10153</v>
      </c>
      <c r="E7374" t="s">
        <v>11</v>
      </c>
      <c r="F7374" t="s">
        <v>1209</v>
      </c>
      <c r="G7374" t="s">
        <v>4876</v>
      </c>
      <c r="H7374" t="s">
        <v>938</v>
      </c>
    </row>
    <row r="7375" spans="1:8" hidden="1" x14ac:dyDescent="0.25">
      <c r="A7375" t="s">
        <v>10154</v>
      </c>
      <c r="B7375" s="1" t="str">
        <f>HYPERLINK("https://asmlis.vasa.lt/Dashboard/Served?ServiceDateFrom=2025-11-24&amp;ServiceDateTo=2025-11-24&amp;DumpsterInvNr=13-P-415599", "13-P-415599")</f>
        <v>13-P-415599</v>
      </c>
      <c r="C7375">
        <v>2.5</v>
      </c>
      <c r="D7375" t="s">
        <v>4515</v>
      </c>
      <c r="E7375" t="s">
        <v>11</v>
      </c>
      <c r="F7375" t="s">
        <v>13</v>
      </c>
      <c r="G7375" t="s">
        <v>264</v>
      </c>
      <c r="H7375" t="s">
        <v>14</v>
      </c>
    </row>
    <row r="7376" spans="1:8" hidden="1" x14ac:dyDescent="0.25">
      <c r="A7376" t="s">
        <v>10154</v>
      </c>
      <c r="B7376" s="1" t="str">
        <f>HYPERLINK("https://asmlis.vasa.lt/Dashboard/Served?ServiceDateFrom=2025-11-24&amp;ServiceDateTo=2025-11-24&amp;DumpsterInvNr=13-M-204019", "13-M-204019")</f>
        <v>13-M-204019</v>
      </c>
      <c r="C7376">
        <v>0.12</v>
      </c>
      <c r="D7376" t="s">
        <v>10155</v>
      </c>
      <c r="E7376" t="s">
        <v>11</v>
      </c>
      <c r="F7376" t="s">
        <v>1209</v>
      </c>
      <c r="G7376" t="s">
        <v>4876</v>
      </c>
      <c r="H7376" t="s">
        <v>938</v>
      </c>
    </row>
    <row r="7377" spans="1:8" hidden="1" x14ac:dyDescent="0.25">
      <c r="A7377" t="s">
        <v>10156</v>
      </c>
      <c r="B7377" s="1" t="str">
        <f>HYPERLINK("https://asmlis.vasa.lt/Dashboard/Served?ServiceDateFrom=2025-11-24&amp;ServiceDateTo=2025-11-24&amp;DumpsterInvNr=13-M-203912", "13-M-203912")</f>
        <v>13-M-203912</v>
      </c>
      <c r="C7377">
        <v>0.12</v>
      </c>
      <c r="D7377" t="s">
        <v>10157</v>
      </c>
      <c r="E7377" t="s">
        <v>11</v>
      </c>
      <c r="F7377" t="s">
        <v>1209</v>
      </c>
      <c r="G7377" t="s">
        <v>4876</v>
      </c>
      <c r="H7377" t="s">
        <v>938</v>
      </c>
    </row>
    <row r="7378" spans="1:8" hidden="1" x14ac:dyDescent="0.25">
      <c r="A7378" t="s">
        <v>10159</v>
      </c>
      <c r="B7378" s="1" t="str">
        <f>HYPERLINK("https://asmlis.vasa.lt/Dashboard/Served?ServiceDateFrom=2025-11-24&amp;ServiceDateTo=2025-11-24&amp;DumpsterInvNr=13-M-204507", "13-M-204507")</f>
        <v>13-M-204507</v>
      </c>
      <c r="C7378">
        <v>0.12</v>
      </c>
      <c r="D7378" t="s">
        <v>10160</v>
      </c>
      <c r="E7378" t="s">
        <v>11</v>
      </c>
      <c r="F7378" t="s">
        <v>1209</v>
      </c>
      <c r="G7378" t="s">
        <v>4876</v>
      </c>
      <c r="H7378" t="s">
        <v>938</v>
      </c>
    </row>
    <row r="7379" spans="1:8" hidden="1" x14ac:dyDescent="0.25">
      <c r="A7379" t="s">
        <v>10162</v>
      </c>
      <c r="B7379" s="1" t="str">
        <f>HYPERLINK("https://asmlis.vasa.lt/Dashboard/Served?ServiceDateFrom=2025-11-24&amp;ServiceDateTo=2025-11-24&amp;DumpsterInvNr=13-M-204033", "13-M-204033")</f>
        <v>13-M-204033</v>
      </c>
      <c r="C7379">
        <v>0.12</v>
      </c>
      <c r="D7379" t="s">
        <v>10163</v>
      </c>
      <c r="E7379" t="s">
        <v>11</v>
      </c>
      <c r="F7379" t="s">
        <v>1209</v>
      </c>
      <c r="G7379" t="s">
        <v>4876</v>
      </c>
      <c r="H7379" t="s">
        <v>938</v>
      </c>
    </row>
    <row r="7380" spans="1:8" hidden="1" x14ac:dyDescent="0.25">
      <c r="A7380" t="s">
        <v>10164</v>
      </c>
      <c r="B7380" s="1" t="str">
        <f>HYPERLINK("https://asmlis.vasa.lt/Dashboard/Served?ServiceDateFrom=2025-11-24&amp;ServiceDateTo=2025-11-24&amp;DumpsterInvNr=13-L-316390", "13-L-316390")</f>
        <v>13-L-316390</v>
      </c>
      <c r="C7380">
        <v>1.1000000000000001</v>
      </c>
      <c r="D7380" t="s">
        <v>10165</v>
      </c>
      <c r="E7380" t="s">
        <v>11</v>
      </c>
      <c r="G7380" t="s">
        <v>9</v>
      </c>
      <c r="H7380" t="s">
        <v>14</v>
      </c>
    </row>
    <row r="7381" spans="1:8" hidden="1" x14ac:dyDescent="0.25">
      <c r="A7381" t="s">
        <v>10166</v>
      </c>
      <c r="B7381" s="1" t="str">
        <f>HYPERLINK("https://asmlis.vasa.lt/Dashboard/Served?ServiceDateFrom=2025-11-24&amp;ServiceDateTo=2025-11-24&amp;DumpsterInvNr=13-L-227621", "13-L-227621")</f>
        <v>13-L-227621</v>
      </c>
      <c r="C7381">
        <v>1.1000000000000001</v>
      </c>
      <c r="D7381" t="s">
        <v>10168</v>
      </c>
      <c r="E7381" t="s">
        <v>11</v>
      </c>
      <c r="G7381" t="s">
        <v>936</v>
      </c>
      <c r="H7381" t="s">
        <v>938</v>
      </c>
    </row>
    <row r="7382" spans="1:8" hidden="1" x14ac:dyDescent="0.25">
      <c r="A7382" t="s">
        <v>10169</v>
      </c>
      <c r="B7382" s="1" t="str">
        <f>HYPERLINK("https://asmlis.vasa.lt/Dashboard/Served?ServiceDateFrom=2025-11-24&amp;ServiceDateTo=2025-11-24&amp;DumpsterInvNr=13-L-224608", "13-L-224608")</f>
        <v>13-L-224608</v>
      </c>
      <c r="C7382">
        <v>0.24</v>
      </c>
      <c r="D7382" t="s">
        <v>6937</v>
      </c>
      <c r="E7382" t="s">
        <v>11</v>
      </c>
      <c r="G7382" t="s">
        <v>936</v>
      </c>
      <c r="H7382" t="s">
        <v>938</v>
      </c>
    </row>
    <row r="7383" spans="1:8" hidden="1" x14ac:dyDescent="0.25">
      <c r="A7383" t="s">
        <v>10170</v>
      </c>
      <c r="B7383" s="1" t="str">
        <f>HYPERLINK("https://asmlis.vasa.lt/Dashboard/Served?ServiceDateFrom=2025-11-24&amp;ServiceDateTo=2025-11-24&amp;DumpsterInvNr=13-P-415911", "13-P-415911")</f>
        <v>13-P-415911</v>
      </c>
      <c r="C7383">
        <v>0.24</v>
      </c>
      <c r="D7383" t="s">
        <v>10171</v>
      </c>
      <c r="E7383" t="s">
        <v>11</v>
      </c>
      <c r="G7383" t="s">
        <v>264</v>
      </c>
      <c r="H7383" t="s">
        <v>14</v>
      </c>
    </row>
    <row r="7384" spans="1:8" hidden="1" x14ac:dyDescent="0.25">
      <c r="A7384" t="s">
        <v>10172</v>
      </c>
      <c r="B7384" s="1" t="str">
        <f>HYPERLINK("https://asmlis.vasa.lt/Dashboard/Served?ServiceDateFrom=2025-11-24&amp;ServiceDateTo=2025-11-24&amp;DumpsterInvNr=13-P-500441", "13-P-500441")</f>
        <v>13-P-500441</v>
      </c>
      <c r="C7384">
        <v>5</v>
      </c>
      <c r="D7384" t="s">
        <v>7920</v>
      </c>
      <c r="E7384" t="s">
        <v>11</v>
      </c>
      <c r="F7384" t="s">
        <v>13</v>
      </c>
      <c r="G7384" t="s">
        <v>2178</v>
      </c>
      <c r="H7384" t="s">
        <v>432</v>
      </c>
    </row>
    <row r="7385" spans="1:8" hidden="1" x14ac:dyDescent="0.25">
      <c r="A7385" t="s">
        <v>10173</v>
      </c>
      <c r="B7385" s="1" t="str">
        <f>HYPERLINK("https://asmlis.vasa.lt/Dashboard/Served?ServiceDateFrom=2025-11-24&amp;ServiceDateTo=2025-11-24&amp;DumpsterInvNr=13-L-135453", "13-L-135453")</f>
        <v>13-L-135453</v>
      </c>
      <c r="C7385">
        <v>5</v>
      </c>
      <c r="D7385" t="s">
        <v>10174</v>
      </c>
      <c r="E7385" t="s">
        <v>11</v>
      </c>
      <c r="F7385" t="s">
        <v>13</v>
      </c>
      <c r="G7385" t="s">
        <v>430</v>
      </c>
      <c r="H7385" t="s">
        <v>432</v>
      </c>
    </row>
    <row r="7386" spans="1:8" hidden="1" x14ac:dyDescent="0.25">
      <c r="A7386" t="s">
        <v>10176</v>
      </c>
      <c r="B7386" s="1" t="str">
        <f>HYPERLINK("https://asmlis.vasa.lt/Dashboard/Served?ServiceDateFrom=2025-11-24&amp;ServiceDateTo=2025-11-24&amp;DumpsterInvNr=13-P-405423", "13-P-405423")</f>
        <v>13-P-405423</v>
      </c>
      <c r="C7386">
        <v>2.5</v>
      </c>
      <c r="D7386" t="s">
        <v>3750</v>
      </c>
      <c r="E7386" t="s">
        <v>11</v>
      </c>
      <c r="F7386" t="s">
        <v>13</v>
      </c>
      <c r="G7386" t="s">
        <v>264</v>
      </c>
      <c r="H7386" t="s">
        <v>14</v>
      </c>
    </row>
    <row r="7387" spans="1:8" hidden="1" x14ac:dyDescent="0.25">
      <c r="A7387" t="s">
        <v>10176</v>
      </c>
      <c r="B7387" s="1" t="str">
        <f>HYPERLINK("https://asmlis.vasa.lt/Dashboard/Served?ServiceDateFrom=2025-11-24&amp;ServiceDateTo=2025-11-24&amp;DumpsterInvNr=13-P-405424", "13-P-405424")</f>
        <v>13-P-405424</v>
      </c>
      <c r="C7387">
        <v>2.5</v>
      </c>
      <c r="D7387" t="s">
        <v>3750</v>
      </c>
      <c r="E7387" t="s">
        <v>11</v>
      </c>
      <c r="F7387" t="s">
        <v>13</v>
      </c>
      <c r="G7387" t="s">
        <v>264</v>
      </c>
      <c r="H7387" t="s">
        <v>14</v>
      </c>
    </row>
    <row r="7388" spans="1:8" hidden="1" x14ac:dyDescent="0.25">
      <c r="A7388" t="s">
        <v>10176</v>
      </c>
      <c r="B7388" s="1" t="str">
        <f>HYPERLINK("https://asmlis.vasa.lt/Dashboard/Served?ServiceDateFrom=2025-11-24&amp;ServiceDateTo=2025-11-24&amp;DumpsterInvNr=13-M-204035", "13-M-204035")</f>
        <v>13-M-204035</v>
      </c>
      <c r="C7388">
        <v>0.12</v>
      </c>
      <c r="D7388" t="s">
        <v>10177</v>
      </c>
      <c r="E7388" t="s">
        <v>11</v>
      </c>
      <c r="G7388" t="s">
        <v>4876</v>
      </c>
      <c r="H7388" t="s">
        <v>938</v>
      </c>
    </row>
    <row r="7389" spans="1:8" hidden="1" x14ac:dyDescent="0.25">
      <c r="A7389" t="s">
        <v>10178</v>
      </c>
      <c r="B7389" s="1" t="str">
        <f>HYPERLINK("https://asmlis.vasa.lt/Dashboard/Served?ServiceDateFrom=2025-11-24&amp;ServiceDateTo=2025-11-24&amp;DumpsterInvNr=13-M-204041", "13-M-204041")</f>
        <v>13-M-204041</v>
      </c>
      <c r="C7389">
        <v>0.12</v>
      </c>
      <c r="D7389" t="s">
        <v>10179</v>
      </c>
      <c r="E7389" t="s">
        <v>11</v>
      </c>
      <c r="F7389" t="s">
        <v>1209</v>
      </c>
      <c r="G7389" t="s">
        <v>4876</v>
      </c>
      <c r="H7389" t="s">
        <v>938</v>
      </c>
    </row>
    <row r="7390" spans="1:8" hidden="1" x14ac:dyDescent="0.25">
      <c r="A7390" t="s">
        <v>10180</v>
      </c>
      <c r="B7390" s="1" t="str">
        <f>HYPERLINK("https://asmlis.vasa.lt/Dashboard/Served?ServiceDateFrom=2025-11-24&amp;ServiceDateTo=2025-11-24&amp;DumpsterInvNr=13-L-120404", "13-L-120404")</f>
        <v>13-L-120404</v>
      </c>
      <c r="C7390">
        <v>0.24</v>
      </c>
      <c r="D7390" t="s">
        <v>10181</v>
      </c>
      <c r="E7390" t="s">
        <v>11</v>
      </c>
      <c r="G7390" t="s">
        <v>1912</v>
      </c>
      <c r="H7390" t="s">
        <v>432</v>
      </c>
    </row>
    <row r="7391" spans="1:8" hidden="1" x14ac:dyDescent="0.25">
      <c r="A7391" t="s">
        <v>10180</v>
      </c>
      <c r="B7391" s="1" t="str">
        <f>HYPERLINK("https://asmlis.vasa.lt/Dashboard/Served?ServiceDateFrom=2025-11-24&amp;ServiceDateTo=2025-11-24&amp;DumpsterInvNr=13-P-103516", "13-P-103516")</f>
        <v>13-P-103516</v>
      </c>
      <c r="C7391">
        <v>0.24</v>
      </c>
      <c r="D7391" t="s">
        <v>10181</v>
      </c>
      <c r="E7391" t="s">
        <v>11</v>
      </c>
      <c r="G7391" t="s">
        <v>1917</v>
      </c>
      <c r="H7391" t="s">
        <v>432</v>
      </c>
    </row>
    <row r="7392" spans="1:8" hidden="1" x14ac:dyDescent="0.25">
      <c r="A7392" t="s">
        <v>10183</v>
      </c>
      <c r="B7392" s="1" t="str">
        <f>HYPERLINK("https://asmlis.vasa.lt/Dashboard/Served?ServiceDateFrom=2025-11-24&amp;ServiceDateTo=2025-11-24&amp;DumpsterInvNr=13-M-204038", "13-M-204038")</f>
        <v>13-M-204038</v>
      </c>
      <c r="C7392">
        <v>0.12</v>
      </c>
      <c r="D7392" t="s">
        <v>10184</v>
      </c>
      <c r="E7392" t="s">
        <v>11</v>
      </c>
      <c r="F7392" t="s">
        <v>1209</v>
      </c>
      <c r="G7392" t="s">
        <v>4876</v>
      </c>
      <c r="H7392" t="s">
        <v>938</v>
      </c>
    </row>
    <row r="7393" spans="1:8" hidden="1" x14ac:dyDescent="0.25">
      <c r="A7393" t="s">
        <v>10185</v>
      </c>
      <c r="B7393" s="1" t="str">
        <f>HYPERLINK("https://asmlis.vasa.lt/Dashboard/Served?ServiceDateFrom=2025-11-24&amp;ServiceDateTo=2025-11-24&amp;DumpsterInvNr=13-P-105569", "13-P-105569")</f>
        <v>13-P-105569</v>
      </c>
      <c r="C7393">
        <v>0.66</v>
      </c>
      <c r="D7393" t="s">
        <v>10186</v>
      </c>
      <c r="E7393" t="s">
        <v>11</v>
      </c>
      <c r="G7393" t="s">
        <v>1917</v>
      </c>
      <c r="H7393" t="s">
        <v>432</v>
      </c>
    </row>
    <row r="7394" spans="1:8" hidden="1" x14ac:dyDescent="0.25">
      <c r="A7394" t="s">
        <v>10187</v>
      </c>
      <c r="B7394" s="1" t="str">
        <f>HYPERLINK("https://asmlis.vasa.lt/Dashboard/Served?ServiceDateFrom=2025-11-24&amp;ServiceDateTo=2025-11-24&amp;DumpsterInvNr=13-P-212334", "13-P-212334")</f>
        <v>13-P-212334</v>
      </c>
      <c r="C7394">
        <v>1.1000000000000001</v>
      </c>
      <c r="D7394" t="s">
        <v>10188</v>
      </c>
      <c r="E7394" t="s">
        <v>11</v>
      </c>
      <c r="G7394" t="s">
        <v>234</v>
      </c>
      <c r="H7394" t="s">
        <v>14</v>
      </c>
    </row>
    <row r="7395" spans="1:8" hidden="1" x14ac:dyDescent="0.25">
      <c r="A7395" t="s">
        <v>10189</v>
      </c>
      <c r="B7395" s="1" t="str">
        <f>HYPERLINK("https://asmlis.vasa.lt/Dashboard/Served?ServiceDateFrom=2025-11-24&amp;ServiceDateTo=2025-11-24&amp;DumpsterInvNr=13-L-316025", "13-L-316025")</f>
        <v>13-L-316025</v>
      </c>
      <c r="C7395">
        <v>1.1000000000000001</v>
      </c>
      <c r="D7395" t="s">
        <v>10165</v>
      </c>
      <c r="E7395" t="s">
        <v>11</v>
      </c>
      <c r="G7395" t="s">
        <v>9</v>
      </c>
      <c r="H7395" t="s">
        <v>14</v>
      </c>
    </row>
    <row r="7396" spans="1:8" hidden="1" x14ac:dyDescent="0.25">
      <c r="A7396" t="s">
        <v>10190</v>
      </c>
      <c r="B7396" s="1" t="str">
        <f>HYPERLINK("https://asmlis.vasa.lt/Dashboard/Served?ServiceDateFrom=2025-11-24&amp;ServiceDateTo=2025-11-24&amp;DumpsterInvNr=13-L-206323", "13-L-206323")</f>
        <v>13-L-206323</v>
      </c>
      <c r="C7396">
        <v>0.24</v>
      </c>
      <c r="D7396" t="s">
        <v>10191</v>
      </c>
      <c r="E7396" t="s">
        <v>11</v>
      </c>
      <c r="F7396" t="s">
        <v>1209</v>
      </c>
      <c r="G7396" t="s">
        <v>936</v>
      </c>
      <c r="H7396" t="s">
        <v>938</v>
      </c>
    </row>
    <row r="7397" spans="1:8" hidden="1" x14ac:dyDescent="0.25">
      <c r="A7397" t="s">
        <v>10190</v>
      </c>
      <c r="B7397" s="1" t="str">
        <f>HYPERLINK("https://asmlis.vasa.lt/Dashboard/Served?ServiceDateFrom=2025-11-24&amp;ServiceDateTo=2025-11-24&amp;DumpsterInvNr=13-L-227622", "13-L-227622")</f>
        <v>13-L-227622</v>
      </c>
      <c r="C7397">
        <v>0.77</v>
      </c>
      <c r="D7397" t="s">
        <v>10168</v>
      </c>
      <c r="E7397" t="s">
        <v>11</v>
      </c>
      <c r="G7397" t="s">
        <v>936</v>
      </c>
      <c r="H7397" t="s">
        <v>938</v>
      </c>
    </row>
    <row r="7398" spans="1:8" hidden="1" x14ac:dyDescent="0.25">
      <c r="A7398" t="s">
        <v>10193</v>
      </c>
      <c r="B7398" s="1" t="str">
        <f>HYPERLINK("https://asmlis.vasa.lt/Dashboard/Served?ServiceDateFrom=2025-11-24&amp;ServiceDateTo=2025-11-24&amp;DumpsterInvNr=13-M-204007", "13-M-204007")</f>
        <v>13-M-204007</v>
      </c>
      <c r="C7398">
        <v>0.12</v>
      </c>
      <c r="D7398" t="s">
        <v>10194</v>
      </c>
      <c r="E7398" t="s">
        <v>11</v>
      </c>
      <c r="F7398" t="s">
        <v>1209</v>
      </c>
      <c r="G7398" t="s">
        <v>4876</v>
      </c>
      <c r="H7398" t="s">
        <v>938</v>
      </c>
    </row>
    <row r="7399" spans="1:8" hidden="1" x14ac:dyDescent="0.25">
      <c r="A7399" t="s">
        <v>10195</v>
      </c>
      <c r="B7399" s="1" t="str">
        <f>HYPERLINK("https://asmlis.vasa.lt/Dashboard/Served?ServiceDateFrom=2025-11-24&amp;ServiceDateTo=2025-11-24&amp;DumpsterInvNr=13-M-204519", "13-M-204519")</f>
        <v>13-M-204519</v>
      </c>
      <c r="C7399">
        <v>0.12</v>
      </c>
      <c r="D7399" t="s">
        <v>10196</v>
      </c>
      <c r="E7399" t="s">
        <v>11</v>
      </c>
      <c r="F7399" t="s">
        <v>1209</v>
      </c>
      <c r="G7399" t="s">
        <v>4876</v>
      </c>
      <c r="H7399" t="s">
        <v>938</v>
      </c>
    </row>
    <row r="7400" spans="1:8" hidden="1" x14ac:dyDescent="0.25">
      <c r="A7400" t="s">
        <v>10195</v>
      </c>
      <c r="B7400" s="1" t="str">
        <f>HYPERLINK("https://asmlis.vasa.lt/Dashboard/Served?ServiceDateFrom=2025-11-24&amp;ServiceDateTo=2025-11-24&amp;DumpsterInvNr=13-P-105568", "13-P-105568")</f>
        <v>13-P-105568</v>
      </c>
      <c r="C7400">
        <v>0.77</v>
      </c>
      <c r="D7400" t="s">
        <v>10186</v>
      </c>
      <c r="E7400" t="s">
        <v>11</v>
      </c>
      <c r="G7400" t="s">
        <v>1917</v>
      </c>
      <c r="H7400" t="s">
        <v>432</v>
      </c>
    </row>
    <row r="7401" spans="1:8" hidden="1" x14ac:dyDescent="0.25">
      <c r="A7401" t="s">
        <v>10032</v>
      </c>
      <c r="B7401" s="1" t="str">
        <f>HYPERLINK("https://asmlis.vasa.lt/Dashboard/Served?ServiceDateFrom=2025-11-24&amp;ServiceDateTo=2025-11-24&amp;DumpsterInvNr=13-P-212335", "13-P-212335")</f>
        <v>13-P-212335</v>
      </c>
      <c r="C7401">
        <v>1.1000000000000001</v>
      </c>
      <c r="D7401" t="s">
        <v>10188</v>
      </c>
      <c r="E7401" t="s">
        <v>11</v>
      </c>
      <c r="G7401" t="s">
        <v>234</v>
      </c>
      <c r="H7401" t="s">
        <v>14</v>
      </c>
    </row>
    <row r="7402" spans="1:8" hidden="1" x14ac:dyDescent="0.25">
      <c r="A7402" t="s">
        <v>10192</v>
      </c>
      <c r="B7402" s="1" t="str">
        <f>HYPERLINK("https://asmlis.vasa.lt/Dashboard/Served?ServiceDateFrom=2025-11-24&amp;ServiceDateTo=2025-11-24&amp;DumpsterInvNr=13-L-120405", "13-L-120405")</f>
        <v>13-L-120405</v>
      </c>
      <c r="C7402">
        <v>0.12</v>
      </c>
      <c r="D7402" t="s">
        <v>10198</v>
      </c>
      <c r="E7402" t="s">
        <v>11</v>
      </c>
      <c r="G7402" t="s">
        <v>1912</v>
      </c>
      <c r="H7402" t="s">
        <v>432</v>
      </c>
    </row>
    <row r="7403" spans="1:8" hidden="1" x14ac:dyDescent="0.25">
      <c r="A7403" t="s">
        <v>9305</v>
      </c>
      <c r="B7403" s="1" t="str">
        <f>HYPERLINK("https://asmlis.vasa.lt/Dashboard/Served?ServiceDateFrom=2025-11-24&amp;ServiceDateTo=2025-11-24&amp;DumpsterInvNr=13-P-114673", "13-P-114673")</f>
        <v>13-P-114673</v>
      </c>
      <c r="C7403">
        <v>0.24</v>
      </c>
      <c r="D7403" t="s">
        <v>10198</v>
      </c>
      <c r="E7403" t="s">
        <v>11</v>
      </c>
      <c r="G7403" t="s">
        <v>1917</v>
      </c>
      <c r="H7403" t="s">
        <v>432</v>
      </c>
    </row>
    <row r="7404" spans="1:8" hidden="1" x14ac:dyDescent="0.25">
      <c r="A7404" t="s">
        <v>10199</v>
      </c>
      <c r="B7404" s="1" t="str">
        <f>HYPERLINK("https://asmlis.vasa.lt/Dashboard/Served?ServiceDateFrom=2025-11-24&amp;ServiceDateTo=2025-11-24&amp;DumpsterInvNr=13-L-218345", "13-L-218345")</f>
        <v>13-L-218345</v>
      </c>
      <c r="C7404">
        <v>0.24</v>
      </c>
      <c r="D7404" t="s">
        <v>6910</v>
      </c>
      <c r="E7404" t="s">
        <v>11</v>
      </c>
      <c r="G7404" t="s">
        <v>936</v>
      </c>
      <c r="H7404" t="s">
        <v>938</v>
      </c>
    </row>
    <row r="7405" spans="1:8" hidden="1" x14ac:dyDescent="0.25">
      <c r="A7405" t="s">
        <v>9808</v>
      </c>
      <c r="B7405" s="1" t="str">
        <f>HYPERLINK("https://asmlis.vasa.lt/Dashboard/Served?ServiceDateFrom=2025-11-24&amp;ServiceDateTo=2025-11-24&amp;DumpsterInvNr=13-L-227620", "13-L-227620")</f>
        <v>13-L-227620</v>
      </c>
      <c r="C7405">
        <v>1.1000000000000001</v>
      </c>
      <c r="D7405" t="s">
        <v>10168</v>
      </c>
      <c r="E7405" t="s">
        <v>11</v>
      </c>
      <c r="G7405" t="s">
        <v>936</v>
      </c>
      <c r="H7405" t="s">
        <v>938</v>
      </c>
    </row>
    <row r="7406" spans="1:8" hidden="1" x14ac:dyDescent="0.25">
      <c r="A7406" t="s">
        <v>10015</v>
      </c>
      <c r="B7406" s="1" t="str">
        <f>HYPERLINK("https://asmlis.vasa.lt/Dashboard/Served?ServiceDateFrom=2025-11-24&amp;ServiceDateTo=2025-11-24&amp;DumpsterInvNr=13-P-105567", "13-P-105567")</f>
        <v>13-P-105567</v>
      </c>
      <c r="C7406">
        <v>0.77</v>
      </c>
      <c r="D7406" t="s">
        <v>10186</v>
      </c>
      <c r="E7406" t="s">
        <v>11</v>
      </c>
      <c r="G7406" t="s">
        <v>1917</v>
      </c>
      <c r="H7406" t="s">
        <v>432</v>
      </c>
    </row>
    <row r="7407" spans="1:8" hidden="1" x14ac:dyDescent="0.25">
      <c r="A7407" t="s">
        <v>10200</v>
      </c>
      <c r="B7407" s="1" t="str">
        <f>HYPERLINK("https://asmlis.vasa.lt/Dashboard/Served?ServiceDateFrom=2025-11-24&amp;ServiceDateTo=2025-11-24&amp;DumpsterInvNr=13-L-409484", "13-L-409484")</f>
        <v>13-L-409484</v>
      </c>
      <c r="C7407">
        <v>0.24</v>
      </c>
      <c r="D7407" t="s">
        <v>10202</v>
      </c>
      <c r="E7407" t="s">
        <v>11</v>
      </c>
      <c r="G7407" t="s">
        <v>74</v>
      </c>
      <c r="H7407" t="s">
        <v>14</v>
      </c>
    </row>
    <row r="7408" spans="1:8" hidden="1" x14ac:dyDescent="0.25">
      <c r="A7408" t="s">
        <v>10203</v>
      </c>
      <c r="B7408" s="1" t="str">
        <f>HYPERLINK("https://asmlis.vasa.lt/Dashboard/Served?ServiceDateFrom=2025-11-24&amp;ServiceDateTo=2025-11-24&amp;DumpsterInvNr=13-L-226352", "13-L-226352")</f>
        <v>13-L-226352</v>
      </c>
      <c r="C7408">
        <v>1.1000000000000001</v>
      </c>
      <c r="D7408" t="s">
        <v>10168</v>
      </c>
      <c r="E7408" t="s">
        <v>11</v>
      </c>
      <c r="G7408" t="s">
        <v>936</v>
      </c>
      <c r="H7408" t="s">
        <v>938</v>
      </c>
    </row>
    <row r="7409" spans="1:8" hidden="1" x14ac:dyDescent="0.25">
      <c r="A7409" t="s">
        <v>10204</v>
      </c>
      <c r="B7409" s="1" t="str">
        <f>HYPERLINK("https://asmlis.vasa.lt/Dashboard/Served?ServiceDateFrom=2025-11-24&amp;ServiceDateTo=2025-11-24&amp;DumpsterInvNr=13-L-216175", "13-L-216175")</f>
        <v>13-L-216175</v>
      </c>
      <c r="C7409">
        <v>0.24</v>
      </c>
      <c r="D7409" t="s">
        <v>6888</v>
      </c>
      <c r="E7409" t="s">
        <v>11</v>
      </c>
      <c r="G7409" t="s">
        <v>936</v>
      </c>
      <c r="H7409" t="s">
        <v>938</v>
      </c>
    </row>
    <row r="7410" spans="1:8" hidden="1" x14ac:dyDescent="0.25">
      <c r="A7410" t="s">
        <v>10158</v>
      </c>
      <c r="B7410" s="1" t="str">
        <f>HYPERLINK("https://asmlis.vasa.lt/Dashboard/Served?ServiceDateFrom=2025-11-24&amp;ServiceDateTo=2025-11-24&amp;DumpsterInvNr=13-L-304658", "13-L-304658")</f>
        <v>13-L-304658</v>
      </c>
      <c r="C7410">
        <v>1.1000000000000001</v>
      </c>
      <c r="D7410" t="s">
        <v>10106</v>
      </c>
      <c r="E7410" t="s">
        <v>11</v>
      </c>
      <c r="G7410" t="s">
        <v>9</v>
      </c>
      <c r="H7410" t="s">
        <v>14</v>
      </c>
    </row>
    <row r="7411" spans="1:8" hidden="1" x14ac:dyDescent="0.25">
      <c r="A7411" t="s">
        <v>10161</v>
      </c>
      <c r="B7411" s="1" t="str">
        <f>HYPERLINK("https://asmlis.vasa.lt/Dashboard/Served?ServiceDateFrom=2025-11-24&amp;ServiceDateTo=2025-11-24&amp;DumpsterInvNr=13-L-141228", "13-L-141228")</f>
        <v>13-L-141228</v>
      </c>
      <c r="C7411">
        <v>0.24</v>
      </c>
      <c r="D7411" t="s">
        <v>10205</v>
      </c>
      <c r="E7411" t="s">
        <v>11</v>
      </c>
      <c r="G7411" t="s">
        <v>1912</v>
      </c>
      <c r="H7411" t="s">
        <v>432</v>
      </c>
    </row>
    <row r="7412" spans="1:8" hidden="1" x14ac:dyDescent="0.25">
      <c r="A7412" t="s">
        <v>10206</v>
      </c>
      <c r="B7412" s="1" t="str">
        <f>HYPERLINK("https://asmlis.vasa.lt/Dashboard/Served?ServiceDateFrom=2025-11-24&amp;ServiceDateTo=2025-11-24&amp;DumpsterInvNr=13-P-405442", "13-P-405442")</f>
        <v>13-P-405442</v>
      </c>
      <c r="C7412">
        <v>5</v>
      </c>
      <c r="D7412" t="s">
        <v>10208</v>
      </c>
      <c r="E7412" t="s">
        <v>11</v>
      </c>
      <c r="F7412" t="s">
        <v>13</v>
      </c>
      <c r="G7412" t="s">
        <v>264</v>
      </c>
      <c r="H7412" t="s">
        <v>14</v>
      </c>
    </row>
    <row r="7413" spans="1:8" hidden="1" x14ac:dyDescent="0.25">
      <c r="A7413" t="s">
        <v>10209</v>
      </c>
      <c r="B7413" s="1" t="str">
        <f>HYPERLINK("https://asmlis.vasa.lt/Dashboard/Served?ServiceDateFrom=2025-11-24&amp;ServiceDateTo=2025-11-24&amp;DumpsterInvNr=13-L-425792", "13-L-425792")</f>
        <v>13-L-425792</v>
      </c>
      <c r="C7413">
        <v>0.12</v>
      </c>
      <c r="D7413" t="s">
        <v>10210</v>
      </c>
      <c r="E7413" t="s">
        <v>11</v>
      </c>
      <c r="G7413" t="s">
        <v>74</v>
      </c>
      <c r="H7413" t="s">
        <v>14</v>
      </c>
    </row>
    <row r="7414" spans="1:8" hidden="1" x14ac:dyDescent="0.25">
      <c r="A7414" t="s">
        <v>10209</v>
      </c>
      <c r="B7414" s="1" t="str">
        <f>HYPERLINK("https://asmlis.vasa.lt/Dashboard/Served?ServiceDateFrom=2025-11-24&amp;ServiceDateTo=2025-11-24&amp;DumpsterInvNr=13-L-407207", "13-L-407207")</f>
        <v>13-L-407207</v>
      </c>
      <c r="C7414">
        <v>0.12</v>
      </c>
      <c r="D7414" t="s">
        <v>10211</v>
      </c>
      <c r="E7414" t="s">
        <v>11</v>
      </c>
      <c r="G7414" t="s">
        <v>74</v>
      </c>
      <c r="H7414" t="s">
        <v>14</v>
      </c>
    </row>
    <row r="7415" spans="1:8" hidden="1" x14ac:dyDescent="0.25">
      <c r="A7415" t="s">
        <v>10212</v>
      </c>
      <c r="B7415" s="1" t="str">
        <f>HYPERLINK("https://asmlis.vasa.lt/Dashboard/Served?ServiceDateFrom=2025-11-24&amp;ServiceDateTo=2025-11-24&amp;DumpsterInvNr=13-L-214923", "13-L-214923")</f>
        <v>13-L-214923</v>
      </c>
      <c r="C7415">
        <v>0.24</v>
      </c>
      <c r="D7415" t="s">
        <v>10213</v>
      </c>
      <c r="E7415" t="s">
        <v>11</v>
      </c>
      <c r="G7415" t="s">
        <v>936</v>
      </c>
      <c r="H7415" t="s">
        <v>938</v>
      </c>
    </row>
    <row r="7416" spans="1:8" hidden="1" x14ac:dyDescent="0.25">
      <c r="A7416" t="s">
        <v>10214</v>
      </c>
      <c r="B7416" s="1" t="str">
        <f>HYPERLINK("https://asmlis.vasa.lt/Dashboard/Served?ServiceDateFrom=2025-11-24&amp;ServiceDateTo=2025-11-24&amp;DumpsterInvNr=13-P-402471", "13-P-402471")</f>
        <v>13-P-402471</v>
      </c>
      <c r="C7416">
        <v>1.1000000000000001</v>
      </c>
      <c r="D7416" t="s">
        <v>10215</v>
      </c>
      <c r="E7416" t="s">
        <v>11</v>
      </c>
      <c r="G7416" t="s">
        <v>264</v>
      </c>
      <c r="H7416" t="s">
        <v>14</v>
      </c>
    </row>
    <row r="7417" spans="1:8" hidden="1" x14ac:dyDescent="0.25">
      <c r="A7417" t="s">
        <v>10216</v>
      </c>
      <c r="B7417" s="1" t="str">
        <f>HYPERLINK("https://asmlis.vasa.lt/Dashboard/Served?ServiceDateFrom=2025-11-24&amp;ServiceDateTo=2025-11-24&amp;DumpsterInvNr=13-L-215642", "13-L-215642")</f>
        <v>13-L-215642</v>
      </c>
      <c r="C7417">
        <v>0.77</v>
      </c>
      <c r="D7417" t="s">
        <v>10168</v>
      </c>
      <c r="E7417" t="s">
        <v>11</v>
      </c>
      <c r="G7417" t="s">
        <v>936</v>
      </c>
      <c r="H7417" t="s">
        <v>938</v>
      </c>
    </row>
    <row r="7418" spans="1:8" hidden="1" x14ac:dyDescent="0.25">
      <c r="A7418" t="s">
        <v>10216</v>
      </c>
      <c r="B7418" s="1" t="str">
        <f>HYPERLINK("https://asmlis.vasa.lt/Dashboard/Served?ServiceDateFrom=2025-11-24&amp;ServiceDateTo=2025-11-24&amp;DumpsterInvNr=13-L-304657", "13-L-304657")</f>
        <v>13-L-304657</v>
      </c>
      <c r="C7418">
        <v>1.1000000000000001</v>
      </c>
      <c r="D7418" t="s">
        <v>10106</v>
      </c>
      <c r="E7418" t="s">
        <v>11</v>
      </c>
      <c r="G7418" t="s">
        <v>9</v>
      </c>
      <c r="H7418" t="s">
        <v>14</v>
      </c>
    </row>
    <row r="7419" spans="1:8" hidden="1" x14ac:dyDescent="0.25">
      <c r="A7419" t="s">
        <v>4609</v>
      </c>
      <c r="B7419" s="1" t="str">
        <f>HYPERLINK("https://asmlis.vasa.lt/Dashboard/Served?ServiceDateFrom=2025-11-24&amp;ServiceDateTo=2025-11-24&amp;DumpsterInvNr=13-L-112354", "13-L-112354")</f>
        <v>13-L-112354</v>
      </c>
      <c r="C7419">
        <v>0.12</v>
      </c>
      <c r="D7419" t="s">
        <v>10217</v>
      </c>
      <c r="E7419" t="s">
        <v>11</v>
      </c>
      <c r="G7419" t="s">
        <v>1912</v>
      </c>
      <c r="H7419" t="s">
        <v>432</v>
      </c>
    </row>
    <row r="7420" spans="1:8" hidden="1" x14ac:dyDescent="0.25">
      <c r="A7420" t="s">
        <v>4801</v>
      </c>
      <c r="B7420" s="1" t="str">
        <f>HYPERLINK("https://asmlis.vasa.lt/Dashboard/Served?ServiceDateFrom=2025-11-24&amp;ServiceDateTo=2025-11-24&amp;DumpsterInvNr=13-P-313432", "13-P-313432")</f>
        <v>13-P-313432</v>
      </c>
      <c r="C7420">
        <v>1.1000000000000001</v>
      </c>
      <c r="D7420" t="s">
        <v>10218</v>
      </c>
      <c r="E7420" t="s">
        <v>11</v>
      </c>
      <c r="G7420" t="s">
        <v>412</v>
      </c>
      <c r="H7420" t="s">
        <v>14</v>
      </c>
    </row>
    <row r="7421" spans="1:8" hidden="1" x14ac:dyDescent="0.25">
      <c r="A7421" t="s">
        <v>4801</v>
      </c>
      <c r="B7421" s="1" t="str">
        <f>HYPERLINK("https://asmlis.vasa.lt/Dashboard/Served?ServiceDateFrom=2025-11-24&amp;ServiceDateTo=2025-11-24&amp;DumpsterInvNr=13-L-312548", "13-L-312548")</f>
        <v>13-L-312548</v>
      </c>
      <c r="C7421">
        <v>1.1000000000000001</v>
      </c>
      <c r="D7421" t="s">
        <v>10219</v>
      </c>
      <c r="E7421" t="s">
        <v>11</v>
      </c>
      <c r="G7421" t="s">
        <v>9</v>
      </c>
      <c r="H7421" t="s">
        <v>14</v>
      </c>
    </row>
    <row r="7422" spans="1:8" hidden="1" x14ac:dyDescent="0.25">
      <c r="A7422" t="s">
        <v>4801</v>
      </c>
      <c r="B7422" s="1" t="str">
        <f>HYPERLINK("https://asmlis.vasa.lt/Dashboard/Served?ServiceDateFrom=2025-11-24&amp;ServiceDateTo=2025-11-24&amp;DumpsterInvNr=13-L-421512", "13-L-421512")</f>
        <v>13-L-421512</v>
      </c>
      <c r="C7422">
        <v>1.1000000000000001</v>
      </c>
      <c r="D7422" t="s">
        <v>10220</v>
      </c>
      <c r="E7422" t="s">
        <v>11</v>
      </c>
      <c r="G7422" t="s">
        <v>74</v>
      </c>
      <c r="H7422" t="s">
        <v>14</v>
      </c>
    </row>
    <row r="7423" spans="1:8" hidden="1" x14ac:dyDescent="0.25">
      <c r="A7423" t="s">
        <v>5211</v>
      </c>
      <c r="B7423" s="1" t="str">
        <f>HYPERLINK("https://asmlis.vasa.lt/Dashboard/Served?ServiceDateFrom=2025-11-24&amp;ServiceDateTo=2025-11-24&amp;DumpsterInvNr=13-P-103532", "13-P-103532")</f>
        <v>13-P-103532</v>
      </c>
      <c r="C7423">
        <v>0.24</v>
      </c>
      <c r="D7423" t="s">
        <v>10217</v>
      </c>
      <c r="E7423" t="s">
        <v>11</v>
      </c>
      <c r="G7423" t="s">
        <v>1917</v>
      </c>
      <c r="H7423" t="s">
        <v>432</v>
      </c>
    </row>
    <row r="7424" spans="1:8" hidden="1" x14ac:dyDescent="0.25">
      <c r="A7424" t="s">
        <v>6078</v>
      </c>
      <c r="B7424" s="1" t="str">
        <f>HYPERLINK("https://asmlis.vasa.lt/Dashboard/Served?ServiceDateFrom=2025-11-24&amp;ServiceDateTo=2025-11-24&amp;DumpsterInvNr=13-L-408897", "13-L-408897")</f>
        <v>13-L-408897</v>
      </c>
      <c r="C7424">
        <v>0.12</v>
      </c>
      <c r="D7424" t="s">
        <v>10222</v>
      </c>
      <c r="E7424" t="s">
        <v>11</v>
      </c>
      <c r="G7424" t="s">
        <v>74</v>
      </c>
      <c r="H7424" t="s">
        <v>14</v>
      </c>
    </row>
    <row r="7425" spans="1:8" hidden="1" x14ac:dyDescent="0.25">
      <c r="A7425" t="s">
        <v>6078</v>
      </c>
      <c r="B7425" s="1" t="str">
        <f>HYPERLINK("https://asmlis.vasa.lt/Dashboard/Served?ServiceDateFrom=2025-11-24&amp;ServiceDateTo=2025-11-24&amp;DumpsterInvNr=13-L-422534", "13-L-422534")</f>
        <v>13-L-422534</v>
      </c>
      <c r="C7425">
        <v>0.12</v>
      </c>
      <c r="D7425" t="s">
        <v>10223</v>
      </c>
      <c r="E7425" t="s">
        <v>11</v>
      </c>
      <c r="G7425" t="s">
        <v>74</v>
      </c>
      <c r="H7425" t="s">
        <v>14</v>
      </c>
    </row>
    <row r="7426" spans="1:8" hidden="1" x14ac:dyDescent="0.25">
      <c r="A7426" t="s">
        <v>7391</v>
      </c>
      <c r="B7426" s="1" t="str">
        <f>HYPERLINK("https://asmlis.vasa.lt/Dashboard/Served?ServiceDateFrom=2025-11-24&amp;ServiceDateTo=2025-11-24&amp;DumpsterInvNr=13-L-211864", "13-L-211864")</f>
        <v>13-L-211864</v>
      </c>
      <c r="C7426">
        <v>1.1000000000000001</v>
      </c>
      <c r="D7426" t="s">
        <v>10168</v>
      </c>
      <c r="E7426" t="s">
        <v>11</v>
      </c>
      <c r="F7426" t="s">
        <v>13</v>
      </c>
      <c r="G7426" t="s">
        <v>936</v>
      </c>
      <c r="H7426" t="s">
        <v>938</v>
      </c>
    </row>
    <row r="7427" spans="1:8" hidden="1" x14ac:dyDescent="0.25">
      <c r="A7427" t="s">
        <v>7391</v>
      </c>
      <c r="B7427" s="1" t="str">
        <f>HYPERLINK("https://asmlis.vasa.lt/Dashboard/Served?ServiceDateFrom=2025-11-24&amp;ServiceDateTo=2025-11-24&amp;DumpsterInvNr=13-L-222427", "13-L-222427")</f>
        <v>13-L-222427</v>
      </c>
      <c r="C7427">
        <v>1.1000000000000001</v>
      </c>
      <c r="D7427" t="s">
        <v>10225</v>
      </c>
      <c r="E7427" t="s">
        <v>11</v>
      </c>
      <c r="G7427" t="s">
        <v>936</v>
      </c>
      <c r="H7427" t="s">
        <v>938</v>
      </c>
    </row>
    <row r="7428" spans="1:8" hidden="1" x14ac:dyDescent="0.25">
      <c r="A7428" t="s">
        <v>7391</v>
      </c>
      <c r="B7428" s="1" t="str">
        <f>HYPERLINK("https://asmlis.vasa.lt/Dashboard/Served?ServiceDateFrom=2025-11-24&amp;ServiceDateTo=2025-11-24&amp;DumpsterInvNr=13-L-202184", "13-L-202184")</f>
        <v>13-L-202184</v>
      </c>
      <c r="C7428">
        <v>0.24</v>
      </c>
      <c r="D7428" t="s">
        <v>6851</v>
      </c>
      <c r="E7428" t="s">
        <v>11</v>
      </c>
      <c r="G7428" t="s">
        <v>936</v>
      </c>
      <c r="H7428" t="s">
        <v>938</v>
      </c>
    </row>
    <row r="7429" spans="1:8" hidden="1" x14ac:dyDescent="0.25">
      <c r="A7429" t="s">
        <v>10226</v>
      </c>
      <c r="B7429" s="1" t="str">
        <f>HYPERLINK("https://asmlis.vasa.lt/Dashboard/Served?ServiceDateFrom=2025-11-24&amp;ServiceDateTo=2025-11-24&amp;DumpsterInvNr=13-L-219288", "13-L-219288")</f>
        <v>13-L-219288</v>
      </c>
      <c r="C7429">
        <v>0.77</v>
      </c>
      <c r="D7429" t="s">
        <v>10168</v>
      </c>
      <c r="E7429" t="s">
        <v>11</v>
      </c>
      <c r="F7429" t="s">
        <v>13</v>
      </c>
      <c r="G7429" t="s">
        <v>936</v>
      </c>
      <c r="H7429" t="s">
        <v>938</v>
      </c>
    </row>
    <row r="7430" spans="1:8" hidden="1" x14ac:dyDescent="0.25">
      <c r="A7430" t="s">
        <v>10227</v>
      </c>
      <c r="B7430" s="1" t="str">
        <f>HYPERLINK("https://asmlis.vasa.lt/Dashboard/Served?ServiceDateFrom=2025-11-24&amp;ServiceDateTo=2025-11-24&amp;DumpsterInvNr=13-P-213277", "13-P-213277")</f>
        <v>13-P-213277</v>
      </c>
      <c r="C7430">
        <v>0.24</v>
      </c>
      <c r="D7430" t="s">
        <v>10228</v>
      </c>
      <c r="E7430" t="s">
        <v>11</v>
      </c>
      <c r="G7430" t="s">
        <v>234</v>
      </c>
      <c r="H7430" t="s">
        <v>14</v>
      </c>
    </row>
    <row r="7431" spans="1:8" hidden="1" x14ac:dyDescent="0.25">
      <c r="A7431" t="s">
        <v>10229</v>
      </c>
      <c r="B7431" s="1" t="str">
        <f>HYPERLINK("https://asmlis.vasa.lt/Dashboard/Served?ServiceDateFrom=2025-11-24&amp;ServiceDateTo=2025-11-24&amp;DumpsterInvNr=13-L-419179", "13-L-419179")</f>
        <v>13-L-419179</v>
      </c>
      <c r="C7431">
        <v>1.1000000000000001</v>
      </c>
      <c r="D7431" t="s">
        <v>10230</v>
      </c>
      <c r="E7431" t="s">
        <v>11</v>
      </c>
      <c r="G7431" t="s">
        <v>74</v>
      </c>
      <c r="H7431" t="s">
        <v>14</v>
      </c>
    </row>
    <row r="7432" spans="1:8" hidden="1" x14ac:dyDescent="0.25">
      <c r="A7432" t="s">
        <v>10231</v>
      </c>
      <c r="B7432" s="1" t="str">
        <f>HYPERLINK("https://asmlis.vasa.lt/Dashboard/Served?ServiceDateFrom=2025-11-24&amp;ServiceDateTo=2025-11-24&amp;DumpsterInvNr=13-P-400548", "13-P-400548")</f>
        <v>13-P-400548</v>
      </c>
      <c r="C7432">
        <v>5</v>
      </c>
      <c r="D7432" t="s">
        <v>3817</v>
      </c>
      <c r="E7432" t="s">
        <v>11</v>
      </c>
      <c r="F7432" t="s">
        <v>13</v>
      </c>
      <c r="G7432" t="s">
        <v>264</v>
      </c>
      <c r="H7432" t="s">
        <v>14</v>
      </c>
    </row>
    <row r="7433" spans="1:8" hidden="1" x14ac:dyDescent="0.25">
      <c r="A7433" t="s">
        <v>10232</v>
      </c>
      <c r="B7433" s="1" t="str">
        <f>HYPERLINK("https://asmlis.vasa.lt/Dashboard/Served?ServiceDateFrom=2025-11-24&amp;ServiceDateTo=2025-11-24&amp;DumpsterInvNr=13-P-500453", "13-P-500453")</f>
        <v>13-P-500453</v>
      </c>
      <c r="C7433">
        <v>5</v>
      </c>
      <c r="D7433" t="s">
        <v>8212</v>
      </c>
      <c r="E7433" t="s">
        <v>11</v>
      </c>
      <c r="F7433" t="s">
        <v>13</v>
      </c>
      <c r="G7433" t="s">
        <v>2178</v>
      </c>
      <c r="H7433" t="s">
        <v>432</v>
      </c>
    </row>
    <row r="7434" spans="1:8" hidden="1" x14ac:dyDescent="0.25">
      <c r="A7434" t="s">
        <v>10233</v>
      </c>
      <c r="B7434" s="1" t="str">
        <f>HYPERLINK("https://asmlis.vasa.lt/Dashboard/Served?ServiceDateFrom=2025-11-24&amp;ServiceDateTo=2025-11-24&amp;DumpsterInvNr=13-L-120402", "13-L-120402")</f>
        <v>13-L-120402</v>
      </c>
      <c r="C7434">
        <v>0.24</v>
      </c>
      <c r="D7434" t="s">
        <v>10234</v>
      </c>
      <c r="E7434" t="s">
        <v>11</v>
      </c>
      <c r="G7434" t="s">
        <v>1912</v>
      </c>
      <c r="H7434" t="s">
        <v>432</v>
      </c>
    </row>
    <row r="7435" spans="1:8" hidden="1" x14ac:dyDescent="0.25">
      <c r="A7435" t="s">
        <v>10233</v>
      </c>
      <c r="B7435" s="1" t="str">
        <f>HYPERLINK("https://asmlis.vasa.lt/Dashboard/Served?ServiceDateFrom=2025-11-24&amp;ServiceDateTo=2025-11-24&amp;DumpsterInvNr=13-L-215697", "13-L-215697")</f>
        <v>13-L-215697</v>
      </c>
      <c r="C7435">
        <v>0.24</v>
      </c>
      <c r="D7435" t="s">
        <v>6836</v>
      </c>
      <c r="E7435" t="s">
        <v>11</v>
      </c>
      <c r="F7435" t="s">
        <v>1209</v>
      </c>
      <c r="G7435" t="s">
        <v>936</v>
      </c>
      <c r="H7435" t="s">
        <v>938</v>
      </c>
    </row>
    <row r="7436" spans="1:8" hidden="1" x14ac:dyDescent="0.25">
      <c r="A7436" t="s">
        <v>10236</v>
      </c>
      <c r="B7436" s="1" t="str">
        <f>HYPERLINK("https://asmlis.vasa.lt/Dashboard/Served?ServiceDateFrom=2025-11-24&amp;ServiceDateTo=2025-11-24&amp;DumpsterInvNr=13-P-300272", "13-P-300272")</f>
        <v>13-P-300272</v>
      </c>
      <c r="C7436">
        <v>1.1000000000000001</v>
      </c>
      <c r="D7436" t="s">
        <v>10218</v>
      </c>
      <c r="E7436" t="s">
        <v>11</v>
      </c>
      <c r="G7436" t="s">
        <v>412</v>
      </c>
      <c r="H7436" t="s">
        <v>14</v>
      </c>
    </row>
    <row r="7437" spans="1:8" hidden="1" x14ac:dyDescent="0.25">
      <c r="A7437" t="s">
        <v>10237</v>
      </c>
      <c r="B7437" s="1" t="str">
        <f>HYPERLINK("https://asmlis.vasa.lt/Dashboard/Served?ServiceDateFrom=2025-11-24&amp;ServiceDateTo=2025-11-24&amp;DumpsterInvNr=13-L-416731", "13-L-416731")</f>
        <v>13-L-416731</v>
      </c>
      <c r="C7437">
        <v>1.1000000000000001</v>
      </c>
      <c r="D7437" t="s">
        <v>10238</v>
      </c>
      <c r="E7437" t="s">
        <v>11</v>
      </c>
      <c r="G7437" t="s">
        <v>74</v>
      </c>
      <c r="H7437" t="s">
        <v>14</v>
      </c>
    </row>
    <row r="7438" spans="1:8" hidden="1" x14ac:dyDescent="0.25">
      <c r="A7438" t="s">
        <v>10237</v>
      </c>
      <c r="B7438" s="1" t="str">
        <f>HYPERLINK("https://asmlis.vasa.lt/Dashboard/Served?ServiceDateFrom=2025-11-24&amp;ServiceDateTo=2025-11-24&amp;DumpsterInvNr=13-M-206088", "13-M-206088")</f>
        <v>13-M-206088</v>
      </c>
      <c r="C7438">
        <v>0.12</v>
      </c>
      <c r="D7438" t="s">
        <v>10239</v>
      </c>
      <c r="E7438" t="s">
        <v>11</v>
      </c>
      <c r="G7438" t="s">
        <v>4876</v>
      </c>
      <c r="H7438" t="s">
        <v>938</v>
      </c>
    </row>
    <row r="7439" spans="1:8" hidden="1" x14ac:dyDescent="0.25">
      <c r="A7439" t="s">
        <v>10240</v>
      </c>
      <c r="B7439" s="1" t="str">
        <f>HYPERLINK("https://asmlis.vasa.lt/Dashboard/Served?ServiceDateFrom=2025-11-24&amp;ServiceDateTo=2025-11-24&amp;DumpsterInvNr=13-P-112096", "13-P-112096")</f>
        <v>13-P-112096</v>
      </c>
      <c r="C7439">
        <v>0.24</v>
      </c>
      <c r="D7439" t="s">
        <v>10234</v>
      </c>
      <c r="E7439" t="s">
        <v>11</v>
      </c>
      <c r="G7439" t="s">
        <v>1917</v>
      </c>
      <c r="H7439" t="s">
        <v>432</v>
      </c>
    </row>
    <row r="7440" spans="1:8" hidden="1" x14ac:dyDescent="0.25">
      <c r="A7440" t="s">
        <v>10241</v>
      </c>
      <c r="B7440" s="1" t="str">
        <f>HYPERLINK("https://asmlis.vasa.lt/Dashboard/Served?ServiceDateFrom=2025-11-24&amp;ServiceDateTo=2025-11-24&amp;DumpsterInvNr=13-L-408895", "13-L-408895")</f>
        <v>13-L-408895</v>
      </c>
      <c r="C7440">
        <v>0.12</v>
      </c>
      <c r="D7440" t="s">
        <v>10242</v>
      </c>
      <c r="E7440" t="s">
        <v>11</v>
      </c>
      <c r="G7440" t="s">
        <v>74</v>
      </c>
      <c r="H7440" t="s">
        <v>14</v>
      </c>
    </row>
    <row r="7441" spans="1:8" hidden="1" x14ac:dyDescent="0.25">
      <c r="A7441" t="s">
        <v>10241</v>
      </c>
      <c r="B7441" s="1" t="str">
        <f>HYPERLINK("https://asmlis.vasa.lt/Dashboard/Served?ServiceDateFrom=2025-11-24&amp;ServiceDateTo=2025-11-24&amp;DumpsterInvNr=13-P-400595", "13-P-400595")</f>
        <v>13-P-400595</v>
      </c>
      <c r="C7441">
        <v>2.5</v>
      </c>
      <c r="D7441" t="s">
        <v>3806</v>
      </c>
      <c r="E7441" t="s">
        <v>11</v>
      </c>
      <c r="F7441" t="s">
        <v>13</v>
      </c>
      <c r="G7441" t="s">
        <v>264</v>
      </c>
      <c r="H7441" t="s">
        <v>14</v>
      </c>
    </row>
    <row r="7442" spans="1:8" hidden="1" x14ac:dyDescent="0.25">
      <c r="A7442" t="s">
        <v>10243</v>
      </c>
      <c r="B7442" s="1" t="str">
        <f>HYPERLINK("https://asmlis.vasa.lt/Dashboard/Served?ServiceDateFrom=2025-11-24&amp;ServiceDateTo=2025-11-24&amp;DumpsterInvNr=13-P-101080", "13-P-101080")</f>
        <v>13-P-101080</v>
      </c>
      <c r="C7442">
        <v>0.24</v>
      </c>
      <c r="D7442" t="s">
        <v>10076</v>
      </c>
      <c r="E7442" t="s">
        <v>11</v>
      </c>
      <c r="F7442" t="s">
        <v>1209</v>
      </c>
      <c r="G7442" t="s">
        <v>1917</v>
      </c>
      <c r="H7442" t="s">
        <v>432</v>
      </c>
    </row>
    <row r="7443" spans="1:8" hidden="1" x14ac:dyDescent="0.25">
      <c r="A7443" t="s">
        <v>10245</v>
      </c>
      <c r="B7443" s="1" t="str">
        <f>HYPERLINK("https://asmlis.vasa.lt/Dashboard/Served?ServiceDateFrom=2025-11-24&amp;ServiceDateTo=2025-11-24&amp;DumpsterInvNr=13-L-144695", "13-L-144695")</f>
        <v>13-L-144695</v>
      </c>
      <c r="C7443">
        <v>5</v>
      </c>
      <c r="D7443" t="s">
        <v>10246</v>
      </c>
      <c r="E7443" t="s">
        <v>11</v>
      </c>
      <c r="F7443" t="s">
        <v>13</v>
      </c>
      <c r="G7443" t="s">
        <v>430</v>
      </c>
      <c r="H7443" t="s">
        <v>432</v>
      </c>
    </row>
    <row r="7444" spans="1:8" hidden="1" x14ac:dyDescent="0.25">
      <c r="A7444" t="s">
        <v>10247</v>
      </c>
      <c r="B7444" s="1" t="str">
        <f>HYPERLINK("https://asmlis.vasa.lt/Dashboard/Served?ServiceDateFrom=2025-11-24&amp;ServiceDateTo=2025-11-24&amp;DumpsterInvNr=13-P-401708", "13-P-401708")</f>
        <v>13-P-401708</v>
      </c>
      <c r="C7444">
        <v>2.5</v>
      </c>
      <c r="D7444" t="s">
        <v>3794</v>
      </c>
      <c r="E7444" t="s">
        <v>11</v>
      </c>
      <c r="F7444" t="s">
        <v>13</v>
      </c>
      <c r="G7444" t="s">
        <v>264</v>
      </c>
      <c r="H7444" t="s">
        <v>14</v>
      </c>
    </row>
    <row r="7445" spans="1:8" hidden="1" x14ac:dyDescent="0.25">
      <c r="A7445" t="s">
        <v>10248</v>
      </c>
      <c r="B7445" s="1" t="str">
        <f>HYPERLINK("https://asmlis.vasa.lt/Dashboard/Served?ServiceDateFrom=2025-11-24&amp;ServiceDateTo=2025-11-24&amp;DumpsterInvNr=13-L-223057", "13-L-223057")</f>
        <v>13-L-223057</v>
      </c>
      <c r="C7445">
        <v>1.1000000000000001</v>
      </c>
      <c r="D7445" t="s">
        <v>10225</v>
      </c>
      <c r="E7445" t="s">
        <v>11</v>
      </c>
      <c r="G7445" t="s">
        <v>936</v>
      </c>
      <c r="H7445" t="s">
        <v>938</v>
      </c>
    </row>
    <row r="7446" spans="1:8" hidden="1" x14ac:dyDescent="0.25">
      <c r="A7446" t="s">
        <v>10249</v>
      </c>
      <c r="B7446" s="1" t="str">
        <f>HYPERLINK("https://asmlis.vasa.lt/Dashboard/Served?ServiceDateFrom=2025-11-24&amp;ServiceDateTo=2025-11-24&amp;DumpsterInvNr=13-L-205788", "13-L-205788")</f>
        <v>13-L-205788</v>
      </c>
      <c r="C7446">
        <v>0.12</v>
      </c>
      <c r="D7446" t="s">
        <v>10250</v>
      </c>
      <c r="E7446" t="s">
        <v>11</v>
      </c>
      <c r="G7446" t="s">
        <v>936</v>
      </c>
      <c r="H7446" t="s">
        <v>938</v>
      </c>
    </row>
    <row r="7447" spans="1:8" hidden="1" x14ac:dyDescent="0.25">
      <c r="A7447" t="s">
        <v>10251</v>
      </c>
      <c r="B7447" s="1" t="str">
        <f>HYPERLINK("https://asmlis.vasa.lt/Dashboard/Served?ServiceDateFrom=2025-11-24&amp;ServiceDateTo=2025-11-24&amp;DumpsterInvNr=13-L-407209", "13-L-407209")</f>
        <v>13-L-407209</v>
      </c>
      <c r="C7447">
        <v>0.24</v>
      </c>
      <c r="D7447" t="s">
        <v>10252</v>
      </c>
      <c r="E7447" t="s">
        <v>11</v>
      </c>
      <c r="G7447" t="s">
        <v>74</v>
      </c>
      <c r="H7447" t="s">
        <v>14</v>
      </c>
    </row>
    <row r="7448" spans="1:8" hidden="1" x14ac:dyDescent="0.25">
      <c r="A7448" t="s">
        <v>10251</v>
      </c>
      <c r="B7448" s="1" t="str">
        <f>HYPERLINK("https://asmlis.vasa.lt/Dashboard/Served?ServiceDateFrom=2025-11-24&amp;ServiceDateTo=2025-11-24&amp;DumpsterInvNr=13-L-408896", "13-L-408896")</f>
        <v>13-L-408896</v>
      </c>
      <c r="C7448">
        <v>0.12</v>
      </c>
      <c r="D7448" t="s">
        <v>10253</v>
      </c>
      <c r="E7448" t="s">
        <v>11</v>
      </c>
      <c r="G7448" t="s">
        <v>74</v>
      </c>
      <c r="H7448" t="s">
        <v>14</v>
      </c>
    </row>
    <row r="7449" spans="1:8" hidden="1" x14ac:dyDescent="0.25">
      <c r="A7449" t="s">
        <v>10251</v>
      </c>
      <c r="B7449" s="1" t="str">
        <f>HYPERLINK("https://asmlis.vasa.lt/Dashboard/Served?ServiceDateFrom=2025-11-24&amp;ServiceDateTo=2025-11-24&amp;DumpsterInvNr=13-M-204560", "13-M-204560")</f>
        <v>13-M-204560</v>
      </c>
      <c r="C7449">
        <v>0.12</v>
      </c>
      <c r="D7449" t="s">
        <v>10254</v>
      </c>
      <c r="E7449" t="s">
        <v>11</v>
      </c>
      <c r="F7449" t="s">
        <v>1209</v>
      </c>
      <c r="G7449" t="s">
        <v>4876</v>
      </c>
      <c r="H7449" t="s">
        <v>938</v>
      </c>
    </row>
    <row r="7450" spans="1:8" hidden="1" x14ac:dyDescent="0.25">
      <c r="A7450" t="s">
        <v>10255</v>
      </c>
      <c r="B7450" s="1" t="str">
        <f>HYPERLINK("https://asmlis.vasa.lt/Dashboard/Served?ServiceDateFrom=2025-11-24&amp;ServiceDateTo=2025-11-24&amp;DumpsterInvNr=13-L-208490", "13-L-208490")</f>
        <v>13-L-208490</v>
      </c>
      <c r="C7450">
        <v>1.1000000000000001</v>
      </c>
      <c r="D7450" t="s">
        <v>6805</v>
      </c>
      <c r="E7450" t="s">
        <v>11</v>
      </c>
      <c r="F7450" t="s">
        <v>13</v>
      </c>
      <c r="G7450" t="s">
        <v>936</v>
      </c>
      <c r="H7450" t="s">
        <v>938</v>
      </c>
    </row>
    <row r="7451" spans="1:8" hidden="1" x14ac:dyDescent="0.25">
      <c r="A7451" t="s">
        <v>10256</v>
      </c>
      <c r="B7451" s="1" t="str">
        <f>HYPERLINK("https://asmlis.vasa.lt/Dashboard/Served?ServiceDateFrom=2025-11-24&amp;ServiceDateTo=2025-11-24&amp;DumpsterInvNr=13-L-125900", "13-L-125900")</f>
        <v>13-L-125900</v>
      </c>
      <c r="C7451">
        <v>0.12</v>
      </c>
      <c r="D7451" t="s">
        <v>10257</v>
      </c>
      <c r="E7451" t="s">
        <v>11</v>
      </c>
      <c r="G7451" t="s">
        <v>1912</v>
      </c>
      <c r="H7451" t="s">
        <v>432</v>
      </c>
    </row>
    <row r="7452" spans="1:8" hidden="1" x14ac:dyDescent="0.25">
      <c r="A7452" t="s">
        <v>10258</v>
      </c>
      <c r="B7452" s="1" t="str">
        <f>HYPERLINK("https://asmlis.vasa.lt/Dashboard/Served?ServiceDateFrom=2025-11-24&amp;ServiceDateTo=2025-11-24&amp;DumpsterInvNr=13-M-204022", "13-M-204022")</f>
        <v>13-M-204022</v>
      </c>
      <c r="C7452">
        <v>0.12</v>
      </c>
      <c r="D7452" t="s">
        <v>10259</v>
      </c>
      <c r="E7452" t="s">
        <v>11</v>
      </c>
      <c r="F7452" t="s">
        <v>1209</v>
      </c>
      <c r="G7452" t="s">
        <v>4876</v>
      </c>
      <c r="H7452" t="s">
        <v>938</v>
      </c>
    </row>
    <row r="7453" spans="1:8" hidden="1" x14ac:dyDescent="0.25">
      <c r="A7453" t="s">
        <v>10261</v>
      </c>
      <c r="B7453" s="1" t="str">
        <f>HYPERLINK("https://asmlis.vasa.lt/Dashboard/Served?ServiceDateFrom=2025-11-24&amp;ServiceDateTo=2025-11-24&amp;DumpsterInvNr=13-P-211650", "13-P-211650")</f>
        <v>13-P-211650</v>
      </c>
      <c r="C7453">
        <v>0.24</v>
      </c>
      <c r="D7453" t="s">
        <v>10262</v>
      </c>
      <c r="E7453" t="s">
        <v>11</v>
      </c>
      <c r="G7453" t="s">
        <v>234</v>
      </c>
      <c r="H7453" t="s">
        <v>14</v>
      </c>
    </row>
    <row r="7454" spans="1:8" hidden="1" x14ac:dyDescent="0.25">
      <c r="A7454" t="s">
        <v>10263</v>
      </c>
      <c r="B7454" s="1" t="str">
        <f>HYPERLINK("https://asmlis.vasa.lt/Dashboard/Served?ServiceDateFrom=2025-11-24&amp;ServiceDateTo=2025-11-24&amp;DumpsterInvNr=13-L-304367", "13-L-304367")</f>
        <v>13-L-304367</v>
      </c>
      <c r="C7454">
        <v>5</v>
      </c>
      <c r="D7454" t="s">
        <v>8788</v>
      </c>
      <c r="E7454" t="s">
        <v>11</v>
      </c>
      <c r="F7454" t="s">
        <v>13</v>
      </c>
      <c r="G7454" t="s">
        <v>9</v>
      </c>
      <c r="H7454" t="s">
        <v>14</v>
      </c>
    </row>
    <row r="7455" spans="1:8" hidden="1" x14ac:dyDescent="0.25">
      <c r="A7455" t="s">
        <v>10264</v>
      </c>
      <c r="B7455" s="1" t="str">
        <f>HYPERLINK("https://asmlis.vasa.lt/Dashboard/Served?ServiceDateFrom=2025-11-24&amp;ServiceDateTo=2025-11-24&amp;DumpsterInvNr=13-L-114502", "13-L-114502")</f>
        <v>13-L-114502</v>
      </c>
      <c r="C7455">
        <v>0.24</v>
      </c>
      <c r="D7455" t="s">
        <v>10265</v>
      </c>
      <c r="E7455" t="s">
        <v>11</v>
      </c>
      <c r="G7455" t="s">
        <v>1912</v>
      </c>
      <c r="H7455" t="s">
        <v>432</v>
      </c>
    </row>
    <row r="7456" spans="1:8" hidden="1" x14ac:dyDescent="0.25">
      <c r="A7456" t="s">
        <v>10266</v>
      </c>
      <c r="B7456" s="1" t="str">
        <f>HYPERLINK("https://asmlis.vasa.lt/Dashboard/Served?ServiceDateFrom=2025-11-24&amp;ServiceDateTo=2025-11-24&amp;DumpsterInvNr=13-L-305473", "13-L-305473")</f>
        <v>13-L-305473</v>
      </c>
      <c r="C7456">
        <v>0.77</v>
      </c>
      <c r="D7456" t="s">
        <v>5726</v>
      </c>
      <c r="E7456" t="s">
        <v>11</v>
      </c>
      <c r="F7456" t="s">
        <v>13</v>
      </c>
      <c r="G7456" t="s">
        <v>9</v>
      </c>
      <c r="H7456" t="s">
        <v>14</v>
      </c>
    </row>
    <row r="7457" spans="1:8" hidden="1" x14ac:dyDescent="0.25">
      <c r="A7457" t="s">
        <v>10267</v>
      </c>
      <c r="B7457" s="1" t="str">
        <f>HYPERLINK("https://asmlis.vasa.lt/Dashboard/Served?ServiceDateFrom=2025-11-24&amp;ServiceDateTo=2025-11-24&amp;DumpsterInvNr=13-L-117483", "13-L-117483")</f>
        <v>13-L-117483</v>
      </c>
      <c r="C7457">
        <v>0.77</v>
      </c>
      <c r="D7457" t="s">
        <v>10268</v>
      </c>
      <c r="E7457" t="s">
        <v>11</v>
      </c>
      <c r="G7457" t="s">
        <v>1912</v>
      </c>
      <c r="H7457" t="s">
        <v>432</v>
      </c>
    </row>
    <row r="7458" spans="1:8" hidden="1" x14ac:dyDescent="0.25">
      <c r="A7458" t="s">
        <v>10269</v>
      </c>
      <c r="B7458" s="1" t="str">
        <f>HYPERLINK("https://asmlis.vasa.lt/Dashboard/Served?ServiceDateFrom=2025-11-24&amp;ServiceDateTo=2025-11-24&amp;DumpsterInvNr=13-P-301965", "13-P-301965")</f>
        <v>13-P-301965</v>
      </c>
      <c r="C7458">
        <v>1.1000000000000001</v>
      </c>
      <c r="D7458" t="s">
        <v>10218</v>
      </c>
      <c r="E7458" t="s">
        <v>11</v>
      </c>
      <c r="G7458" t="s">
        <v>412</v>
      </c>
      <c r="H7458" t="s">
        <v>14</v>
      </c>
    </row>
    <row r="7459" spans="1:8" hidden="1" x14ac:dyDescent="0.25">
      <c r="A7459" t="s">
        <v>10270</v>
      </c>
      <c r="B7459" s="1" t="str">
        <f>HYPERLINK("https://asmlis.vasa.lt/Dashboard/Served?ServiceDateFrom=2025-11-24&amp;ServiceDateTo=2025-11-24&amp;DumpsterInvNr=13-L-407211", "13-L-407211")</f>
        <v>13-L-407211</v>
      </c>
      <c r="C7459">
        <v>0.24</v>
      </c>
      <c r="D7459" t="s">
        <v>10271</v>
      </c>
      <c r="E7459" t="s">
        <v>11</v>
      </c>
      <c r="G7459" t="s">
        <v>74</v>
      </c>
      <c r="H7459" t="s">
        <v>14</v>
      </c>
    </row>
    <row r="7460" spans="1:8" hidden="1" x14ac:dyDescent="0.25">
      <c r="A7460" t="s">
        <v>10270</v>
      </c>
      <c r="B7460" s="1" t="str">
        <f>HYPERLINK("https://asmlis.vasa.lt/Dashboard/Served?ServiceDateFrom=2025-11-24&amp;ServiceDateTo=2025-11-24&amp;DumpsterInvNr=13-P-103529", "13-P-103529")</f>
        <v>13-P-103529</v>
      </c>
      <c r="C7460">
        <v>0.24</v>
      </c>
      <c r="D7460" t="s">
        <v>10265</v>
      </c>
      <c r="E7460" t="s">
        <v>11</v>
      </c>
      <c r="G7460" t="s">
        <v>1917</v>
      </c>
      <c r="H7460" t="s">
        <v>432</v>
      </c>
    </row>
    <row r="7461" spans="1:8" hidden="1" x14ac:dyDescent="0.25">
      <c r="A7461" t="s">
        <v>10272</v>
      </c>
      <c r="B7461" s="1" t="str">
        <f>HYPERLINK("https://asmlis.vasa.lt/Dashboard/Served?ServiceDateFrom=2025-11-24&amp;ServiceDateTo=2025-11-24&amp;DumpsterInvNr=13-P-203774", "13-P-203774")</f>
        <v>13-P-203774</v>
      </c>
      <c r="C7461">
        <v>0.24</v>
      </c>
      <c r="D7461" t="s">
        <v>10273</v>
      </c>
      <c r="E7461" t="s">
        <v>11</v>
      </c>
      <c r="F7461" t="s">
        <v>1209</v>
      </c>
      <c r="G7461" t="s">
        <v>234</v>
      </c>
      <c r="H7461" t="s">
        <v>14</v>
      </c>
    </row>
    <row r="7462" spans="1:8" hidden="1" x14ac:dyDescent="0.25">
      <c r="A7462" t="s">
        <v>9978</v>
      </c>
      <c r="B7462" s="1" t="str">
        <f>HYPERLINK("https://asmlis.vasa.lt/Dashboard/Served?ServiceDateFrom=2025-11-24&amp;ServiceDateTo=2025-11-24&amp;DumpsterInvNr=13-P-211658", "13-P-211658")</f>
        <v>13-P-211658</v>
      </c>
      <c r="C7462">
        <v>0.24</v>
      </c>
      <c r="D7462" t="s">
        <v>10274</v>
      </c>
      <c r="E7462" t="s">
        <v>11</v>
      </c>
      <c r="G7462" t="s">
        <v>234</v>
      </c>
      <c r="H7462" t="s">
        <v>14</v>
      </c>
    </row>
    <row r="7463" spans="1:8" hidden="1" x14ac:dyDescent="0.25">
      <c r="A7463" t="s">
        <v>10080</v>
      </c>
      <c r="B7463" s="1" t="str">
        <f>HYPERLINK("https://asmlis.vasa.lt/Dashboard/Served?ServiceDateFrom=2025-11-24&amp;ServiceDateTo=2025-11-24&amp;DumpsterInvNr=13-L-201339", "13-L-201339")</f>
        <v>13-L-201339</v>
      </c>
      <c r="C7463">
        <v>0.12</v>
      </c>
      <c r="D7463" t="s">
        <v>7657</v>
      </c>
      <c r="E7463" t="s">
        <v>11</v>
      </c>
      <c r="G7463" t="s">
        <v>936</v>
      </c>
      <c r="H7463" t="s">
        <v>938</v>
      </c>
    </row>
    <row r="7464" spans="1:8" hidden="1" x14ac:dyDescent="0.25">
      <c r="A7464" t="s">
        <v>10275</v>
      </c>
      <c r="B7464" s="1" t="str">
        <f>HYPERLINK("https://asmlis.vasa.lt/Dashboard/Served?ServiceDateFrom=2025-11-24&amp;ServiceDateTo=2025-11-24&amp;DumpsterInvNr=13-L-422535", "13-L-422535")</f>
        <v>13-L-422535</v>
      </c>
      <c r="C7464">
        <v>0.12</v>
      </c>
      <c r="D7464" t="s">
        <v>10277</v>
      </c>
      <c r="E7464" t="s">
        <v>11</v>
      </c>
      <c r="F7464" t="s">
        <v>1209</v>
      </c>
      <c r="G7464" t="s">
        <v>74</v>
      </c>
      <c r="H7464" t="s">
        <v>14</v>
      </c>
    </row>
    <row r="7465" spans="1:8" hidden="1" x14ac:dyDescent="0.25">
      <c r="A7465" t="s">
        <v>10089</v>
      </c>
      <c r="B7465" s="1" t="str">
        <f>HYPERLINK("https://asmlis.vasa.lt/Dashboard/Served?ServiceDateFrom=2025-11-24&amp;ServiceDateTo=2025-11-24&amp;DumpsterInvNr=13-L-307345", "13-L-307345")</f>
        <v>13-L-307345</v>
      </c>
      <c r="C7465">
        <v>0.77</v>
      </c>
      <c r="D7465" t="s">
        <v>10278</v>
      </c>
      <c r="E7465" t="s">
        <v>11</v>
      </c>
      <c r="G7465" t="s">
        <v>9</v>
      </c>
      <c r="H7465" t="s">
        <v>14</v>
      </c>
    </row>
    <row r="7466" spans="1:8" hidden="1" x14ac:dyDescent="0.25">
      <c r="A7466" t="s">
        <v>10089</v>
      </c>
      <c r="B7466" s="1" t="str">
        <f>HYPERLINK("https://asmlis.vasa.lt/Dashboard/Served?ServiceDateFrom=2025-11-24&amp;ServiceDateTo=2025-11-24&amp;DumpsterInvNr=13-P-415607", "13-P-415607")</f>
        <v>13-P-415607</v>
      </c>
      <c r="C7466">
        <v>2.5</v>
      </c>
      <c r="D7466" t="s">
        <v>10279</v>
      </c>
      <c r="E7466" t="s">
        <v>11</v>
      </c>
      <c r="F7466" t="s">
        <v>13</v>
      </c>
      <c r="G7466" t="s">
        <v>264</v>
      </c>
      <c r="H7466" t="s">
        <v>14</v>
      </c>
    </row>
    <row r="7467" spans="1:8" hidden="1" x14ac:dyDescent="0.25">
      <c r="A7467" t="s">
        <v>10280</v>
      </c>
      <c r="B7467" s="1" t="str">
        <f>HYPERLINK("https://asmlis.vasa.lt/Dashboard/Served?ServiceDateFrom=2025-11-24&amp;ServiceDateTo=2025-11-24&amp;DumpsterInvNr=13-L-214945", "13-L-214945")</f>
        <v>13-L-214945</v>
      </c>
      <c r="C7467">
        <v>0.12</v>
      </c>
      <c r="D7467" t="s">
        <v>7134</v>
      </c>
      <c r="E7467" t="s">
        <v>11</v>
      </c>
      <c r="F7467" t="s">
        <v>1209</v>
      </c>
      <c r="G7467" t="s">
        <v>936</v>
      </c>
      <c r="H7467" t="s">
        <v>938</v>
      </c>
    </row>
    <row r="7468" spans="1:8" hidden="1" x14ac:dyDescent="0.25">
      <c r="A7468" t="s">
        <v>10175</v>
      </c>
      <c r="B7468" s="1" t="str">
        <f>HYPERLINK("https://asmlis.vasa.lt/Dashboard/Served?ServiceDateFrom=2025-11-24&amp;ServiceDateTo=2025-11-24&amp;DumpsterInvNr=13-P-415576", "13-P-415576")</f>
        <v>13-P-415576</v>
      </c>
      <c r="C7468">
        <v>2.5</v>
      </c>
      <c r="D7468" t="s">
        <v>10279</v>
      </c>
      <c r="E7468" t="s">
        <v>11</v>
      </c>
      <c r="F7468" t="s">
        <v>13</v>
      </c>
      <c r="G7468" t="s">
        <v>264</v>
      </c>
      <c r="H7468" t="s">
        <v>14</v>
      </c>
    </row>
    <row r="7469" spans="1:8" hidden="1" x14ac:dyDescent="0.25">
      <c r="A7469" t="s">
        <v>9874</v>
      </c>
      <c r="B7469" s="1" t="str">
        <f>HYPERLINK("https://asmlis.vasa.lt/Dashboard/Served?ServiceDateFrom=2025-11-24&amp;ServiceDateTo=2025-11-24&amp;DumpsterInvNr=13-P-103519", "13-P-103519")</f>
        <v>13-P-103519</v>
      </c>
      <c r="C7469">
        <v>0.24</v>
      </c>
      <c r="D7469" t="s">
        <v>10265</v>
      </c>
      <c r="E7469" t="s">
        <v>11</v>
      </c>
      <c r="F7469" t="s">
        <v>1209</v>
      </c>
      <c r="G7469" t="s">
        <v>1917</v>
      </c>
      <c r="H7469" t="s">
        <v>432</v>
      </c>
    </row>
    <row r="7470" spans="1:8" hidden="1" x14ac:dyDescent="0.25">
      <c r="A7470" t="s">
        <v>9901</v>
      </c>
      <c r="B7470" s="1" t="str">
        <f>HYPERLINK("https://asmlis.vasa.lt/Dashboard/Served?ServiceDateFrom=2025-11-24&amp;ServiceDateTo=2025-11-24&amp;DumpsterInvNr=13-L-117482", "13-L-117482")</f>
        <v>13-L-117482</v>
      </c>
      <c r="C7470">
        <v>0.66</v>
      </c>
      <c r="D7470" t="s">
        <v>10282</v>
      </c>
      <c r="E7470" t="s">
        <v>11</v>
      </c>
      <c r="G7470" t="s">
        <v>1912</v>
      </c>
      <c r="H7470" t="s">
        <v>432</v>
      </c>
    </row>
    <row r="7471" spans="1:8" hidden="1" x14ac:dyDescent="0.25">
      <c r="A7471" t="s">
        <v>9971</v>
      </c>
      <c r="B7471" s="1" t="str">
        <f>HYPERLINK("https://asmlis.vasa.lt/Dashboard/Served?ServiceDateFrom=2025-11-24&amp;ServiceDateTo=2025-11-24&amp;DumpsterInvNr=13-L-114501", "13-L-114501")</f>
        <v>13-L-114501</v>
      </c>
      <c r="C7471">
        <v>0.24</v>
      </c>
      <c r="D7471" t="s">
        <v>10265</v>
      </c>
      <c r="E7471" t="s">
        <v>11</v>
      </c>
      <c r="F7471" t="s">
        <v>1209</v>
      </c>
      <c r="G7471" t="s">
        <v>1912</v>
      </c>
      <c r="H7471" t="s">
        <v>432</v>
      </c>
    </row>
    <row r="7472" spans="1:8" hidden="1" x14ac:dyDescent="0.25">
      <c r="A7472" t="s">
        <v>9883</v>
      </c>
      <c r="B7472" s="1" t="str">
        <f>HYPERLINK("https://asmlis.vasa.lt/Dashboard/Served?ServiceDateFrom=2025-11-24&amp;ServiceDateTo=2025-11-24&amp;DumpsterInvNr=13-L-416708", "13-L-416708")</f>
        <v>13-L-416708</v>
      </c>
      <c r="C7472">
        <v>0.12</v>
      </c>
      <c r="D7472" t="s">
        <v>10284</v>
      </c>
      <c r="E7472" t="s">
        <v>11</v>
      </c>
      <c r="G7472" t="s">
        <v>74</v>
      </c>
      <c r="H7472" t="s">
        <v>14</v>
      </c>
    </row>
    <row r="7473" spans="1:8" hidden="1" x14ac:dyDescent="0.25">
      <c r="A7473" t="s">
        <v>9916</v>
      </c>
      <c r="B7473" s="1" t="str">
        <f>HYPERLINK("https://asmlis.vasa.lt/Dashboard/Served?ServiceDateFrom=2025-11-24&amp;ServiceDateTo=2025-11-24&amp;DumpsterInvNr=13-P-211657", "13-P-211657")</f>
        <v>13-P-211657</v>
      </c>
      <c r="C7473">
        <v>0.24</v>
      </c>
      <c r="D7473" t="s">
        <v>10285</v>
      </c>
      <c r="E7473" t="s">
        <v>11</v>
      </c>
      <c r="F7473" t="s">
        <v>1209</v>
      </c>
      <c r="G7473" t="s">
        <v>234</v>
      </c>
      <c r="H7473" t="s">
        <v>14</v>
      </c>
    </row>
    <row r="7474" spans="1:8" hidden="1" x14ac:dyDescent="0.25">
      <c r="A7474" t="s">
        <v>9916</v>
      </c>
      <c r="B7474" s="1" t="str">
        <f>HYPERLINK("https://asmlis.vasa.lt/Dashboard/Served?ServiceDateFrom=2025-11-24&amp;ServiceDateTo=2025-11-24&amp;DumpsterInvNr=13-L-138336", "13-L-138336")</f>
        <v>13-L-138336</v>
      </c>
      <c r="C7474">
        <v>1.1000000000000001</v>
      </c>
      <c r="D7474" t="s">
        <v>10287</v>
      </c>
      <c r="E7474" t="s">
        <v>11</v>
      </c>
      <c r="G7474" t="s">
        <v>430</v>
      </c>
      <c r="H7474" t="s">
        <v>432</v>
      </c>
    </row>
    <row r="7475" spans="1:8" hidden="1" x14ac:dyDescent="0.25">
      <c r="A7475" t="s">
        <v>9926</v>
      </c>
      <c r="B7475" s="1" t="str">
        <f>HYPERLINK("https://asmlis.vasa.lt/Dashboard/Served?ServiceDateFrom=2025-11-24&amp;ServiceDateTo=2025-11-24&amp;DumpsterInvNr=13-P-206500", "13-P-206500")</f>
        <v>13-P-206500</v>
      </c>
      <c r="C7475">
        <v>0.24</v>
      </c>
      <c r="D7475" t="s">
        <v>10288</v>
      </c>
      <c r="E7475" t="s">
        <v>11</v>
      </c>
      <c r="F7475" t="s">
        <v>1209</v>
      </c>
      <c r="G7475" t="s">
        <v>234</v>
      </c>
      <c r="H7475" t="s">
        <v>14</v>
      </c>
    </row>
    <row r="7476" spans="1:8" hidden="1" x14ac:dyDescent="0.25">
      <c r="A7476" t="s">
        <v>9952</v>
      </c>
      <c r="B7476" s="1" t="str">
        <f>HYPERLINK("https://asmlis.vasa.lt/Dashboard/Served?ServiceDateFrom=2025-11-24&amp;ServiceDateTo=2025-11-24&amp;DumpsterInvNr=13-P-500006", "13-P-500006")</f>
        <v>13-P-500006</v>
      </c>
      <c r="C7476">
        <v>5</v>
      </c>
      <c r="D7476" t="s">
        <v>10289</v>
      </c>
      <c r="E7476" t="s">
        <v>11</v>
      </c>
      <c r="F7476" t="s">
        <v>13</v>
      </c>
      <c r="G7476" t="s">
        <v>2178</v>
      </c>
      <c r="H7476" t="s">
        <v>432</v>
      </c>
    </row>
    <row r="7477" spans="1:8" hidden="1" x14ac:dyDescent="0.25">
      <c r="A7477" t="s">
        <v>10097</v>
      </c>
      <c r="B7477" s="1" t="str">
        <f>HYPERLINK("https://asmlis.vasa.lt/Dashboard/Served?ServiceDateFrom=2025-11-24&amp;ServiceDateTo=2025-11-24&amp;DumpsterInvNr=13-L-118198", "13-L-118198")</f>
        <v>13-L-118198</v>
      </c>
      <c r="C7477">
        <v>0.12</v>
      </c>
      <c r="D7477" t="s">
        <v>10291</v>
      </c>
      <c r="E7477" t="s">
        <v>11</v>
      </c>
      <c r="G7477" t="s">
        <v>1912</v>
      </c>
      <c r="H7477" t="s">
        <v>432</v>
      </c>
    </row>
    <row r="7478" spans="1:8" hidden="1" x14ac:dyDescent="0.25">
      <c r="A7478" t="s">
        <v>10293</v>
      </c>
      <c r="B7478" s="1" t="str">
        <f>HYPERLINK("https://asmlis.vasa.lt/Dashboard/Served?ServiceDateFrom=2025-11-24&amp;ServiceDateTo=2025-11-24&amp;DumpsterInvNr=13-P-211701", "13-P-211701")</f>
        <v>13-P-211701</v>
      </c>
      <c r="C7478">
        <v>0.24</v>
      </c>
      <c r="D7478" t="s">
        <v>10294</v>
      </c>
      <c r="E7478" t="s">
        <v>11</v>
      </c>
      <c r="G7478" t="s">
        <v>234</v>
      </c>
      <c r="H7478" t="s">
        <v>14</v>
      </c>
    </row>
    <row r="7479" spans="1:8" hidden="1" x14ac:dyDescent="0.25">
      <c r="A7479" t="s">
        <v>10295</v>
      </c>
      <c r="B7479" s="1" t="str">
        <f>HYPERLINK("https://asmlis.vasa.lt/Dashboard/Served?ServiceDateFrom=2025-11-24&amp;ServiceDateTo=2025-11-24&amp;DumpsterInvNr=13-P-101079", "13-P-101079")</f>
        <v>13-P-101079</v>
      </c>
      <c r="C7479">
        <v>0.24</v>
      </c>
      <c r="D7479" t="s">
        <v>10291</v>
      </c>
      <c r="E7479" t="s">
        <v>11</v>
      </c>
      <c r="G7479" t="s">
        <v>1917</v>
      </c>
      <c r="H7479" t="s">
        <v>432</v>
      </c>
    </row>
    <row r="7480" spans="1:8" hidden="1" x14ac:dyDescent="0.25">
      <c r="A7480" t="s">
        <v>10296</v>
      </c>
      <c r="B7480" s="1" t="str">
        <f>HYPERLINK("https://asmlis.vasa.lt/Dashboard/Served?ServiceDateFrom=2025-11-24&amp;ServiceDateTo=2025-11-24&amp;DumpsterInvNr=13-L-215162", "13-L-215162")</f>
        <v>13-L-215162</v>
      </c>
      <c r="C7480">
        <v>0.12</v>
      </c>
      <c r="D7480" t="s">
        <v>7681</v>
      </c>
      <c r="E7480" t="s">
        <v>11</v>
      </c>
      <c r="F7480" t="s">
        <v>1209</v>
      </c>
      <c r="G7480" t="s">
        <v>936</v>
      </c>
      <c r="H7480" t="s">
        <v>938</v>
      </c>
    </row>
    <row r="7481" spans="1:8" hidden="1" x14ac:dyDescent="0.25">
      <c r="A7481" t="s">
        <v>10297</v>
      </c>
      <c r="B7481" s="1" t="str">
        <f>HYPERLINK("https://asmlis.vasa.lt/Dashboard/Served?ServiceDateFrom=2025-11-24&amp;ServiceDateTo=2025-11-24&amp;DumpsterInvNr=13-L-100798", "13-L-100798")</f>
        <v>13-L-100798</v>
      </c>
      <c r="C7481">
        <v>1.1000000000000001</v>
      </c>
      <c r="D7481" t="s">
        <v>10287</v>
      </c>
      <c r="E7481" t="s">
        <v>11</v>
      </c>
      <c r="G7481" t="s">
        <v>430</v>
      </c>
      <c r="H7481" t="s">
        <v>432</v>
      </c>
    </row>
    <row r="7482" spans="1:8" hidden="1" x14ac:dyDescent="0.25">
      <c r="A7482" t="s">
        <v>10297</v>
      </c>
      <c r="B7482" s="1" t="str">
        <f>HYPERLINK("https://asmlis.vasa.lt/Dashboard/Served?ServiceDateFrom=2025-11-24&amp;ServiceDateTo=2025-11-24&amp;DumpsterInvNr=13-P-313420", "13-P-313420")</f>
        <v>13-P-313420</v>
      </c>
      <c r="C7482">
        <v>1.1000000000000001</v>
      </c>
      <c r="D7482" t="s">
        <v>10218</v>
      </c>
      <c r="E7482" t="s">
        <v>11</v>
      </c>
      <c r="F7482" t="s">
        <v>13</v>
      </c>
      <c r="G7482" t="s">
        <v>412</v>
      </c>
      <c r="H7482" t="s">
        <v>14</v>
      </c>
    </row>
    <row r="7483" spans="1:8" hidden="1" x14ac:dyDescent="0.25">
      <c r="A7483" t="s">
        <v>10144</v>
      </c>
      <c r="B7483" s="1" t="str">
        <f>HYPERLINK("https://asmlis.vasa.lt/Dashboard/Served?ServiceDateFrom=2025-11-24&amp;ServiceDateTo=2025-11-24&amp;DumpsterInvNr=13-P-313431", "13-P-313431")</f>
        <v>13-P-313431</v>
      </c>
      <c r="C7483">
        <v>1.1000000000000001</v>
      </c>
      <c r="D7483" t="s">
        <v>10218</v>
      </c>
      <c r="E7483" t="s">
        <v>11</v>
      </c>
      <c r="F7483" t="s">
        <v>13</v>
      </c>
      <c r="G7483" t="s">
        <v>412</v>
      </c>
      <c r="H7483" t="s">
        <v>14</v>
      </c>
    </row>
    <row r="7484" spans="1:8" hidden="1" x14ac:dyDescent="0.25">
      <c r="A7484" t="s">
        <v>10182</v>
      </c>
      <c r="B7484" s="1" t="str">
        <f>HYPERLINK("https://asmlis.vasa.lt/Dashboard/Served?ServiceDateFrom=2025-11-24&amp;ServiceDateTo=2025-11-24&amp;DumpsterInvNr=13-L-128091", "13-L-128091")</f>
        <v>13-L-128091</v>
      </c>
      <c r="C7484">
        <v>0.12</v>
      </c>
      <c r="D7484" t="s">
        <v>10298</v>
      </c>
      <c r="E7484" t="s">
        <v>11</v>
      </c>
      <c r="G7484" t="s">
        <v>1912</v>
      </c>
      <c r="H7484" t="s">
        <v>432</v>
      </c>
    </row>
    <row r="7485" spans="1:8" hidden="1" x14ac:dyDescent="0.25">
      <c r="A7485" t="s">
        <v>10221</v>
      </c>
      <c r="B7485" s="1" t="str">
        <f>HYPERLINK("https://asmlis.vasa.lt/Dashboard/Served?ServiceDateFrom=2025-11-24&amp;ServiceDateTo=2025-11-24&amp;DumpsterInvNr=13-L-309027", "13-L-309027")</f>
        <v>13-L-309027</v>
      </c>
      <c r="C7485">
        <v>5</v>
      </c>
      <c r="D7485" t="s">
        <v>8861</v>
      </c>
      <c r="E7485" t="s">
        <v>11</v>
      </c>
      <c r="G7485" t="s">
        <v>9</v>
      </c>
      <c r="H7485" t="s">
        <v>14</v>
      </c>
    </row>
    <row r="7486" spans="1:8" hidden="1" x14ac:dyDescent="0.25">
      <c r="A7486" t="s">
        <v>10235</v>
      </c>
      <c r="B7486" s="1" t="str">
        <f>HYPERLINK("https://asmlis.vasa.lt/Dashboard/Served?ServiceDateFrom=2025-11-24&amp;ServiceDateTo=2025-11-24&amp;DumpsterInvNr=13-P-405492", "13-P-405492")</f>
        <v>13-P-405492</v>
      </c>
      <c r="C7486">
        <v>2.5</v>
      </c>
      <c r="D7486" t="s">
        <v>10300</v>
      </c>
      <c r="E7486" t="s">
        <v>11</v>
      </c>
      <c r="F7486" t="s">
        <v>13</v>
      </c>
      <c r="G7486" t="s">
        <v>264</v>
      </c>
      <c r="H7486" t="s">
        <v>14</v>
      </c>
    </row>
    <row r="7487" spans="1:8" hidden="1" x14ac:dyDescent="0.25">
      <c r="A7487" t="s">
        <v>10244</v>
      </c>
      <c r="B7487" s="1" t="str">
        <f>HYPERLINK("https://asmlis.vasa.lt/Dashboard/Served?ServiceDateFrom=2025-11-24&amp;ServiceDateTo=2025-11-24&amp;DumpsterInvNr=13-P-405485", "13-P-405485")</f>
        <v>13-P-405485</v>
      </c>
      <c r="C7487">
        <v>2.5</v>
      </c>
      <c r="D7487" t="s">
        <v>10300</v>
      </c>
      <c r="E7487" t="s">
        <v>11</v>
      </c>
      <c r="F7487" t="s">
        <v>13</v>
      </c>
      <c r="G7487" t="s">
        <v>264</v>
      </c>
      <c r="H7487" t="s">
        <v>14</v>
      </c>
    </row>
    <row r="7488" spans="1:8" hidden="1" x14ac:dyDescent="0.25">
      <c r="A7488" t="s">
        <v>10201</v>
      </c>
      <c r="B7488" s="1" t="str">
        <f>HYPERLINK("https://asmlis.vasa.lt/Dashboard/Served?ServiceDateFrom=2025-11-24&amp;ServiceDateTo=2025-11-24&amp;DumpsterInvNr=13-P-501791", "13-P-501791")</f>
        <v>13-P-501791</v>
      </c>
      <c r="C7488">
        <v>5</v>
      </c>
      <c r="D7488" t="s">
        <v>7758</v>
      </c>
      <c r="E7488" t="s">
        <v>11</v>
      </c>
      <c r="F7488" t="s">
        <v>13</v>
      </c>
      <c r="G7488" t="s">
        <v>2178</v>
      </c>
      <c r="H7488" t="s">
        <v>432</v>
      </c>
    </row>
    <row r="7489" spans="1:8" hidden="1" x14ac:dyDescent="0.25">
      <c r="A7489" t="s">
        <v>10276</v>
      </c>
      <c r="B7489" s="1" t="str">
        <f>HYPERLINK("https://asmlis.vasa.lt/Dashboard/Served?ServiceDateFrom=2025-11-24&amp;ServiceDateTo=2025-11-24&amp;DumpsterInvNr=13-P-211647", "13-P-211647")</f>
        <v>13-P-211647</v>
      </c>
      <c r="C7489">
        <v>0.24</v>
      </c>
      <c r="D7489" t="s">
        <v>10301</v>
      </c>
      <c r="E7489" t="s">
        <v>11</v>
      </c>
      <c r="G7489" t="s">
        <v>234</v>
      </c>
      <c r="H7489" t="s">
        <v>14</v>
      </c>
    </row>
    <row r="7490" spans="1:8" hidden="1" x14ac:dyDescent="0.25">
      <c r="A7490" t="s">
        <v>10302</v>
      </c>
      <c r="B7490" s="1" t="str">
        <f>HYPERLINK("https://asmlis.vasa.lt/Dashboard/Served?ServiceDateFrom=2025-11-24&amp;ServiceDateTo=2025-11-24&amp;DumpsterInvNr=13-P-116377", "13-P-116377")</f>
        <v>13-P-116377</v>
      </c>
      <c r="C7490">
        <v>1.1000000000000001</v>
      </c>
      <c r="D7490" t="s">
        <v>10303</v>
      </c>
      <c r="E7490" t="s">
        <v>11</v>
      </c>
      <c r="G7490" t="s">
        <v>1917</v>
      </c>
      <c r="H7490" t="s">
        <v>432</v>
      </c>
    </row>
    <row r="7491" spans="1:8" hidden="1" x14ac:dyDescent="0.25">
      <c r="A7491" t="s">
        <v>10304</v>
      </c>
      <c r="B7491" s="1" t="str">
        <f>HYPERLINK("https://asmlis.vasa.lt/Dashboard/Served?ServiceDateFrom=2025-11-24&amp;ServiceDateTo=2025-11-24&amp;DumpsterInvNr=13-L-132836", "13-L-132836")</f>
        <v>13-L-132836</v>
      </c>
      <c r="C7491">
        <v>0.12</v>
      </c>
      <c r="D7491" t="s">
        <v>10298</v>
      </c>
      <c r="E7491" t="s">
        <v>11</v>
      </c>
      <c r="G7491" t="s">
        <v>1912</v>
      </c>
      <c r="H7491" t="s">
        <v>432</v>
      </c>
    </row>
    <row r="7492" spans="1:8" hidden="1" x14ac:dyDescent="0.25">
      <c r="A7492" t="s">
        <v>10305</v>
      </c>
      <c r="B7492" s="1" t="str">
        <f>HYPERLINK("https://asmlis.vasa.lt/Dashboard/Served?ServiceDateFrom=2025-11-24&amp;ServiceDateTo=2025-11-24&amp;DumpsterInvNr=13-M-205563", "13-M-205563")</f>
        <v>13-M-205563</v>
      </c>
      <c r="C7492">
        <v>0.12</v>
      </c>
      <c r="D7492" t="s">
        <v>10306</v>
      </c>
      <c r="E7492" t="s">
        <v>11</v>
      </c>
      <c r="F7492" t="s">
        <v>1209</v>
      </c>
      <c r="G7492" t="s">
        <v>4876</v>
      </c>
      <c r="H7492" t="s">
        <v>938</v>
      </c>
    </row>
    <row r="7493" spans="1:8" hidden="1" x14ac:dyDescent="0.25">
      <c r="A7493" t="s">
        <v>10307</v>
      </c>
      <c r="B7493" s="1" t="str">
        <f>HYPERLINK("https://asmlis.vasa.lt/Dashboard/Served?ServiceDateFrom=2025-11-24&amp;ServiceDateTo=2025-11-24&amp;DumpsterInvNr=13-L-408886", "13-L-408886")</f>
        <v>13-L-408886</v>
      </c>
      <c r="C7493">
        <v>0.12</v>
      </c>
      <c r="D7493" t="s">
        <v>10308</v>
      </c>
      <c r="E7493" t="s">
        <v>11</v>
      </c>
      <c r="G7493" t="s">
        <v>74</v>
      </c>
      <c r="H7493" t="s">
        <v>14</v>
      </c>
    </row>
    <row r="7494" spans="1:8" hidden="1" x14ac:dyDescent="0.25">
      <c r="A7494" t="s">
        <v>9714</v>
      </c>
      <c r="B7494" s="1" t="str">
        <f>HYPERLINK("https://asmlis.vasa.lt/Dashboard/Served?ServiceDateFrom=2025-11-24&amp;ServiceDateTo=2025-11-24&amp;DumpsterInvNr=13-M-200262", "13-M-200262")</f>
        <v>13-M-200262</v>
      </c>
      <c r="C7494">
        <v>0.12</v>
      </c>
      <c r="D7494" t="s">
        <v>10309</v>
      </c>
      <c r="E7494" t="s">
        <v>11</v>
      </c>
      <c r="F7494" t="s">
        <v>1209</v>
      </c>
      <c r="G7494" t="s">
        <v>4876</v>
      </c>
      <c r="H7494" t="s">
        <v>938</v>
      </c>
    </row>
    <row r="7495" spans="1:8" hidden="1" x14ac:dyDescent="0.25">
      <c r="A7495" t="s">
        <v>10310</v>
      </c>
      <c r="B7495" s="1" t="str">
        <f>HYPERLINK("https://asmlis.vasa.lt/Dashboard/Served?ServiceDateFrom=2025-11-24&amp;ServiceDateTo=2025-11-24&amp;DumpsterInvNr=13-P-302464", "13-P-302464")</f>
        <v>13-P-302464</v>
      </c>
      <c r="C7495">
        <v>5</v>
      </c>
      <c r="D7495" t="s">
        <v>1951</v>
      </c>
      <c r="E7495" t="s">
        <v>11</v>
      </c>
      <c r="F7495" t="s">
        <v>13</v>
      </c>
      <c r="G7495" t="s">
        <v>412</v>
      </c>
      <c r="H7495" t="s">
        <v>14</v>
      </c>
    </row>
    <row r="7496" spans="1:8" hidden="1" x14ac:dyDescent="0.25">
      <c r="A7496" t="s">
        <v>10311</v>
      </c>
      <c r="B7496" s="1" t="str">
        <f>HYPERLINK("https://asmlis.vasa.lt/Dashboard/Served?ServiceDateFrom=2025-11-24&amp;ServiceDateTo=2025-11-24&amp;DumpsterInvNr=13-P-211599", "13-P-211599")</f>
        <v>13-P-211599</v>
      </c>
      <c r="C7496">
        <v>0.24</v>
      </c>
      <c r="D7496" t="s">
        <v>10312</v>
      </c>
      <c r="E7496" t="s">
        <v>11</v>
      </c>
      <c r="G7496" t="s">
        <v>234</v>
      </c>
      <c r="H7496" t="s">
        <v>14</v>
      </c>
    </row>
    <row r="7497" spans="1:8" hidden="1" x14ac:dyDescent="0.25">
      <c r="A7497" t="s">
        <v>10313</v>
      </c>
      <c r="B7497" s="1" t="str">
        <f>HYPERLINK("https://asmlis.vasa.lt/Dashboard/Served?ServiceDateFrom=2025-11-24&amp;ServiceDateTo=2025-11-24&amp;DumpsterInvNr=13-M-200276", "13-M-200276")</f>
        <v>13-M-200276</v>
      </c>
      <c r="C7497">
        <v>0.12</v>
      </c>
      <c r="D7497" t="s">
        <v>10314</v>
      </c>
      <c r="E7497" t="s">
        <v>11</v>
      </c>
      <c r="F7497" t="s">
        <v>1209</v>
      </c>
      <c r="G7497" t="s">
        <v>4876</v>
      </c>
      <c r="H7497" t="s">
        <v>938</v>
      </c>
    </row>
    <row r="7498" spans="1:8" hidden="1" x14ac:dyDescent="0.25">
      <c r="A7498" t="s">
        <v>10315</v>
      </c>
      <c r="B7498" s="1" t="str">
        <f>HYPERLINK("https://asmlis.vasa.lt/Dashboard/Served?ServiceDateFrom=2025-11-24&amp;ServiceDateTo=2025-11-24&amp;DumpsterInvNr=13-L-205761", "13-L-205761")</f>
        <v>13-L-205761</v>
      </c>
      <c r="C7498">
        <v>0.12</v>
      </c>
      <c r="D7498" t="s">
        <v>10316</v>
      </c>
      <c r="E7498" t="s">
        <v>11</v>
      </c>
      <c r="F7498" t="s">
        <v>1209</v>
      </c>
      <c r="G7498" t="s">
        <v>936</v>
      </c>
      <c r="H7498" t="s">
        <v>938</v>
      </c>
    </row>
    <row r="7499" spans="1:8" hidden="1" x14ac:dyDescent="0.25">
      <c r="A7499" t="s">
        <v>10315</v>
      </c>
      <c r="B7499" s="1" t="str">
        <f>HYPERLINK("https://asmlis.vasa.lt/Dashboard/Served?ServiceDateFrom=2025-11-24&amp;ServiceDateTo=2025-11-24&amp;DumpsterInvNr=13-P-411361", "13-P-411361")</f>
        <v>13-P-411361</v>
      </c>
      <c r="C7499">
        <v>0.24</v>
      </c>
      <c r="D7499" t="s">
        <v>3174</v>
      </c>
      <c r="E7499" t="s">
        <v>11</v>
      </c>
      <c r="G7499" t="s">
        <v>264</v>
      </c>
      <c r="H7499" t="s">
        <v>14</v>
      </c>
    </row>
    <row r="7500" spans="1:8" hidden="1" x14ac:dyDescent="0.25">
      <c r="A7500" t="s">
        <v>10315</v>
      </c>
      <c r="B7500" s="1" t="str">
        <f>HYPERLINK("https://asmlis.vasa.lt/Dashboard/Served?ServiceDateFrom=2025-11-24&amp;ServiceDateTo=2025-11-24&amp;DumpsterInvNr=13-M-200289", "13-M-200289")</f>
        <v>13-M-200289</v>
      </c>
      <c r="C7500">
        <v>0.12</v>
      </c>
      <c r="D7500" t="s">
        <v>10317</v>
      </c>
      <c r="E7500" t="s">
        <v>11</v>
      </c>
      <c r="F7500" t="s">
        <v>1209</v>
      </c>
      <c r="G7500" t="s">
        <v>4876</v>
      </c>
      <c r="H7500" t="s">
        <v>938</v>
      </c>
    </row>
    <row r="7501" spans="1:8" hidden="1" x14ac:dyDescent="0.25">
      <c r="A7501" t="s">
        <v>10318</v>
      </c>
      <c r="B7501" s="1" t="str">
        <f>HYPERLINK("https://asmlis.vasa.lt/Dashboard/Served?ServiceDateFrom=2025-11-24&amp;ServiceDateTo=2025-11-24&amp;DumpsterInvNr=13-P-301766", "13-P-301766")</f>
        <v>13-P-301766</v>
      </c>
      <c r="C7501">
        <v>5</v>
      </c>
      <c r="D7501" t="s">
        <v>1951</v>
      </c>
      <c r="E7501" t="s">
        <v>11</v>
      </c>
      <c r="F7501" t="s">
        <v>13</v>
      </c>
      <c r="G7501" t="s">
        <v>412</v>
      </c>
      <c r="H7501" t="s">
        <v>14</v>
      </c>
    </row>
    <row r="7502" spans="1:8" hidden="1" x14ac:dyDescent="0.25">
      <c r="A7502" t="s">
        <v>10320</v>
      </c>
      <c r="B7502" s="1" t="str">
        <f>HYPERLINK("https://asmlis.vasa.lt/Dashboard/Served?ServiceDateFrom=2025-11-24&amp;ServiceDateTo=2025-11-24&amp;DumpsterInvNr=13-M-205558", "13-M-205558")</f>
        <v>13-M-205558</v>
      </c>
      <c r="C7502">
        <v>0.12</v>
      </c>
      <c r="D7502" t="s">
        <v>10321</v>
      </c>
      <c r="E7502" t="s">
        <v>11</v>
      </c>
      <c r="F7502" t="s">
        <v>1209</v>
      </c>
      <c r="G7502" t="s">
        <v>4876</v>
      </c>
      <c r="H7502" t="s">
        <v>938</v>
      </c>
    </row>
    <row r="7503" spans="1:8" hidden="1" x14ac:dyDescent="0.25">
      <c r="A7503" t="s">
        <v>10322</v>
      </c>
      <c r="B7503" s="1" t="str">
        <f>HYPERLINK("https://asmlis.vasa.lt/Dashboard/Served?ServiceDateFrom=2025-11-24&amp;ServiceDateTo=2025-11-24&amp;DumpsterInvNr=13-S-403422", "13-S-403422")</f>
        <v>13-S-403422</v>
      </c>
      <c r="C7503">
        <v>0.12</v>
      </c>
      <c r="D7503" t="s">
        <v>3174</v>
      </c>
      <c r="E7503" t="s">
        <v>11</v>
      </c>
      <c r="F7503" t="s">
        <v>1209</v>
      </c>
      <c r="G7503" t="s">
        <v>264</v>
      </c>
      <c r="H7503" t="s">
        <v>14</v>
      </c>
    </row>
    <row r="7504" spans="1:8" hidden="1" x14ac:dyDescent="0.25">
      <c r="A7504" t="s">
        <v>10323</v>
      </c>
      <c r="B7504" s="1" t="str">
        <f>HYPERLINK("https://asmlis.vasa.lt/Dashboard/Served?ServiceDateFrom=2025-11-24&amp;ServiceDateTo=2025-11-24&amp;DumpsterInvNr=13-P-307053", "13-P-307053")</f>
        <v>13-P-307053</v>
      </c>
      <c r="C7504">
        <v>1.1000000000000001</v>
      </c>
      <c r="D7504" t="s">
        <v>10324</v>
      </c>
      <c r="E7504" t="s">
        <v>11</v>
      </c>
      <c r="G7504" t="s">
        <v>412</v>
      </c>
      <c r="H7504" t="s">
        <v>14</v>
      </c>
    </row>
    <row r="7505" spans="1:8" hidden="1" x14ac:dyDescent="0.25">
      <c r="A7505" t="s">
        <v>10325</v>
      </c>
      <c r="B7505" s="1" t="str">
        <f>HYPERLINK("https://asmlis.vasa.lt/Dashboard/Served?ServiceDateFrom=2025-11-24&amp;ServiceDateTo=2025-11-24&amp;DumpsterInvNr=13-L-408888", "13-L-408888")</f>
        <v>13-L-408888</v>
      </c>
      <c r="C7505">
        <v>0.12</v>
      </c>
      <c r="D7505" t="s">
        <v>10326</v>
      </c>
      <c r="E7505" t="s">
        <v>11</v>
      </c>
      <c r="G7505" t="s">
        <v>74</v>
      </c>
      <c r="H7505" t="s">
        <v>14</v>
      </c>
    </row>
    <row r="7506" spans="1:8" hidden="1" x14ac:dyDescent="0.25">
      <c r="A7506" t="s">
        <v>10325</v>
      </c>
      <c r="B7506" s="1" t="str">
        <f>HYPERLINK("https://asmlis.vasa.lt/Dashboard/Served?ServiceDateFrom=2025-11-24&amp;ServiceDateTo=2025-11-24&amp;DumpsterInvNr=13-L-408889", "13-L-408889")</f>
        <v>13-L-408889</v>
      </c>
      <c r="C7506">
        <v>0.24</v>
      </c>
      <c r="D7506" t="s">
        <v>10327</v>
      </c>
      <c r="E7506" t="s">
        <v>11</v>
      </c>
      <c r="G7506" t="s">
        <v>74</v>
      </c>
      <c r="H7506" t="s">
        <v>14</v>
      </c>
    </row>
    <row r="7507" spans="1:8" hidden="1" x14ac:dyDescent="0.25">
      <c r="A7507" t="s">
        <v>10328</v>
      </c>
      <c r="B7507" s="1" t="str">
        <f>HYPERLINK("https://asmlis.vasa.lt/Dashboard/Served?ServiceDateFrom=2025-11-24&amp;ServiceDateTo=2025-11-24&amp;DumpsterInvNr=13-L-120401", "13-L-120401")</f>
        <v>13-L-120401</v>
      </c>
      <c r="C7507">
        <v>0.12</v>
      </c>
      <c r="D7507" t="s">
        <v>10329</v>
      </c>
      <c r="E7507" t="s">
        <v>11</v>
      </c>
      <c r="G7507" t="s">
        <v>1912</v>
      </c>
      <c r="H7507" t="s">
        <v>432</v>
      </c>
    </row>
    <row r="7508" spans="1:8" hidden="1" x14ac:dyDescent="0.25">
      <c r="A7508" t="s">
        <v>10328</v>
      </c>
      <c r="B7508" s="1" t="str">
        <f>HYPERLINK("https://asmlis.vasa.lt/Dashboard/Served?ServiceDateFrom=2025-11-24&amp;ServiceDateTo=2025-11-24&amp;DumpsterInvNr=13-P-101078", "13-P-101078")</f>
        <v>13-P-101078</v>
      </c>
      <c r="C7508">
        <v>0.24</v>
      </c>
      <c r="D7508" t="s">
        <v>10329</v>
      </c>
      <c r="E7508" t="s">
        <v>11</v>
      </c>
      <c r="G7508" t="s">
        <v>1917</v>
      </c>
      <c r="H7508" t="s">
        <v>432</v>
      </c>
    </row>
    <row r="7509" spans="1:8" hidden="1" x14ac:dyDescent="0.25">
      <c r="A7509" t="s">
        <v>10330</v>
      </c>
      <c r="B7509" s="1" t="str">
        <f>HYPERLINK("https://asmlis.vasa.lt/Dashboard/Served?ServiceDateFrom=2025-11-24&amp;ServiceDateTo=2025-11-24&amp;DumpsterInvNr=13-P-211598", "13-P-211598")</f>
        <v>13-P-211598</v>
      </c>
      <c r="C7509">
        <v>0.24</v>
      </c>
      <c r="D7509" t="s">
        <v>10331</v>
      </c>
      <c r="E7509" t="s">
        <v>11</v>
      </c>
      <c r="G7509" t="s">
        <v>234</v>
      </c>
      <c r="H7509" t="s">
        <v>14</v>
      </c>
    </row>
    <row r="7510" spans="1:8" hidden="1" x14ac:dyDescent="0.25">
      <c r="A7510" t="s">
        <v>10332</v>
      </c>
      <c r="B7510" s="1" t="str">
        <f>HYPERLINK("https://asmlis.vasa.lt/Dashboard/Served?ServiceDateFrom=2025-11-24&amp;ServiceDateTo=2025-11-24&amp;DumpsterInvNr=13-L-203581", "13-L-203581")</f>
        <v>13-L-203581</v>
      </c>
      <c r="C7510">
        <v>0.12</v>
      </c>
      <c r="D7510" t="s">
        <v>7735</v>
      </c>
      <c r="E7510" t="s">
        <v>11</v>
      </c>
      <c r="G7510" t="s">
        <v>936</v>
      </c>
      <c r="H7510" t="s">
        <v>938</v>
      </c>
    </row>
    <row r="7511" spans="1:8" hidden="1" x14ac:dyDescent="0.25">
      <c r="A7511" t="s">
        <v>10333</v>
      </c>
      <c r="B7511" s="1" t="str">
        <f>HYPERLINK("https://asmlis.vasa.lt/Dashboard/Served?ServiceDateFrom=2025-11-24&amp;ServiceDateTo=2025-11-24&amp;DumpsterInvNr=13-L-312978", "13-L-312978")</f>
        <v>13-L-312978</v>
      </c>
      <c r="C7511">
        <v>1.1000000000000001</v>
      </c>
      <c r="D7511" t="s">
        <v>10334</v>
      </c>
      <c r="E7511" t="s">
        <v>11</v>
      </c>
      <c r="F7511" t="s">
        <v>13</v>
      </c>
      <c r="G7511" t="s">
        <v>9</v>
      </c>
      <c r="H7511" t="s">
        <v>14</v>
      </c>
    </row>
    <row r="7512" spans="1:8" hidden="1" x14ac:dyDescent="0.25">
      <c r="A7512" t="s">
        <v>10335</v>
      </c>
      <c r="B7512" s="1" t="str">
        <f>HYPERLINK("https://asmlis.vasa.lt/Dashboard/Served?ServiceDateFrom=2025-11-24&amp;ServiceDateTo=2025-11-24&amp;DumpsterInvNr=13-L-316905", "13-L-316905")</f>
        <v>13-L-316905</v>
      </c>
      <c r="C7512">
        <v>0.77</v>
      </c>
      <c r="D7512" t="s">
        <v>10336</v>
      </c>
      <c r="E7512" t="s">
        <v>11</v>
      </c>
      <c r="G7512" t="s">
        <v>9</v>
      </c>
      <c r="H7512" t="s">
        <v>14</v>
      </c>
    </row>
    <row r="7513" spans="1:8" hidden="1" x14ac:dyDescent="0.25">
      <c r="A7513" t="s">
        <v>10337</v>
      </c>
      <c r="B7513" s="1" t="str">
        <f>HYPERLINK("https://asmlis.vasa.lt/Dashboard/Served?ServiceDateFrom=2025-11-24&amp;ServiceDateTo=2025-11-24&amp;DumpsterInvNr=13-P-101083", "13-P-101083")</f>
        <v>13-P-101083</v>
      </c>
      <c r="C7513">
        <v>0.24</v>
      </c>
      <c r="D7513" t="s">
        <v>10298</v>
      </c>
      <c r="E7513" t="s">
        <v>11</v>
      </c>
      <c r="F7513" t="s">
        <v>1209</v>
      </c>
      <c r="G7513" t="s">
        <v>1917</v>
      </c>
      <c r="H7513" t="s">
        <v>432</v>
      </c>
    </row>
    <row r="7514" spans="1:8" hidden="1" x14ac:dyDescent="0.25">
      <c r="A7514" t="s">
        <v>10337</v>
      </c>
      <c r="B7514" s="1" t="str">
        <f>HYPERLINK("https://asmlis.vasa.lt/Dashboard/Served?ServiceDateFrom=2025-11-24&amp;ServiceDateTo=2025-11-24&amp;DumpsterInvNr=13-S-207825", "13-S-207825")</f>
        <v>13-S-207825</v>
      </c>
      <c r="C7514">
        <v>1.8</v>
      </c>
      <c r="D7514" t="s">
        <v>1996</v>
      </c>
      <c r="E7514" t="s">
        <v>11</v>
      </c>
      <c r="F7514" t="s">
        <v>13</v>
      </c>
      <c r="G7514" t="s">
        <v>234</v>
      </c>
      <c r="H7514" t="s">
        <v>14</v>
      </c>
    </row>
    <row r="7515" spans="1:8" hidden="1" x14ac:dyDescent="0.25">
      <c r="A7515" t="s">
        <v>10337</v>
      </c>
      <c r="B7515" s="1" t="str">
        <f>HYPERLINK("https://asmlis.vasa.lt/Dashboard/Served?ServiceDateFrom=2025-11-24&amp;ServiceDateTo=2025-11-24&amp;DumpsterInvNr=13-M-205516", "13-M-205516")</f>
        <v>13-M-205516</v>
      </c>
      <c r="C7515">
        <v>0.12</v>
      </c>
      <c r="D7515" t="s">
        <v>10339</v>
      </c>
      <c r="E7515" t="s">
        <v>11</v>
      </c>
      <c r="G7515" t="s">
        <v>4876</v>
      </c>
      <c r="H7515" t="s">
        <v>938</v>
      </c>
    </row>
    <row r="7516" spans="1:8" hidden="1" x14ac:dyDescent="0.25">
      <c r="A7516" t="s">
        <v>10340</v>
      </c>
      <c r="B7516" s="1" t="str">
        <f>HYPERLINK("https://asmlis.vasa.lt/Dashboard/Served?ServiceDateFrom=2025-11-24&amp;ServiceDateTo=2025-11-24&amp;DumpsterInvNr=13-P-307054", "13-P-307054")</f>
        <v>13-P-307054</v>
      </c>
      <c r="C7516">
        <v>1.1000000000000001</v>
      </c>
      <c r="D7516" t="s">
        <v>10324</v>
      </c>
      <c r="E7516" t="s">
        <v>11</v>
      </c>
      <c r="F7516" t="s">
        <v>13</v>
      </c>
      <c r="G7516" t="s">
        <v>412</v>
      </c>
      <c r="H7516" t="s">
        <v>14</v>
      </c>
    </row>
    <row r="7517" spans="1:8" hidden="1" x14ac:dyDescent="0.25">
      <c r="A7517" t="s">
        <v>10341</v>
      </c>
      <c r="B7517" s="1" t="str">
        <f>HYPERLINK("https://asmlis.vasa.lt/Dashboard/Served?ServiceDateFrom=2025-11-24&amp;ServiceDateTo=2025-11-24&amp;DumpsterInvNr=13-L-145254", "13-L-145254")</f>
        <v>13-L-145254</v>
      </c>
      <c r="C7517">
        <v>1.3</v>
      </c>
      <c r="D7517" t="s">
        <v>10342</v>
      </c>
      <c r="E7517" t="s">
        <v>11</v>
      </c>
      <c r="F7517" t="s">
        <v>13</v>
      </c>
      <c r="G7517" t="s">
        <v>430</v>
      </c>
      <c r="H7517" t="s">
        <v>432</v>
      </c>
    </row>
    <row r="7518" spans="1:8" hidden="1" x14ac:dyDescent="0.25">
      <c r="A7518" t="s">
        <v>10343</v>
      </c>
      <c r="B7518" s="1" t="str">
        <f>HYPERLINK("https://asmlis.vasa.lt/Dashboard/Served?ServiceDateFrom=2025-11-24&amp;ServiceDateTo=2025-11-24&amp;DumpsterInvNr=13-P-402594", "13-P-402594")</f>
        <v>13-P-402594</v>
      </c>
      <c r="C7518">
        <v>1.1000000000000001</v>
      </c>
      <c r="D7518" t="s">
        <v>1160</v>
      </c>
      <c r="E7518" t="s">
        <v>11</v>
      </c>
      <c r="G7518" t="s">
        <v>264</v>
      </c>
      <c r="H7518" t="s">
        <v>14</v>
      </c>
    </row>
    <row r="7519" spans="1:8" hidden="1" x14ac:dyDescent="0.25">
      <c r="A7519" t="s">
        <v>10344</v>
      </c>
      <c r="B7519" s="1" t="str">
        <f>HYPERLINK("https://asmlis.vasa.lt/Dashboard/Served?ServiceDateFrom=2025-11-24&amp;ServiceDateTo=2025-11-24&amp;DumpsterInvNr=13-P-405499", "13-P-405499")</f>
        <v>13-P-405499</v>
      </c>
      <c r="C7519">
        <v>0.24</v>
      </c>
      <c r="D7519" t="s">
        <v>10345</v>
      </c>
      <c r="E7519" t="s">
        <v>11</v>
      </c>
      <c r="G7519" t="s">
        <v>264</v>
      </c>
      <c r="H7519" t="s">
        <v>14</v>
      </c>
    </row>
    <row r="7520" spans="1:8" hidden="1" x14ac:dyDescent="0.25">
      <c r="A7520" t="s">
        <v>10346</v>
      </c>
      <c r="B7520" s="1" t="str">
        <f>HYPERLINK("https://asmlis.vasa.lt/Dashboard/Served?ServiceDateFrom=2025-11-24&amp;ServiceDateTo=2025-11-24&amp;DumpsterInvNr=13-L-222517", "13-L-222517")</f>
        <v>13-L-222517</v>
      </c>
      <c r="C7520">
        <v>0.24</v>
      </c>
      <c r="D7520" t="s">
        <v>7743</v>
      </c>
      <c r="E7520" t="s">
        <v>11</v>
      </c>
      <c r="G7520" t="s">
        <v>936</v>
      </c>
      <c r="H7520" t="s">
        <v>938</v>
      </c>
    </row>
    <row r="7521" spans="1:8" hidden="1" x14ac:dyDescent="0.25">
      <c r="A7521" t="s">
        <v>10346</v>
      </c>
      <c r="B7521" s="1" t="str">
        <f>HYPERLINK("https://asmlis.vasa.lt/Dashboard/Served?ServiceDateFrom=2025-11-24&amp;ServiceDateTo=2025-11-24&amp;DumpsterInvNr=13-L-117484", "13-L-117484")</f>
        <v>13-L-117484</v>
      </c>
      <c r="C7521">
        <v>1.1000000000000001</v>
      </c>
      <c r="D7521" t="s">
        <v>10347</v>
      </c>
      <c r="E7521" t="s">
        <v>11</v>
      </c>
      <c r="G7521" t="s">
        <v>1912</v>
      </c>
      <c r="H7521" t="s">
        <v>432</v>
      </c>
    </row>
    <row r="7522" spans="1:8" hidden="1" x14ac:dyDescent="0.25">
      <c r="A7522" t="s">
        <v>10348</v>
      </c>
      <c r="B7522" s="1" t="str">
        <f>HYPERLINK("https://asmlis.vasa.lt/Dashboard/Served?ServiceDateFrom=2025-11-24&amp;ServiceDateTo=2025-11-24&amp;DumpsterInvNr=13-P-402588", "13-P-402588")</f>
        <v>13-P-402588</v>
      </c>
      <c r="C7522">
        <v>1.1000000000000001</v>
      </c>
      <c r="D7522" t="s">
        <v>1160</v>
      </c>
      <c r="E7522" t="s">
        <v>11</v>
      </c>
      <c r="G7522" t="s">
        <v>264</v>
      </c>
      <c r="H7522" t="s">
        <v>14</v>
      </c>
    </row>
    <row r="7523" spans="1:8" hidden="1" x14ac:dyDescent="0.25">
      <c r="A7523" t="s">
        <v>10349</v>
      </c>
      <c r="B7523" s="1" t="str">
        <f>HYPERLINK("https://asmlis.vasa.lt/Dashboard/Served?ServiceDateFrom=2025-11-24&amp;ServiceDateTo=2025-11-24&amp;DumpsterInvNr=13-L-117486", "13-L-117486")</f>
        <v>13-L-117486</v>
      </c>
      <c r="C7523">
        <v>1.1000000000000001</v>
      </c>
      <c r="D7523" t="s">
        <v>10347</v>
      </c>
      <c r="E7523" t="s">
        <v>11</v>
      </c>
      <c r="G7523" t="s">
        <v>1912</v>
      </c>
      <c r="H7523" t="s">
        <v>432</v>
      </c>
    </row>
    <row r="7524" spans="1:8" hidden="1" x14ac:dyDescent="0.25">
      <c r="A7524" t="s">
        <v>10350</v>
      </c>
      <c r="B7524" s="1" t="str">
        <f>HYPERLINK("https://asmlis.vasa.lt/Dashboard/Served?ServiceDateFrom=2025-11-24&amp;ServiceDateTo=2025-11-24&amp;DumpsterInvNr=13-L-120400", "13-L-120400")</f>
        <v>13-L-120400</v>
      </c>
      <c r="C7524">
        <v>0.24</v>
      </c>
      <c r="D7524" t="s">
        <v>10352</v>
      </c>
      <c r="E7524" t="s">
        <v>11</v>
      </c>
      <c r="G7524" t="s">
        <v>1912</v>
      </c>
      <c r="H7524" t="s">
        <v>432</v>
      </c>
    </row>
    <row r="7525" spans="1:8" hidden="1" x14ac:dyDescent="0.25">
      <c r="A7525" t="s">
        <v>10353</v>
      </c>
      <c r="B7525" s="1" t="str">
        <f>HYPERLINK("https://asmlis.vasa.lt/Dashboard/Served?ServiceDateFrom=2025-11-24&amp;ServiceDateTo=2025-11-24&amp;DumpsterInvNr=13-L-202329", "13-L-202329")</f>
        <v>13-L-202329</v>
      </c>
      <c r="C7525">
        <v>0.12</v>
      </c>
      <c r="D7525" t="s">
        <v>10354</v>
      </c>
      <c r="E7525" t="s">
        <v>11</v>
      </c>
      <c r="F7525" t="s">
        <v>1209</v>
      </c>
      <c r="G7525" t="s">
        <v>936</v>
      </c>
      <c r="H7525" t="s">
        <v>938</v>
      </c>
    </row>
    <row r="7526" spans="1:8" hidden="1" x14ac:dyDescent="0.25">
      <c r="A7526" t="s">
        <v>10353</v>
      </c>
      <c r="B7526" s="1" t="str">
        <f>HYPERLINK("https://asmlis.vasa.lt/Dashboard/Served?ServiceDateFrom=2025-11-24&amp;ServiceDateTo=2025-11-24&amp;DumpsterInvNr=13-M-205549", "13-M-205549")</f>
        <v>13-M-205549</v>
      </c>
      <c r="C7526">
        <v>0.12</v>
      </c>
      <c r="D7526" t="s">
        <v>10356</v>
      </c>
      <c r="E7526" t="s">
        <v>11</v>
      </c>
      <c r="G7526" t="s">
        <v>4876</v>
      </c>
      <c r="H7526" t="s">
        <v>938</v>
      </c>
    </row>
    <row r="7527" spans="1:8" hidden="1" x14ac:dyDescent="0.25">
      <c r="A7527" t="s">
        <v>10353</v>
      </c>
      <c r="B7527" s="1" t="str">
        <f>HYPERLINK("https://asmlis.vasa.lt/Dashboard/Served?ServiceDateFrom=2025-11-24&amp;ServiceDateTo=2025-11-24&amp;DumpsterInvNr=13-M-205581", "13-M-205581")</f>
        <v>13-M-205581</v>
      </c>
      <c r="C7527">
        <v>0.12</v>
      </c>
      <c r="D7527" t="s">
        <v>10356</v>
      </c>
      <c r="E7527" t="s">
        <v>11</v>
      </c>
      <c r="G7527" t="s">
        <v>4876</v>
      </c>
      <c r="H7527" t="s">
        <v>938</v>
      </c>
    </row>
    <row r="7528" spans="1:8" hidden="1" x14ac:dyDescent="0.25">
      <c r="A7528" t="s">
        <v>10357</v>
      </c>
      <c r="B7528" s="1" t="str">
        <f>HYPERLINK("https://asmlis.vasa.lt/Dashboard/Served?ServiceDateFrom=2025-11-24&amp;ServiceDateTo=2025-11-24&amp;DumpsterInvNr=13-L-408891", "13-L-408891")</f>
        <v>13-L-408891</v>
      </c>
      <c r="C7528">
        <v>0.24</v>
      </c>
      <c r="D7528" t="s">
        <v>10358</v>
      </c>
      <c r="E7528" t="s">
        <v>11</v>
      </c>
      <c r="G7528" t="s">
        <v>74</v>
      </c>
      <c r="H7528" t="s">
        <v>14</v>
      </c>
    </row>
    <row r="7529" spans="1:8" hidden="1" x14ac:dyDescent="0.25">
      <c r="A7529" t="s">
        <v>10357</v>
      </c>
      <c r="B7529" s="1" t="str">
        <f>HYPERLINK("https://asmlis.vasa.lt/Dashboard/Served?ServiceDateFrom=2025-11-24&amp;ServiceDateTo=2025-11-24&amp;DumpsterInvNr=13-L-408890", "13-L-408890")</f>
        <v>13-L-408890</v>
      </c>
      <c r="C7529">
        <v>0.24</v>
      </c>
      <c r="D7529" t="s">
        <v>10359</v>
      </c>
      <c r="E7529" t="s">
        <v>11</v>
      </c>
      <c r="G7529" t="s">
        <v>74</v>
      </c>
      <c r="H7529" t="s">
        <v>14</v>
      </c>
    </row>
    <row r="7530" spans="1:8" hidden="1" x14ac:dyDescent="0.25">
      <c r="A7530" t="s">
        <v>10360</v>
      </c>
      <c r="B7530" s="1" t="str">
        <f>HYPERLINK("https://asmlis.vasa.lt/Dashboard/Served?ServiceDateFrom=2025-11-24&amp;ServiceDateTo=2025-11-24&amp;DumpsterInvNr=13-P-415231", "13-P-415231")</f>
        <v>13-P-415231</v>
      </c>
      <c r="C7530">
        <v>0.24</v>
      </c>
      <c r="D7530" t="s">
        <v>10361</v>
      </c>
      <c r="E7530" t="s">
        <v>11</v>
      </c>
      <c r="G7530" t="s">
        <v>264</v>
      </c>
      <c r="H7530" t="s">
        <v>14</v>
      </c>
    </row>
    <row r="7531" spans="1:8" hidden="1" x14ac:dyDescent="0.25">
      <c r="A7531" t="s">
        <v>10360</v>
      </c>
      <c r="B7531" s="1" t="str">
        <f>HYPERLINK("https://asmlis.vasa.lt/Dashboard/Served?ServiceDateFrom=2025-11-24&amp;ServiceDateTo=2025-11-24&amp;DumpsterInvNr=13-P-400630", "13-P-400630")</f>
        <v>13-P-400630</v>
      </c>
      <c r="C7531">
        <v>5</v>
      </c>
      <c r="D7531" t="s">
        <v>3686</v>
      </c>
      <c r="E7531" t="s">
        <v>11</v>
      </c>
      <c r="F7531" t="s">
        <v>13</v>
      </c>
      <c r="G7531" t="s">
        <v>264</v>
      </c>
      <c r="H7531" t="s">
        <v>14</v>
      </c>
    </row>
    <row r="7532" spans="1:8" hidden="1" x14ac:dyDescent="0.25">
      <c r="A7532" t="s">
        <v>10362</v>
      </c>
      <c r="B7532" s="1" t="str">
        <f>HYPERLINK("https://asmlis.vasa.lt/Dashboard/Served?ServiceDateFrom=2025-11-24&amp;ServiceDateTo=2025-11-24&amp;DumpsterInvNr=13-L-303529", "13-L-303529")</f>
        <v>13-L-303529</v>
      </c>
      <c r="C7532">
        <v>0.77</v>
      </c>
      <c r="D7532" t="s">
        <v>10363</v>
      </c>
      <c r="E7532" t="s">
        <v>11</v>
      </c>
      <c r="G7532" t="s">
        <v>9</v>
      </c>
      <c r="H7532" t="s">
        <v>14</v>
      </c>
    </row>
    <row r="7533" spans="1:8" hidden="1" x14ac:dyDescent="0.25">
      <c r="A7533" t="s">
        <v>10362</v>
      </c>
      <c r="B7533" s="1" t="str">
        <f>HYPERLINK("https://asmlis.vasa.lt/Dashboard/Served?ServiceDateFrom=2025-11-24&amp;ServiceDateTo=2025-11-24&amp;DumpsterInvNr=13-P-101084", "13-P-101084")</f>
        <v>13-P-101084</v>
      </c>
      <c r="C7533">
        <v>0.24</v>
      </c>
      <c r="D7533" t="s">
        <v>10352</v>
      </c>
      <c r="E7533" t="s">
        <v>11</v>
      </c>
      <c r="G7533" t="s">
        <v>1917</v>
      </c>
      <c r="H7533" t="s">
        <v>432</v>
      </c>
    </row>
    <row r="7534" spans="1:8" hidden="1" x14ac:dyDescent="0.25">
      <c r="A7534" t="s">
        <v>10364</v>
      </c>
      <c r="B7534" s="1" t="str">
        <f>HYPERLINK("https://asmlis.vasa.lt/Dashboard/Served?ServiceDateFrom=2025-11-24&amp;ServiceDateTo=2025-11-24&amp;DumpsterInvNr=13-P-211702", "13-P-211702")</f>
        <v>13-P-211702</v>
      </c>
      <c r="C7534">
        <v>0.24</v>
      </c>
      <c r="D7534" t="s">
        <v>10365</v>
      </c>
      <c r="E7534" t="s">
        <v>11</v>
      </c>
      <c r="G7534" t="s">
        <v>234</v>
      </c>
      <c r="H7534" t="s">
        <v>14</v>
      </c>
    </row>
    <row r="7535" spans="1:8" hidden="1" x14ac:dyDescent="0.25">
      <c r="A7535" t="s">
        <v>10364</v>
      </c>
      <c r="B7535" s="1" t="str">
        <f>HYPERLINK("https://asmlis.vasa.lt/Dashboard/Served?ServiceDateFrom=2025-11-24&amp;ServiceDateTo=2025-11-24&amp;DumpsterInvNr=13-P-500471", "13-P-500471")</f>
        <v>13-P-500471</v>
      </c>
      <c r="C7535">
        <v>5</v>
      </c>
      <c r="D7535" t="s">
        <v>7670</v>
      </c>
      <c r="E7535" t="s">
        <v>11</v>
      </c>
      <c r="F7535" t="s">
        <v>13</v>
      </c>
      <c r="G7535" t="s">
        <v>2178</v>
      </c>
      <c r="H7535" t="s">
        <v>432</v>
      </c>
    </row>
    <row r="7536" spans="1:8" hidden="1" x14ac:dyDescent="0.25">
      <c r="A7536" t="s">
        <v>4803</v>
      </c>
      <c r="B7536" s="1" t="str">
        <f>HYPERLINK("https://asmlis.vasa.lt/Dashboard/Served?ServiceDateFrom=2025-11-24&amp;ServiceDateTo=2025-11-24&amp;DumpsterInvNr=13-L-408887", "13-L-408887")</f>
        <v>13-L-408887</v>
      </c>
      <c r="C7536">
        <v>0.12</v>
      </c>
      <c r="D7536" t="s">
        <v>10366</v>
      </c>
      <c r="E7536" t="s">
        <v>11</v>
      </c>
      <c r="F7536" t="s">
        <v>1209</v>
      </c>
      <c r="G7536" t="s">
        <v>74</v>
      </c>
      <c r="H7536" t="s">
        <v>14</v>
      </c>
    </row>
    <row r="7537" spans="1:8" hidden="1" x14ac:dyDescent="0.25">
      <c r="A7537" t="s">
        <v>5501</v>
      </c>
      <c r="B7537" s="1" t="str">
        <f>HYPERLINK("https://asmlis.vasa.lt/Dashboard/Served?ServiceDateFrom=2025-11-24&amp;ServiceDateTo=2025-11-24&amp;DumpsterInvNr=13-L-117485", "13-L-117485")</f>
        <v>13-L-117485</v>
      </c>
      <c r="C7537">
        <v>1.1000000000000001</v>
      </c>
      <c r="D7537" t="s">
        <v>10347</v>
      </c>
      <c r="E7537" t="s">
        <v>11</v>
      </c>
      <c r="G7537" t="s">
        <v>1912</v>
      </c>
      <c r="H7537" t="s">
        <v>432</v>
      </c>
    </row>
    <row r="7538" spans="1:8" hidden="1" x14ac:dyDescent="0.25">
      <c r="A7538" t="s">
        <v>10367</v>
      </c>
      <c r="B7538" s="1" t="str">
        <f>HYPERLINK("https://asmlis.vasa.lt/Dashboard/Served?ServiceDateFrom=2025-11-24&amp;ServiceDateTo=2025-11-24&amp;DumpsterInvNr=13-P-211551", "13-P-211551")</f>
        <v>13-P-211551</v>
      </c>
      <c r="C7538">
        <v>0.24</v>
      </c>
      <c r="D7538" t="s">
        <v>10368</v>
      </c>
      <c r="E7538" t="s">
        <v>11</v>
      </c>
      <c r="F7538" t="s">
        <v>1209</v>
      </c>
      <c r="G7538" t="s">
        <v>234</v>
      </c>
      <c r="H7538" t="s">
        <v>14</v>
      </c>
    </row>
    <row r="7539" spans="1:8" hidden="1" x14ac:dyDescent="0.25">
      <c r="A7539" t="s">
        <v>9503</v>
      </c>
      <c r="B7539" s="1" t="str">
        <f>HYPERLINK("https://asmlis.vasa.lt/Dashboard/Served?ServiceDateFrom=2025-11-24&amp;ServiceDateTo=2025-11-24&amp;DumpsterInvNr=13-P-306807", "13-P-306807")</f>
        <v>13-P-306807</v>
      </c>
      <c r="C7539">
        <v>1.1000000000000001</v>
      </c>
      <c r="D7539" t="s">
        <v>10369</v>
      </c>
      <c r="E7539" t="s">
        <v>11</v>
      </c>
      <c r="G7539" t="s">
        <v>412</v>
      </c>
      <c r="H7539" t="s">
        <v>14</v>
      </c>
    </row>
    <row r="7540" spans="1:8" hidden="1" x14ac:dyDescent="0.25">
      <c r="A7540" t="s">
        <v>10370</v>
      </c>
      <c r="B7540" s="1" t="str">
        <f>HYPERLINK("https://asmlis.vasa.lt/Dashboard/Served?ServiceDateFrom=2025-11-24&amp;ServiceDateTo=2025-11-24&amp;DumpsterInvNr=13-L-419740", "13-L-419740")</f>
        <v>13-L-419740</v>
      </c>
      <c r="C7540">
        <v>1.1000000000000001</v>
      </c>
      <c r="D7540" t="s">
        <v>10371</v>
      </c>
      <c r="E7540" t="s">
        <v>11</v>
      </c>
      <c r="G7540" t="s">
        <v>74</v>
      </c>
      <c r="H7540" t="s">
        <v>14</v>
      </c>
    </row>
    <row r="7541" spans="1:8" hidden="1" x14ac:dyDescent="0.25">
      <c r="A7541" t="s">
        <v>10372</v>
      </c>
      <c r="B7541" s="1" t="str">
        <f>HYPERLINK("https://asmlis.vasa.lt/Dashboard/Served?ServiceDateFrom=2025-11-24&amp;ServiceDateTo=2025-11-24&amp;DumpsterInvNr=13-P-415268", "13-P-415268")</f>
        <v>13-P-415268</v>
      </c>
      <c r="C7541">
        <v>0.24</v>
      </c>
      <c r="D7541" t="s">
        <v>10373</v>
      </c>
      <c r="E7541" t="s">
        <v>11</v>
      </c>
      <c r="G7541" t="s">
        <v>264</v>
      </c>
      <c r="H7541" t="s">
        <v>14</v>
      </c>
    </row>
    <row r="7542" spans="1:8" hidden="1" x14ac:dyDescent="0.25">
      <c r="A7542" t="s">
        <v>10374</v>
      </c>
      <c r="B7542" s="1" t="str">
        <f>HYPERLINK("https://asmlis.vasa.lt/Dashboard/Served?ServiceDateFrom=2025-11-24&amp;ServiceDateTo=2025-11-24&amp;DumpsterInvNr=13-L-132711", "13-L-132711")</f>
        <v>13-L-132711</v>
      </c>
      <c r="C7542">
        <v>0.12</v>
      </c>
      <c r="D7542" t="s">
        <v>10375</v>
      </c>
      <c r="E7542" t="s">
        <v>11</v>
      </c>
      <c r="G7542" t="s">
        <v>1912</v>
      </c>
      <c r="H7542" t="s">
        <v>432</v>
      </c>
    </row>
    <row r="7543" spans="1:8" hidden="1" x14ac:dyDescent="0.25">
      <c r="A7543" t="s">
        <v>10376</v>
      </c>
      <c r="B7543" s="1" t="str">
        <f>HYPERLINK("https://asmlis.vasa.lt/Dashboard/Served?ServiceDateFrom=2025-11-24&amp;ServiceDateTo=2025-11-24&amp;DumpsterInvNr=13-L-408892", "13-L-408892")</f>
        <v>13-L-408892</v>
      </c>
      <c r="C7543">
        <v>0.24</v>
      </c>
      <c r="D7543" t="s">
        <v>10377</v>
      </c>
      <c r="E7543" t="s">
        <v>11</v>
      </c>
      <c r="G7543" t="s">
        <v>74</v>
      </c>
      <c r="H7543" t="s">
        <v>14</v>
      </c>
    </row>
    <row r="7544" spans="1:8" hidden="1" x14ac:dyDescent="0.25">
      <c r="A7544" t="s">
        <v>10376</v>
      </c>
      <c r="B7544" s="1" t="str">
        <f>HYPERLINK("https://asmlis.vasa.lt/Dashboard/Served?ServiceDateFrom=2025-11-24&amp;ServiceDateTo=2025-11-24&amp;DumpsterInvNr=13-L-408893", "13-L-408893")</f>
        <v>13-L-408893</v>
      </c>
      <c r="C7544">
        <v>0.24</v>
      </c>
      <c r="D7544" t="s">
        <v>10378</v>
      </c>
      <c r="E7544" t="s">
        <v>11</v>
      </c>
      <c r="G7544" t="s">
        <v>74</v>
      </c>
      <c r="H7544" t="s">
        <v>14</v>
      </c>
    </row>
    <row r="7545" spans="1:8" hidden="1" x14ac:dyDescent="0.25">
      <c r="A7545" t="s">
        <v>10379</v>
      </c>
      <c r="B7545" s="1" t="str">
        <f>HYPERLINK("https://asmlis.vasa.lt/Dashboard/Served?ServiceDateFrom=2025-11-24&amp;ServiceDateTo=2025-11-24&amp;DumpsterInvNr=13-S-402470", "13-S-402470")</f>
        <v>13-S-402470</v>
      </c>
      <c r="C7545">
        <v>0.12</v>
      </c>
      <c r="D7545" t="s">
        <v>10373</v>
      </c>
      <c r="E7545" t="s">
        <v>11</v>
      </c>
      <c r="G7545" t="s">
        <v>264</v>
      </c>
      <c r="H7545" t="s">
        <v>14</v>
      </c>
    </row>
    <row r="7546" spans="1:8" hidden="1" x14ac:dyDescent="0.25">
      <c r="A7546" t="s">
        <v>10379</v>
      </c>
      <c r="B7546" s="1" t="str">
        <f>HYPERLINK("https://asmlis.vasa.lt/Dashboard/Served?ServiceDateFrom=2025-11-24&amp;ServiceDateTo=2025-11-24&amp;DumpsterInvNr=13-M-200258", "13-M-200258")</f>
        <v>13-M-200258</v>
      </c>
      <c r="C7546">
        <v>0.12</v>
      </c>
      <c r="D7546" t="s">
        <v>10380</v>
      </c>
      <c r="E7546" t="s">
        <v>11</v>
      </c>
      <c r="G7546" t="s">
        <v>4876</v>
      </c>
      <c r="H7546" t="s">
        <v>938</v>
      </c>
    </row>
    <row r="7547" spans="1:8" hidden="1" x14ac:dyDescent="0.25">
      <c r="A7547" t="s">
        <v>10381</v>
      </c>
      <c r="B7547" s="1" t="str">
        <f>HYPERLINK("https://asmlis.vasa.lt/Dashboard/Served?ServiceDateFrom=2025-11-24&amp;ServiceDateTo=2025-11-24&amp;DumpsterInvNr=13-P-103517", "13-P-103517")</f>
        <v>13-P-103517</v>
      </c>
      <c r="C7547">
        <v>0.24</v>
      </c>
      <c r="D7547" t="s">
        <v>10375</v>
      </c>
      <c r="E7547" t="s">
        <v>11</v>
      </c>
      <c r="G7547" t="s">
        <v>1917</v>
      </c>
      <c r="H7547" t="s">
        <v>432</v>
      </c>
    </row>
    <row r="7548" spans="1:8" hidden="1" x14ac:dyDescent="0.25">
      <c r="A7548" t="s">
        <v>10383</v>
      </c>
      <c r="B7548" s="1" t="str">
        <f>HYPERLINK("https://asmlis.vasa.lt/Dashboard/Served?ServiceDateFrom=2025-11-24&amp;ServiceDateTo=2025-11-24&amp;DumpsterInvNr=13-P-211550", "13-P-211550")</f>
        <v>13-P-211550</v>
      </c>
      <c r="C7548">
        <v>0.24</v>
      </c>
      <c r="D7548" t="s">
        <v>10384</v>
      </c>
      <c r="E7548" t="s">
        <v>11</v>
      </c>
      <c r="G7548" t="s">
        <v>234</v>
      </c>
      <c r="H7548" t="s">
        <v>14</v>
      </c>
    </row>
    <row r="7549" spans="1:8" hidden="1" x14ac:dyDescent="0.25">
      <c r="A7549" t="s">
        <v>10383</v>
      </c>
      <c r="B7549" s="1" t="str">
        <f>HYPERLINK("https://asmlis.vasa.lt/Dashboard/Served?ServiceDateFrom=2025-11-24&amp;ServiceDateTo=2025-11-24&amp;DumpsterInvNr=13-M-205527", "13-M-205527")</f>
        <v>13-M-205527</v>
      </c>
      <c r="C7549">
        <v>0.12</v>
      </c>
      <c r="D7549" t="s">
        <v>10385</v>
      </c>
      <c r="E7549" t="s">
        <v>11</v>
      </c>
      <c r="F7549" t="s">
        <v>1209</v>
      </c>
      <c r="G7549" t="s">
        <v>4876</v>
      </c>
      <c r="H7549" t="s">
        <v>938</v>
      </c>
    </row>
    <row r="7550" spans="1:8" hidden="1" x14ac:dyDescent="0.25">
      <c r="A7550" t="s">
        <v>10387</v>
      </c>
      <c r="B7550" s="1" t="str">
        <f>HYPERLINK("https://asmlis.vasa.lt/Dashboard/Served?ServiceDateFrom=2025-11-24&amp;ServiceDateTo=2025-11-24&amp;DumpsterInvNr=13-M-200247", "13-M-200247")</f>
        <v>13-M-200247</v>
      </c>
      <c r="C7550">
        <v>0.12</v>
      </c>
      <c r="D7550" t="s">
        <v>10388</v>
      </c>
      <c r="E7550" t="s">
        <v>11</v>
      </c>
      <c r="F7550" t="s">
        <v>1209</v>
      </c>
      <c r="G7550" t="s">
        <v>4876</v>
      </c>
      <c r="H7550" t="s">
        <v>938</v>
      </c>
    </row>
    <row r="7551" spans="1:8" hidden="1" x14ac:dyDescent="0.25">
      <c r="A7551" t="s">
        <v>10389</v>
      </c>
      <c r="B7551" s="1" t="str">
        <f>HYPERLINK("https://asmlis.vasa.lt/Dashboard/Served?ServiceDateFrom=2025-11-24&amp;ServiceDateTo=2025-11-24&amp;DumpsterInvNr=13-P-306741", "13-P-306741")</f>
        <v>13-P-306741</v>
      </c>
      <c r="C7551">
        <v>1.1000000000000001</v>
      </c>
      <c r="D7551" t="s">
        <v>10369</v>
      </c>
      <c r="E7551" t="s">
        <v>11</v>
      </c>
      <c r="G7551" t="s">
        <v>412</v>
      </c>
      <c r="H7551" t="s">
        <v>14</v>
      </c>
    </row>
    <row r="7552" spans="1:8" hidden="1" x14ac:dyDescent="0.25">
      <c r="A7552" t="s">
        <v>10389</v>
      </c>
      <c r="B7552" s="1" t="str">
        <f>HYPERLINK("https://asmlis.vasa.lt/Dashboard/Served?ServiceDateFrom=2025-11-24&amp;ServiceDateTo=2025-11-24&amp;DumpsterInvNr=13-M-200294", "13-M-200294")</f>
        <v>13-M-200294</v>
      </c>
      <c r="C7552">
        <v>0.12</v>
      </c>
      <c r="D7552" t="s">
        <v>10356</v>
      </c>
      <c r="E7552" t="s">
        <v>11</v>
      </c>
      <c r="F7552" t="s">
        <v>1209</v>
      </c>
      <c r="G7552" t="s">
        <v>4876</v>
      </c>
      <c r="H7552" t="s">
        <v>938</v>
      </c>
    </row>
    <row r="7553" spans="1:8" hidden="1" x14ac:dyDescent="0.25">
      <c r="A7553" t="s">
        <v>10391</v>
      </c>
      <c r="B7553" s="1" t="str">
        <f>HYPERLINK("https://asmlis.vasa.lt/Dashboard/Served?ServiceDateFrom=2025-11-24&amp;ServiceDateTo=2025-11-24&amp;DumpsterInvNr=13-P-415175", "13-P-415175")</f>
        <v>13-P-415175</v>
      </c>
      <c r="C7553">
        <v>0.24</v>
      </c>
      <c r="D7553" t="s">
        <v>10392</v>
      </c>
      <c r="E7553" t="s">
        <v>11</v>
      </c>
      <c r="G7553" t="s">
        <v>264</v>
      </c>
      <c r="H7553" t="s">
        <v>14</v>
      </c>
    </row>
    <row r="7554" spans="1:8" hidden="1" x14ac:dyDescent="0.25">
      <c r="A7554" t="s">
        <v>10391</v>
      </c>
      <c r="B7554" s="1" t="str">
        <f>HYPERLINK("https://asmlis.vasa.lt/Dashboard/Served?ServiceDateFrom=2025-11-24&amp;ServiceDateTo=2025-11-24&amp;DumpsterInvNr=13-P-211646", "13-P-211646")</f>
        <v>13-P-211646</v>
      </c>
      <c r="C7554">
        <v>0.24</v>
      </c>
      <c r="D7554" t="s">
        <v>10393</v>
      </c>
      <c r="E7554" t="s">
        <v>11</v>
      </c>
      <c r="G7554" t="s">
        <v>234</v>
      </c>
      <c r="H7554" t="s">
        <v>14</v>
      </c>
    </row>
    <row r="7555" spans="1:8" hidden="1" x14ac:dyDescent="0.25">
      <c r="A7555" t="s">
        <v>10394</v>
      </c>
      <c r="B7555" s="1" t="str">
        <f>HYPERLINK("https://asmlis.vasa.lt/Dashboard/Served?ServiceDateFrom=2025-11-24&amp;ServiceDateTo=2025-11-24&amp;DumpsterInvNr=13-L-303530", "13-L-303530")</f>
        <v>13-L-303530</v>
      </c>
      <c r="C7555">
        <v>0.77</v>
      </c>
      <c r="D7555" t="s">
        <v>10395</v>
      </c>
      <c r="E7555" t="s">
        <v>11</v>
      </c>
      <c r="G7555" t="s">
        <v>9</v>
      </c>
      <c r="H7555" t="s">
        <v>14</v>
      </c>
    </row>
    <row r="7556" spans="1:8" hidden="1" x14ac:dyDescent="0.25">
      <c r="A7556" t="s">
        <v>10396</v>
      </c>
      <c r="B7556" s="1" t="str">
        <f>HYPERLINK("https://asmlis.vasa.lt/Dashboard/Served?ServiceDateFrom=2025-11-24&amp;ServiceDateTo=2025-11-24&amp;DumpsterInvNr=13-L-412802", "13-L-412802")</f>
        <v>13-L-412802</v>
      </c>
      <c r="C7556">
        <v>0.24</v>
      </c>
      <c r="D7556" t="s">
        <v>10397</v>
      </c>
      <c r="E7556" t="s">
        <v>11</v>
      </c>
      <c r="G7556" t="s">
        <v>74</v>
      </c>
      <c r="H7556" t="s">
        <v>14</v>
      </c>
    </row>
    <row r="7557" spans="1:8" hidden="1" x14ac:dyDescent="0.25">
      <c r="A7557" t="s">
        <v>10398</v>
      </c>
      <c r="B7557" s="1" t="str">
        <f>HYPERLINK("https://asmlis.vasa.lt/Dashboard/Served?ServiceDateFrom=2025-11-24&amp;ServiceDateTo=2025-11-24&amp;DumpsterInvNr=13-P-402363", "13-P-402363")</f>
        <v>13-P-402363</v>
      </c>
      <c r="C7557">
        <v>0.24</v>
      </c>
      <c r="D7557" t="s">
        <v>2631</v>
      </c>
      <c r="E7557" t="s">
        <v>11</v>
      </c>
      <c r="G7557" t="s">
        <v>264</v>
      </c>
      <c r="H7557" t="s">
        <v>14</v>
      </c>
    </row>
    <row r="7558" spans="1:8" hidden="1" x14ac:dyDescent="0.25">
      <c r="A7558" t="s">
        <v>10399</v>
      </c>
      <c r="B7558" s="1" t="str">
        <f>HYPERLINK("https://asmlis.vasa.lt/Dashboard/Served?ServiceDateFrom=2025-11-24&amp;ServiceDateTo=2025-11-24&amp;DumpsterInvNr=13-L-133850", "13-L-133850")</f>
        <v>13-L-133850</v>
      </c>
      <c r="C7558">
        <v>5</v>
      </c>
      <c r="D7558" t="s">
        <v>10400</v>
      </c>
      <c r="E7558" t="s">
        <v>11</v>
      </c>
      <c r="F7558" t="s">
        <v>13</v>
      </c>
      <c r="G7558" t="s">
        <v>430</v>
      </c>
      <c r="H7558" t="s">
        <v>432</v>
      </c>
    </row>
    <row r="7559" spans="1:8" hidden="1" x14ac:dyDescent="0.25">
      <c r="A7559" t="s">
        <v>10401</v>
      </c>
      <c r="B7559" s="1" t="str">
        <f>HYPERLINK("https://asmlis.vasa.lt/Dashboard/Served?ServiceDateFrom=2025-11-24&amp;ServiceDateTo=2025-11-24&amp;DumpsterInvNr=13-M-205556", "13-M-205556")</f>
        <v>13-M-205556</v>
      </c>
      <c r="C7559">
        <v>0.12</v>
      </c>
      <c r="D7559" t="s">
        <v>10402</v>
      </c>
      <c r="E7559" t="s">
        <v>11</v>
      </c>
      <c r="G7559" t="s">
        <v>4876</v>
      </c>
      <c r="H7559" t="s">
        <v>938</v>
      </c>
    </row>
    <row r="7560" spans="1:8" hidden="1" x14ac:dyDescent="0.25">
      <c r="A7560" t="s">
        <v>10403</v>
      </c>
      <c r="B7560" s="1" t="str">
        <f>HYPERLINK("https://asmlis.vasa.lt/Dashboard/Served?ServiceDateFrom=2025-11-24&amp;ServiceDateTo=2025-11-24&amp;DumpsterInvNr=13-S-207670", "13-S-207670")</f>
        <v>13-S-207670</v>
      </c>
      <c r="C7560">
        <v>0.12</v>
      </c>
      <c r="D7560" t="s">
        <v>10384</v>
      </c>
      <c r="E7560" t="s">
        <v>11</v>
      </c>
      <c r="G7560" t="s">
        <v>234</v>
      </c>
      <c r="H7560" t="s">
        <v>14</v>
      </c>
    </row>
    <row r="7561" spans="1:8" hidden="1" x14ac:dyDescent="0.25">
      <c r="A7561" t="s">
        <v>10404</v>
      </c>
      <c r="B7561" s="1" t="str">
        <f>HYPERLINK("https://asmlis.vasa.lt/Dashboard/Served?ServiceDateFrom=2025-11-24&amp;ServiceDateTo=2025-11-24&amp;DumpsterInvNr=13-P-500018", "13-P-500018")</f>
        <v>13-P-500018</v>
      </c>
      <c r="C7561">
        <v>5</v>
      </c>
      <c r="D7561" t="s">
        <v>10405</v>
      </c>
      <c r="E7561" t="s">
        <v>11</v>
      </c>
      <c r="F7561" t="s">
        <v>13</v>
      </c>
      <c r="G7561" t="s">
        <v>2178</v>
      </c>
      <c r="H7561" t="s">
        <v>432</v>
      </c>
    </row>
    <row r="7562" spans="1:8" hidden="1" x14ac:dyDescent="0.25">
      <c r="A7562" t="s">
        <v>10085</v>
      </c>
      <c r="B7562" s="1" t="str">
        <f>HYPERLINK("https://asmlis.vasa.lt/Dashboard/Served?ServiceDateFrom=2025-11-24&amp;ServiceDateTo=2025-11-24&amp;DumpsterInvNr=13-S-402456", "13-S-402456")</f>
        <v>13-S-402456</v>
      </c>
      <c r="C7562">
        <v>0.12</v>
      </c>
      <c r="D7562" t="s">
        <v>10406</v>
      </c>
      <c r="E7562" t="s">
        <v>11</v>
      </c>
      <c r="G7562" t="s">
        <v>264</v>
      </c>
      <c r="H7562" t="s">
        <v>14</v>
      </c>
    </row>
    <row r="7563" spans="1:8" hidden="1" x14ac:dyDescent="0.25">
      <c r="A7563" t="s">
        <v>10085</v>
      </c>
      <c r="B7563" s="1" t="str">
        <f>HYPERLINK("https://asmlis.vasa.lt/Dashboard/Served?ServiceDateFrom=2025-11-24&amp;ServiceDateTo=2025-11-24&amp;DumpsterInvNr=13-P-415214", "13-P-415214")</f>
        <v>13-P-415214</v>
      </c>
      <c r="C7563">
        <v>0.24</v>
      </c>
      <c r="D7563" t="s">
        <v>10406</v>
      </c>
      <c r="E7563" t="s">
        <v>11</v>
      </c>
      <c r="G7563" t="s">
        <v>264</v>
      </c>
      <c r="H7563" t="s">
        <v>14</v>
      </c>
    </row>
    <row r="7564" spans="1:8" hidden="1" x14ac:dyDescent="0.25">
      <c r="A7564" t="s">
        <v>10407</v>
      </c>
      <c r="B7564" s="1" t="str">
        <f>HYPERLINK("https://asmlis.vasa.lt/Dashboard/Served?ServiceDateFrom=2025-11-24&amp;ServiceDateTo=2025-11-24&amp;DumpsterInvNr=13-M-200293", "13-M-200293")</f>
        <v>13-M-200293</v>
      </c>
      <c r="C7564">
        <v>0.12</v>
      </c>
      <c r="D7564" t="s">
        <v>10408</v>
      </c>
      <c r="E7564" t="s">
        <v>11</v>
      </c>
      <c r="F7564" t="s">
        <v>1209</v>
      </c>
      <c r="G7564" t="s">
        <v>4876</v>
      </c>
      <c r="H7564" t="s">
        <v>938</v>
      </c>
    </row>
    <row r="7565" spans="1:8" hidden="1" x14ac:dyDescent="0.25">
      <c r="A7565" t="s">
        <v>10409</v>
      </c>
      <c r="B7565" s="1" t="str">
        <f>HYPERLINK("https://asmlis.vasa.lt/Dashboard/Served?ServiceDateFrom=2025-11-24&amp;ServiceDateTo=2025-11-24&amp;DumpsterInvNr=13-L-407212", "13-L-407212")</f>
        <v>13-L-407212</v>
      </c>
      <c r="C7565">
        <v>0.24</v>
      </c>
      <c r="D7565" t="s">
        <v>10397</v>
      </c>
      <c r="E7565" t="s">
        <v>11</v>
      </c>
      <c r="G7565" t="s">
        <v>74</v>
      </c>
      <c r="H7565" t="s">
        <v>14</v>
      </c>
    </row>
    <row r="7566" spans="1:8" hidden="1" x14ac:dyDescent="0.25">
      <c r="A7566" t="s">
        <v>10409</v>
      </c>
      <c r="B7566" s="1" t="str">
        <f>HYPERLINK("https://asmlis.vasa.lt/Dashboard/Served?ServiceDateFrom=2025-11-24&amp;ServiceDateTo=2025-11-24&amp;DumpsterInvNr=13-L-416685", "13-L-416685")</f>
        <v>13-L-416685</v>
      </c>
      <c r="C7566">
        <v>0.24</v>
      </c>
      <c r="D7566" t="s">
        <v>10410</v>
      </c>
      <c r="E7566" t="s">
        <v>11</v>
      </c>
      <c r="G7566" t="s">
        <v>74</v>
      </c>
      <c r="H7566" t="s">
        <v>14</v>
      </c>
    </row>
    <row r="7567" spans="1:8" hidden="1" x14ac:dyDescent="0.25">
      <c r="A7567" t="s">
        <v>10411</v>
      </c>
      <c r="B7567" s="1" t="str">
        <f>HYPERLINK("https://asmlis.vasa.lt/Dashboard/Served?ServiceDateFrom=2025-11-24&amp;ServiceDateTo=2025-11-24&amp;DumpsterInvNr=13-P-207912", "13-P-207912")</f>
        <v>13-P-207912</v>
      </c>
      <c r="C7567">
        <v>0.24</v>
      </c>
      <c r="D7567" t="s">
        <v>10412</v>
      </c>
      <c r="E7567" t="s">
        <v>11</v>
      </c>
      <c r="F7567" t="s">
        <v>1209</v>
      </c>
      <c r="G7567" t="s">
        <v>234</v>
      </c>
      <c r="H7567" t="s">
        <v>14</v>
      </c>
    </row>
    <row r="7568" spans="1:8" hidden="1" x14ac:dyDescent="0.25">
      <c r="A7568" t="s">
        <v>10413</v>
      </c>
      <c r="B7568" s="1" t="str">
        <f>HYPERLINK("https://asmlis.vasa.lt/Dashboard/Served?ServiceDateFrom=2025-11-24&amp;ServiceDateTo=2025-11-24&amp;DumpsterInvNr=13-M-205580", "13-M-205580")</f>
        <v>13-M-205580</v>
      </c>
      <c r="C7568">
        <v>0.12</v>
      </c>
      <c r="D7568" t="s">
        <v>10414</v>
      </c>
      <c r="E7568" t="s">
        <v>11</v>
      </c>
      <c r="F7568" t="s">
        <v>1209</v>
      </c>
      <c r="G7568" t="s">
        <v>4876</v>
      </c>
      <c r="H7568" t="s">
        <v>938</v>
      </c>
    </row>
    <row r="7569" spans="1:10" hidden="1" x14ac:dyDescent="0.25">
      <c r="A7569" t="s">
        <v>9049</v>
      </c>
      <c r="B7569" s="1" t="str">
        <f>HYPERLINK("https://asmlis.vasa.lt/Dashboard/Served?ServiceDateFrom=2025-11-24&amp;ServiceDateTo=2025-11-24&amp;DumpsterInvNr=13-L-120399", "13-L-120399")</f>
        <v>13-L-120399</v>
      </c>
      <c r="C7569">
        <v>0.24</v>
      </c>
      <c r="D7569" t="s">
        <v>10415</v>
      </c>
      <c r="E7569" t="s">
        <v>11</v>
      </c>
      <c r="G7569" t="s">
        <v>1912</v>
      </c>
      <c r="H7569" t="s">
        <v>432</v>
      </c>
    </row>
    <row r="7570" spans="1:10" hidden="1" x14ac:dyDescent="0.25">
      <c r="A7570" t="s">
        <v>9075</v>
      </c>
      <c r="B7570" s="1" t="str">
        <f>HYPERLINK("https://asmlis.vasa.lt/Dashboard/Served?ServiceDateFrom=2025-11-24&amp;ServiceDateTo=2025-11-24&amp;DumpsterInvNr=13-P-302691", "13-P-302691")</f>
        <v>13-P-302691</v>
      </c>
      <c r="C7570">
        <v>1.1000000000000001</v>
      </c>
      <c r="D7570" t="s">
        <v>10416</v>
      </c>
      <c r="E7570" t="s">
        <v>11</v>
      </c>
      <c r="G7570" t="s">
        <v>412</v>
      </c>
      <c r="H7570" t="s">
        <v>14</v>
      </c>
    </row>
    <row r="7571" spans="1:10" hidden="1" x14ac:dyDescent="0.25">
      <c r="A7571" t="s">
        <v>9285</v>
      </c>
      <c r="B7571" s="1" t="str">
        <f>HYPERLINK("https://asmlis.vasa.lt/Dashboard/Served?ServiceDateFrom=2025-11-24&amp;ServiceDateTo=2025-11-24&amp;DumpsterInvNr=13-P-211738", "13-P-211738")</f>
        <v>13-P-211738</v>
      </c>
      <c r="C7571">
        <v>0.24</v>
      </c>
      <c r="D7571" t="s">
        <v>10417</v>
      </c>
      <c r="E7571" t="s">
        <v>11</v>
      </c>
      <c r="F7571" t="s">
        <v>1209</v>
      </c>
      <c r="G7571" t="s">
        <v>234</v>
      </c>
      <c r="H7571" t="s">
        <v>14</v>
      </c>
    </row>
    <row r="7572" spans="1:10" hidden="1" x14ac:dyDescent="0.25">
      <c r="A7572" t="s">
        <v>10418</v>
      </c>
      <c r="B7572" s="1" t="str">
        <f>HYPERLINK("https://asmlis.vasa.lt/Dashboard/Served?ServiceDateFrom=2025-11-24&amp;ServiceDateTo=2025-11-24&amp;DumpsterInvNr=13-P-101077", "13-P-101077")</f>
        <v>13-P-101077</v>
      </c>
      <c r="C7572">
        <v>0.24</v>
      </c>
      <c r="D7572" t="s">
        <v>10415</v>
      </c>
      <c r="E7572" t="s">
        <v>11</v>
      </c>
      <c r="G7572" t="s">
        <v>1917</v>
      </c>
      <c r="H7572" t="s">
        <v>432</v>
      </c>
    </row>
    <row r="7573" spans="1:10" hidden="1" x14ac:dyDescent="0.25">
      <c r="A7573" t="s">
        <v>10419</v>
      </c>
      <c r="B7573" s="1" t="str">
        <f>HYPERLINK("https://asmlis.vasa.lt/Dashboard/Served?ServiceDateFrom=2025-11-24&amp;ServiceDateTo=2025-11-24&amp;DumpsterInvNr=13-P-415275", "13-P-415275")</f>
        <v>13-P-415275</v>
      </c>
      <c r="C7573">
        <v>0.24</v>
      </c>
      <c r="D7573" t="s">
        <v>10420</v>
      </c>
      <c r="E7573" t="s">
        <v>11</v>
      </c>
      <c r="G7573" t="s">
        <v>264</v>
      </c>
      <c r="H7573" t="s">
        <v>14</v>
      </c>
    </row>
    <row r="7574" spans="1:10" hidden="1" x14ac:dyDescent="0.25">
      <c r="A7574" t="s">
        <v>10421</v>
      </c>
      <c r="B7574" s="1" t="str">
        <f>HYPERLINK("https://asmlis.vasa.lt/Dashboard/Served?ServiceDateFrom=2025-11-24&amp;ServiceDateTo=2025-11-24&amp;DumpsterInvNr=13-P-302616", "13-P-302616")</f>
        <v>13-P-302616</v>
      </c>
      <c r="C7574">
        <v>5</v>
      </c>
      <c r="D7574" t="s">
        <v>2010</v>
      </c>
      <c r="E7574" t="s">
        <v>11</v>
      </c>
      <c r="G7574" t="s">
        <v>412</v>
      </c>
      <c r="H7574" t="s">
        <v>14</v>
      </c>
    </row>
    <row r="7575" spans="1:10" hidden="1" x14ac:dyDescent="0.25">
      <c r="A7575" t="s">
        <v>10197</v>
      </c>
      <c r="B7575" s="1" t="str">
        <f>HYPERLINK("https://asmlis.vasa.lt/Dashboard/Served?ServiceDateFrom=2025-11-24&amp;ServiceDateTo=2025-11-24&amp;DumpsterInvNr=13-L-318809", "13-L-318809")</f>
        <v>13-L-318809</v>
      </c>
      <c r="C7575">
        <v>0.77</v>
      </c>
      <c r="D7575" t="s">
        <v>10422</v>
      </c>
      <c r="E7575" t="s">
        <v>11</v>
      </c>
      <c r="G7575" t="s">
        <v>9</v>
      </c>
      <c r="H7575" t="s">
        <v>14</v>
      </c>
    </row>
    <row r="7576" spans="1:10" hidden="1" x14ac:dyDescent="0.25">
      <c r="A7576" t="s">
        <v>10423</v>
      </c>
      <c r="B7576" s="1" t="str">
        <f>HYPERLINK("https://asmlis.vasa.lt/Dashboard/Served?ServiceDateFrom=2025-11-24&amp;ServiceDateTo=2025-11-24&amp;DumpsterInvNr=13-L-309622", "13-L-309622")</f>
        <v>13-L-309622</v>
      </c>
      <c r="C7576">
        <v>5</v>
      </c>
      <c r="D7576" t="s">
        <v>1221</v>
      </c>
      <c r="E7576" t="s">
        <v>11</v>
      </c>
      <c r="F7576" t="s">
        <v>13</v>
      </c>
      <c r="G7576" t="s">
        <v>9</v>
      </c>
      <c r="H7576" t="s">
        <v>14</v>
      </c>
    </row>
    <row r="7577" spans="1:10" hidden="1" x14ac:dyDescent="0.25">
      <c r="A7577" t="s">
        <v>10424</v>
      </c>
      <c r="B7577" s="1" t="str">
        <f>HYPERLINK("https://asmlis.vasa.lt/Dashboard/Served?ServiceDateFrom=2025-11-24&amp;ServiceDateTo=2025-11-24&amp;DumpsterInvNr=13-P-211595", "13-P-211595")</f>
        <v>13-P-211595</v>
      </c>
      <c r="C7577">
        <v>0.24</v>
      </c>
      <c r="D7577" t="s">
        <v>10425</v>
      </c>
      <c r="E7577" t="s">
        <v>11</v>
      </c>
      <c r="G7577" t="s">
        <v>234</v>
      </c>
      <c r="H7577" t="s">
        <v>14</v>
      </c>
    </row>
    <row r="7578" spans="1:10" hidden="1" x14ac:dyDescent="0.25">
      <c r="A7578" t="s">
        <v>10424</v>
      </c>
      <c r="B7578" s="1" t="str">
        <f>HYPERLINK("https://asmlis.vasa.lt/Dashboard/Served?ServiceDateFrom=2025-11-24&amp;ServiceDateTo=2025-11-24&amp;DumpsterInvNr=13-P-500454", "13-P-500454")</f>
        <v>13-P-500454</v>
      </c>
      <c r="C7578">
        <v>5</v>
      </c>
      <c r="D7578" t="s">
        <v>7663</v>
      </c>
      <c r="E7578" t="s">
        <v>11</v>
      </c>
      <c r="F7578" t="s">
        <v>13</v>
      </c>
      <c r="G7578" t="s">
        <v>2178</v>
      </c>
      <c r="H7578" t="s">
        <v>432</v>
      </c>
    </row>
    <row r="7579" spans="1:10" hidden="1" x14ac:dyDescent="0.25">
      <c r="A7579" t="s">
        <v>10355</v>
      </c>
      <c r="B7579" s="1" t="str">
        <f>HYPERLINK("https://asmlis.vasa.lt/Dashboard/Served?ServiceDateFrom=2025-11-24&amp;ServiceDateTo=2025-11-24&amp;DumpsterInvNr=13-L-308550", "13-L-308550")</f>
        <v>13-L-308550</v>
      </c>
      <c r="C7579">
        <v>0.77</v>
      </c>
      <c r="D7579" t="s">
        <v>10426</v>
      </c>
      <c r="E7579" t="s">
        <v>11</v>
      </c>
      <c r="G7579" t="s">
        <v>9</v>
      </c>
      <c r="H7579" t="s">
        <v>14</v>
      </c>
    </row>
    <row r="7580" spans="1:10" hidden="1" x14ac:dyDescent="0.25">
      <c r="A7580" t="s">
        <v>10427</v>
      </c>
      <c r="B7580" s="1" t="str">
        <f>HYPERLINK("https://asmlis.vasa.lt/Dashboard/Served?ServiceDateFrom=2025-11-24&amp;ServiceDateTo=2025-11-24&amp;DumpsterInvNr=13-L-113072", "13-L-113072")</f>
        <v>13-L-113072</v>
      </c>
      <c r="C7580">
        <v>3</v>
      </c>
      <c r="D7580" t="s">
        <v>10428</v>
      </c>
      <c r="E7580" t="s">
        <v>11</v>
      </c>
      <c r="F7580" t="s">
        <v>13</v>
      </c>
      <c r="G7580" t="s">
        <v>430</v>
      </c>
      <c r="H7580" t="s">
        <v>432</v>
      </c>
    </row>
    <row r="7581" spans="1:10" hidden="1" x14ac:dyDescent="0.25">
      <c r="A7581" t="s">
        <v>10429</v>
      </c>
      <c r="B7581" s="1" t="str">
        <f>HYPERLINK("https://asmlis.vasa.lt/Dashboard/Served?ServiceDateFrom=2025-11-24&amp;ServiceDateTo=2025-11-24&amp;DumpsterInvNr=13-L-140962", "13-L-140962")</f>
        <v>13-L-140962</v>
      </c>
      <c r="C7581">
        <v>1.1000000000000001</v>
      </c>
      <c r="D7581" t="s">
        <v>10430</v>
      </c>
      <c r="E7581" t="s">
        <v>12</v>
      </c>
      <c r="F7581" t="s">
        <v>10431</v>
      </c>
      <c r="G7581" t="s">
        <v>430</v>
      </c>
      <c r="H7581" t="s">
        <v>432</v>
      </c>
      <c r="J7581" t="s">
        <v>17519</v>
      </c>
    </row>
    <row r="7582" spans="1:10" hidden="1" x14ac:dyDescent="0.25">
      <c r="A7582" t="s">
        <v>10433</v>
      </c>
      <c r="B7582" s="1" t="str">
        <f>HYPERLINK("https://asmlis.vasa.lt/Dashboard/Served?ServiceDateFrom=2025-11-24&amp;ServiceDateTo=2025-11-24&amp;DumpsterInvNr=13-S-402588", "13-S-402588")</f>
        <v>13-S-402588</v>
      </c>
      <c r="C7582">
        <v>0.12</v>
      </c>
      <c r="D7582" t="s">
        <v>10420</v>
      </c>
      <c r="E7582" t="s">
        <v>11</v>
      </c>
      <c r="G7582" t="s">
        <v>264</v>
      </c>
      <c r="H7582" t="s">
        <v>14</v>
      </c>
    </row>
    <row r="7583" spans="1:10" hidden="1" x14ac:dyDescent="0.25">
      <c r="A7583" t="s">
        <v>10432</v>
      </c>
      <c r="B7583" s="1" t="str">
        <f>HYPERLINK("https://asmlis.vasa.lt/Dashboard/Served?ServiceDateFrom=2025-11-24&amp;ServiceDateTo=2025-11-24&amp;DumpsterInvNr=13-L-411900", "13-L-411900")</f>
        <v>13-L-411900</v>
      </c>
      <c r="C7583">
        <v>0.12</v>
      </c>
      <c r="D7583" t="s">
        <v>10434</v>
      </c>
      <c r="E7583" t="s">
        <v>11</v>
      </c>
      <c r="G7583" t="s">
        <v>74</v>
      </c>
      <c r="H7583" t="s">
        <v>14</v>
      </c>
    </row>
    <row r="7584" spans="1:10" hidden="1" x14ac:dyDescent="0.25">
      <c r="A7584" t="s">
        <v>10435</v>
      </c>
      <c r="B7584" s="1" t="str">
        <f>HYPERLINK("https://asmlis.vasa.lt/Dashboard/Served?ServiceDateFrom=2025-11-24&amp;ServiceDateTo=2025-11-24&amp;DumpsterInvNr=13-S-207634", "13-S-207634")</f>
        <v>13-S-207634</v>
      </c>
      <c r="C7584">
        <v>0.12</v>
      </c>
      <c r="D7584" t="s">
        <v>10425</v>
      </c>
      <c r="E7584" t="s">
        <v>11</v>
      </c>
      <c r="F7584" t="s">
        <v>1209</v>
      </c>
      <c r="G7584" t="s">
        <v>234</v>
      </c>
      <c r="H7584" t="s">
        <v>14</v>
      </c>
    </row>
    <row r="7585" spans="1:10" hidden="1" x14ac:dyDescent="0.25">
      <c r="A7585" t="s">
        <v>10437</v>
      </c>
      <c r="B7585" s="1" t="str">
        <f>HYPERLINK("https://asmlis.vasa.lt/Dashboard/Served?ServiceDateFrom=2025-11-24&amp;ServiceDateTo=2025-11-24&amp;DumpsterInvNr=13-P-302657", "13-P-302657")</f>
        <v>13-P-302657</v>
      </c>
      <c r="C7585">
        <v>1.1000000000000001</v>
      </c>
      <c r="D7585" t="s">
        <v>10416</v>
      </c>
      <c r="E7585" t="s">
        <v>11</v>
      </c>
      <c r="F7585" t="s">
        <v>13</v>
      </c>
      <c r="G7585" t="s">
        <v>412</v>
      </c>
      <c r="H7585" t="s">
        <v>14</v>
      </c>
    </row>
    <row r="7586" spans="1:10" hidden="1" x14ac:dyDescent="0.25">
      <c r="A7586" t="s">
        <v>10438</v>
      </c>
      <c r="B7586" s="1" t="str">
        <f>HYPERLINK("https://asmlis.vasa.lt/Dashboard/Served?ServiceDateFrom=2025-11-24&amp;ServiceDateTo=2025-11-24&amp;DumpsterInvNr=13-P-302682", "13-P-302682")</f>
        <v>13-P-302682</v>
      </c>
      <c r="C7586">
        <v>1.1000000000000001</v>
      </c>
      <c r="D7586" t="s">
        <v>10416</v>
      </c>
      <c r="E7586" t="s">
        <v>12</v>
      </c>
      <c r="F7586" t="s">
        <v>13</v>
      </c>
      <c r="G7586" t="s">
        <v>412</v>
      </c>
      <c r="H7586" t="s">
        <v>14</v>
      </c>
    </row>
    <row r="7587" spans="1:10" hidden="1" x14ac:dyDescent="0.25">
      <c r="A7587" t="s">
        <v>10439</v>
      </c>
      <c r="B7587" s="1" t="str">
        <f>HYPERLINK("https://asmlis.vasa.lt/Dashboard/Served?ServiceDateFrom=2025-11-24&amp;ServiceDateTo=2025-11-24&amp;DumpsterInvNr=13-P-302671", "13-P-302671")</f>
        <v>13-P-302671</v>
      </c>
      <c r="C7587">
        <v>1.1000000000000001</v>
      </c>
      <c r="D7587" t="s">
        <v>10416</v>
      </c>
      <c r="E7587" t="s">
        <v>11</v>
      </c>
      <c r="F7587" t="s">
        <v>13</v>
      </c>
      <c r="G7587" t="s">
        <v>412</v>
      </c>
      <c r="H7587" t="s">
        <v>14</v>
      </c>
    </row>
    <row r="7588" spans="1:10" hidden="1" x14ac:dyDescent="0.25">
      <c r="A7588" t="s">
        <v>10439</v>
      </c>
      <c r="B7588" s="1" t="str">
        <f>HYPERLINK("https://asmlis.vasa.lt/Dashboard/Served?ServiceDateFrom=2025-11-24&amp;ServiceDateTo=2025-11-24&amp;DumpsterInvNr=13-L-140963", "13-L-140963")</f>
        <v>13-L-140963</v>
      </c>
      <c r="C7588">
        <v>1.1000000000000001</v>
      </c>
      <c r="D7588" t="s">
        <v>10430</v>
      </c>
      <c r="E7588" t="s">
        <v>12</v>
      </c>
      <c r="F7588" t="s">
        <v>10431</v>
      </c>
      <c r="G7588" t="s">
        <v>430</v>
      </c>
      <c r="H7588" t="s">
        <v>432</v>
      </c>
      <c r="J7588" t="s">
        <v>17519</v>
      </c>
    </row>
    <row r="7589" spans="1:10" hidden="1" x14ac:dyDescent="0.25">
      <c r="A7589" t="s">
        <v>10440</v>
      </c>
      <c r="B7589" s="1" t="str">
        <f>HYPERLINK("https://asmlis.vasa.lt/Dashboard/Served?ServiceDateFrom=2025-11-24&amp;ServiceDateTo=2025-11-24&amp;DumpsterInvNr=13-P-102360", "13-P-102360")</f>
        <v>13-P-102360</v>
      </c>
      <c r="C7589">
        <v>5</v>
      </c>
      <c r="D7589" t="s">
        <v>4814</v>
      </c>
      <c r="E7589" t="s">
        <v>11</v>
      </c>
      <c r="F7589" t="s">
        <v>13</v>
      </c>
      <c r="G7589" t="s">
        <v>1917</v>
      </c>
      <c r="H7589" t="s">
        <v>432</v>
      </c>
    </row>
    <row r="7590" spans="1:10" hidden="1" x14ac:dyDescent="0.25">
      <c r="A7590" t="s">
        <v>10441</v>
      </c>
      <c r="B7590" s="1" t="str">
        <f>HYPERLINK("https://asmlis.vasa.lt/Dashboard/Served?ServiceDateFrom=2025-11-24&amp;ServiceDateTo=2025-11-24&amp;DumpsterInvNr=13-P-400680", "13-P-400680")</f>
        <v>13-P-400680</v>
      </c>
      <c r="C7590">
        <v>5</v>
      </c>
      <c r="D7590" t="s">
        <v>3569</v>
      </c>
      <c r="E7590" t="s">
        <v>11</v>
      </c>
      <c r="F7590" t="s">
        <v>13</v>
      </c>
      <c r="G7590" t="s">
        <v>264</v>
      </c>
      <c r="H7590" t="s">
        <v>14</v>
      </c>
    </row>
    <row r="7591" spans="1:10" hidden="1" x14ac:dyDescent="0.25">
      <c r="A7591" t="s">
        <v>10442</v>
      </c>
      <c r="B7591" s="1" t="str">
        <f>HYPERLINK("https://asmlis.vasa.lt/Dashboard/Served?ServiceDateFrom=2025-11-24&amp;ServiceDateTo=2025-11-24&amp;DumpsterInvNr=13-L-134260", "13-L-134260")</f>
        <v>13-L-134260</v>
      </c>
      <c r="C7591">
        <v>0.24</v>
      </c>
      <c r="D7591" t="s">
        <v>10443</v>
      </c>
      <c r="E7591" t="s">
        <v>11</v>
      </c>
      <c r="G7591" t="s">
        <v>1912</v>
      </c>
      <c r="H7591" t="s">
        <v>432</v>
      </c>
    </row>
    <row r="7592" spans="1:10" hidden="1" x14ac:dyDescent="0.25">
      <c r="A7592" t="s">
        <v>10445</v>
      </c>
      <c r="B7592" s="1" t="str">
        <f>HYPERLINK("https://asmlis.vasa.lt/Dashboard/Served?ServiceDateFrom=2025-11-24&amp;ServiceDateTo=2025-11-24&amp;DumpsterInvNr=13-L-203569", "13-L-203569")</f>
        <v>13-L-203569</v>
      </c>
      <c r="C7592">
        <v>0.12</v>
      </c>
      <c r="D7592" t="s">
        <v>7821</v>
      </c>
      <c r="E7592" t="s">
        <v>11</v>
      </c>
      <c r="F7592" t="s">
        <v>1209</v>
      </c>
      <c r="G7592" t="s">
        <v>936</v>
      </c>
      <c r="H7592" t="s">
        <v>938</v>
      </c>
    </row>
    <row r="7593" spans="1:10" hidden="1" x14ac:dyDescent="0.25">
      <c r="A7593" t="s">
        <v>10446</v>
      </c>
      <c r="B7593" s="1" t="str">
        <f>HYPERLINK("https://asmlis.vasa.lt/Dashboard/Served?ServiceDateFrom=2025-11-24&amp;ServiceDateTo=2025-11-24&amp;DumpsterInvNr=13-M-200266", "13-M-200266")</f>
        <v>13-M-200266</v>
      </c>
      <c r="C7593">
        <v>0.12</v>
      </c>
      <c r="D7593" t="s">
        <v>10447</v>
      </c>
      <c r="E7593" t="s">
        <v>11</v>
      </c>
      <c r="G7593" t="s">
        <v>4876</v>
      </c>
      <c r="H7593" t="s">
        <v>938</v>
      </c>
    </row>
    <row r="7594" spans="1:10" hidden="1" x14ac:dyDescent="0.25">
      <c r="A7594" t="s">
        <v>10448</v>
      </c>
      <c r="B7594" s="1" t="str">
        <f>HYPERLINK("https://asmlis.vasa.lt/Dashboard/Served?ServiceDateFrom=2025-11-24&amp;ServiceDateTo=2025-11-24&amp;DumpsterInvNr=13-P-101096", "13-P-101096")</f>
        <v>13-P-101096</v>
      </c>
      <c r="C7594">
        <v>0.24</v>
      </c>
      <c r="D7594" t="s">
        <v>10443</v>
      </c>
      <c r="E7594" t="s">
        <v>11</v>
      </c>
      <c r="G7594" t="s">
        <v>1917</v>
      </c>
      <c r="H7594" t="s">
        <v>432</v>
      </c>
    </row>
    <row r="7595" spans="1:10" hidden="1" x14ac:dyDescent="0.25">
      <c r="A7595" t="s">
        <v>10449</v>
      </c>
      <c r="B7595" s="1" t="str">
        <f>HYPERLINK("https://asmlis.vasa.lt/Dashboard/Served?ServiceDateFrom=2025-11-24&amp;ServiceDateTo=2025-11-24&amp;DumpsterInvNr=13-S-207951", "13-S-207951")</f>
        <v>13-S-207951</v>
      </c>
      <c r="C7595">
        <v>0.12</v>
      </c>
      <c r="D7595" t="s">
        <v>10450</v>
      </c>
      <c r="E7595" t="s">
        <v>11</v>
      </c>
      <c r="G7595" t="s">
        <v>234</v>
      </c>
      <c r="H7595" t="s">
        <v>14</v>
      </c>
    </row>
    <row r="7596" spans="1:10" hidden="1" x14ac:dyDescent="0.25">
      <c r="A7596" t="s">
        <v>10449</v>
      </c>
      <c r="B7596" s="1" t="str">
        <f>HYPERLINK("https://asmlis.vasa.lt/Dashboard/Served?ServiceDateFrom=2025-11-24&amp;ServiceDateTo=2025-11-24&amp;DumpsterInvNr=13-P-209019", "13-P-209019")</f>
        <v>13-P-209019</v>
      </c>
      <c r="C7596">
        <v>0.24</v>
      </c>
      <c r="D7596" t="s">
        <v>10451</v>
      </c>
      <c r="E7596" t="s">
        <v>11</v>
      </c>
      <c r="G7596" t="s">
        <v>234</v>
      </c>
      <c r="H7596" t="s">
        <v>14</v>
      </c>
    </row>
    <row r="7597" spans="1:10" hidden="1" x14ac:dyDescent="0.25">
      <c r="A7597" t="s">
        <v>10452</v>
      </c>
      <c r="B7597" s="1" t="str">
        <f>HYPERLINK("https://asmlis.vasa.lt/Dashboard/Served?ServiceDateFrom=2025-11-24&amp;ServiceDateTo=2025-11-24&amp;DumpsterInvNr=13-P-211691", "13-P-211691")</f>
        <v>13-P-211691</v>
      </c>
      <c r="C7597">
        <v>0.24</v>
      </c>
      <c r="D7597" t="s">
        <v>10450</v>
      </c>
      <c r="E7597" t="s">
        <v>11</v>
      </c>
      <c r="G7597" t="s">
        <v>234</v>
      </c>
      <c r="H7597" t="s">
        <v>14</v>
      </c>
    </row>
    <row r="7598" spans="1:10" hidden="1" x14ac:dyDescent="0.25">
      <c r="A7598" t="s">
        <v>10453</v>
      </c>
      <c r="B7598" s="1" t="str">
        <f>HYPERLINK("https://asmlis.vasa.lt/Dashboard/Served?ServiceDateFrom=2025-11-24&amp;ServiceDateTo=2025-11-24&amp;DumpsterInvNr=13-L-203568", "13-L-203568")</f>
        <v>13-L-203568</v>
      </c>
      <c r="C7598">
        <v>0.12</v>
      </c>
      <c r="D7598" t="s">
        <v>7851</v>
      </c>
      <c r="E7598" t="s">
        <v>11</v>
      </c>
      <c r="G7598" t="s">
        <v>936</v>
      </c>
      <c r="H7598" t="s">
        <v>938</v>
      </c>
    </row>
    <row r="7599" spans="1:10" hidden="1" x14ac:dyDescent="0.25">
      <c r="A7599" t="s">
        <v>10454</v>
      </c>
      <c r="B7599" s="1" t="str">
        <f>HYPERLINK("https://asmlis.vasa.lt/Dashboard/Served?ServiceDateFrom=2025-11-24&amp;ServiceDateTo=2025-11-24&amp;DumpsterInvNr=13-L-123907", "13-L-123907")</f>
        <v>13-L-123907</v>
      </c>
      <c r="C7599">
        <v>0.12</v>
      </c>
      <c r="D7599" t="s">
        <v>10455</v>
      </c>
      <c r="E7599" t="s">
        <v>11</v>
      </c>
      <c r="G7599" t="s">
        <v>1912</v>
      </c>
      <c r="H7599" t="s">
        <v>432</v>
      </c>
    </row>
    <row r="7600" spans="1:10" hidden="1" x14ac:dyDescent="0.25">
      <c r="A7600" t="s">
        <v>10456</v>
      </c>
      <c r="B7600" s="1" t="str">
        <f>HYPERLINK("https://asmlis.vasa.lt/Dashboard/Served?ServiceDateFrom=2025-11-24&amp;ServiceDateTo=2025-11-24&amp;DumpsterInvNr=13-P-101092", "13-P-101092")</f>
        <v>13-P-101092</v>
      </c>
      <c r="C7600">
        <v>0.12</v>
      </c>
      <c r="D7600" t="s">
        <v>10455</v>
      </c>
      <c r="E7600" t="s">
        <v>11</v>
      </c>
      <c r="G7600" t="s">
        <v>1917</v>
      </c>
      <c r="H7600" t="s">
        <v>432</v>
      </c>
    </row>
    <row r="7601" spans="1:8" hidden="1" x14ac:dyDescent="0.25">
      <c r="A7601" t="s">
        <v>10457</v>
      </c>
      <c r="B7601" s="1" t="str">
        <f>HYPERLINK("https://asmlis.vasa.lt/Dashboard/Served?ServiceDateFrom=2025-11-24&amp;ServiceDateTo=2025-11-24&amp;DumpsterInvNr=13-P-402491", "13-P-402491")</f>
        <v>13-P-402491</v>
      </c>
      <c r="C7601">
        <v>5</v>
      </c>
      <c r="D7601" t="s">
        <v>1010</v>
      </c>
      <c r="E7601" t="s">
        <v>11</v>
      </c>
      <c r="F7601" t="s">
        <v>13</v>
      </c>
      <c r="G7601" t="s">
        <v>264</v>
      </c>
      <c r="H7601" t="s">
        <v>14</v>
      </c>
    </row>
    <row r="7602" spans="1:8" hidden="1" x14ac:dyDescent="0.25">
      <c r="A7602" t="s">
        <v>10458</v>
      </c>
      <c r="B7602" s="1" t="str">
        <f>HYPERLINK("https://asmlis.vasa.lt/Dashboard/Served?ServiceDateFrom=2025-11-24&amp;ServiceDateTo=2025-11-24&amp;DumpsterInvNr=13-L-139208", "13-L-139208")</f>
        <v>13-L-139208</v>
      </c>
      <c r="C7602">
        <v>5</v>
      </c>
      <c r="D7602" t="s">
        <v>10459</v>
      </c>
      <c r="E7602" t="s">
        <v>11</v>
      </c>
      <c r="F7602" t="s">
        <v>13</v>
      </c>
      <c r="G7602" t="s">
        <v>430</v>
      </c>
      <c r="H7602" t="s">
        <v>432</v>
      </c>
    </row>
    <row r="7603" spans="1:8" hidden="1" x14ac:dyDescent="0.25">
      <c r="A7603" t="s">
        <v>10460</v>
      </c>
      <c r="B7603" s="1" t="str">
        <f>HYPERLINK("https://asmlis.vasa.lt/Dashboard/Served?ServiceDateFrom=2025-11-24&amp;ServiceDateTo=2025-11-24&amp;DumpsterInvNr=13-L-419819", "13-L-419819")</f>
        <v>13-L-419819</v>
      </c>
      <c r="C7603">
        <v>0.24</v>
      </c>
      <c r="D7603" t="s">
        <v>10461</v>
      </c>
      <c r="E7603" t="s">
        <v>11</v>
      </c>
      <c r="G7603" t="s">
        <v>74</v>
      </c>
      <c r="H7603" t="s">
        <v>14</v>
      </c>
    </row>
    <row r="7604" spans="1:8" hidden="1" x14ac:dyDescent="0.25">
      <c r="A7604" t="s">
        <v>10462</v>
      </c>
      <c r="B7604" s="1" t="str">
        <f>HYPERLINK("https://asmlis.vasa.lt/Dashboard/Served?ServiceDateFrom=2025-11-24&amp;ServiceDateTo=2025-11-24&amp;DumpsterInvNr=13-L-304822", "13-L-304822")</f>
        <v>13-L-304822</v>
      </c>
      <c r="C7604">
        <v>0.66</v>
      </c>
      <c r="D7604" t="s">
        <v>10463</v>
      </c>
      <c r="E7604" t="s">
        <v>11</v>
      </c>
      <c r="G7604" t="s">
        <v>9</v>
      </c>
      <c r="H7604" t="s">
        <v>14</v>
      </c>
    </row>
    <row r="7605" spans="1:8" hidden="1" x14ac:dyDescent="0.25">
      <c r="A7605" t="s">
        <v>10464</v>
      </c>
      <c r="B7605" s="1" t="str">
        <f>HYPERLINK("https://asmlis.vasa.lt/Dashboard/Served?ServiceDateFrom=2025-11-24&amp;ServiceDateTo=2025-11-24&amp;DumpsterInvNr=13-L-203570", "13-L-203570")</f>
        <v>13-L-203570</v>
      </c>
      <c r="C7605">
        <v>0.12</v>
      </c>
      <c r="D7605" t="s">
        <v>7878</v>
      </c>
      <c r="E7605" t="s">
        <v>11</v>
      </c>
      <c r="G7605" t="s">
        <v>936</v>
      </c>
      <c r="H7605" t="s">
        <v>938</v>
      </c>
    </row>
    <row r="7606" spans="1:8" hidden="1" x14ac:dyDescent="0.25">
      <c r="A7606" t="s">
        <v>10465</v>
      </c>
      <c r="B7606" s="1" t="str">
        <f>HYPERLINK("https://asmlis.vasa.lt/Dashboard/Served?ServiceDateFrom=2025-11-24&amp;ServiceDateTo=2025-11-24&amp;DumpsterInvNr=13-S-209148", "13-S-209148")</f>
        <v>13-S-209148</v>
      </c>
      <c r="C7606">
        <v>0.12</v>
      </c>
      <c r="D7606" t="s">
        <v>10451</v>
      </c>
      <c r="E7606" t="s">
        <v>11</v>
      </c>
      <c r="F7606" t="s">
        <v>1209</v>
      </c>
      <c r="G7606" t="s">
        <v>234</v>
      </c>
      <c r="H7606" t="s">
        <v>14</v>
      </c>
    </row>
    <row r="7607" spans="1:8" hidden="1" x14ac:dyDescent="0.25">
      <c r="A7607" t="s">
        <v>10467</v>
      </c>
      <c r="B7607" s="1" t="str">
        <f>HYPERLINK("https://asmlis.vasa.lt/Dashboard/Served?ServiceDateFrom=2025-11-24&amp;ServiceDateTo=2025-11-24&amp;DumpsterInvNr=13-L-318898", "13-L-318898")</f>
        <v>13-L-318898</v>
      </c>
      <c r="C7607">
        <v>0.66</v>
      </c>
      <c r="D7607" t="s">
        <v>10468</v>
      </c>
      <c r="E7607" t="s">
        <v>11</v>
      </c>
      <c r="G7607" t="s">
        <v>9</v>
      </c>
      <c r="H7607" t="s">
        <v>14</v>
      </c>
    </row>
    <row r="7608" spans="1:8" hidden="1" x14ac:dyDescent="0.25">
      <c r="A7608" t="s">
        <v>10469</v>
      </c>
      <c r="B7608" s="1" t="str">
        <f>HYPERLINK("https://asmlis.vasa.lt/Dashboard/Served?ServiceDateFrom=2025-11-24&amp;ServiceDateTo=2025-11-24&amp;DumpsterInvNr=13-L-123906", "13-L-123906")</f>
        <v>13-L-123906</v>
      </c>
      <c r="C7608">
        <v>0.24</v>
      </c>
      <c r="D7608" t="s">
        <v>10470</v>
      </c>
      <c r="E7608" t="s">
        <v>11</v>
      </c>
      <c r="G7608" t="s">
        <v>1912</v>
      </c>
      <c r="H7608" t="s">
        <v>432</v>
      </c>
    </row>
    <row r="7609" spans="1:8" hidden="1" x14ac:dyDescent="0.25">
      <c r="A7609" t="s">
        <v>10260</v>
      </c>
      <c r="B7609" s="1" t="str">
        <f>HYPERLINK("https://asmlis.vasa.lt/Dashboard/Served?ServiceDateFrom=2025-11-24&amp;ServiceDateTo=2025-11-24&amp;DumpsterInvNr=13-M-200260", "13-M-200260")</f>
        <v>13-M-200260</v>
      </c>
      <c r="C7609">
        <v>0.12</v>
      </c>
      <c r="D7609" t="s">
        <v>10472</v>
      </c>
      <c r="E7609" t="s">
        <v>11</v>
      </c>
      <c r="F7609" t="s">
        <v>1209</v>
      </c>
      <c r="G7609" t="s">
        <v>4876</v>
      </c>
      <c r="H7609" t="s">
        <v>938</v>
      </c>
    </row>
    <row r="7610" spans="1:8" hidden="1" x14ac:dyDescent="0.25">
      <c r="A7610" t="s">
        <v>10473</v>
      </c>
      <c r="B7610" s="1" t="str">
        <f>HYPERLINK("https://asmlis.vasa.lt/Dashboard/Served?ServiceDateFrom=2025-11-24&amp;ServiceDateTo=2025-11-24&amp;DumpsterInvNr=13-L-219123", "13-L-219123")</f>
        <v>13-L-219123</v>
      </c>
      <c r="C7610">
        <v>0.24</v>
      </c>
      <c r="D7610" t="s">
        <v>7877</v>
      </c>
      <c r="E7610" t="s">
        <v>11</v>
      </c>
      <c r="F7610" t="s">
        <v>1209</v>
      </c>
      <c r="G7610" t="s">
        <v>936</v>
      </c>
      <c r="H7610" t="s">
        <v>938</v>
      </c>
    </row>
    <row r="7611" spans="1:8" hidden="1" x14ac:dyDescent="0.25">
      <c r="A7611" t="s">
        <v>10386</v>
      </c>
      <c r="B7611" s="1" t="str">
        <f>HYPERLINK("https://asmlis.vasa.lt/Dashboard/Served?ServiceDateFrom=2025-11-24&amp;ServiceDateTo=2025-11-24&amp;DumpsterInvNr=13-P-414462", "13-P-414462")</f>
        <v>13-P-414462</v>
      </c>
      <c r="C7611">
        <v>0.24</v>
      </c>
      <c r="D7611" t="s">
        <v>2602</v>
      </c>
      <c r="E7611" t="s">
        <v>11</v>
      </c>
      <c r="G7611" t="s">
        <v>264</v>
      </c>
      <c r="H7611" t="s">
        <v>14</v>
      </c>
    </row>
    <row r="7612" spans="1:8" hidden="1" x14ac:dyDescent="0.25">
      <c r="A7612" t="s">
        <v>10390</v>
      </c>
      <c r="B7612" s="1" t="str">
        <f>HYPERLINK("https://asmlis.vasa.lt/Dashboard/Served?ServiceDateFrom=2025-11-24&amp;ServiceDateTo=2025-11-24&amp;DumpsterInvNr=13-L-420578", "13-L-420578")</f>
        <v>13-L-420578</v>
      </c>
      <c r="C7612">
        <v>0.24</v>
      </c>
      <c r="D7612" t="s">
        <v>10474</v>
      </c>
      <c r="E7612" t="s">
        <v>11</v>
      </c>
      <c r="G7612" t="s">
        <v>74</v>
      </c>
      <c r="H7612" t="s">
        <v>14</v>
      </c>
    </row>
    <row r="7613" spans="1:8" hidden="1" x14ac:dyDescent="0.25">
      <c r="A7613" t="s">
        <v>10475</v>
      </c>
      <c r="B7613" s="1" t="str">
        <f>HYPERLINK("https://asmlis.vasa.lt/Dashboard/Served?ServiceDateFrom=2025-11-24&amp;ServiceDateTo=2025-11-24&amp;DumpsterInvNr=13-L-403472", "13-L-403472")</f>
        <v>13-L-403472</v>
      </c>
      <c r="C7613">
        <v>1.1000000000000001</v>
      </c>
      <c r="D7613" t="s">
        <v>10476</v>
      </c>
      <c r="E7613" t="s">
        <v>11</v>
      </c>
      <c r="G7613" t="s">
        <v>74</v>
      </c>
      <c r="H7613" t="s">
        <v>14</v>
      </c>
    </row>
    <row r="7614" spans="1:8" hidden="1" x14ac:dyDescent="0.25">
      <c r="A7614" t="s">
        <v>10477</v>
      </c>
      <c r="B7614" s="1" t="str">
        <f>HYPERLINK("https://asmlis.vasa.lt/Dashboard/Served?ServiceDateFrom=2025-11-24&amp;ServiceDateTo=2025-11-24&amp;DumpsterInvNr=13-L-419853", "13-L-419853")</f>
        <v>13-L-419853</v>
      </c>
      <c r="C7614">
        <v>0.24</v>
      </c>
      <c r="D7614" t="s">
        <v>10479</v>
      </c>
      <c r="E7614" t="s">
        <v>11</v>
      </c>
      <c r="G7614" t="s">
        <v>74</v>
      </c>
      <c r="H7614" t="s">
        <v>14</v>
      </c>
    </row>
    <row r="7615" spans="1:8" hidden="1" x14ac:dyDescent="0.25">
      <c r="A7615" t="s">
        <v>10480</v>
      </c>
      <c r="B7615" s="1" t="str">
        <f>HYPERLINK("https://asmlis.vasa.lt/Dashboard/Served?ServiceDateFrom=2025-11-24&amp;ServiceDateTo=2025-11-24&amp;DumpsterInvNr=13-P-500437", "13-P-500437")</f>
        <v>13-P-500437</v>
      </c>
      <c r="C7615">
        <v>5</v>
      </c>
      <c r="D7615" t="s">
        <v>6615</v>
      </c>
      <c r="E7615" t="s">
        <v>11</v>
      </c>
      <c r="F7615" t="s">
        <v>13</v>
      </c>
      <c r="G7615" t="s">
        <v>2178</v>
      </c>
      <c r="H7615" t="s">
        <v>432</v>
      </c>
    </row>
    <row r="7616" spans="1:8" hidden="1" x14ac:dyDescent="0.25">
      <c r="A7616" t="s">
        <v>10481</v>
      </c>
      <c r="B7616" s="1" t="str">
        <f>HYPERLINK("https://asmlis.vasa.lt/Dashboard/Served?ServiceDateFrom=2025-11-24&amp;ServiceDateTo=2025-11-24&amp;DumpsterInvNr=13-P-209813", "13-P-209813")</f>
        <v>13-P-209813</v>
      </c>
      <c r="C7616">
        <v>0.24</v>
      </c>
      <c r="D7616" t="s">
        <v>5680</v>
      </c>
      <c r="E7616" t="s">
        <v>11</v>
      </c>
      <c r="F7616" t="s">
        <v>1209</v>
      </c>
      <c r="G7616" t="s">
        <v>234</v>
      </c>
      <c r="H7616" t="s">
        <v>14</v>
      </c>
    </row>
    <row r="7617" spans="1:8" hidden="1" x14ac:dyDescent="0.25">
      <c r="A7617" t="s">
        <v>10482</v>
      </c>
      <c r="B7617" s="1" t="str">
        <f>HYPERLINK("https://asmlis.vasa.lt/Dashboard/Served?ServiceDateFrom=2025-11-24&amp;ServiceDateTo=2025-11-24&amp;DumpsterInvNr=13-S-210659", "13-S-210659")</f>
        <v>13-S-210659</v>
      </c>
      <c r="C7617">
        <v>0.12</v>
      </c>
      <c r="D7617" t="s">
        <v>5680</v>
      </c>
      <c r="E7617" t="s">
        <v>11</v>
      </c>
      <c r="F7617" t="s">
        <v>1209</v>
      </c>
      <c r="G7617" t="s">
        <v>234</v>
      </c>
      <c r="H7617" t="s">
        <v>14</v>
      </c>
    </row>
    <row r="7618" spans="1:8" hidden="1" x14ac:dyDescent="0.25">
      <c r="A7618" t="s">
        <v>10482</v>
      </c>
      <c r="B7618" s="1" t="str">
        <f>HYPERLINK("https://asmlis.vasa.lt/Dashboard/Served?ServiceDateFrom=2025-11-24&amp;ServiceDateTo=2025-11-24&amp;DumpsterInvNr=13-L-125081", "13-L-125081")</f>
        <v>13-L-125081</v>
      </c>
      <c r="C7618">
        <v>0.12</v>
      </c>
      <c r="D7618" t="s">
        <v>10483</v>
      </c>
      <c r="E7618" t="s">
        <v>11</v>
      </c>
      <c r="F7618" t="s">
        <v>1209</v>
      </c>
      <c r="G7618" t="s">
        <v>1912</v>
      </c>
      <c r="H7618" t="s">
        <v>432</v>
      </c>
    </row>
    <row r="7619" spans="1:8" hidden="1" x14ac:dyDescent="0.25">
      <c r="A7619" t="s">
        <v>10484</v>
      </c>
      <c r="B7619" s="1" t="str">
        <f>HYPERLINK("https://asmlis.vasa.lt/Dashboard/Served?ServiceDateFrom=2025-11-24&amp;ServiceDateTo=2025-11-24&amp;DumpsterInvNr=13-P-209812", "13-P-209812")</f>
        <v>13-P-209812</v>
      </c>
      <c r="C7619">
        <v>0.24</v>
      </c>
      <c r="D7619" t="s">
        <v>5675</v>
      </c>
      <c r="E7619" t="s">
        <v>11</v>
      </c>
      <c r="F7619" t="s">
        <v>1209</v>
      </c>
      <c r="G7619" t="s">
        <v>234</v>
      </c>
      <c r="H7619" t="s">
        <v>14</v>
      </c>
    </row>
    <row r="7620" spans="1:8" hidden="1" x14ac:dyDescent="0.25">
      <c r="A7620" t="s">
        <v>10485</v>
      </c>
      <c r="B7620" s="1" t="str">
        <f>HYPERLINK("https://asmlis.vasa.lt/Dashboard/Served?ServiceDateFrom=2025-11-24&amp;ServiceDateTo=2025-11-24&amp;DumpsterInvNr=13-S-410422", "13-S-410422")</f>
        <v>13-S-410422</v>
      </c>
      <c r="C7620">
        <v>0.12</v>
      </c>
      <c r="D7620" t="s">
        <v>2631</v>
      </c>
      <c r="E7620" t="s">
        <v>11</v>
      </c>
      <c r="G7620" t="s">
        <v>264</v>
      </c>
      <c r="H7620" t="s">
        <v>14</v>
      </c>
    </row>
    <row r="7621" spans="1:8" hidden="1" x14ac:dyDescent="0.25">
      <c r="A7621" t="s">
        <v>10486</v>
      </c>
      <c r="B7621" s="1" t="str">
        <f>HYPERLINK("https://asmlis.vasa.lt/Dashboard/Served?ServiceDateFrom=2025-11-24&amp;ServiceDateTo=2025-11-24&amp;DumpsterInvNr=13-P-415330", "13-P-415330")</f>
        <v>13-P-415330</v>
      </c>
      <c r="C7621">
        <v>5</v>
      </c>
      <c r="D7621" t="s">
        <v>10487</v>
      </c>
      <c r="E7621" t="s">
        <v>11</v>
      </c>
      <c r="F7621" t="s">
        <v>13</v>
      </c>
      <c r="G7621" t="s">
        <v>264</v>
      </c>
      <c r="H7621" t="s">
        <v>14</v>
      </c>
    </row>
    <row r="7622" spans="1:8" hidden="1" x14ac:dyDescent="0.25">
      <c r="A7622" t="s">
        <v>10488</v>
      </c>
      <c r="B7622" s="1" t="str">
        <f>HYPERLINK("https://asmlis.vasa.lt/Dashboard/Served?ServiceDateFrom=2025-11-24&amp;ServiceDateTo=2025-11-24&amp;DumpsterInvNr=13-L-114291", "13-L-114291")</f>
        <v>13-L-114291</v>
      </c>
      <c r="C7622">
        <v>0.12</v>
      </c>
      <c r="D7622" t="s">
        <v>10489</v>
      </c>
      <c r="E7622" t="s">
        <v>11</v>
      </c>
      <c r="G7622" t="s">
        <v>1912</v>
      </c>
      <c r="H7622" t="s">
        <v>432</v>
      </c>
    </row>
    <row r="7623" spans="1:8" hidden="1" x14ac:dyDescent="0.25">
      <c r="A7623" t="s">
        <v>10490</v>
      </c>
      <c r="B7623" s="1" t="str">
        <f>HYPERLINK("https://asmlis.vasa.lt/Dashboard/Served?ServiceDateFrom=2025-11-24&amp;ServiceDateTo=2025-11-24&amp;DumpsterInvNr=13-P-115925", "13-P-115925")</f>
        <v>13-P-115925</v>
      </c>
      <c r="C7623">
        <v>1.1000000000000001</v>
      </c>
      <c r="D7623" t="s">
        <v>10491</v>
      </c>
      <c r="E7623" t="s">
        <v>11</v>
      </c>
      <c r="G7623" t="s">
        <v>1917</v>
      </c>
      <c r="H7623" t="s">
        <v>432</v>
      </c>
    </row>
    <row r="7624" spans="1:8" hidden="1" x14ac:dyDescent="0.25">
      <c r="A7624" t="s">
        <v>10492</v>
      </c>
      <c r="B7624" s="1" t="str">
        <f>HYPERLINK("https://asmlis.vasa.lt/Dashboard/Served?ServiceDateFrom=2025-11-24&amp;ServiceDateTo=2025-11-24&amp;DumpsterInvNr=13-P-413791", "13-P-413791")</f>
        <v>13-P-413791</v>
      </c>
      <c r="C7624">
        <v>0.24</v>
      </c>
      <c r="D7624" t="s">
        <v>10493</v>
      </c>
      <c r="E7624" t="s">
        <v>11</v>
      </c>
      <c r="F7624" t="s">
        <v>1209</v>
      </c>
      <c r="G7624" t="s">
        <v>264</v>
      </c>
      <c r="H7624" t="s">
        <v>14</v>
      </c>
    </row>
    <row r="7625" spans="1:8" hidden="1" x14ac:dyDescent="0.25">
      <c r="A7625" t="s">
        <v>10494</v>
      </c>
      <c r="B7625" s="1" t="str">
        <f>HYPERLINK("https://asmlis.vasa.lt/Dashboard/Served?ServiceDateFrom=2025-11-24&amp;ServiceDateTo=2025-11-24&amp;DumpsterInvNr=13-P-113756", "13-P-113756")</f>
        <v>13-P-113756</v>
      </c>
      <c r="C7625">
        <v>0.24</v>
      </c>
      <c r="D7625" t="s">
        <v>10489</v>
      </c>
      <c r="E7625" t="s">
        <v>11</v>
      </c>
      <c r="G7625" t="s">
        <v>1917</v>
      </c>
      <c r="H7625" t="s">
        <v>432</v>
      </c>
    </row>
    <row r="7626" spans="1:8" hidden="1" x14ac:dyDescent="0.25">
      <c r="A7626" t="s">
        <v>10495</v>
      </c>
      <c r="B7626" s="1" t="str">
        <f>HYPERLINK("https://asmlis.vasa.lt/Dashboard/Served?ServiceDateFrom=2025-11-24&amp;ServiceDateTo=2025-11-24&amp;DumpsterInvNr=13-S-211544", "13-S-211544")</f>
        <v>13-S-211544</v>
      </c>
      <c r="C7626">
        <v>1.8</v>
      </c>
      <c r="D7626" t="s">
        <v>10496</v>
      </c>
      <c r="E7626" t="s">
        <v>11</v>
      </c>
      <c r="F7626" t="s">
        <v>13</v>
      </c>
      <c r="G7626" t="s">
        <v>234</v>
      </c>
      <c r="H7626" t="s">
        <v>14</v>
      </c>
    </row>
    <row r="7627" spans="1:8" hidden="1" x14ac:dyDescent="0.25">
      <c r="A7627" t="s">
        <v>10497</v>
      </c>
      <c r="B7627" s="1" t="str">
        <f>HYPERLINK("https://asmlis.vasa.lt/Dashboard/Served?ServiceDateFrom=2025-11-24&amp;ServiceDateTo=2025-11-24&amp;DumpsterInvNr=13-L-203567", "13-L-203567")</f>
        <v>13-L-203567</v>
      </c>
      <c r="C7627">
        <v>0.24</v>
      </c>
      <c r="D7627" t="s">
        <v>10498</v>
      </c>
      <c r="E7627" t="s">
        <v>11</v>
      </c>
      <c r="F7627" t="s">
        <v>13</v>
      </c>
      <c r="G7627" t="s">
        <v>936</v>
      </c>
      <c r="H7627" t="s">
        <v>938</v>
      </c>
    </row>
    <row r="7628" spans="1:8" hidden="1" x14ac:dyDescent="0.25">
      <c r="A7628" t="s">
        <v>10499</v>
      </c>
      <c r="B7628" s="1" t="str">
        <f>HYPERLINK("https://asmlis.vasa.lt/Dashboard/Served?ServiceDateFrom=2025-11-24&amp;ServiceDateTo=2025-11-24&amp;DumpsterInvNr=13-P-306918", "13-P-306918")</f>
        <v>13-P-306918</v>
      </c>
      <c r="C7628">
        <v>2.5</v>
      </c>
      <c r="D7628" t="s">
        <v>10500</v>
      </c>
      <c r="E7628" t="s">
        <v>11</v>
      </c>
      <c r="G7628" t="s">
        <v>412</v>
      </c>
      <c r="H7628" t="s">
        <v>14</v>
      </c>
    </row>
    <row r="7629" spans="1:8" hidden="1" x14ac:dyDescent="0.25">
      <c r="A7629" t="s">
        <v>10501</v>
      </c>
      <c r="B7629" s="1" t="str">
        <f>HYPERLINK("https://asmlis.vasa.lt/Dashboard/Served?ServiceDateFrom=2025-11-24&amp;ServiceDateTo=2025-11-24&amp;DumpsterInvNr=13-L-117627", "13-L-117627")</f>
        <v>13-L-117627</v>
      </c>
      <c r="C7629">
        <v>0.12</v>
      </c>
      <c r="D7629" t="s">
        <v>10502</v>
      </c>
      <c r="E7629" t="s">
        <v>11</v>
      </c>
      <c r="F7629" t="s">
        <v>1209</v>
      </c>
      <c r="G7629" t="s">
        <v>1912</v>
      </c>
      <c r="H7629" t="s">
        <v>432</v>
      </c>
    </row>
    <row r="7630" spans="1:8" hidden="1" x14ac:dyDescent="0.25">
      <c r="A7630" t="s">
        <v>10501</v>
      </c>
      <c r="B7630" s="1" t="str">
        <f>HYPERLINK("https://asmlis.vasa.lt/Dashboard/Served?ServiceDateFrom=2025-11-24&amp;ServiceDateTo=2025-11-24&amp;DumpsterInvNr=13-M-205566", "13-M-205566")</f>
        <v>13-M-205566</v>
      </c>
      <c r="C7630">
        <v>0.12</v>
      </c>
      <c r="D7630" t="s">
        <v>10503</v>
      </c>
      <c r="E7630" t="s">
        <v>11</v>
      </c>
      <c r="G7630" t="s">
        <v>4876</v>
      </c>
      <c r="H7630" t="s">
        <v>938</v>
      </c>
    </row>
    <row r="7631" spans="1:8" hidden="1" x14ac:dyDescent="0.25">
      <c r="A7631" t="s">
        <v>10504</v>
      </c>
      <c r="B7631" s="1" t="str">
        <f>HYPERLINK("https://asmlis.vasa.lt/Dashboard/Served?ServiceDateFrom=2025-11-24&amp;ServiceDateTo=2025-11-24&amp;DumpsterInvNr=13-P-211193", "13-P-211193")</f>
        <v>13-P-211193</v>
      </c>
      <c r="C7631">
        <v>0.24</v>
      </c>
      <c r="D7631" t="s">
        <v>5698</v>
      </c>
      <c r="E7631" t="s">
        <v>11</v>
      </c>
      <c r="G7631" t="s">
        <v>234</v>
      </c>
      <c r="H7631" t="s">
        <v>14</v>
      </c>
    </row>
    <row r="7632" spans="1:8" hidden="1" x14ac:dyDescent="0.25">
      <c r="A7632" t="s">
        <v>10505</v>
      </c>
      <c r="B7632" s="1" t="str">
        <f>HYPERLINK("https://asmlis.vasa.lt/Dashboard/Served?ServiceDateFrom=2025-11-24&amp;ServiceDateTo=2025-11-24&amp;DumpsterInvNr=13-L-210661", "13-L-210661")</f>
        <v>13-L-210661</v>
      </c>
      <c r="C7632">
        <v>0.24</v>
      </c>
      <c r="D7632" t="s">
        <v>7776</v>
      </c>
      <c r="E7632" t="s">
        <v>11</v>
      </c>
      <c r="F7632" t="s">
        <v>13</v>
      </c>
      <c r="G7632" t="s">
        <v>936</v>
      </c>
      <c r="H7632" t="s">
        <v>938</v>
      </c>
    </row>
    <row r="7633" spans="1:8" hidden="1" x14ac:dyDescent="0.25">
      <c r="A7633" t="s">
        <v>10506</v>
      </c>
      <c r="B7633" s="1" t="str">
        <f>HYPERLINK("https://asmlis.vasa.lt/Dashboard/Served?ServiceDateFrom=2025-11-24&amp;ServiceDateTo=2025-11-24&amp;DumpsterInvNr=13-P-115441", "13-P-115441")</f>
        <v>13-P-115441</v>
      </c>
      <c r="C7633">
        <v>1.1000000000000001</v>
      </c>
      <c r="D7633" t="s">
        <v>10491</v>
      </c>
      <c r="E7633" t="s">
        <v>11</v>
      </c>
      <c r="G7633" t="s">
        <v>1917</v>
      </c>
      <c r="H7633" t="s">
        <v>432</v>
      </c>
    </row>
    <row r="7634" spans="1:8" hidden="1" x14ac:dyDescent="0.25">
      <c r="A7634" t="s">
        <v>10507</v>
      </c>
      <c r="B7634" s="1" t="str">
        <f>HYPERLINK("https://asmlis.vasa.lt/Dashboard/Served?ServiceDateFrom=2025-11-24&amp;ServiceDateTo=2025-11-24&amp;DumpsterInvNr=13-P-400663", "13-P-400663")</f>
        <v>13-P-400663</v>
      </c>
      <c r="C7634">
        <v>5</v>
      </c>
      <c r="D7634" t="s">
        <v>10508</v>
      </c>
      <c r="E7634" t="s">
        <v>11</v>
      </c>
      <c r="F7634" t="s">
        <v>13</v>
      </c>
      <c r="G7634" t="s">
        <v>264</v>
      </c>
      <c r="H7634" t="s">
        <v>14</v>
      </c>
    </row>
    <row r="7635" spans="1:8" hidden="1" x14ac:dyDescent="0.25">
      <c r="A7635" t="s">
        <v>10509</v>
      </c>
      <c r="B7635" s="1" t="str">
        <f>HYPERLINK("https://asmlis.vasa.lt/Dashboard/Served?ServiceDateFrom=2025-11-24&amp;ServiceDateTo=2025-11-24&amp;DumpsterInvNr=13-P-102361", "13-P-102361")</f>
        <v>13-P-102361</v>
      </c>
      <c r="C7635">
        <v>5</v>
      </c>
      <c r="D7635" t="s">
        <v>10510</v>
      </c>
      <c r="E7635" t="s">
        <v>11</v>
      </c>
      <c r="F7635" t="s">
        <v>13</v>
      </c>
      <c r="G7635" t="s">
        <v>1917</v>
      </c>
      <c r="H7635" t="s">
        <v>432</v>
      </c>
    </row>
    <row r="7636" spans="1:8" hidden="1" x14ac:dyDescent="0.25">
      <c r="A7636" t="s">
        <v>10511</v>
      </c>
      <c r="B7636" s="1" t="str">
        <f>HYPERLINK("https://asmlis.vasa.lt/Dashboard/Served?ServiceDateFrom=2025-11-24&amp;ServiceDateTo=2025-11-24&amp;DumpsterInvNr=13-P-306938", "13-P-306938")</f>
        <v>13-P-306938</v>
      </c>
      <c r="C7636">
        <v>1.1000000000000001</v>
      </c>
      <c r="D7636" t="s">
        <v>10512</v>
      </c>
      <c r="E7636" t="s">
        <v>11</v>
      </c>
      <c r="F7636" t="s">
        <v>13</v>
      </c>
      <c r="G7636" t="s">
        <v>412</v>
      </c>
      <c r="H7636" t="s">
        <v>14</v>
      </c>
    </row>
    <row r="7637" spans="1:8" hidden="1" x14ac:dyDescent="0.25">
      <c r="A7637" t="s">
        <v>10513</v>
      </c>
      <c r="B7637" s="1" t="str">
        <f>HYPERLINK("https://asmlis.vasa.lt/Dashboard/Served?ServiceDateFrom=2025-11-24&amp;ServiceDateTo=2025-11-24&amp;DumpsterInvNr=13-S-402799", "13-S-402799")</f>
        <v>13-S-402799</v>
      </c>
      <c r="C7637">
        <v>0.12</v>
      </c>
      <c r="D7637" t="s">
        <v>10392</v>
      </c>
      <c r="E7637" t="s">
        <v>11</v>
      </c>
      <c r="G7637" t="s">
        <v>264</v>
      </c>
      <c r="H7637" t="s">
        <v>14</v>
      </c>
    </row>
    <row r="7638" spans="1:8" hidden="1" x14ac:dyDescent="0.25">
      <c r="A7638" t="s">
        <v>10513</v>
      </c>
      <c r="B7638" s="1" t="str">
        <f>HYPERLINK("https://asmlis.vasa.lt/Dashboard/Served?ServiceDateFrom=2025-11-24&amp;ServiceDateTo=2025-11-24&amp;DumpsterInvNr=13-P-415229", "13-P-415229")</f>
        <v>13-P-415229</v>
      </c>
      <c r="C7638">
        <v>0.24</v>
      </c>
      <c r="D7638" t="s">
        <v>10514</v>
      </c>
      <c r="E7638" t="s">
        <v>11</v>
      </c>
      <c r="G7638" t="s">
        <v>264</v>
      </c>
      <c r="H7638" t="s">
        <v>14</v>
      </c>
    </row>
    <row r="7639" spans="1:8" hidden="1" x14ac:dyDescent="0.25">
      <c r="A7639" t="s">
        <v>10515</v>
      </c>
      <c r="B7639" s="1" t="str">
        <f>HYPERLINK("https://asmlis.vasa.lt/Dashboard/Served?ServiceDateFrom=2025-11-24&amp;ServiceDateTo=2025-11-24&amp;DumpsterInvNr=13-L-213604", "13-L-213604")</f>
        <v>13-L-213604</v>
      </c>
      <c r="C7639">
        <v>1.1000000000000001</v>
      </c>
      <c r="D7639" t="s">
        <v>10516</v>
      </c>
      <c r="E7639" t="s">
        <v>11</v>
      </c>
      <c r="G7639" t="s">
        <v>936</v>
      </c>
      <c r="H7639" t="s">
        <v>938</v>
      </c>
    </row>
    <row r="7640" spans="1:8" hidden="1" x14ac:dyDescent="0.25">
      <c r="A7640" t="s">
        <v>10517</v>
      </c>
      <c r="B7640" s="1" t="str">
        <f>HYPERLINK("https://asmlis.vasa.lt/Dashboard/Served?ServiceDateFrom=2025-11-24&amp;ServiceDateTo=2025-11-24&amp;DumpsterInvNr=13-L-211393", "13-L-211393")</f>
        <v>13-L-211393</v>
      </c>
      <c r="C7640">
        <v>0.24</v>
      </c>
      <c r="D7640" t="s">
        <v>7917</v>
      </c>
      <c r="E7640" t="s">
        <v>11</v>
      </c>
      <c r="G7640" t="s">
        <v>936</v>
      </c>
      <c r="H7640" t="s">
        <v>938</v>
      </c>
    </row>
    <row r="7641" spans="1:8" hidden="1" x14ac:dyDescent="0.25">
      <c r="A7641" t="s">
        <v>10518</v>
      </c>
      <c r="B7641" s="1" t="str">
        <f>HYPERLINK("https://asmlis.vasa.lt/Dashboard/Served?ServiceDateFrom=2025-11-24&amp;ServiceDateTo=2025-11-24&amp;DumpsterInvNr=13-L-314086", "13-L-314086")</f>
        <v>13-L-314086</v>
      </c>
      <c r="C7641">
        <v>0.77</v>
      </c>
      <c r="D7641" t="s">
        <v>10519</v>
      </c>
      <c r="E7641" t="s">
        <v>11</v>
      </c>
      <c r="G7641" t="s">
        <v>9</v>
      </c>
      <c r="H7641" t="s">
        <v>14</v>
      </c>
    </row>
    <row r="7642" spans="1:8" hidden="1" x14ac:dyDescent="0.25">
      <c r="A7642" t="s">
        <v>10520</v>
      </c>
      <c r="B7642" s="1" t="str">
        <f>HYPERLINK("https://asmlis.vasa.lt/Dashboard/Served?ServiceDateFrom=2025-11-24&amp;ServiceDateTo=2025-11-24&amp;DumpsterInvNr=13-T-000122", "13-T-000122")</f>
        <v>13-T-000122</v>
      </c>
      <c r="C7642">
        <v>2.5</v>
      </c>
      <c r="D7642" t="s">
        <v>10521</v>
      </c>
      <c r="E7642" t="s">
        <v>11</v>
      </c>
      <c r="F7642" t="s">
        <v>13</v>
      </c>
      <c r="G7642" t="s">
        <v>1899</v>
      </c>
      <c r="H7642" t="s">
        <v>432</v>
      </c>
    </row>
    <row r="7643" spans="1:8" hidden="1" x14ac:dyDescent="0.25">
      <c r="A7643" t="s">
        <v>10522</v>
      </c>
      <c r="B7643" s="1" t="str">
        <f>HYPERLINK("https://asmlis.vasa.lt/Dashboard/Served?ServiceDateFrom=2025-11-24&amp;ServiceDateTo=2025-11-24&amp;DumpsterInvNr=13-M-205541", "13-M-205541")</f>
        <v>13-M-205541</v>
      </c>
      <c r="C7643">
        <v>0.12</v>
      </c>
      <c r="D7643" t="s">
        <v>10523</v>
      </c>
      <c r="E7643" t="s">
        <v>11</v>
      </c>
      <c r="G7643" t="s">
        <v>4876</v>
      </c>
      <c r="H7643" t="s">
        <v>938</v>
      </c>
    </row>
    <row r="7644" spans="1:8" hidden="1" x14ac:dyDescent="0.25">
      <c r="A7644" t="s">
        <v>10524</v>
      </c>
      <c r="B7644" s="1" t="str">
        <f>HYPERLINK("https://asmlis.vasa.lt/Dashboard/Served?ServiceDateFrom=2025-11-24&amp;ServiceDateTo=2025-11-24&amp;DumpsterInvNr=13-P-306881", "13-P-306881")</f>
        <v>13-P-306881</v>
      </c>
      <c r="C7644">
        <v>1.1000000000000001</v>
      </c>
      <c r="D7644" t="s">
        <v>10525</v>
      </c>
      <c r="E7644" t="s">
        <v>11</v>
      </c>
      <c r="G7644" t="s">
        <v>412</v>
      </c>
      <c r="H7644" t="s">
        <v>14</v>
      </c>
    </row>
    <row r="7645" spans="1:8" hidden="1" x14ac:dyDescent="0.25">
      <c r="A7645" t="s">
        <v>10526</v>
      </c>
      <c r="B7645" s="1" t="str">
        <f>HYPERLINK("https://asmlis.vasa.lt/Dashboard/Served?ServiceDateFrom=2025-11-24&amp;ServiceDateTo=2025-11-24&amp;DumpsterInvNr=13-L-414194", "13-L-414194")</f>
        <v>13-L-414194</v>
      </c>
      <c r="C7645">
        <v>0.12</v>
      </c>
      <c r="D7645" t="s">
        <v>10527</v>
      </c>
      <c r="E7645" t="s">
        <v>11</v>
      </c>
      <c r="G7645" t="s">
        <v>74</v>
      </c>
      <c r="H7645" t="s">
        <v>14</v>
      </c>
    </row>
    <row r="7646" spans="1:8" hidden="1" x14ac:dyDescent="0.25">
      <c r="A7646" t="s">
        <v>10528</v>
      </c>
      <c r="B7646" s="1" t="str">
        <f>HYPERLINK("https://asmlis.vasa.lt/Dashboard/Served?ServiceDateFrom=2025-11-24&amp;ServiceDateTo=2025-11-24&amp;DumpsterInvNr=13-L-221746", "13-L-221746")</f>
        <v>13-L-221746</v>
      </c>
      <c r="C7646">
        <v>1.1000000000000001</v>
      </c>
      <c r="D7646" t="s">
        <v>10516</v>
      </c>
      <c r="E7646" t="s">
        <v>11</v>
      </c>
      <c r="G7646" t="s">
        <v>936</v>
      </c>
      <c r="H7646" t="s">
        <v>938</v>
      </c>
    </row>
    <row r="7647" spans="1:8" hidden="1" x14ac:dyDescent="0.25">
      <c r="A7647" t="s">
        <v>10529</v>
      </c>
      <c r="B7647" s="1" t="str">
        <f>HYPERLINK("https://asmlis.vasa.lt/Dashboard/Served?ServiceDateFrom=2025-11-24&amp;ServiceDateTo=2025-11-24&amp;DumpsterInvNr=13-L-425793", "13-L-425793")</f>
        <v>13-L-425793</v>
      </c>
      <c r="C7647">
        <v>1.1000000000000001</v>
      </c>
      <c r="D7647" t="s">
        <v>10530</v>
      </c>
      <c r="E7647" t="s">
        <v>11</v>
      </c>
      <c r="G7647" t="s">
        <v>74</v>
      </c>
      <c r="H7647" t="s">
        <v>14</v>
      </c>
    </row>
    <row r="7648" spans="1:8" hidden="1" x14ac:dyDescent="0.25">
      <c r="A7648" t="s">
        <v>10531</v>
      </c>
      <c r="B7648" s="1" t="str">
        <f>HYPERLINK("https://asmlis.vasa.lt/Dashboard/Served?ServiceDateFrom=2025-11-24&amp;ServiceDateTo=2025-11-24&amp;DumpsterInvNr=13-P-307003", "13-P-307003")</f>
        <v>13-P-307003</v>
      </c>
      <c r="C7648">
        <v>2.5</v>
      </c>
      <c r="D7648" t="s">
        <v>10500</v>
      </c>
      <c r="E7648" t="s">
        <v>11</v>
      </c>
      <c r="F7648" t="s">
        <v>13</v>
      </c>
      <c r="G7648" t="s">
        <v>412</v>
      </c>
      <c r="H7648" t="s">
        <v>14</v>
      </c>
    </row>
    <row r="7649" spans="1:10" hidden="1" x14ac:dyDescent="0.25">
      <c r="A7649" t="s">
        <v>10532</v>
      </c>
      <c r="B7649" s="1" t="str">
        <f>HYPERLINK("https://asmlis.vasa.lt/Dashboard/Served?ServiceDateFrom=2025-11-24&amp;ServiceDateTo=2025-11-24&amp;DumpsterInvNr=13-T-000143", "13-T-000143")</f>
        <v>13-T-000143</v>
      </c>
      <c r="C7649">
        <v>2.5</v>
      </c>
      <c r="D7649" t="s">
        <v>10521</v>
      </c>
      <c r="E7649" t="s">
        <v>11</v>
      </c>
      <c r="F7649" t="s">
        <v>13</v>
      </c>
      <c r="G7649" t="s">
        <v>1899</v>
      </c>
      <c r="H7649" t="s">
        <v>432</v>
      </c>
    </row>
    <row r="7650" spans="1:10" hidden="1" x14ac:dyDescent="0.25">
      <c r="A7650" t="s">
        <v>10533</v>
      </c>
      <c r="B7650" s="1" t="str">
        <f>HYPERLINK("https://asmlis.vasa.lt/Dashboard/Served?ServiceDateFrom=2025-11-24&amp;ServiceDateTo=2025-11-24&amp;DumpsterInvNr=13-L-213606", "13-L-213606")</f>
        <v>13-L-213606</v>
      </c>
      <c r="C7650">
        <v>1.1000000000000001</v>
      </c>
      <c r="D7650" t="s">
        <v>10516</v>
      </c>
      <c r="E7650" t="s">
        <v>11</v>
      </c>
      <c r="G7650" t="s">
        <v>936</v>
      </c>
      <c r="H7650" t="s">
        <v>938</v>
      </c>
    </row>
    <row r="7651" spans="1:10" x14ac:dyDescent="0.25">
      <c r="A7651" t="s">
        <v>10534</v>
      </c>
      <c r="B7651" s="1" t="str">
        <f>HYPERLINK("https://asmlis.vasa.lt/Dashboard/Served?ServiceDateFrom=2025-11-24&amp;ServiceDateTo=2025-11-24&amp;DumpsterInvNr=13-L-134662", "13-L-134662")</f>
        <v>13-L-134662</v>
      </c>
      <c r="C7651">
        <v>0.77</v>
      </c>
      <c r="D7651" t="s">
        <v>10535</v>
      </c>
      <c r="E7651" t="s">
        <v>11</v>
      </c>
      <c r="F7651" t="s">
        <v>10536</v>
      </c>
      <c r="G7651" t="s">
        <v>1912</v>
      </c>
      <c r="H7651" t="s">
        <v>432</v>
      </c>
      <c r="J7651" t="s">
        <v>17511</v>
      </c>
    </row>
    <row r="7652" spans="1:10" hidden="1" x14ac:dyDescent="0.25">
      <c r="A7652" t="s">
        <v>10534</v>
      </c>
      <c r="B7652" s="1" t="str">
        <f>HYPERLINK("https://asmlis.vasa.lt/Dashboard/Served?ServiceDateFrom=2025-11-24&amp;ServiceDateTo=2025-11-24&amp;DumpsterInvNr=13-L-144033", "13-L-144033")</f>
        <v>13-L-144033</v>
      </c>
      <c r="C7652">
        <v>5</v>
      </c>
      <c r="D7652" t="s">
        <v>10537</v>
      </c>
      <c r="E7652" t="s">
        <v>11</v>
      </c>
      <c r="F7652" t="s">
        <v>13</v>
      </c>
      <c r="G7652" t="s">
        <v>430</v>
      </c>
      <c r="H7652" t="s">
        <v>432</v>
      </c>
    </row>
    <row r="7653" spans="1:10" hidden="1" x14ac:dyDescent="0.25">
      <c r="A7653" t="s">
        <v>10538</v>
      </c>
      <c r="B7653" s="1" t="str">
        <f>HYPERLINK("https://asmlis.vasa.lt/Dashboard/Served?ServiceDateFrom=2025-11-24&amp;ServiceDateTo=2025-11-24&amp;DumpsterInvNr=13-P-209811", "13-P-209811")</f>
        <v>13-P-209811</v>
      </c>
      <c r="C7653">
        <v>0.24</v>
      </c>
      <c r="D7653" t="s">
        <v>10539</v>
      </c>
      <c r="E7653" t="s">
        <v>11</v>
      </c>
      <c r="G7653" t="s">
        <v>234</v>
      </c>
      <c r="H7653" t="s">
        <v>14</v>
      </c>
    </row>
    <row r="7654" spans="1:10" hidden="1" x14ac:dyDescent="0.25">
      <c r="A7654" t="s">
        <v>10538</v>
      </c>
      <c r="B7654" s="1" t="str">
        <f>HYPERLINK("https://asmlis.vasa.lt/Dashboard/Served?ServiceDateFrom=2025-11-24&amp;ServiceDateTo=2025-11-24&amp;DumpsterInvNr=13-L-148371", "13-L-148371")</f>
        <v>13-L-148371</v>
      </c>
      <c r="C7654">
        <v>1.1000000000000001</v>
      </c>
      <c r="D7654" t="s">
        <v>10540</v>
      </c>
      <c r="E7654" t="s">
        <v>11</v>
      </c>
      <c r="G7654" t="s">
        <v>430</v>
      </c>
      <c r="H7654" t="s">
        <v>432</v>
      </c>
    </row>
    <row r="7655" spans="1:10" hidden="1" x14ac:dyDescent="0.25">
      <c r="A7655" t="s">
        <v>10541</v>
      </c>
      <c r="B7655" s="1" t="str">
        <f>HYPERLINK("https://asmlis.vasa.lt/Dashboard/Served?ServiceDateFrom=2025-11-24&amp;ServiceDateTo=2025-11-24&amp;DumpsterInvNr=13-P-500445", "13-P-500445")</f>
        <v>13-P-500445</v>
      </c>
      <c r="C7655">
        <v>5</v>
      </c>
      <c r="D7655" t="s">
        <v>6612</v>
      </c>
      <c r="E7655" t="s">
        <v>11</v>
      </c>
      <c r="F7655" t="s">
        <v>13</v>
      </c>
      <c r="G7655" t="s">
        <v>2178</v>
      </c>
      <c r="H7655" t="s">
        <v>432</v>
      </c>
    </row>
    <row r="7656" spans="1:10" hidden="1" x14ac:dyDescent="0.25">
      <c r="A7656" t="s">
        <v>10542</v>
      </c>
      <c r="B7656" s="1" t="str">
        <f>HYPERLINK("https://asmlis.vasa.lt/Dashboard/Served?ServiceDateFrom=2025-11-24&amp;ServiceDateTo=2025-11-24&amp;DumpsterInvNr=13-S-207675", "13-S-207675")</f>
        <v>13-S-207675</v>
      </c>
      <c r="C7656">
        <v>0.12</v>
      </c>
      <c r="D7656" t="s">
        <v>10539</v>
      </c>
      <c r="E7656" t="s">
        <v>11</v>
      </c>
      <c r="F7656" t="s">
        <v>1209</v>
      </c>
      <c r="G7656" t="s">
        <v>234</v>
      </c>
      <c r="H7656" t="s">
        <v>14</v>
      </c>
    </row>
    <row r="7657" spans="1:10" hidden="1" x14ac:dyDescent="0.25">
      <c r="A7657" t="s">
        <v>10543</v>
      </c>
      <c r="B7657" s="1" t="str">
        <f>HYPERLINK("https://asmlis.vasa.lt/Dashboard/Served?ServiceDateFrom=2025-11-24&amp;ServiceDateTo=2025-11-24&amp;DumpsterInvNr=13-L-421518", "13-L-421518")</f>
        <v>13-L-421518</v>
      </c>
      <c r="C7657">
        <v>0.24</v>
      </c>
      <c r="D7657" t="s">
        <v>4754</v>
      </c>
      <c r="E7657" t="s">
        <v>11</v>
      </c>
      <c r="F7657" t="s">
        <v>1209</v>
      </c>
      <c r="G7657" t="s">
        <v>74</v>
      </c>
      <c r="H7657" t="s">
        <v>14</v>
      </c>
    </row>
    <row r="7658" spans="1:10" hidden="1" x14ac:dyDescent="0.25">
      <c r="A7658" t="s">
        <v>10544</v>
      </c>
      <c r="B7658" s="1" t="str">
        <f>HYPERLINK("https://asmlis.vasa.lt/Dashboard/Served?ServiceDateFrom=2025-11-24&amp;ServiceDateTo=2025-11-24&amp;DumpsterInvNr=13-L-424964", "13-L-424964")</f>
        <v>13-L-424964</v>
      </c>
      <c r="C7658">
        <v>1.1000000000000001</v>
      </c>
      <c r="D7658" t="s">
        <v>10530</v>
      </c>
      <c r="E7658" t="s">
        <v>11</v>
      </c>
      <c r="G7658" t="s">
        <v>74</v>
      </c>
      <c r="H7658" t="s">
        <v>14</v>
      </c>
    </row>
    <row r="7659" spans="1:10" hidden="1" x14ac:dyDescent="0.25">
      <c r="A7659" t="s">
        <v>10545</v>
      </c>
      <c r="B7659" s="1" t="str">
        <f>HYPERLINK("https://asmlis.vasa.lt/Dashboard/Served?ServiceDateFrom=2025-11-24&amp;ServiceDateTo=2025-11-24&amp;DumpsterInvNr=13-L-409605", "13-L-409605")</f>
        <v>13-L-409605</v>
      </c>
      <c r="C7659">
        <v>0.12</v>
      </c>
      <c r="D7659" t="s">
        <v>4777</v>
      </c>
      <c r="E7659" t="s">
        <v>11</v>
      </c>
      <c r="F7659" t="s">
        <v>1209</v>
      </c>
      <c r="G7659" t="s">
        <v>74</v>
      </c>
      <c r="H7659" t="s">
        <v>14</v>
      </c>
    </row>
    <row r="7660" spans="1:10" hidden="1" x14ac:dyDescent="0.25">
      <c r="A7660" t="s">
        <v>10545</v>
      </c>
      <c r="B7660" s="1" t="str">
        <f>HYPERLINK("https://asmlis.vasa.lt/Dashboard/Served?ServiceDateFrom=2025-11-24&amp;ServiceDateTo=2025-11-24&amp;DumpsterInvNr=13-L-139729", "13-L-139729")</f>
        <v>13-L-139729</v>
      </c>
      <c r="C7660">
        <v>5</v>
      </c>
      <c r="D7660" t="s">
        <v>10546</v>
      </c>
      <c r="E7660" t="s">
        <v>11</v>
      </c>
      <c r="F7660" t="s">
        <v>13</v>
      </c>
      <c r="G7660" t="s">
        <v>430</v>
      </c>
      <c r="H7660" t="s">
        <v>432</v>
      </c>
    </row>
    <row r="7661" spans="1:10" x14ac:dyDescent="0.25">
      <c r="A7661" t="s">
        <v>10547</v>
      </c>
      <c r="B7661" s="1" t="str">
        <f>HYPERLINK("https://asmlis.vasa.lt/Dashboard/Served?ServiceDateFrom=2025-11-24&amp;ServiceDateTo=2025-11-24&amp;DumpsterInvNr=13-L-117495", "13-L-117495")</f>
        <v>13-L-117495</v>
      </c>
      <c r="C7661">
        <v>1.1000000000000001</v>
      </c>
      <c r="D7661" t="s">
        <v>10535</v>
      </c>
      <c r="E7661" t="s">
        <v>11</v>
      </c>
      <c r="F7661" t="s">
        <v>10536</v>
      </c>
      <c r="G7661" t="s">
        <v>1912</v>
      </c>
      <c r="H7661" t="s">
        <v>432</v>
      </c>
      <c r="J7661" t="s">
        <v>17511</v>
      </c>
    </row>
    <row r="7662" spans="1:10" hidden="1" x14ac:dyDescent="0.25">
      <c r="A7662" t="s">
        <v>10548</v>
      </c>
      <c r="B7662" s="1" t="str">
        <f>HYPERLINK("https://asmlis.vasa.lt/Dashboard/Served?ServiceDateFrom=2025-11-24&amp;ServiceDateTo=2025-11-24&amp;DumpsterInvNr=13-L-419159", "13-L-419159")</f>
        <v>13-L-419159</v>
      </c>
      <c r="C7662">
        <v>0.24</v>
      </c>
      <c r="D7662" t="s">
        <v>4787</v>
      </c>
      <c r="E7662" t="s">
        <v>11</v>
      </c>
      <c r="F7662" t="s">
        <v>1209</v>
      </c>
      <c r="G7662" t="s">
        <v>74</v>
      </c>
      <c r="H7662" t="s">
        <v>14</v>
      </c>
    </row>
    <row r="7663" spans="1:10" hidden="1" x14ac:dyDescent="0.25">
      <c r="A7663" t="s">
        <v>10549</v>
      </c>
      <c r="B7663" s="1" t="str">
        <f>HYPERLINK("https://asmlis.vasa.lt/Dashboard/Served?ServiceDateFrom=2025-11-24&amp;ServiceDateTo=2025-11-24&amp;DumpsterInvNr=13-L-111233", "13-L-111233")</f>
        <v>13-L-111233</v>
      </c>
      <c r="C7663">
        <v>0.12</v>
      </c>
      <c r="D7663" t="s">
        <v>10550</v>
      </c>
      <c r="E7663" t="s">
        <v>11</v>
      </c>
      <c r="G7663" t="s">
        <v>1912</v>
      </c>
      <c r="H7663" t="s">
        <v>432</v>
      </c>
    </row>
    <row r="7664" spans="1:10" hidden="1" x14ac:dyDescent="0.25">
      <c r="A7664" t="s">
        <v>10552</v>
      </c>
      <c r="B7664" s="1" t="str">
        <f>HYPERLINK("https://asmlis.vasa.lt/Dashboard/Served?ServiceDateFrom=2025-11-24&amp;ServiceDateTo=2025-11-24&amp;DumpsterInvNr=13-P-112714", "13-P-112714")</f>
        <v>13-P-112714</v>
      </c>
      <c r="C7664">
        <v>0.24</v>
      </c>
      <c r="D7664" t="s">
        <v>10550</v>
      </c>
      <c r="E7664" t="s">
        <v>11</v>
      </c>
      <c r="G7664" t="s">
        <v>1917</v>
      </c>
      <c r="H7664" t="s">
        <v>432</v>
      </c>
    </row>
    <row r="7665" spans="1:10" hidden="1" x14ac:dyDescent="0.25">
      <c r="A7665" t="s">
        <v>10553</v>
      </c>
      <c r="B7665" s="1" t="str">
        <f>HYPERLINK("https://asmlis.vasa.lt/Dashboard/Served?ServiceDateFrom=2025-11-24&amp;ServiceDateTo=2025-11-24&amp;DumpsterInvNr=13-L-148372", "13-L-148372")</f>
        <v>13-L-148372</v>
      </c>
      <c r="C7665">
        <v>1.1000000000000001</v>
      </c>
      <c r="D7665" t="s">
        <v>10540</v>
      </c>
      <c r="E7665" t="s">
        <v>11</v>
      </c>
      <c r="G7665" t="s">
        <v>430</v>
      </c>
      <c r="H7665" t="s">
        <v>432</v>
      </c>
    </row>
    <row r="7666" spans="1:10" hidden="1" x14ac:dyDescent="0.25">
      <c r="A7666" t="s">
        <v>10554</v>
      </c>
      <c r="B7666" s="1" t="str">
        <f>HYPERLINK("https://asmlis.vasa.lt/Dashboard/Served?ServiceDateFrom=2025-11-24&amp;ServiceDateTo=2025-11-24&amp;DumpsterInvNr=13-L-304487", "13-L-304487")</f>
        <v>13-L-304487</v>
      </c>
      <c r="C7666">
        <v>0.77</v>
      </c>
      <c r="D7666" t="s">
        <v>10556</v>
      </c>
      <c r="E7666" t="s">
        <v>11</v>
      </c>
      <c r="G7666" t="s">
        <v>9</v>
      </c>
      <c r="H7666" t="s">
        <v>14</v>
      </c>
    </row>
    <row r="7667" spans="1:10" hidden="1" x14ac:dyDescent="0.25">
      <c r="A7667" t="s">
        <v>10557</v>
      </c>
      <c r="B7667" s="1" t="str">
        <f>HYPERLINK("https://asmlis.vasa.lt/Dashboard/Served?ServiceDateFrom=2025-11-24&amp;ServiceDateTo=2025-11-24&amp;DumpsterInvNr=13-P-212072", "13-P-212072")</f>
        <v>13-P-212072</v>
      </c>
      <c r="C7667">
        <v>0.24</v>
      </c>
      <c r="D7667" t="s">
        <v>5786</v>
      </c>
      <c r="E7667" t="s">
        <v>11</v>
      </c>
      <c r="G7667" t="s">
        <v>234</v>
      </c>
      <c r="H7667" t="s">
        <v>14</v>
      </c>
    </row>
    <row r="7668" spans="1:10" x14ac:dyDescent="0.25">
      <c r="A7668" t="s">
        <v>10558</v>
      </c>
      <c r="B7668" s="1" t="str">
        <f>HYPERLINK("https://asmlis.vasa.lt/Dashboard/Served?ServiceDateFrom=2025-11-24&amp;ServiceDateTo=2025-11-24&amp;DumpsterInvNr=13-L-136953", "13-L-136953")</f>
        <v>13-L-136953</v>
      </c>
      <c r="C7668">
        <v>0.77</v>
      </c>
      <c r="D7668" t="s">
        <v>10535</v>
      </c>
      <c r="E7668" t="s">
        <v>11</v>
      </c>
      <c r="F7668" t="s">
        <v>10536</v>
      </c>
      <c r="G7668" t="s">
        <v>1912</v>
      </c>
      <c r="H7668" t="s">
        <v>432</v>
      </c>
      <c r="J7668" t="s">
        <v>17511</v>
      </c>
    </row>
    <row r="7669" spans="1:10" hidden="1" x14ac:dyDescent="0.25">
      <c r="A7669" t="s">
        <v>10559</v>
      </c>
      <c r="B7669" s="1" t="str">
        <f>HYPERLINK("https://asmlis.vasa.lt/Dashboard/Served?ServiceDateFrom=2025-11-24&amp;ServiceDateTo=2025-11-24&amp;DumpsterInvNr=13-L-310361", "13-L-310361")</f>
        <v>13-L-310361</v>
      </c>
      <c r="C7669">
        <v>5</v>
      </c>
      <c r="D7669" t="s">
        <v>1097</v>
      </c>
      <c r="E7669" t="s">
        <v>11</v>
      </c>
      <c r="F7669" t="s">
        <v>13</v>
      </c>
      <c r="G7669" t="s">
        <v>9</v>
      </c>
      <c r="H7669" t="s">
        <v>14</v>
      </c>
    </row>
    <row r="7670" spans="1:10" hidden="1" x14ac:dyDescent="0.25">
      <c r="A7670" t="s">
        <v>10560</v>
      </c>
      <c r="B7670" s="1" t="str">
        <f>HYPERLINK("https://asmlis.vasa.lt/Dashboard/Served?ServiceDateFrom=2025-11-24&amp;ServiceDateTo=2025-11-24&amp;DumpsterInvNr=13-L-316507", "13-L-316507")</f>
        <v>13-L-316507</v>
      </c>
      <c r="C7670">
        <v>5</v>
      </c>
      <c r="D7670" t="s">
        <v>1097</v>
      </c>
      <c r="E7670" t="s">
        <v>11</v>
      </c>
      <c r="F7670" t="s">
        <v>13</v>
      </c>
      <c r="G7670" t="s">
        <v>9</v>
      </c>
      <c r="H7670" t="s">
        <v>14</v>
      </c>
    </row>
    <row r="7671" spans="1:10" hidden="1" x14ac:dyDescent="0.25">
      <c r="A7671" t="s">
        <v>10561</v>
      </c>
      <c r="B7671" s="1" t="str">
        <f>HYPERLINK("https://asmlis.vasa.lt/Dashboard/Served?ServiceDateFrom=2025-11-24&amp;ServiceDateTo=2025-11-24&amp;DumpsterInvNr=13-L-128380", "13-L-128380")</f>
        <v>13-L-128380</v>
      </c>
      <c r="C7671">
        <v>0.24</v>
      </c>
      <c r="D7671" t="s">
        <v>10562</v>
      </c>
      <c r="E7671" t="s">
        <v>11</v>
      </c>
      <c r="G7671" t="s">
        <v>1912</v>
      </c>
      <c r="H7671" t="s">
        <v>432</v>
      </c>
    </row>
    <row r="7672" spans="1:10" hidden="1" x14ac:dyDescent="0.25">
      <c r="A7672" t="s">
        <v>10564</v>
      </c>
      <c r="B7672" s="1" t="str">
        <f>HYPERLINK("https://asmlis.vasa.lt/Dashboard/Served?ServiceDateFrom=2025-11-24&amp;ServiceDateTo=2025-11-24&amp;DumpsterInvNr=13-P-101139", "13-P-101139")</f>
        <v>13-P-101139</v>
      </c>
      <c r="C7672">
        <v>0.24</v>
      </c>
      <c r="D7672" t="s">
        <v>10562</v>
      </c>
      <c r="E7672" t="s">
        <v>11</v>
      </c>
      <c r="G7672" t="s">
        <v>1917</v>
      </c>
      <c r="H7672" t="s">
        <v>432</v>
      </c>
    </row>
    <row r="7673" spans="1:10" x14ac:dyDescent="0.25">
      <c r="A7673" t="s">
        <v>10566</v>
      </c>
      <c r="B7673" s="1" t="str">
        <f>HYPERLINK("https://asmlis.vasa.lt/Dashboard/Served?ServiceDateFrom=2025-11-24&amp;ServiceDateTo=2025-11-24&amp;DumpsterInvNr=13-L-117499", "13-L-117499")</f>
        <v>13-L-117499</v>
      </c>
      <c r="C7673">
        <v>0.77</v>
      </c>
      <c r="D7673" t="s">
        <v>10535</v>
      </c>
      <c r="E7673" t="s">
        <v>11</v>
      </c>
      <c r="F7673" t="s">
        <v>10536</v>
      </c>
      <c r="G7673" t="s">
        <v>1912</v>
      </c>
      <c r="H7673" t="s">
        <v>432</v>
      </c>
      <c r="J7673" t="s">
        <v>17511</v>
      </c>
    </row>
    <row r="7674" spans="1:10" hidden="1" x14ac:dyDescent="0.25">
      <c r="A7674" t="s">
        <v>10567</v>
      </c>
      <c r="B7674" s="1" t="str">
        <f>HYPERLINK("https://asmlis.vasa.lt/Dashboard/Served?ServiceDateFrom=2025-11-24&amp;ServiceDateTo=2025-11-24&amp;DumpsterInvNr=13-L-147144", "13-L-147144")</f>
        <v>13-L-147144</v>
      </c>
      <c r="C7674">
        <v>1.1000000000000001</v>
      </c>
      <c r="D7674" t="s">
        <v>10540</v>
      </c>
      <c r="E7674" t="s">
        <v>11</v>
      </c>
      <c r="G7674" t="s">
        <v>430</v>
      </c>
      <c r="H7674" t="s">
        <v>432</v>
      </c>
    </row>
    <row r="7675" spans="1:10" hidden="1" x14ac:dyDescent="0.25">
      <c r="A7675" t="s">
        <v>10568</v>
      </c>
      <c r="B7675" s="1" t="str">
        <f>HYPERLINK("https://asmlis.vasa.lt/Dashboard/Served?ServiceDateFrom=2025-11-24&amp;ServiceDateTo=2025-11-24&amp;DumpsterInvNr=13-L-147681", "13-L-147681")</f>
        <v>13-L-147681</v>
      </c>
      <c r="C7675">
        <v>0.66</v>
      </c>
      <c r="D7675" t="s">
        <v>10569</v>
      </c>
      <c r="E7675" t="s">
        <v>11</v>
      </c>
      <c r="G7675" t="s">
        <v>430</v>
      </c>
      <c r="H7675" t="s">
        <v>432</v>
      </c>
    </row>
    <row r="7676" spans="1:10" hidden="1" x14ac:dyDescent="0.25">
      <c r="A7676" t="s">
        <v>10570</v>
      </c>
      <c r="B7676" s="1" t="str">
        <f>HYPERLINK("https://asmlis.vasa.lt/Dashboard/Served?ServiceDateFrom=2025-11-24&amp;ServiceDateTo=2025-11-24&amp;DumpsterInvNr=13-L-318332", "13-L-318332")</f>
        <v>13-L-318332</v>
      </c>
      <c r="C7676">
        <v>0.77</v>
      </c>
      <c r="D7676" t="s">
        <v>10571</v>
      </c>
      <c r="E7676" t="s">
        <v>11</v>
      </c>
      <c r="G7676" t="s">
        <v>9</v>
      </c>
      <c r="H7676" t="s">
        <v>14</v>
      </c>
    </row>
    <row r="7677" spans="1:10" hidden="1" x14ac:dyDescent="0.25">
      <c r="A7677" t="s">
        <v>10570</v>
      </c>
      <c r="B7677" s="1" t="str">
        <f>HYPERLINK("https://asmlis.vasa.lt/Dashboard/Served?ServiceDateFrom=2025-11-24&amp;ServiceDateTo=2025-11-24&amp;DumpsterInvNr=13-L-422508", "13-L-422508")</f>
        <v>13-L-422508</v>
      </c>
      <c r="C7677">
        <v>0.12</v>
      </c>
      <c r="D7677" t="s">
        <v>10572</v>
      </c>
      <c r="E7677" t="s">
        <v>11</v>
      </c>
      <c r="G7677" t="s">
        <v>74</v>
      </c>
      <c r="H7677" t="s">
        <v>14</v>
      </c>
    </row>
    <row r="7678" spans="1:10" hidden="1" x14ac:dyDescent="0.25">
      <c r="A7678" t="s">
        <v>10573</v>
      </c>
      <c r="B7678" s="1" t="str">
        <f>HYPERLINK("https://asmlis.vasa.lt/Dashboard/Served?ServiceDateFrom=2025-11-24&amp;ServiceDateTo=2025-11-24&amp;DumpsterInvNr=13-L-315124", "13-L-315124")</f>
        <v>13-L-315124</v>
      </c>
      <c r="C7678">
        <v>0.77</v>
      </c>
      <c r="D7678" t="s">
        <v>10574</v>
      </c>
      <c r="E7678" t="s">
        <v>11</v>
      </c>
      <c r="G7678" t="s">
        <v>9</v>
      </c>
      <c r="H7678" t="s">
        <v>14</v>
      </c>
    </row>
    <row r="7679" spans="1:10" hidden="1" x14ac:dyDescent="0.25">
      <c r="A7679" t="s">
        <v>10575</v>
      </c>
      <c r="B7679" s="1" t="str">
        <f>HYPERLINK("https://asmlis.vasa.lt/Dashboard/Served?ServiceDateFrom=2025-11-24&amp;ServiceDateTo=2025-11-24&amp;DumpsterInvNr=13-P-203782", "13-P-203782")</f>
        <v>13-P-203782</v>
      </c>
      <c r="C7679">
        <v>0.24</v>
      </c>
      <c r="D7679" t="s">
        <v>5776</v>
      </c>
      <c r="E7679" t="s">
        <v>11</v>
      </c>
      <c r="G7679" t="s">
        <v>234</v>
      </c>
      <c r="H7679" t="s">
        <v>14</v>
      </c>
    </row>
    <row r="7680" spans="1:10" x14ac:dyDescent="0.25">
      <c r="A7680" t="s">
        <v>10576</v>
      </c>
      <c r="B7680" s="1" t="str">
        <f>HYPERLINK("https://asmlis.vasa.lt/Dashboard/Served?ServiceDateFrom=2025-11-24&amp;ServiceDateTo=2025-11-24&amp;DumpsterInvNr=13-L-117498", "13-L-117498")</f>
        <v>13-L-117498</v>
      </c>
      <c r="C7680">
        <v>0.77</v>
      </c>
      <c r="D7680" t="s">
        <v>10535</v>
      </c>
      <c r="E7680" t="s">
        <v>11</v>
      </c>
      <c r="F7680" t="s">
        <v>10536</v>
      </c>
      <c r="G7680" t="s">
        <v>1912</v>
      </c>
      <c r="H7680" t="s">
        <v>432</v>
      </c>
      <c r="J7680" t="s">
        <v>17511</v>
      </c>
    </row>
    <row r="7681" spans="1:10" x14ac:dyDescent="0.25">
      <c r="A7681" t="s">
        <v>10577</v>
      </c>
      <c r="B7681" s="1" t="str">
        <f>HYPERLINK("https://asmlis.vasa.lt/Dashboard/Served?ServiceDateFrom=2025-11-24&amp;ServiceDateTo=2025-11-24&amp;DumpsterInvNr=13-L-117494", "13-L-117494")</f>
        <v>13-L-117494</v>
      </c>
      <c r="C7681">
        <v>0.77</v>
      </c>
      <c r="D7681" t="s">
        <v>10535</v>
      </c>
      <c r="E7681" t="s">
        <v>11</v>
      </c>
      <c r="F7681" t="s">
        <v>10536</v>
      </c>
      <c r="G7681" t="s">
        <v>1912</v>
      </c>
      <c r="H7681" t="s">
        <v>432</v>
      </c>
      <c r="J7681" t="s">
        <v>17511</v>
      </c>
    </row>
    <row r="7682" spans="1:10" hidden="1" x14ac:dyDescent="0.25">
      <c r="A7682" t="s">
        <v>10577</v>
      </c>
      <c r="B7682" s="1" t="str">
        <f>HYPERLINK("https://asmlis.vasa.lt/Dashboard/Served?ServiceDateFrom=2025-11-24&amp;ServiceDateTo=2025-11-24&amp;DumpsterInvNr=13-P-415677", "13-P-415677")</f>
        <v>13-P-415677</v>
      </c>
      <c r="C7682">
        <v>0.24</v>
      </c>
      <c r="D7682" t="s">
        <v>10578</v>
      </c>
      <c r="E7682" t="s">
        <v>11</v>
      </c>
      <c r="G7682" t="s">
        <v>264</v>
      </c>
      <c r="H7682" t="s">
        <v>14</v>
      </c>
    </row>
    <row r="7683" spans="1:10" hidden="1" x14ac:dyDescent="0.25">
      <c r="A7683" t="s">
        <v>10579</v>
      </c>
      <c r="B7683" s="1" t="str">
        <f>HYPERLINK("https://asmlis.vasa.lt/Dashboard/Served?ServiceDateFrom=2025-11-24&amp;ServiceDateTo=2025-11-24&amp;DumpsterInvNr=13-M-200261", "13-M-200261")</f>
        <v>13-M-200261</v>
      </c>
      <c r="C7683">
        <v>0.12</v>
      </c>
      <c r="D7683" t="s">
        <v>10580</v>
      </c>
      <c r="E7683" t="s">
        <v>11</v>
      </c>
      <c r="F7683" t="s">
        <v>1209</v>
      </c>
      <c r="G7683" t="s">
        <v>4876</v>
      </c>
      <c r="H7683" t="s">
        <v>938</v>
      </c>
    </row>
    <row r="7684" spans="1:10" hidden="1" x14ac:dyDescent="0.25">
      <c r="A7684" t="s">
        <v>10581</v>
      </c>
      <c r="B7684" s="1" t="str">
        <f>HYPERLINK("https://asmlis.vasa.lt/Dashboard/Served?ServiceDateFrom=2025-11-24&amp;ServiceDateTo=2025-11-24&amp;DumpsterInvNr=13-S-107581", "13-S-107581")</f>
        <v>13-S-107581</v>
      </c>
      <c r="C7684">
        <v>0.12</v>
      </c>
      <c r="D7684" t="s">
        <v>10562</v>
      </c>
      <c r="E7684" t="s">
        <v>11</v>
      </c>
      <c r="F7684" t="s">
        <v>1209</v>
      </c>
      <c r="G7684" t="s">
        <v>1917</v>
      </c>
      <c r="H7684" t="s">
        <v>432</v>
      </c>
    </row>
    <row r="7685" spans="1:10" hidden="1" x14ac:dyDescent="0.25">
      <c r="A7685" t="s">
        <v>10582</v>
      </c>
      <c r="B7685" s="1" t="str">
        <f>HYPERLINK("https://asmlis.vasa.lt/Dashboard/Served?ServiceDateFrom=2025-11-24&amp;ServiceDateTo=2025-11-24&amp;DumpsterInvNr=13-L-213607", "13-L-213607")</f>
        <v>13-L-213607</v>
      </c>
      <c r="C7685">
        <v>1.1000000000000001</v>
      </c>
      <c r="D7685" t="s">
        <v>10516</v>
      </c>
      <c r="E7685" t="s">
        <v>11</v>
      </c>
      <c r="F7685" t="s">
        <v>13</v>
      </c>
      <c r="G7685" t="s">
        <v>936</v>
      </c>
      <c r="H7685" t="s">
        <v>938</v>
      </c>
    </row>
    <row r="7686" spans="1:10" hidden="1" x14ac:dyDescent="0.25">
      <c r="A7686" t="s">
        <v>10583</v>
      </c>
      <c r="B7686" s="1" t="str">
        <f>HYPERLINK("https://asmlis.vasa.lt/Dashboard/Served?ServiceDateFrom=2025-11-24&amp;ServiceDateTo=2025-11-24&amp;DumpsterInvNr=13-L-203566", "13-L-203566")</f>
        <v>13-L-203566</v>
      </c>
      <c r="C7686">
        <v>0.12</v>
      </c>
      <c r="D7686" t="s">
        <v>8001</v>
      </c>
      <c r="E7686" t="s">
        <v>11</v>
      </c>
      <c r="G7686" t="s">
        <v>936</v>
      </c>
      <c r="H7686" t="s">
        <v>938</v>
      </c>
    </row>
    <row r="7687" spans="1:10" hidden="1" x14ac:dyDescent="0.25">
      <c r="A7687" t="s">
        <v>10583</v>
      </c>
      <c r="B7687" s="1" t="str">
        <f>HYPERLINK("https://asmlis.vasa.lt/Dashboard/Served?ServiceDateFrom=2025-11-24&amp;ServiceDateTo=2025-11-24&amp;DumpsterInvNr=13-L-148373", "13-L-148373")</f>
        <v>13-L-148373</v>
      </c>
      <c r="C7687">
        <v>1.1000000000000001</v>
      </c>
      <c r="D7687" t="s">
        <v>10540</v>
      </c>
      <c r="E7687" t="s">
        <v>11</v>
      </c>
      <c r="G7687" t="s">
        <v>430</v>
      </c>
      <c r="H7687" t="s">
        <v>432</v>
      </c>
    </row>
    <row r="7688" spans="1:10" hidden="1" x14ac:dyDescent="0.25">
      <c r="A7688" t="s">
        <v>10584</v>
      </c>
      <c r="B7688" s="1" t="str">
        <f>HYPERLINK("https://asmlis.vasa.lt/Dashboard/Served?ServiceDateFrom=2025-11-24&amp;ServiceDateTo=2025-11-24&amp;DumpsterInvNr=13-P-210800", "13-P-210800")</f>
        <v>13-P-210800</v>
      </c>
      <c r="C7688">
        <v>0.24</v>
      </c>
      <c r="D7688" t="s">
        <v>10585</v>
      </c>
      <c r="E7688" t="s">
        <v>11</v>
      </c>
      <c r="F7688" t="s">
        <v>1209</v>
      </c>
      <c r="G7688" t="s">
        <v>234</v>
      </c>
      <c r="H7688" t="s">
        <v>14</v>
      </c>
    </row>
    <row r="7689" spans="1:10" hidden="1" x14ac:dyDescent="0.25">
      <c r="A7689" t="s">
        <v>10586</v>
      </c>
      <c r="B7689" s="1" t="str">
        <f>HYPERLINK("https://asmlis.vasa.lt/Dashboard/Served?ServiceDateFrom=2025-11-24&amp;ServiceDateTo=2025-11-24&amp;DumpsterInvNr=13-L-118354", "13-L-118354")</f>
        <v>13-L-118354</v>
      </c>
      <c r="C7689">
        <v>0.24</v>
      </c>
      <c r="D7689" t="s">
        <v>10587</v>
      </c>
      <c r="E7689" t="s">
        <v>11</v>
      </c>
      <c r="G7689" t="s">
        <v>1912</v>
      </c>
      <c r="H7689" t="s">
        <v>432</v>
      </c>
    </row>
    <row r="7690" spans="1:10" hidden="1" x14ac:dyDescent="0.25">
      <c r="A7690" t="s">
        <v>10586</v>
      </c>
      <c r="B7690" s="1" t="str">
        <f>HYPERLINK("https://asmlis.vasa.lt/Dashboard/Served?ServiceDateFrom=2025-11-24&amp;ServiceDateTo=2025-11-24&amp;DumpsterInvNr=13-P-100027", "13-P-100027")</f>
        <v>13-P-100027</v>
      </c>
      <c r="C7690">
        <v>0.24</v>
      </c>
      <c r="D7690" t="s">
        <v>10587</v>
      </c>
      <c r="E7690" t="s">
        <v>11</v>
      </c>
      <c r="G7690" t="s">
        <v>1917</v>
      </c>
      <c r="H7690" t="s">
        <v>432</v>
      </c>
    </row>
    <row r="7691" spans="1:10" hidden="1" x14ac:dyDescent="0.25">
      <c r="A7691" t="s">
        <v>10588</v>
      </c>
      <c r="B7691" s="1" t="str">
        <f>HYPERLINK("https://asmlis.vasa.lt/Dashboard/Served?ServiceDateFrom=2025-11-24&amp;ServiceDateTo=2025-11-24&amp;DumpsterInvNr=13-L-422670", "13-L-422670")</f>
        <v>13-L-422670</v>
      </c>
      <c r="C7691">
        <v>0.24</v>
      </c>
      <c r="D7691" t="s">
        <v>10589</v>
      </c>
      <c r="E7691" t="s">
        <v>11</v>
      </c>
      <c r="G7691" t="s">
        <v>74</v>
      </c>
      <c r="H7691" t="s">
        <v>14</v>
      </c>
    </row>
    <row r="7692" spans="1:10" hidden="1" x14ac:dyDescent="0.25">
      <c r="A7692" t="s">
        <v>10590</v>
      </c>
      <c r="B7692" s="1" t="str">
        <f>HYPERLINK("https://asmlis.vasa.lt/Dashboard/Served?ServiceDateFrom=2025-11-24&amp;ServiceDateTo=2025-11-24&amp;DumpsterInvNr=13-S-109739", "13-S-109739")</f>
        <v>13-S-109739</v>
      </c>
      <c r="C7692">
        <v>0.12</v>
      </c>
      <c r="D7692" t="s">
        <v>10587</v>
      </c>
      <c r="E7692" t="s">
        <v>11</v>
      </c>
      <c r="F7692" t="s">
        <v>1209</v>
      </c>
      <c r="G7692" t="s">
        <v>1917</v>
      </c>
      <c r="H7692" t="s">
        <v>432</v>
      </c>
    </row>
    <row r="7693" spans="1:10" hidden="1" x14ac:dyDescent="0.25">
      <c r="A7693" t="s">
        <v>10590</v>
      </c>
      <c r="B7693" s="1" t="str">
        <f>HYPERLINK("https://asmlis.vasa.lt/Dashboard/Served?ServiceDateFrom=2025-11-24&amp;ServiceDateTo=2025-11-24&amp;DumpsterInvNr=13-M-200298", "13-M-200298")</f>
        <v>13-M-200298</v>
      </c>
      <c r="C7693">
        <v>0.12</v>
      </c>
      <c r="D7693" t="s">
        <v>10580</v>
      </c>
      <c r="E7693" t="s">
        <v>11</v>
      </c>
      <c r="F7693" t="s">
        <v>1209</v>
      </c>
      <c r="G7693" t="s">
        <v>4876</v>
      </c>
      <c r="H7693" t="s">
        <v>938</v>
      </c>
    </row>
    <row r="7694" spans="1:10" hidden="1" x14ac:dyDescent="0.25">
      <c r="A7694" t="s">
        <v>10592</v>
      </c>
      <c r="B7694" s="1" t="str">
        <f>HYPERLINK("https://asmlis.vasa.lt/Dashboard/Served?ServiceDateFrom=2025-11-24&amp;ServiceDateTo=2025-11-24&amp;DumpsterInvNr=13-L-213605", "13-L-213605")</f>
        <v>13-L-213605</v>
      </c>
      <c r="C7694">
        <v>1.1000000000000001</v>
      </c>
      <c r="D7694" t="s">
        <v>10516</v>
      </c>
      <c r="E7694" t="s">
        <v>11</v>
      </c>
      <c r="F7694" t="s">
        <v>1209</v>
      </c>
      <c r="G7694" t="s">
        <v>936</v>
      </c>
      <c r="H7694" t="s">
        <v>938</v>
      </c>
    </row>
    <row r="7695" spans="1:10" hidden="1" x14ac:dyDescent="0.25">
      <c r="A7695" t="s">
        <v>9574</v>
      </c>
      <c r="B7695" s="1" t="str">
        <f>HYPERLINK("https://asmlis.vasa.lt/Dashboard/Served?ServiceDateFrom=2025-11-24&amp;ServiceDateTo=2025-11-24&amp;DumpsterInvNr=13-M-200222", "13-M-200222")</f>
        <v>13-M-200222</v>
      </c>
      <c r="C7695">
        <v>0.12</v>
      </c>
      <c r="D7695" t="s">
        <v>10593</v>
      </c>
      <c r="E7695" t="s">
        <v>11</v>
      </c>
      <c r="F7695" t="s">
        <v>1209</v>
      </c>
      <c r="G7695" t="s">
        <v>4876</v>
      </c>
      <c r="H7695" t="s">
        <v>938</v>
      </c>
    </row>
    <row r="7696" spans="1:10" hidden="1" x14ac:dyDescent="0.25">
      <c r="A7696" t="s">
        <v>10595</v>
      </c>
      <c r="B7696" s="1" t="str">
        <f>HYPERLINK("https://asmlis.vasa.lt/Dashboard/Served?ServiceDateFrom=2025-11-24&amp;ServiceDateTo=2025-11-24&amp;DumpsterInvNr=13-S-211722", "13-S-211722")</f>
        <v>13-S-211722</v>
      </c>
      <c r="C7696">
        <v>1.8</v>
      </c>
      <c r="D7696" t="s">
        <v>10597</v>
      </c>
      <c r="E7696" t="s">
        <v>11</v>
      </c>
      <c r="F7696" t="s">
        <v>13</v>
      </c>
      <c r="G7696" t="s">
        <v>234</v>
      </c>
      <c r="H7696" t="s">
        <v>14</v>
      </c>
    </row>
    <row r="7697" spans="1:8" hidden="1" x14ac:dyDescent="0.25">
      <c r="A7697" t="s">
        <v>10598</v>
      </c>
      <c r="B7697" s="1" t="str">
        <f>HYPERLINK("https://asmlis.vasa.lt/Dashboard/Served?ServiceDateFrom=2025-11-24&amp;ServiceDateTo=2025-11-24&amp;DumpsterInvNr=13-M-205578", "13-M-205578")</f>
        <v>13-M-205578</v>
      </c>
      <c r="C7697">
        <v>0.12</v>
      </c>
      <c r="D7697" t="s">
        <v>10599</v>
      </c>
      <c r="E7697" t="s">
        <v>11</v>
      </c>
      <c r="F7697" t="s">
        <v>1209</v>
      </c>
      <c r="G7697" t="s">
        <v>4876</v>
      </c>
      <c r="H7697" t="s">
        <v>938</v>
      </c>
    </row>
    <row r="7698" spans="1:8" hidden="1" x14ac:dyDescent="0.25">
      <c r="A7698" t="s">
        <v>10600</v>
      </c>
      <c r="B7698" s="1" t="str">
        <f>HYPERLINK("https://asmlis.vasa.lt/Dashboard/Served?ServiceDateFrom=2025-11-24&amp;ServiceDateTo=2025-11-24&amp;DumpsterInvNr=13-P-307047", "13-P-307047")</f>
        <v>13-P-307047</v>
      </c>
      <c r="C7698">
        <v>1.1000000000000001</v>
      </c>
      <c r="D7698" t="s">
        <v>1998</v>
      </c>
      <c r="E7698" t="s">
        <v>11</v>
      </c>
      <c r="F7698" t="s">
        <v>13</v>
      </c>
      <c r="G7698" t="s">
        <v>412</v>
      </c>
      <c r="H7698" t="s">
        <v>14</v>
      </c>
    </row>
    <row r="7699" spans="1:8" hidden="1" x14ac:dyDescent="0.25">
      <c r="A7699" t="s">
        <v>10601</v>
      </c>
      <c r="B7699" s="1" t="str">
        <f>HYPERLINK("https://asmlis.vasa.lt/Dashboard/Served?ServiceDateFrom=2025-11-24&amp;ServiceDateTo=2025-11-24&amp;DumpsterInvNr=13-M-205568", "13-M-205568")</f>
        <v>13-M-205568</v>
      </c>
      <c r="C7699">
        <v>0.12</v>
      </c>
      <c r="D7699" t="s">
        <v>10602</v>
      </c>
      <c r="E7699" t="s">
        <v>11</v>
      </c>
      <c r="F7699" t="s">
        <v>1209</v>
      </c>
      <c r="G7699" t="s">
        <v>4876</v>
      </c>
      <c r="H7699" t="s">
        <v>938</v>
      </c>
    </row>
    <row r="7700" spans="1:8" hidden="1" x14ac:dyDescent="0.25">
      <c r="A7700" t="s">
        <v>10603</v>
      </c>
      <c r="B7700" s="1" t="str">
        <f>HYPERLINK("https://asmlis.vasa.lt/Dashboard/Served?ServiceDateFrom=2025-11-24&amp;ServiceDateTo=2025-11-24&amp;DumpsterInvNr=13-S-210575", "13-S-210575")</f>
        <v>13-S-210575</v>
      </c>
      <c r="C7700">
        <v>0.12</v>
      </c>
      <c r="D7700" t="s">
        <v>6585</v>
      </c>
      <c r="E7700" t="s">
        <v>11</v>
      </c>
      <c r="G7700" t="s">
        <v>234</v>
      </c>
      <c r="H7700" t="s">
        <v>14</v>
      </c>
    </row>
    <row r="7701" spans="1:8" hidden="1" x14ac:dyDescent="0.25">
      <c r="A7701" t="s">
        <v>10604</v>
      </c>
      <c r="B7701" s="1" t="str">
        <f>HYPERLINK("https://asmlis.vasa.lt/Dashboard/Served?ServiceDateFrom=2025-11-24&amp;ServiceDateTo=2025-11-24&amp;DumpsterInvNr=13-L-407214", "13-L-407214")</f>
        <v>13-L-407214</v>
      </c>
      <c r="C7701">
        <v>0.12</v>
      </c>
      <c r="D7701" t="s">
        <v>10605</v>
      </c>
      <c r="E7701" t="s">
        <v>11</v>
      </c>
      <c r="G7701" t="s">
        <v>74</v>
      </c>
      <c r="H7701" t="s">
        <v>14</v>
      </c>
    </row>
    <row r="7702" spans="1:8" hidden="1" x14ac:dyDescent="0.25">
      <c r="A7702" t="s">
        <v>10606</v>
      </c>
      <c r="B7702" s="1" t="str">
        <f>HYPERLINK("https://asmlis.vasa.lt/Dashboard/Served?ServiceDateFrom=2025-11-24&amp;ServiceDateTo=2025-11-24&amp;DumpsterInvNr=13-P-400670", "13-P-400670")</f>
        <v>13-P-400670</v>
      </c>
      <c r="C7702">
        <v>5</v>
      </c>
      <c r="D7702" t="s">
        <v>10608</v>
      </c>
      <c r="E7702" t="s">
        <v>11</v>
      </c>
      <c r="F7702" t="s">
        <v>13</v>
      </c>
      <c r="G7702" t="s">
        <v>264</v>
      </c>
      <c r="H7702" t="s">
        <v>14</v>
      </c>
    </row>
    <row r="7703" spans="1:8" hidden="1" x14ac:dyDescent="0.25">
      <c r="A7703" t="s">
        <v>10609</v>
      </c>
      <c r="B7703" s="1" t="str">
        <f>HYPERLINK("https://asmlis.vasa.lt/Dashboard/Served?ServiceDateFrom=2025-11-24&amp;ServiceDateTo=2025-11-24&amp;DumpsterInvNr=13-P-210775", "13-P-210775")</f>
        <v>13-P-210775</v>
      </c>
      <c r="C7703">
        <v>0.24</v>
      </c>
      <c r="D7703" t="s">
        <v>6585</v>
      </c>
      <c r="E7703" t="s">
        <v>11</v>
      </c>
      <c r="G7703" t="s">
        <v>234</v>
      </c>
      <c r="H7703" t="s">
        <v>14</v>
      </c>
    </row>
    <row r="7704" spans="1:8" hidden="1" x14ac:dyDescent="0.25">
      <c r="A7704" t="s">
        <v>10610</v>
      </c>
      <c r="B7704" s="1" t="str">
        <f>HYPERLINK("https://asmlis.vasa.lt/Dashboard/Served?ServiceDateFrom=2025-11-24&amp;ServiceDateTo=2025-11-24&amp;DumpsterInvNr=13-L-215901", "13-L-215901")</f>
        <v>13-L-215901</v>
      </c>
      <c r="C7704">
        <v>0.24</v>
      </c>
      <c r="D7704" t="s">
        <v>8043</v>
      </c>
      <c r="E7704" t="s">
        <v>11</v>
      </c>
      <c r="G7704" t="s">
        <v>936</v>
      </c>
      <c r="H7704" t="s">
        <v>938</v>
      </c>
    </row>
    <row r="7705" spans="1:8" hidden="1" x14ac:dyDescent="0.25">
      <c r="A7705" t="s">
        <v>10290</v>
      </c>
      <c r="B7705" s="1" t="str">
        <f>HYPERLINK("https://asmlis.vasa.lt/Dashboard/Served?ServiceDateFrom=2025-11-24&amp;ServiceDateTo=2025-11-24&amp;DumpsterInvNr=13-L-424807", "13-L-424807")</f>
        <v>13-L-424807</v>
      </c>
      <c r="C7705">
        <v>1.1000000000000001</v>
      </c>
      <c r="D7705" t="s">
        <v>10611</v>
      </c>
      <c r="E7705" t="s">
        <v>11</v>
      </c>
      <c r="G7705" t="s">
        <v>74</v>
      </c>
      <c r="H7705" t="s">
        <v>14</v>
      </c>
    </row>
    <row r="7706" spans="1:8" hidden="1" x14ac:dyDescent="0.25">
      <c r="A7706" t="s">
        <v>6840</v>
      </c>
      <c r="B7706" s="1" t="str">
        <f>HYPERLINK("https://asmlis.vasa.lt/Dashboard/Served?ServiceDateFrom=2025-11-24&amp;ServiceDateTo=2025-11-24&amp;DumpsterInvNr=13-L-217726", "13-L-217726")</f>
        <v>13-L-217726</v>
      </c>
      <c r="C7706">
        <v>0.24</v>
      </c>
      <c r="D7706" t="s">
        <v>7975</v>
      </c>
      <c r="E7706" t="s">
        <v>11</v>
      </c>
      <c r="G7706" t="s">
        <v>936</v>
      </c>
      <c r="H7706" t="s">
        <v>938</v>
      </c>
    </row>
    <row r="7707" spans="1:8" hidden="1" x14ac:dyDescent="0.25">
      <c r="A7707" t="s">
        <v>6843</v>
      </c>
      <c r="B7707" s="1" t="str">
        <f>HYPERLINK("https://asmlis.vasa.lt/Dashboard/Served?ServiceDateFrom=2025-11-24&amp;ServiceDateTo=2025-11-24&amp;DumpsterInvNr=13-P-413998", "13-P-413998")</f>
        <v>13-P-413998</v>
      </c>
      <c r="C7707">
        <v>0.24</v>
      </c>
      <c r="D7707" t="s">
        <v>2876</v>
      </c>
      <c r="E7707" t="s">
        <v>11</v>
      </c>
      <c r="G7707" t="s">
        <v>264</v>
      </c>
      <c r="H7707" t="s">
        <v>14</v>
      </c>
    </row>
    <row r="7708" spans="1:8" hidden="1" x14ac:dyDescent="0.25">
      <c r="A7708" t="s">
        <v>7498</v>
      </c>
      <c r="B7708" s="1" t="str">
        <f>HYPERLINK("https://asmlis.vasa.lt/Dashboard/Served?ServiceDateFrom=2025-11-24&amp;ServiceDateTo=2025-11-24&amp;DumpsterInvNr=13-S-407186", "13-S-407186")</f>
        <v>13-S-407186</v>
      </c>
      <c r="C7708">
        <v>0.12</v>
      </c>
      <c r="D7708" t="s">
        <v>2822</v>
      </c>
      <c r="E7708" t="s">
        <v>11</v>
      </c>
      <c r="G7708" t="s">
        <v>264</v>
      </c>
      <c r="H7708" t="s">
        <v>14</v>
      </c>
    </row>
    <row r="7709" spans="1:8" hidden="1" x14ac:dyDescent="0.25">
      <c r="A7709" t="s">
        <v>7498</v>
      </c>
      <c r="B7709" s="1" t="str">
        <f>HYPERLINK("https://asmlis.vasa.lt/Dashboard/Served?ServiceDateFrom=2025-11-24&amp;ServiceDateTo=2025-11-24&amp;DumpsterInvNr=13-L-111234", "13-L-111234")</f>
        <v>13-L-111234</v>
      </c>
      <c r="C7709">
        <v>0.24</v>
      </c>
      <c r="D7709" t="s">
        <v>10613</v>
      </c>
      <c r="E7709" t="s">
        <v>11</v>
      </c>
      <c r="G7709" t="s">
        <v>1912</v>
      </c>
      <c r="H7709" t="s">
        <v>432</v>
      </c>
    </row>
    <row r="7710" spans="1:8" hidden="1" x14ac:dyDescent="0.25">
      <c r="A7710" t="s">
        <v>7501</v>
      </c>
      <c r="B7710" s="1" t="str">
        <f>HYPERLINK("https://asmlis.vasa.lt/Dashboard/Served?ServiceDateFrom=2025-11-24&amp;ServiceDateTo=2025-11-24&amp;DumpsterInvNr=13-M-205552", "13-M-205552")</f>
        <v>13-M-205552</v>
      </c>
      <c r="C7710">
        <v>0.12</v>
      </c>
      <c r="D7710" t="s">
        <v>10614</v>
      </c>
      <c r="E7710" t="s">
        <v>11</v>
      </c>
      <c r="G7710" t="s">
        <v>4876</v>
      </c>
      <c r="H7710" t="s">
        <v>938</v>
      </c>
    </row>
    <row r="7711" spans="1:8" hidden="1" x14ac:dyDescent="0.25">
      <c r="A7711" t="s">
        <v>7608</v>
      </c>
      <c r="B7711" s="1" t="str">
        <f>HYPERLINK("https://asmlis.vasa.lt/Dashboard/Served?ServiceDateFrom=2025-11-24&amp;ServiceDateTo=2025-11-24&amp;DumpsterInvNr=13-P-101146", "13-P-101146")</f>
        <v>13-P-101146</v>
      </c>
      <c r="C7711">
        <v>0.12</v>
      </c>
      <c r="D7711" t="s">
        <v>10613</v>
      </c>
      <c r="E7711" t="s">
        <v>11</v>
      </c>
      <c r="G7711" t="s">
        <v>1917</v>
      </c>
      <c r="H7711" t="s">
        <v>432</v>
      </c>
    </row>
    <row r="7712" spans="1:8" hidden="1" x14ac:dyDescent="0.25">
      <c r="A7712" t="s">
        <v>8086</v>
      </c>
      <c r="B7712" s="1" t="str">
        <f>HYPERLINK("https://asmlis.vasa.lt/Dashboard/Served?ServiceDateFrom=2025-11-24&amp;ServiceDateTo=2025-11-24&amp;DumpsterInvNr=13-P-413955", "13-P-413955")</f>
        <v>13-P-413955</v>
      </c>
      <c r="C7712">
        <v>0.24</v>
      </c>
      <c r="D7712" t="s">
        <v>10615</v>
      </c>
      <c r="E7712" t="s">
        <v>11</v>
      </c>
      <c r="G7712" t="s">
        <v>264</v>
      </c>
      <c r="H7712" t="s">
        <v>14</v>
      </c>
    </row>
    <row r="7713" spans="1:8" hidden="1" x14ac:dyDescent="0.25">
      <c r="A7713" t="s">
        <v>8392</v>
      </c>
      <c r="B7713" s="1" t="str">
        <f>HYPERLINK("https://asmlis.vasa.lt/Dashboard/Served?ServiceDateFrom=2025-11-24&amp;ServiceDateTo=2025-11-24&amp;DumpsterInvNr=13-M-205559", "13-M-205559")</f>
        <v>13-M-205559</v>
      </c>
      <c r="C7713">
        <v>0.12</v>
      </c>
      <c r="D7713" t="s">
        <v>10593</v>
      </c>
      <c r="E7713" t="s">
        <v>11</v>
      </c>
      <c r="F7713" t="s">
        <v>1209</v>
      </c>
      <c r="G7713" t="s">
        <v>4876</v>
      </c>
      <c r="H7713" t="s">
        <v>938</v>
      </c>
    </row>
    <row r="7714" spans="1:8" hidden="1" x14ac:dyDescent="0.25">
      <c r="A7714" t="s">
        <v>8445</v>
      </c>
      <c r="B7714" s="1" t="str">
        <f>HYPERLINK("https://asmlis.vasa.lt/Dashboard/Served?ServiceDateFrom=2025-11-24&amp;ServiceDateTo=2025-11-24&amp;DumpsterInvNr=13-S-407488", "13-S-407488")</f>
        <v>13-S-407488</v>
      </c>
      <c r="C7714">
        <v>0.12</v>
      </c>
      <c r="D7714" t="s">
        <v>2780</v>
      </c>
      <c r="E7714" t="s">
        <v>11</v>
      </c>
      <c r="G7714" t="s">
        <v>264</v>
      </c>
      <c r="H7714" t="s">
        <v>14</v>
      </c>
    </row>
    <row r="7715" spans="1:8" hidden="1" x14ac:dyDescent="0.25">
      <c r="A7715" t="s">
        <v>10292</v>
      </c>
      <c r="B7715" s="1" t="str">
        <f>HYPERLINK("https://asmlis.vasa.lt/Dashboard/Served?ServiceDateFrom=2025-11-24&amp;ServiceDateTo=2025-11-24&amp;DumpsterInvNr=13-M-200295", "13-M-200295")</f>
        <v>13-M-200295</v>
      </c>
      <c r="C7715">
        <v>0.12</v>
      </c>
      <c r="D7715" t="s">
        <v>10617</v>
      </c>
      <c r="E7715" t="s">
        <v>11</v>
      </c>
      <c r="F7715" t="s">
        <v>1209</v>
      </c>
      <c r="G7715" t="s">
        <v>4876</v>
      </c>
      <c r="H7715" t="s">
        <v>938</v>
      </c>
    </row>
    <row r="7716" spans="1:8" hidden="1" x14ac:dyDescent="0.25">
      <c r="A7716" t="s">
        <v>8584</v>
      </c>
      <c r="B7716" s="1" t="str">
        <f>HYPERLINK("https://asmlis.vasa.lt/Dashboard/Served?ServiceDateFrom=2025-11-24&amp;ServiceDateTo=2025-11-24&amp;DumpsterInvNr=13-L-426557", "13-L-426557")</f>
        <v>13-L-426557</v>
      </c>
      <c r="C7716">
        <v>1.1000000000000001</v>
      </c>
      <c r="D7716" t="s">
        <v>10611</v>
      </c>
      <c r="E7716" t="s">
        <v>11</v>
      </c>
      <c r="G7716" t="s">
        <v>74</v>
      </c>
      <c r="H7716" t="s">
        <v>14</v>
      </c>
    </row>
    <row r="7717" spans="1:8" hidden="1" x14ac:dyDescent="0.25">
      <c r="A7717" t="s">
        <v>10299</v>
      </c>
      <c r="B7717" s="1" t="str">
        <f>HYPERLINK("https://asmlis.vasa.lt/Dashboard/Served?ServiceDateFrom=2025-11-24&amp;ServiceDateTo=2025-11-24&amp;DumpsterInvNr=13-P-415216", "13-P-415216")</f>
        <v>13-P-415216</v>
      </c>
      <c r="C7717">
        <v>0.24</v>
      </c>
      <c r="D7717" t="s">
        <v>10619</v>
      </c>
      <c r="E7717" t="s">
        <v>11</v>
      </c>
      <c r="G7717" t="s">
        <v>264</v>
      </c>
      <c r="H7717" t="s">
        <v>14</v>
      </c>
    </row>
    <row r="7718" spans="1:8" hidden="1" x14ac:dyDescent="0.25">
      <c r="A7718" t="s">
        <v>10299</v>
      </c>
      <c r="B7718" s="1" t="str">
        <f>HYPERLINK("https://asmlis.vasa.lt/Dashboard/Served?ServiceDateFrom=2025-11-24&amp;ServiceDateTo=2025-11-24&amp;DumpsterInvNr=13-P-210403", "13-P-210403")</f>
        <v>13-P-210403</v>
      </c>
      <c r="C7718">
        <v>0.24</v>
      </c>
      <c r="D7718" t="s">
        <v>6561</v>
      </c>
      <c r="E7718" t="s">
        <v>11</v>
      </c>
      <c r="G7718" t="s">
        <v>234</v>
      </c>
      <c r="H7718" t="s">
        <v>14</v>
      </c>
    </row>
    <row r="7719" spans="1:8" hidden="1" x14ac:dyDescent="0.25">
      <c r="A7719" t="s">
        <v>10299</v>
      </c>
      <c r="B7719" s="1" t="str">
        <f>HYPERLINK("https://asmlis.vasa.lt/Dashboard/Served?ServiceDateFrom=2025-11-24&amp;ServiceDateTo=2025-11-24&amp;DumpsterInvNr=13-S-210679", "13-S-210679")</f>
        <v>13-S-210679</v>
      </c>
      <c r="C7719">
        <v>0.12</v>
      </c>
      <c r="D7719" t="s">
        <v>6561</v>
      </c>
      <c r="E7719" t="s">
        <v>11</v>
      </c>
      <c r="F7719" t="s">
        <v>1209</v>
      </c>
      <c r="G7719" t="s">
        <v>234</v>
      </c>
      <c r="H7719" t="s">
        <v>14</v>
      </c>
    </row>
    <row r="7720" spans="1:8" hidden="1" x14ac:dyDescent="0.25">
      <c r="A7720" t="s">
        <v>9018</v>
      </c>
      <c r="B7720" s="1" t="str">
        <f>HYPERLINK("https://asmlis.vasa.lt/Dashboard/Served?ServiceDateFrom=2025-11-24&amp;ServiceDateTo=2025-11-24&amp;DumpsterInvNr=13-P-102374", "13-P-102374")</f>
        <v>13-P-102374</v>
      </c>
      <c r="C7720">
        <v>5</v>
      </c>
      <c r="D7720" t="s">
        <v>4957</v>
      </c>
      <c r="E7720" t="s">
        <v>11</v>
      </c>
      <c r="F7720" t="s">
        <v>13</v>
      </c>
      <c r="G7720" t="s">
        <v>1917</v>
      </c>
      <c r="H7720" t="s">
        <v>432</v>
      </c>
    </row>
    <row r="7721" spans="1:8" hidden="1" x14ac:dyDescent="0.25">
      <c r="A7721" t="s">
        <v>9023</v>
      </c>
      <c r="B7721" s="1" t="str">
        <f>HYPERLINK("https://asmlis.vasa.lt/Dashboard/Served?ServiceDateFrom=2025-11-24&amp;ServiceDateTo=2025-11-24&amp;DumpsterInvNr=13-L-425274", "13-L-425274")</f>
        <v>13-L-425274</v>
      </c>
      <c r="C7721">
        <v>1.1000000000000001</v>
      </c>
      <c r="D7721" t="s">
        <v>10611</v>
      </c>
      <c r="E7721" t="s">
        <v>11</v>
      </c>
      <c r="G7721" t="s">
        <v>74</v>
      </c>
      <c r="H7721" t="s">
        <v>14</v>
      </c>
    </row>
    <row r="7722" spans="1:8" hidden="1" x14ac:dyDescent="0.25">
      <c r="A7722" t="s">
        <v>9036</v>
      </c>
      <c r="B7722" s="1" t="str">
        <f>HYPERLINK("https://asmlis.vasa.lt/Dashboard/Served?ServiceDateFrom=2025-11-24&amp;ServiceDateTo=2025-11-24&amp;DumpsterInvNr=13-L-416993", "13-L-416993")</f>
        <v>13-L-416993</v>
      </c>
      <c r="C7722">
        <v>0.24</v>
      </c>
      <c r="D7722" t="s">
        <v>10620</v>
      </c>
      <c r="E7722" t="s">
        <v>11</v>
      </c>
      <c r="G7722" t="s">
        <v>74</v>
      </c>
      <c r="H7722" t="s">
        <v>14</v>
      </c>
    </row>
    <row r="7723" spans="1:8" hidden="1" x14ac:dyDescent="0.25">
      <c r="A7723" t="s">
        <v>10382</v>
      </c>
      <c r="B7723" s="1" t="str">
        <f>HYPERLINK("https://asmlis.vasa.lt/Dashboard/Served?ServiceDateFrom=2025-11-24&amp;ServiceDateTo=2025-11-24&amp;DumpsterInvNr=13-L-210207", "13-L-210207")</f>
        <v>13-L-210207</v>
      </c>
      <c r="C7723">
        <v>0.12</v>
      </c>
      <c r="D7723" t="s">
        <v>7946</v>
      </c>
      <c r="E7723" t="s">
        <v>11</v>
      </c>
      <c r="F7723" t="s">
        <v>1209</v>
      </c>
      <c r="G7723" t="s">
        <v>936</v>
      </c>
      <c r="H7723" t="s">
        <v>938</v>
      </c>
    </row>
    <row r="7724" spans="1:8" hidden="1" x14ac:dyDescent="0.25">
      <c r="A7724" t="s">
        <v>10382</v>
      </c>
      <c r="B7724" s="1" t="str">
        <f>HYPERLINK("https://asmlis.vasa.lt/Dashboard/Served?ServiceDateFrom=2025-11-24&amp;ServiceDateTo=2025-11-24&amp;DumpsterInvNr=13-M-206319", "13-M-206319")</f>
        <v>13-M-206319</v>
      </c>
      <c r="C7724">
        <v>0.12</v>
      </c>
      <c r="D7724" t="s">
        <v>10621</v>
      </c>
      <c r="E7724" t="s">
        <v>11</v>
      </c>
      <c r="F7724" t="s">
        <v>1209</v>
      </c>
      <c r="G7724" t="s">
        <v>4876</v>
      </c>
      <c r="H7724" t="s">
        <v>938</v>
      </c>
    </row>
    <row r="7725" spans="1:8" hidden="1" x14ac:dyDescent="0.25">
      <c r="A7725" t="s">
        <v>9182</v>
      </c>
      <c r="B7725" s="1" t="str">
        <f>HYPERLINK("https://asmlis.vasa.lt/Dashboard/Served?ServiceDateFrom=2025-11-24&amp;ServiceDateTo=2025-11-24&amp;DumpsterInvNr=13-M-200270", "13-M-200270")</f>
        <v>13-M-200270</v>
      </c>
      <c r="C7725">
        <v>0.12</v>
      </c>
      <c r="D7725" t="s">
        <v>10622</v>
      </c>
      <c r="E7725" t="s">
        <v>11</v>
      </c>
      <c r="F7725" t="s">
        <v>1209</v>
      </c>
      <c r="G7725" t="s">
        <v>4876</v>
      </c>
      <c r="H7725" t="s">
        <v>938</v>
      </c>
    </row>
    <row r="7726" spans="1:8" hidden="1" x14ac:dyDescent="0.25">
      <c r="A7726" t="s">
        <v>10623</v>
      </c>
      <c r="B7726" s="1" t="str">
        <f>HYPERLINK("https://asmlis.vasa.lt/Dashboard/Served?ServiceDateFrom=2025-11-24&amp;ServiceDateTo=2025-11-24&amp;DumpsterInvNr=13-P-500444", "13-P-500444")</f>
        <v>13-P-500444</v>
      </c>
      <c r="C7726">
        <v>5</v>
      </c>
      <c r="D7726" t="s">
        <v>6501</v>
      </c>
      <c r="E7726" t="s">
        <v>11</v>
      </c>
      <c r="F7726" t="s">
        <v>13</v>
      </c>
      <c r="G7726" t="s">
        <v>2178</v>
      </c>
      <c r="H7726" t="s">
        <v>432</v>
      </c>
    </row>
    <row r="7727" spans="1:8" hidden="1" x14ac:dyDescent="0.25">
      <c r="A7727" t="s">
        <v>9280</v>
      </c>
      <c r="B7727" s="1" t="str">
        <f>HYPERLINK("https://asmlis.vasa.lt/Dashboard/Served?ServiceDateFrom=2025-11-24&amp;ServiceDateTo=2025-11-24&amp;DumpsterInvNr=13-L-117208", "13-L-117208")</f>
        <v>13-L-117208</v>
      </c>
      <c r="C7727">
        <v>0.12</v>
      </c>
      <c r="D7727" t="s">
        <v>10624</v>
      </c>
      <c r="E7727" t="s">
        <v>11</v>
      </c>
      <c r="G7727" t="s">
        <v>1912</v>
      </c>
      <c r="H7727" t="s">
        <v>432</v>
      </c>
    </row>
    <row r="7728" spans="1:8" hidden="1" x14ac:dyDescent="0.25">
      <c r="A7728" t="s">
        <v>9280</v>
      </c>
      <c r="B7728" s="1" t="str">
        <f>HYPERLINK("https://asmlis.vasa.lt/Dashboard/Served?ServiceDateFrom=2025-11-24&amp;ServiceDateTo=2025-11-24&amp;DumpsterInvNr=13-S-107410", "13-S-107410")</f>
        <v>13-S-107410</v>
      </c>
      <c r="C7728">
        <v>0.12</v>
      </c>
      <c r="D7728" t="s">
        <v>10624</v>
      </c>
      <c r="E7728" t="s">
        <v>11</v>
      </c>
      <c r="G7728" t="s">
        <v>1917</v>
      </c>
      <c r="H7728" t="s">
        <v>432</v>
      </c>
    </row>
    <row r="7729" spans="1:8" hidden="1" x14ac:dyDescent="0.25">
      <c r="A7729" t="s">
        <v>10444</v>
      </c>
      <c r="B7729" s="1" t="str">
        <f>HYPERLINK("https://asmlis.vasa.lt/Dashboard/Served?ServiceDateFrom=2025-11-24&amp;ServiceDateTo=2025-11-24&amp;DumpsterInvNr=13-M-200267", "13-M-200267")</f>
        <v>13-M-200267</v>
      </c>
      <c r="C7729">
        <v>0.12</v>
      </c>
      <c r="D7729" t="s">
        <v>10625</v>
      </c>
      <c r="E7729" t="s">
        <v>11</v>
      </c>
      <c r="F7729" t="s">
        <v>1209</v>
      </c>
      <c r="G7729" t="s">
        <v>4876</v>
      </c>
      <c r="H7729" t="s">
        <v>938</v>
      </c>
    </row>
    <row r="7730" spans="1:8" hidden="1" x14ac:dyDescent="0.25">
      <c r="A7730" t="s">
        <v>9841</v>
      </c>
      <c r="B7730" s="1" t="str">
        <f>HYPERLINK("https://asmlis.vasa.lt/Dashboard/Served?ServiceDateFrom=2025-11-24&amp;ServiceDateTo=2025-11-24&amp;DumpsterInvNr=13-P-110051", "13-P-110051")</f>
        <v>13-P-110051</v>
      </c>
      <c r="C7730">
        <v>0.12</v>
      </c>
      <c r="D7730" t="s">
        <v>10624</v>
      </c>
      <c r="E7730" t="s">
        <v>11</v>
      </c>
      <c r="G7730" t="s">
        <v>1917</v>
      </c>
      <c r="H7730" t="s">
        <v>432</v>
      </c>
    </row>
    <row r="7731" spans="1:8" hidden="1" x14ac:dyDescent="0.25">
      <c r="A7731" t="s">
        <v>10626</v>
      </c>
      <c r="B7731" s="1" t="str">
        <f>HYPERLINK("https://asmlis.vasa.lt/Dashboard/Served?ServiceDateFrom=2025-11-24&amp;ServiceDateTo=2025-11-24&amp;DumpsterInvNr=13-P-415219", "13-P-415219")</f>
        <v>13-P-415219</v>
      </c>
      <c r="C7731">
        <v>0.24</v>
      </c>
      <c r="D7731" t="s">
        <v>10627</v>
      </c>
      <c r="E7731" t="s">
        <v>11</v>
      </c>
      <c r="G7731" t="s">
        <v>264</v>
      </c>
      <c r="H7731" t="s">
        <v>14</v>
      </c>
    </row>
    <row r="7732" spans="1:8" hidden="1" x14ac:dyDescent="0.25">
      <c r="A7732" t="s">
        <v>10628</v>
      </c>
      <c r="B7732" s="1" t="str">
        <f>HYPERLINK("https://asmlis.vasa.lt/Dashboard/Served?ServiceDateFrom=2025-11-24&amp;ServiceDateTo=2025-11-24&amp;DumpsterInvNr=13-P-209643", "13-P-209643")</f>
        <v>13-P-209643</v>
      </c>
      <c r="C7732">
        <v>0.24</v>
      </c>
      <c r="D7732" t="s">
        <v>6589</v>
      </c>
      <c r="E7732" t="s">
        <v>11</v>
      </c>
      <c r="F7732" t="s">
        <v>1209</v>
      </c>
      <c r="G7732" t="s">
        <v>234</v>
      </c>
      <c r="H7732" t="s">
        <v>14</v>
      </c>
    </row>
    <row r="7733" spans="1:8" hidden="1" x14ac:dyDescent="0.25">
      <c r="A7733" t="s">
        <v>10629</v>
      </c>
      <c r="B7733" s="1" t="str">
        <f>HYPERLINK("https://asmlis.vasa.lt/Dashboard/Served?ServiceDateFrom=2025-11-24&amp;ServiceDateTo=2025-11-24&amp;DumpsterInvNr=13-L-424808", "13-L-424808")</f>
        <v>13-L-424808</v>
      </c>
      <c r="C7733">
        <v>1.1000000000000001</v>
      </c>
      <c r="D7733" t="s">
        <v>10611</v>
      </c>
      <c r="E7733" t="s">
        <v>11</v>
      </c>
      <c r="G7733" t="s">
        <v>74</v>
      </c>
      <c r="H7733" t="s">
        <v>14</v>
      </c>
    </row>
    <row r="7734" spans="1:8" hidden="1" x14ac:dyDescent="0.25">
      <c r="A7734" t="s">
        <v>10630</v>
      </c>
      <c r="B7734" s="1" t="str">
        <f>HYPERLINK("https://asmlis.vasa.lt/Dashboard/Served?ServiceDateFrom=2025-11-24&amp;ServiceDateTo=2025-11-24&amp;DumpsterInvNr=13-P-116456", "13-P-116456")</f>
        <v>13-P-116456</v>
      </c>
      <c r="C7734">
        <v>1.1000000000000001</v>
      </c>
      <c r="D7734" t="s">
        <v>10631</v>
      </c>
      <c r="E7734" t="s">
        <v>11</v>
      </c>
      <c r="G7734" t="s">
        <v>1917</v>
      </c>
      <c r="H7734" t="s">
        <v>432</v>
      </c>
    </row>
    <row r="7735" spans="1:8" hidden="1" x14ac:dyDescent="0.25">
      <c r="A7735" t="s">
        <v>10633</v>
      </c>
      <c r="B7735" s="1" t="str">
        <f>HYPERLINK("https://asmlis.vasa.lt/Dashboard/Served?ServiceDateFrom=2025-11-24&amp;ServiceDateTo=2025-11-24&amp;DumpsterInvNr=13-S-402636", "13-S-402636")</f>
        <v>13-S-402636</v>
      </c>
      <c r="C7735">
        <v>0.12</v>
      </c>
      <c r="D7735" t="s">
        <v>10634</v>
      </c>
      <c r="E7735" t="s">
        <v>11</v>
      </c>
      <c r="G7735" t="s">
        <v>264</v>
      </c>
      <c r="H7735" t="s">
        <v>14</v>
      </c>
    </row>
    <row r="7736" spans="1:8" hidden="1" x14ac:dyDescent="0.25">
      <c r="A7736" t="s">
        <v>10633</v>
      </c>
      <c r="B7736" s="1" t="str">
        <f>HYPERLINK("https://asmlis.vasa.lt/Dashboard/Served?ServiceDateFrom=2025-11-24&amp;ServiceDateTo=2025-11-24&amp;DumpsterInvNr=13-P-209810", "13-P-209810")</f>
        <v>13-P-209810</v>
      </c>
      <c r="C7736">
        <v>0.24</v>
      </c>
      <c r="D7736" t="s">
        <v>10635</v>
      </c>
      <c r="E7736" t="s">
        <v>11</v>
      </c>
      <c r="G7736" t="s">
        <v>234</v>
      </c>
      <c r="H7736" t="s">
        <v>14</v>
      </c>
    </row>
    <row r="7737" spans="1:8" hidden="1" x14ac:dyDescent="0.25">
      <c r="A7737" t="s">
        <v>10636</v>
      </c>
      <c r="B7737" s="1" t="str">
        <f>HYPERLINK("https://asmlis.vasa.lt/Dashboard/Served?ServiceDateFrom=2025-11-24&amp;ServiceDateTo=2025-11-24&amp;DumpsterInvNr=13-L-307135", "13-L-307135")</f>
        <v>13-L-307135</v>
      </c>
      <c r="C7737">
        <v>1.1000000000000001</v>
      </c>
      <c r="D7737" t="s">
        <v>6968</v>
      </c>
      <c r="E7737" t="s">
        <v>11</v>
      </c>
      <c r="F7737" t="s">
        <v>13</v>
      </c>
      <c r="G7737" t="s">
        <v>9</v>
      </c>
      <c r="H7737" t="s">
        <v>14</v>
      </c>
    </row>
    <row r="7738" spans="1:8" hidden="1" x14ac:dyDescent="0.25">
      <c r="A7738" t="s">
        <v>9355</v>
      </c>
      <c r="B7738" s="1" t="str">
        <f>HYPERLINK("https://asmlis.vasa.lt/Dashboard/Served?ServiceDateFrom=2025-11-24&amp;ServiceDateTo=2025-11-24&amp;DumpsterInvNr=13-M-200232", "13-M-200232")</f>
        <v>13-M-200232</v>
      </c>
      <c r="C7738">
        <v>0.12</v>
      </c>
      <c r="D7738" t="s">
        <v>10637</v>
      </c>
      <c r="E7738" t="s">
        <v>11</v>
      </c>
      <c r="G7738" t="s">
        <v>4876</v>
      </c>
      <c r="H7738" t="s">
        <v>938</v>
      </c>
    </row>
    <row r="7739" spans="1:8" hidden="1" x14ac:dyDescent="0.25">
      <c r="A7739" t="s">
        <v>10152</v>
      </c>
      <c r="B7739" s="1" t="str">
        <f>HYPERLINK("https://asmlis.vasa.lt/Dashboard/Served?ServiceDateFrom=2025-11-24&amp;ServiceDateTo=2025-11-24&amp;DumpsterInvNr=13-L-218834", "13-L-218834")</f>
        <v>13-L-218834</v>
      </c>
      <c r="C7739">
        <v>0.24</v>
      </c>
      <c r="D7739" t="s">
        <v>8097</v>
      </c>
      <c r="E7739" t="s">
        <v>11</v>
      </c>
      <c r="F7739" t="s">
        <v>13</v>
      </c>
      <c r="G7739" t="s">
        <v>936</v>
      </c>
      <c r="H7739" t="s">
        <v>938</v>
      </c>
    </row>
    <row r="7740" spans="1:8" hidden="1" x14ac:dyDescent="0.25">
      <c r="A7740" t="s">
        <v>10286</v>
      </c>
      <c r="B7740" s="1" t="str">
        <f>HYPERLINK("https://asmlis.vasa.lt/Dashboard/Served?ServiceDateFrom=2025-11-24&amp;ServiceDateTo=2025-11-24&amp;DumpsterInvNr=13-P-400501", "13-P-400501")</f>
        <v>13-P-400501</v>
      </c>
      <c r="C7740">
        <v>5</v>
      </c>
      <c r="D7740" t="s">
        <v>10638</v>
      </c>
      <c r="E7740" t="s">
        <v>11</v>
      </c>
      <c r="F7740" t="s">
        <v>13</v>
      </c>
      <c r="G7740" t="s">
        <v>264</v>
      </c>
      <c r="H7740" t="s">
        <v>14</v>
      </c>
    </row>
    <row r="7741" spans="1:8" hidden="1" x14ac:dyDescent="0.25">
      <c r="A7741" t="s">
        <v>10436</v>
      </c>
      <c r="B7741" s="1" t="str">
        <f>HYPERLINK("https://asmlis.vasa.lt/Dashboard/Served?ServiceDateFrom=2025-11-24&amp;ServiceDateTo=2025-11-24&amp;DumpsterInvNr=13-L-225259", "13-L-225259")</f>
        <v>13-L-225259</v>
      </c>
      <c r="C7741">
        <v>0.24</v>
      </c>
      <c r="D7741" t="s">
        <v>8296</v>
      </c>
      <c r="E7741" t="s">
        <v>11</v>
      </c>
      <c r="F7741" t="s">
        <v>13</v>
      </c>
      <c r="G7741" t="s">
        <v>936</v>
      </c>
      <c r="H7741" t="s">
        <v>938</v>
      </c>
    </row>
    <row r="7742" spans="1:8" hidden="1" x14ac:dyDescent="0.25">
      <c r="A7742" t="s">
        <v>10436</v>
      </c>
      <c r="B7742" s="1" t="str">
        <f>HYPERLINK("https://asmlis.vasa.lt/Dashboard/Served?ServiceDateFrom=2025-11-24&amp;ServiceDateTo=2025-11-24&amp;DumpsterInvNr=13-M-200274", "13-M-200274")</f>
        <v>13-M-200274</v>
      </c>
      <c r="C7742">
        <v>0.12</v>
      </c>
      <c r="D7742" t="s">
        <v>10637</v>
      </c>
      <c r="E7742" t="s">
        <v>11</v>
      </c>
      <c r="F7742" t="s">
        <v>1209</v>
      </c>
      <c r="G7742" t="s">
        <v>4876</v>
      </c>
      <c r="H7742" t="s">
        <v>938</v>
      </c>
    </row>
    <row r="7743" spans="1:8" hidden="1" x14ac:dyDescent="0.25">
      <c r="A7743" t="s">
        <v>10466</v>
      </c>
      <c r="B7743" s="1" t="str">
        <f>HYPERLINK("https://asmlis.vasa.lt/Dashboard/Served?ServiceDateFrom=2025-11-24&amp;ServiceDateTo=2025-11-24&amp;DumpsterInvNr=13-P-415224", "13-P-415224")</f>
        <v>13-P-415224</v>
      </c>
      <c r="C7743">
        <v>0.24</v>
      </c>
      <c r="D7743" t="s">
        <v>10634</v>
      </c>
      <c r="E7743" t="s">
        <v>11</v>
      </c>
      <c r="G7743" t="s">
        <v>264</v>
      </c>
      <c r="H7743" t="s">
        <v>14</v>
      </c>
    </row>
    <row r="7744" spans="1:8" hidden="1" x14ac:dyDescent="0.25">
      <c r="A7744" t="s">
        <v>10639</v>
      </c>
      <c r="B7744" s="1" t="str">
        <f>HYPERLINK("https://asmlis.vasa.lt/Dashboard/Served?ServiceDateFrom=2025-11-24&amp;ServiceDateTo=2025-11-24&amp;DumpsterInvNr=13-P-210806", "13-P-210806")</f>
        <v>13-P-210806</v>
      </c>
      <c r="C7744">
        <v>0.24</v>
      </c>
      <c r="D7744" t="s">
        <v>6516</v>
      </c>
      <c r="E7744" t="s">
        <v>11</v>
      </c>
      <c r="F7744" t="s">
        <v>1209</v>
      </c>
      <c r="G7744" t="s">
        <v>234</v>
      </c>
      <c r="H7744" t="s">
        <v>14</v>
      </c>
    </row>
    <row r="7745" spans="1:8" hidden="1" x14ac:dyDescent="0.25">
      <c r="A7745" t="s">
        <v>10641</v>
      </c>
      <c r="B7745" s="1" t="str">
        <f>HYPERLINK("https://asmlis.vasa.lt/Dashboard/Served?ServiceDateFrom=2025-11-24&amp;ServiceDateTo=2025-11-24&amp;DumpsterInvNr=13-S-402520", "13-S-402520")</f>
        <v>13-S-402520</v>
      </c>
      <c r="C7745">
        <v>0.12</v>
      </c>
      <c r="D7745" t="s">
        <v>10627</v>
      </c>
      <c r="E7745" t="s">
        <v>11</v>
      </c>
      <c r="G7745" t="s">
        <v>264</v>
      </c>
      <c r="H7745" t="s">
        <v>14</v>
      </c>
    </row>
    <row r="7746" spans="1:8" hidden="1" x14ac:dyDescent="0.25">
      <c r="A7746" t="s">
        <v>10642</v>
      </c>
      <c r="B7746" s="1" t="str">
        <f>HYPERLINK("https://asmlis.vasa.lt/Dashboard/Served?ServiceDateFrom=2025-11-24&amp;ServiceDateTo=2025-11-24&amp;DumpsterInvNr=13-P-203674", "13-P-203674")</f>
        <v>13-P-203674</v>
      </c>
      <c r="C7746">
        <v>0.24</v>
      </c>
      <c r="D7746" t="s">
        <v>6530</v>
      </c>
      <c r="E7746" t="s">
        <v>11</v>
      </c>
      <c r="G7746" t="s">
        <v>234</v>
      </c>
      <c r="H7746" t="s">
        <v>14</v>
      </c>
    </row>
    <row r="7747" spans="1:8" hidden="1" x14ac:dyDescent="0.25">
      <c r="A7747" t="s">
        <v>10643</v>
      </c>
      <c r="B7747" s="1" t="str">
        <f>HYPERLINK("https://asmlis.vasa.lt/Dashboard/Served?ServiceDateFrom=2025-11-24&amp;ServiceDateTo=2025-11-24&amp;DumpsterInvNr=13-L-203564", "13-L-203564")</f>
        <v>13-L-203564</v>
      </c>
      <c r="C7747">
        <v>0.24</v>
      </c>
      <c r="D7747" t="s">
        <v>8122</v>
      </c>
      <c r="E7747" t="s">
        <v>11</v>
      </c>
      <c r="G7747" t="s">
        <v>936</v>
      </c>
      <c r="H7747" t="s">
        <v>938</v>
      </c>
    </row>
    <row r="7748" spans="1:8" hidden="1" x14ac:dyDescent="0.25">
      <c r="A7748" t="s">
        <v>10643</v>
      </c>
      <c r="B7748" s="1" t="str">
        <f>HYPERLINK("https://asmlis.vasa.lt/Dashboard/Served?ServiceDateFrom=2025-11-24&amp;ServiceDateTo=2025-11-24&amp;DumpsterInvNr=13-P-303002", "13-P-303002")</f>
        <v>13-P-303002</v>
      </c>
      <c r="C7748">
        <v>0.24</v>
      </c>
      <c r="D7748" t="s">
        <v>3616</v>
      </c>
      <c r="E7748" t="s">
        <v>11</v>
      </c>
      <c r="G7748" t="s">
        <v>412</v>
      </c>
      <c r="H7748" t="s">
        <v>14</v>
      </c>
    </row>
    <row r="7749" spans="1:8" hidden="1" x14ac:dyDescent="0.25">
      <c r="A7749" t="s">
        <v>10643</v>
      </c>
      <c r="B7749" s="1" t="str">
        <f>HYPERLINK("https://asmlis.vasa.lt/Dashboard/Served?ServiceDateFrom=2025-11-24&amp;ServiceDateTo=2025-11-24&amp;DumpsterInvNr=13-P-405425", "13-P-405425")</f>
        <v>13-P-405425</v>
      </c>
      <c r="C7749">
        <v>5</v>
      </c>
      <c r="D7749" t="s">
        <v>10644</v>
      </c>
      <c r="E7749" t="s">
        <v>11</v>
      </c>
      <c r="F7749" t="s">
        <v>13</v>
      </c>
      <c r="G7749" t="s">
        <v>264</v>
      </c>
      <c r="H7749" t="s">
        <v>14</v>
      </c>
    </row>
    <row r="7750" spans="1:8" hidden="1" x14ac:dyDescent="0.25">
      <c r="A7750" t="s">
        <v>10645</v>
      </c>
      <c r="B7750" s="1" t="str">
        <f>HYPERLINK("https://asmlis.vasa.lt/Dashboard/Served?ServiceDateFrom=2025-11-24&amp;ServiceDateTo=2025-11-24&amp;DumpsterInvNr=13-M-200249", "13-M-200249")</f>
        <v>13-M-200249</v>
      </c>
      <c r="C7750">
        <v>0.12</v>
      </c>
      <c r="D7750" t="s">
        <v>10646</v>
      </c>
      <c r="E7750" t="s">
        <v>11</v>
      </c>
      <c r="F7750" t="s">
        <v>1209</v>
      </c>
      <c r="G7750" t="s">
        <v>4876</v>
      </c>
      <c r="H7750" t="s">
        <v>938</v>
      </c>
    </row>
    <row r="7751" spans="1:8" hidden="1" x14ac:dyDescent="0.25">
      <c r="A7751" t="s">
        <v>10647</v>
      </c>
      <c r="B7751" s="1" t="str">
        <f>HYPERLINK("https://asmlis.vasa.lt/Dashboard/Served?ServiceDateFrom=2025-11-24&amp;ServiceDateTo=2025-11-24&amp;DumpsterInvNr=13-L-317147", "13-L-317147")</f>
        <v>13-L-317147</v>
      </c>
      <c r="C7751">
        <v>5</v>
      </c>
      <c r="D7751" t="s">
        <v>1051</v>
      </c>
      <c r="E7751" t="s">
        <v>11</v>
      </c>
      <c r="F7751" t="s">
        <v>13</v>
      </c>
      <c r="G7751" t="s">
        <v>9</v>
      </c>
      <c r="H7751" t="s">
        <v>14</v>
      </c>
    </row>
    <row r="7752" spans="1:8" hidden="1" x14ac:dyDescent="0.25">
      <c r="A7752" t="s">
        <v>10647</v>
      </c>
      <c r="B7752" s="1" t="str">
        <f>HYPERLINK("https://asmlis.vasa.lt/Dashboard/Served?ServiceDateFrom=2025-11-24&amp;ServiceDateTo=2025-11-24&amp;DumpsterInvNr=13-L-314805", "13-L-314805")</f>
        <v>13-L-314805</v>
      </c>
      <c r="C7752">
        <v>5</v>
      </c>
      <c r="D7752" t="s">
        <v>1051</v>
      </c>
      <c r="E7752" t="s">
        <v>11</v>
      </c>
      <c r="F7752" t="s">
        <v>13</v>
      </c>
      <c r="G7752" t="s">
        <v>9</v>
      </c>
      <c r="H7752" t="s">
        <v>14</v>
      </c>
    </row>
    <row r="7753" spans="1:8" hidden="1" x14ac:dyDescent="0.25">
      <c r="A7753" t="s">
        <v>10649</v>
      </c>
      <c r="B7753" s="1" t="str">
        <f>HYPERLINK("https://asmlis.vasa.lt/Dashboard/Served?ServiceDateFrom=2025-11-24&amp;ServiceDateTo=2025-11-24&amp;DumpsterInvNr=13-L-140379", "13-L-140379")</f>
        <v>13-L-140379</v>
      </c>
      <c r="C7753">
        <v>0.24</v>
      </c>
      <c r="D7753" t="s">
        <v>10650</v>
      </c>
      <c r="E7753" t="s">
        <v>11</v>
      </c>
      <c r="G7753" t="s">
        <v>1912</v>
      </c>
      <c r="H7753" t="s">
        <v>432</v>
      </c>
    </row>
    <row r="7754" spans="1:8" hidden="1" x14ac:dyDescent="0.25">
      <c r="A7754" t="s">
        <v>10651</v>
      </c>
      <c r="B7754" s="1" t="str">
        <f>HYPERLINK("https://asmlis.vasa.lt/Dashboard/Served?ServiceDateFrom=2025-11-24&amp;ServiceDateTo=2025-11-24&amp;DumpsterInvNr=13-L-408881", "13-L-408881")</f>
        <v>13-L-408881</v>
      </c>
      <c r="C7754">
        <v>0.12</v>
      </c>
      <c r="D7754" t="s">
        <v>10652</v>
      </c>
      <c r="E7754" t="s">
        <v>11</v>
      </c>
      <c r="G7754" t="s">
        <v>74</v>
      </c>
      <c r="H7754" t="s">
        <v>14</v>
      </c>
    </row>
    <row r="7755" spans="1:8" hidden="1" x14ac:dyDescent="0.25">
      <c r="A7755" t="s">
        <v>10653</v>
      </c>
      <c r="B7755" s="1" t="str">
        <f>HYPERLINK("https://asmlis.vasa.lt/Dashboard/Served?ServiceDateFrom=2025-11-24&amp;ServiceDateTo=2025-11-24&amp;DumpsterInvNr=13-P-209645", "13-P-209645")</f>
        <v>13-P-209645</v>
      </c>
      <c r="C7755">
        <v>0.24</v>
      </c>
      <c r="D7755" t="s">
        <v>6510</v>
      </c>
      <c r="E7755" t="s">
        <v>11</v>
      </c>
      <c r="F7755" t="s">
        <v>1209</v>
      </c>
      <c r="G7755" t="s">
        <v>234</v>
      </c>
      <c r="H7755" t="s">
        <v>14</v>
      </c>
    </row>
    <row r="7756" spans="1:8" hidden="1" x14ac:dyDescent="0.25">
      <c r="A7756" t="s">
        <v>10653</v>
      </c>
      <c r="B7756" s="1" t="str">
        <f>HYPERLINK("https://asmlis.vasa.lt/Dashboard/Served?ServiceDateFrom=2025-11-24&amp;ServiceDateTo=2025-11-24&amp;DumpsterInvNr=13-P-415941", "13-P-415941")</f>
        <v>13-P-415941</v>
      </c>
      <c r="C7756">
        <v>5</v>
      </c>
      <c r="D7756" t="s">
        <v>10654</v>
      </c>
      <c r="E7756" t="s">
        <v>11</v>
      </c>
      <c r="G7756" t="s">
        <v>264</v>
      </c>
      <c r="H7756" t="s">
        <v>14</v>
      </c>
    </row>
    <row r="7757" spans="1:8" hidden="1" x14ac:dyDescent="0.25">
      <c r="A7757" t="s">
        <v>10655</v>
      </c>
      <c r="B7757" s="1" t="str">
        <f>HYPERLINK("https://asmlis.vasa.lt/Dashboard/Served?ServiceDateFrom=2025-11-24&amp;ServiceDateTo=2025-11-24&amp;DumpsterInvNr=13-P-113028", "13-P-113028")</f>
        <v>13-P-113028</v>
      </c>
      <c r="C7757">
        <v>0.24</v>
      </c>
      <c r="D7757" t="s">
        <v>10650</v>
      </c>
      <c r="E7757" t="s">
        <v>11</v>
      </c>
      <c r="G7757" t="s">
        <v>1917</v>
      </c>
      <c r="H7757" t="s">
        <v>432</v>
      </c>
    </row>
    <row r="7758" spans="1:8" hidden="1" x14ac:dyDescent="0.25">
      <c r="A7758" t="s">
        <v>10656</v>
      </c>
      <c r="B7758" s="1" t="str">
        <f>HYPERLINK("https://asmlis.vasa.lt/Dashboard/Served?ServiceDateFrom=2025-11-24&amp;ServiceDateTo=2025-11-24&amp;DumpsterInvNr=13-L-216708", "13-L-216708")</f>
        <v>13-L-216708</v>
      </c>
      <c r="C7758">
        <v>1.1000000000000001</v>
      </c>
      <c r="D7758" t="s">
        <v>10657</v>
      </c>
      <c r="E7758" t="s">
        <v>11</v>
      </c>
      <c r="G7758" t="s">
        <v>936</v>
      </c>
      <c r="H7758" t="s">
        <v>938</v>
      </c>
    </row>
    <row r="7759" spans="1:8" hidden="1" x14ac:dyDescent="0.25">
      <c r="A7759" t="s">
        <v>10656</v>
      </c>
      <c r="B7759" s="1" t="str">
        <f>HYPERLINK("https://asmlis.vasa.lt/Dashboard/Served?ServiceDateFrom=2025-11-24&amp;ServiceDateTo=2025-11-24&amp;DumpsterInvNr=13-L-148120", "13-L-148120")</f>
        <v>13-L-148120</v>
      </c>
      <c r="C7759">
        <v>1.1000000000000001</v>
      </c>
      <c r="D7759" t="s">
        <v>10658</v>
      </c>
      <c r="E7759" t="s">
        <v>11</v>
      </c>
      <c r="G7759" t="s">
        <v>430</v>
      </c>
      <c r="H7759" t="s">
        <v>432</v>
      </c>
    </row>
    <row r="7760" spans="1:8" hidden="1" x14ac:dyDescent="0.25">
      <c r="A7760" t="s">
        <v>10659</v>
      </c>
      <c r="B7760" s="1" t="str">
        <f>HYPERLINK("https://asmlis.vasa.lt/Dashboard/Served?ServiceDateFrom=2025-11-24&amp;ServiceDateTo=2025-11-24&amp;DumpsterInvNr=13-S-108081", "13-S-108081")</f>
        <v>13-S-108081</v>
      </c>
      <c r="C7760">
        <v>0.12</v>
      </c>
      <c r="D7760" t="s">
        <v>10650</v>
      </c>
      <c r="E7760" t="s">
        <v>11</v>
      </c>
      <c r="F7760" t="s">
        <v>1209</v>
      </c>
      <c r="G7760" t="s">
        <v>1917</v>
      </c>
      <c r="H7760" t="s">
        <v>432</v>
      </c>
    </row>
    <row r="7761" spans="1:8" hidden="1" x14ac:dyDescent="0.25">
      <c r="A7761" t="s">
        <v>10661</v>
      </c>
      <c r="B7761" s="1" t="str">
        <f>HYPERLINK("https://asmlis.vasa.lt/Dashboard/Served?ServiceDateFrom=2025-11-24&amp;ServiceDateTo=2025-11-24&amp;DumpsterInvNr=13-P-209808", "13-P-209808")</f>
        <v>13-P-209808</v>
      </c>
      <c r="C7761">
        <v>0.24</v>
      </c>
      <c r="D7761" t="s">
        <v>6498</v>
      </c>
      <c r="E7761" t="s">
        <v>11</v>
      </c>
      <c r="G7761" t="s">
        <v>234</v>
      </c>
      <c r="H7761" t="s">
        <v>14</v>
      </c>
    </row>
    <row r="7762" spans="1:8" hidden="1" x14ac:dyDescent="0.25">
      <c r="A7762" t="s">
        <v>10661</v>
      </c>
      <c r="B7762" s="1" t="str">
        <f>HYPERLINK("https://asmlis.vasa.lt/Dashboard/Served?ServiceDateFrom=2025-11-24&amp;ServiceDateTo=2025-11-24&amp;DumpsterInvNr=13-P-205438", "13-P-205438")</f>
        <v>13-P-205438</v>
      </c>
      <c r="C7762">
        <v>0.24</v>
      </c>
      <c r="D7762" t="s">
        <v>10662</v>
      </c>
      <c r="E7762" t="s">
        <v>11</v>
      </c>
      <c r="G7762" t="s">
        <v>234</v>
      </c>
      <c r="H7762" t="s">
        <v>14</v>
      </c>
    </row>
    <row r="7763" spans="1:8" hidden="1" x14ac:dyDescent="0.25">
      <c r="A7763" t="s">
        <v>10471</v>
      </c>
      <c r="B7763" s="1" t="str">
        <f>HYPERLINK("https://asmlis.vasa.lt/Dashboard/Served?ServiceDateFrom=2025-11-24&amp;ServiceDateTo=2025-11-24&amp;DumpsterInvNr=13-L-219356", "13-L-219356")</f>
        <v>13-L-219356</v>
      </c>
      <c r="C7763">
        <v>0.12</v>
      </c>
      <c r="D7763" t="s">
        <v>8145</v>
      </c>
      <c r="E7763" t="s">
        <v>11</v>
      </c>
      <c r="G7763" t="s">
        <v>936</v>
      </c>
      <c r="H7763" t="s">
        <v>938</v>
      </c>
    </row>
    <row r="7764" spans="1:8" hidden="1" x14ac:dyDescent="0.25">
      <c r="A7764" t="s">
        <v>10551</v>
      </c>
      <c r="B7764" s="1" t="str">
        <f>HYPERLINK("https://asmlis.vasa.lt/Dashboard/Served?ServiceDateFrom=2025-11-24&amp;ServiceDateTo=2025-11-24&amp;DumpsterInvNr=13-S-206531", "13-S-206531")</f>
        <v>13-S-206531</v>
      </c>
      <c r="C7764">
        <v>0.12</v>
      </c>
      <c r="D7764" t="s">
        <v>10662</v>
      </c>
      <c r="E7764" t="s">
        <v>11</v>
      </c>
      <c r="F7764" t="s">
        <v>1209</v>
      </c>
      <c r="G7764" t="s">
        <v>234</v>
      </c>
      <c r="H7764" t="s">
        <v>14</v>
      </c>
    </row>
    <row r="7765" spans="1:8" hidden="1" x14ac:dyDescent="0.25">
      <c r="A7765" t="s">
        <v>10563</v>
      </c>
      <c r="B7765" s="1" t="str">
        <f>HYPERLINK("https://asmlis.vasa.lt/Dashboard/Served?ServiceDateFrom=2025-11-24&amp;ServiceDateTo=2025-11-24&amp;DumpsterInvNr=13-L-408882", "13-L-408882")</f>
        <v>13-L-408882</v>
      </c>
      <c r="C7765">
        <v>0.24</v>
      </c>
      <c r="D7765" t="s">
        <v>10663</v>
      </c>
      <c r="E7765" t="s">
        <v>11</v>
      </c>
      <c r="G7765" t="s">
        <v>74</v>
      </c>
      <c r="H7765" t="s">
        <v>14</v>
      </c>
    </row>
    <row r="7766" spans="1:8" hidden="1" x14ac:dyDescent="0.25">
      <c r="A7766" t="s">
        <v>10563</v>
      </c>
      <c r="B7766" s="1" t="str">
        <f>HYPERLINK("https://asmlis.vasa.lt/Dashboard/Served?ServiceDateFrom=2025-11-24&amp;ServiceDateTo=2025-11-24&amp;DumpsterInvNr=13-L-422505", "13-L-422505")</f>
        <v>13-L-422505</v>
      </c>
      <c r="C7766">
        <v>0.12</v>
      </c>
      <c r="D7766" t="s">
        <v>10664</v>
      </c>
      <c r="E7766" t="s">
        <v>11</v>
      </c>
      <c r="G7766" t="s">
        <v>74</v>
      </c>
      <c r="H7766" t="s">
        <v>14</v>
      </c>
    </row>
    <row r="7767" spans="1:8" hidden="1" x14ac:dyDescent="0.25">
      <c r="A7767" t="s">
        <v>10665</v>
      </c>
      <c r="B7767" s="1" t="str">
        <f>HYPERLINK("https://asmlis.vasa.lt/Dashboard/Served?ServiceDateFrom=2025-11-24&amp;ServiceDateTo=2025-11-24&amp;DumpsterInvNr=13-M-200137", "13-M-200137")</f>
        <v>13-M-200137</v>
      </c>
      <c r="C7767">
        <v>0.12</v>
      </c>
      <c r="D7767" t="s">
        <v>10666</v>
      </c>
      <c r="E7767" t="s">
        <v>11</v>
      </c>
      <c r="G7767" t="s">
        <v>4876</v>
      </c>
      <c r="H7767" t="s">
        <v>938</v>
      </c>
    </row>
    <row r="7768" spans="1:8" hidden="1" x14ac:dyDescent="0.25">
      <c r="A7768" t="s">
        <v>10565</v>
      </c>
      <c r="B7768" s="1" t="str">
        <f>HYPERLINK("https://asmlis.vasa.lt/Dashboard/Served?ServiceDateFrom=2025-11-24&amp;ServiceDateTo=2025-11-24&amp;DumpsterInvNr=13-L-216707", "13-L-216707")</f>
        <v>13-L-216707</v>
      </c>
      <c r="C7768">
        <v>1.1000000000000001</v>
      </c>
      <c r="D7768" t="s">
        <v>10657</v>
      </c>
      <c r="E7768" t="s">
        <v>11</v>
      </c>
      <c r="G7768" t="s">
        <v>936</v>
      </c>
      <c r="H7768" t="s">
        <v>938</v>
      </c>
    </row>
    <row r="7769" spans="1:8" hidden="1" x14ac:dyDescent="0.25">
      <c r="A7769" t="s">
        <v>10667</v>
      </c>
      <c r="B7769" s="1" t="str">
        <f>HYPERLINK("https://asmlis.vasa.lt/Dashboard/Served?ServiceDateFrom=2025-11-24&amp;ServiceDateTo=2025-11-24&amp;DumpsterInvNr=13-P-208019", "13-P-208019")</f>
        <v>13-P-208019</v>
      </c>
      <c r="C7769">
        <v>1.1000000000000001</v>
      </c>
      <c r="D7769" t="s">
        <v>10668</v>
      </c>
      <c r="E7769" t="s">
        <v>11</v>
      </c>
      <c r="G7769" t="s">
        <v>234</v>
      </c>
      <c r="H7769" t="s">
        <v>14</v>
      </c>
    </row>
    <row r="7770" spans="1:8" hidden="1" x14ac:dyDescent="0.25">
      <c r="A7770" t="s">
        <v>10669</v>
      </c>
      <c r="B7770" s="1" t="str">
        <f>HYPERLINK("https://asmlis.vasa.lt/Dashboard/Served?ServiceDateFrom=2025-11-24&amp;ServiceDateTo=2025-11-24&amp;DumpsterInvNr=13-L-148121", "13-L-148121")</f>
        <v>13-L-148121</v>
      </c>
      <c r="C7770">
        <v>1.1000000000000001</v>
      </c>
      <c r="D7770" t="s">
        <v>10658</v>
      </c>
      <c r="E7770" t="s">
        <v>11</v>
      </c>
      <c r="G7770" t="s">
        <v>430</v>
      </c>
      <c r="H7770" t="s">
        <v>432</v>
      </c>
    </row>
    <row r="7771" spans="1:8" hidden="1" x14ac:dyDescent="0.25">
      <c r="A7771" t="s">
        <v>10670</v>
      </c>
      <c r="B7771" s="1" t="str">
        <f>HYPERLINK("https://asmlis.vasa.lt/Dashboard/Served?ServiceDateFrom=2025-11-24&amp;ServiceDateTo=2025-11-24&amp;DumpsterInvNr=13-L-224962", "13-L-224962")</f>
        <v>13-L-224962</v>
      </c>
      <c r="C7771">
        <v>1.1000000000000001</v>
      </c>
      <c r="D7771" t="s">
        <v>10657</v>
      </c>
      <c r="E7771" t="s">
        <v>11</v>
      </c>
      <c r="G7771" t="s">
        <v>936</v>
      </c>
      <c r="H7771" t="s">
        <v>938</v>
      </c>
    </row>
    <row r="7772" spans="1:8" hidden="1" x14ac:dyDescent="0.25">
      <c r="A7772" t="s">
        <v>10671</v>
      </c>
      <c r="B7772" s="1" t="str">
        <f>HYPERLINK("https://asmlis.vasa.lt/Dashboard/Served?ServiceDateFrom=2025-11-24&amp;ServiceDateTo=2025-11-24&amp;DumpsterInvNr=13-L-203562", "13-L-203562")</f>
        <v>13-L-203562</v>
      </c>
      <c r="C7772">
        <v>0.24</v>
      </c>
      <c r="D7772" t="s">
        <v>8161</v>
      </c>
      <c r="E7772" t="s">
        <v>11</v>
      </c>
      <c r="G7772" t="s">
        <v>936</v>
      </c>
      <c r="H7772" t="s">
        <v>938</v>
      </c>
    </row>
    <row r="7773" spans="1:8" hidden="1" x14ac:dyDescent="0.25">
      <c r="A7773" t="s">
        <v>10672</v>
      </c>
      <c r="B7773" s="1" t="str">
        <f>HYPERLINK("https://asmlis.vasa.lt/Dashboard/Served?ServiceDateFrom=2025-11-24&amp;ServiceDateTo=2025-11-24&amp;DumpsterInvNr=13-P-402441", "13-P-402441")</f>
        <v>13-P-402441</v>
      </c>
      <c r="C7773">
        <v>0.24</v>
      </c>
      <c r="D7773" t="s">
        <v>2780</v>
      </c>
      <c r="E7773" t="s">
        <v>11</v>
      </c>
      <c r="G7773" t="s">
        <v>264</v>
      </c>
      <c r="H7773" t="s">
        <v>14</v>
      </c>
    </row>
    <row r="7774" spans="1:8" hidden="1" x14ac:dyDescent="0.25">
      <c r="A7774" t="s">
        <v>10673</v>
      </c>
      <c r="B7774" s="1" t="str">
        <f>HYPERLINK("https://asmlis.vasa.lt/Dashboard/Served?ServiceDateFrom=2025-11-24&amp;ServiceDateTo=2025-11-24&amp;DumpsterInvNr=13-L-414690", "13-L-414690")</f>
        <v>13-L-414690</v>
      </c>
      <c r="C7774">
        <v>1.1000000000000001</v>
      </c>
      <c r="D7774" t="s">
        <v>10674</v>
      </c>
      <c r="E7774" t="s">
        <v>11</v>
      </c>
      <c r="G7774" t="s">
        <v>74</v>
      </c>
      <c r="H7774" t="s">
        <v>14</v>
      </c>
    </row>
    <row r="7775" spans="1:8" hidden="1" x14ac:dyDescent="0.25">
      <c r="A7775" t="s">
        <v>10675</v>
      </c>
      <c r="B7775" s="1" t="str">
        <f>HYPERLINK("https://asmlis.vasa.lt/Dashboard/Served?ServiceDateFrom=2025-11-24&amp;ServiceDateTo=2025-11-24&amp;DumpsterInvNr=13-L-422669", "13-L-422669")</f>
        <v>13-L-422669</v>
      </c>
      <c r="C7775">
        <v>0.24</v>
      </c>
      <c r="D7775" t="s">
        <v>10676</v>
      </c>
      <c r="E7775" t="s">
        <v>11</v>
      </c>
      <c r="G7775" t="s">
        <v>74</v>
      </c>
      <c r="H7775" t="s">
        <v>14</v>
      </c>
    </row>
    <row r="7776" spans="1:8" hidden="1" x14ac:dyDescent="0.25">
      <c r="A7776" t="s">
        <v>10675</v>
      </c>
      <c r="B7776" s="1" t="str">
        <f>HYPERLINK("https://asmlis.vasa.lt/Dashboard/Served?ServiceDateFrom=2025-11-24&amp;ServiceDateTo=2025-11-24&amp;DumpsterInvNr=13-L-408878", "13-L-408878")</f>
        <v>13-L-408878</v>
      </c>
      <c r="C7776">
        <v>0.12</v>
      </c>
      <c r="D7776" t="s">
        <v>10677</v>
      </c>
      <c r="E7776" t="s">
        <v>11</v>
      </c>
      <c r="G7776" t="s">
        <v>74</v>
      </c>
      <c r="H7776" t="s">
        <v>14</v>
      </c>
    </row>
    <row r="7777" spans="1:8" hidden="1" x14ac:dyDescent="0.25">
      <c r="A7777" t="s">
        <v>10678</v>
      </c>
      <c r="B7777" s="1" t="str">
        <f>HYPERLINK("https://asmlis.vasa.lt/Dashboard/Served?ServiceDateFrom=2025-11-24&amp;ServiceDateTo=2025-11-24&amp;DumpsterInvNr=13-P-413700", "13-P-413700")</f>
        <v>13-P-413700</v>
      </c>
      <c r="C7777">
        <v>0.24</v>
      </c>
      <c r="D7777" t="s">
        <v>2822</v>
      </c>
      <c r="E7777" t="s">
        <v>11</v>
      </c>
      <c r="G7777" t="s">
        <v>264</v>
      </c>
      <c r="H7777" t="s">
        <v>14</v>
      </c>
    </row>
    <row r="7778" spans="1:8" hidden="1" x14ac:dyDescent="0.25">
      <c r="A7778" t="s">
        <v>10678</v>
      </c>
      <c r="B7778" s="1" t="str">
        <f>HYPERLINK("https://asmlis.vasa.lt/Dashboard/Served?ServiceDateFrom=2025-11-24&amp;ServiceDateTo=2025-11-24&amp;DumpsterInvNr=13-L-117232", "13-L-117232")</f>
        <v>13-L-117232</v>
      </c>
      <c r="C7778">
        <v>0.24</v>
      </c>
      <c r="D7778" t="s">
        <v>10679</v>
      </c>
      <c r="E7778" t="s">
        <v>11</v>
      </c>
      <c r="G7778" t="s">
        <v>1912</v>
      </c>
      <c r="H7778" t="s">
        <v>432</v>
      </c>
    </row>
    <row r="7779" spans="1:8" hidden="1" x14ac:dyDescent="0.25">
      <c r="A7779" t="s">
        <v>10678</v>
      </c>
      <c r="B7779" s="1" t="str">
        <f>HYPERLINK("https://asmlis.vasa.lt/Dashboard/Served?ServiceDateFrom=2025-11-24&amp;ServiceDateTo=2025-11-24&amp;DumpsterInvNr=13-P-100029", "13-P-100029")</f>
        <v>13-P-100029</v>
      </c>
      <c r="C7779">
        <v>0.24</v>
      </c>
      <c r="D7779" t="s">
        <v>10679</v>
      </c>
      <c r="E7779" t="s">
        <v>11</v>
      </c>
      <c r="G7779" t="s">
        <v>1917</v>
      </c>
      <c r="H7779" t="s">
        <v>432</v>
      </c>
    </row>
    <row r="7780" spans="1:8" hidden="1" x14ac:dyDescent="0.25">
      <c r="A7780" t="s">
        <v>10680</v>
      </c>
      <c r="B7780" s="1" t="str">
        <f>HYPERLINK("https://asmlis.vasa.lt/Dashboard/Served?ServiceDateFrom=2025-11-24&amp;ServiceDateTo=2025-11-24&amp;DumpsterInvNr=13-L-149104", "13-L-149104")</f>
        <v>13-L-149104</v>
      </c>
      <c r="C7780">
        <v>1.1000000000000001</v>
      </c>
      <c r="D7780" t="s">
        <v>10658</v>
      </c>
      <c r="E7780" t="s">
        <v>11</v>
      </c>
      <c r="G7780" t="s">
        <v>430</v>
      </c>
      <c r="H7780" t="s">
        <v>432</v>
      </c>
    </row>
    <row r="7781" spans="1:8" hidden="1" x14ac:dyDescent="0.25">
      <c r="A7781" t="s">
        <v>10681</v>
      </c>
      <c r="B7781" s="1" t="str">
        <f>HYPERLINK("https://asmlis.vasa.lt/Dashboard/Served?ServiceDateFrom=2025-11-24&amp;ServiceDateTo=2025-11-24&amp;DumpsterInvNr=13-P-415806", "13-P-415806")</f>
        <v>13-P-415806</v>
      </c>
      <c r="C7781">
        <v>1.1000000000000001</v>
      </c>
      <c r="D7781" t="s">
        <v>1454</v>
      </c>
      <c r="E7781" t="s">
        <v>11</v>
      </c>
      <c r="G7781" t="s">
        <v>264</v>
      </c>
      <c r="H7781" t="s">
        <v>14</v>
      </c>
    </row>
    <row r="7782" spans="1:8" hidden="1" x14ac:dyDescent="0.25">
      <c r="A7782" t="s">
        <v>10682</v>
      </c>
      <c r="B7782" s="1" t="str">
        <f>HYPERLINK("https://asmlis.vasa.lt/Dashboard/Served?ServiceDateFrom=2025-11-24&amp;ServiceDateTo=2025-11-24&amp;DumpsterInvNr=13-L-408877", "13-L-408877")</f>
        <v>13-L-408877</v>
      </c>
      <c r="C7782">
        <v>0.24</v>
      </c>
      <c r="D7782" t="s">
        <v>10683</v>
      </c>
      <c r="E7782" t="s">
        <v>11</v>
      </c>
      <c r="G7782" t="s">
        <v>74</v>
      </c>
      <c r="H7782" t="s">
        <v>14</v>
      </c>
    </row>
    <row r="7783" spans="1:8" hidden="1" x14ac:dyDescent="0.25">
      <c r="A7783" t="s">
        <v>10684</v>
      </c>
      <c r="B7783" s="1" t="str">
        <f>HYPERLINK("https://asmlis.vasa.lt/Dashboard/Served?ServiceDateFrom=2025-11-24&amp;ServiceDateTo=2025-11-24&amp;DumpsterInvNr=13-L-408880", "13-L-408880")</f>
        <v>13-L-408880</v>
      </c>
      <c r="C7783">
        <v>0.12</v>
      </c>
      <c r="D7783" t="s">
        <v>10685</v>
      </c>
      <c r="E7783" t="s">
        <v>11</v>
      </c>
      <c r="F7783" t="s">
        <v>1209</v>
      </c>
      <c r="G7783" t="s">
        <v>74</v>
      </c>
      <c r="H7783" t="s">
        <v>14</v>
      </c>
    </row>
    <row r="7784" spans="1:8" hidden="1" x14ac:dyDescent="0.25">
      <c r="A7784" t="s">
        <v>10686</v>
      </c>
      <c r="B7784" s="1" t="str">
        <f>HYPERLINK("https://asmlis.vasa.lt/Dashboard/Served?ServiceDateFrom=2025-11-24&amp;ServiceDateTo=2025-11-24&amp;DumpsterInvNr=13-L-224329", "13-L-224329")</f>
        <v>13-L-224329</v>
      </c>
      <c r="C7784">
        <v>1.1000000000000001</v>
      </c>
      <c r="D7784" t="s">
        <v>10657</v>
      </c>
      <c r="E7784" t="s">
        <v>11</v>
      </c>
      <c r="F7784" t="s">
        <v>13</v>
      </c>
      <c r="G7784" t="s">
        <v>936</v>
      </c>
      <c r="H7784" t="s">
        <v>938</v>
      </c>
    </row>
    <row r="7785" spans="1:8" hidden="1" x14ac:dyDescent="0.25">
      <c r="A7785" t="s">
        <v>10686</v>
      </c>
      <c r="B7785" s="1" t="str">
        <f>HYPERLINK("https://asmlis.vasa.lt/Dashboard/Served?ServiceDateFrom=2025-11-24&amp;ServiceDateTo=2025-11-24&amp;DumpsterInvNr=13-L-143396", "13-L-143396")</f>
        <v>13-L-143396</v>
      </c>
      <c r="C7785">
        <v>5</v>
      </c>
      <c r="D7785" t="s">
        <v>10687</v>
      </c>
      <c r="E7785" t="s">
        <v>11</v>
      </c>
      <c r="F7785" t="s">
        <v>13</v>
      </c>
      <c r="G7785" t="s">
        <v>430</v>
      </c>
      <c r="H7785" t="s">
        <v>432</v>
      </c>
    </row>
    <row r="7786" spans="1:8" hidden="1" x14ac:dyDescent="0.25">
      <c r="A7786" t="s">
        <v>10688</v>
      </c>
      <c r="B7786" s="1" t="str">
        <f>HYPERLINK("https://asmlis.vasa.lt/Dashboard/Served?ServiceDateFrom=2025-11-24&amp;ServiceDateTo=2025-11-24&amp;DumpsterInvNr=13-S-404860", "13-S-404860")</f>
        <v>13-S-404860</v>
      </c>
      <c r="C7786">
        <v>0.12</v>
      </c>
      <c r="D7786" t="s">
        <v>10689</v>
      </c>
      <c r="E7786" t="s">
        <v>11</v>
      </c>
      <c r="G7786" t="s">
        <v>264</v>
      </c>
      <c r="H7786" t="s">
        <v>14</v>
      </c>
    </row>
    <row r="7787" spans="1:8" hidden="1" x14ac:dyDescent="0.25">
      <c r="A7787" t="s">
        <v>10688</v>
      </c>
      <c r="B7787" s="1" t="str">
        <f>HYPERLINK("https://asmlis.vasa.lt/Dashboard/Served?ServiceDateFrom=2025-11-24&amp;ServiceDateTo=2025-11-24&amp;DumpsterInvNr=13-P-415266", "13-P-415266")</f>
        <v>13-P-415266</v>
      </c>
      <c r="C7787">
        <v>0.24</v>
      </c>
      <c r="D7787" t="s">
        <v>10689</v>
      </c>
      <c r="E7787" t="s">
        <v>11</v>
      </c>
      <c r="G7787" t="s">
        <v>264</v>
      </c>
      <c r="H7787" t="s">
        <v>14</v>
      </c>
    </row>
    <row r="7788" spans="1:8" hidden="1" x14ac:dyDescent="0.25">
      <c r="A7788" t="s">
        <v>10690</v>
      </c>
      <c r="B7788" s="1" t="str">
        <f>HYPERLINK("https://asmlis.vasa.lt/Dashboard/Served?ServiceDateFrom=2025-11-24&amp;ServiceDateTo=2025-11-24&amp;DumpsterInvNr=13-M-205555", "13-M-205555")</f>
        <v>13-M-205555</v>
      </c>
      <c r="C7788">
        <v>0.12</v>
      </c>
      <c r="D7788" t="s">
        <v>10691</v>
      </c>
      <c r="E7788" t="s">
        <v>11</v>
      </c>
      <c r="F7788" t="s">
        <v>1209</v>
      </c>
      <c r="G7788" t="s">
        <v>4876</v>
      </c>
      <c r="H7788" t="s">
        <v>938</v>
      </c>
    </row>
    <row r="7789" spans="1:8" hidden="1" x14ac:dyDescent="0.25">
      <c r="A7789" t="s">
        <v>10692</v>
      </c>
      <c r="B7789" s="1" t="str">
        <f>HYPERLINK("https://asmlis.vasa.lt/Dashboard/Served?ServiceDateFrom=2025-11-24&amp;ServiceDateTo=2025-11-24&amp;DumpsterInvNr=13-M-200292", "13-M-200292")</f>
        <v>13-M-200292</v>
      </c>
      <c r="C7789">
        <v>0.12</v>
      </c>
      <c r="D7789" t="s">
        <v>10693</v>
      </c>
      <c r="E7789" t="s">
        <v>11</v>
      </c>
      <c r="F7789" t="s">
        <v>1209</v>
      </c>
      <c r="G7789" t="s">
        <v>4876</v>
      </c>
      <c r="H7789" t="s">
        <v>938</v>
      </c>
    </row>
    <row r="7790" spans="1:8" hidden="1" x14ac:dyDescent="0.25">
      <c r="A7790" t="s">
        <v>10694</v>
      </c>
      <c r="B7790" s="1" t="str">
        <f>HYPERLINK("https://asmlis.vasa.lt/Dashboard/Served?ServiceDateFrom=2025-11-24&amp;ServiceDateTo=2025-11-24&amp;DumpsterInvNr=13-S-107654", "13-S-107654")</f>
        <v>13-S-107654</v>
      </c>
      <c r="C7790">
        <v>0.12</v>
      </c>
      <c r="D7790" t="s">
        <v>10679</v>
      </c>
      <c r="E7790" t="s">
        <v>11</v>
      </c>
      <c r="F7790" t="s">
        <v>1209</v>
      </c>
      <c r="G7790" t="s">
        <v>1917</v>
      </c>
      <c r="H7790" t="s">
        <v>432</v>
      </c>
    </row>
    <row r="7791" spans="1:8" hidden="1" x14ac:dyDescent="0.25">
      <c r="A7791" t="s">
        <v>10696</v>
      </c>
      <c r="B7791" s="1" t="str">
        <f>HYPERLINK("https://asmlis.vasa.lt/Dashboard/Served?ServiceDateFrom=2025-11-24&amp;ServiceDateTo=2025-11-24&amp;DumpsterInvNr=13-L-315451", "13-L-315451")</f>
        <v>13-L-315451</v>
      </c>
      <c r="C7791">
        <v>1.1000000000000001</v>
      </c>
      <c r="D7791" t="s">
        <v>10697</v>
      </c>
      <c r="E7791" t="s">
        <v>11</v>
      </c>
      <c r="G7791" t="s">
        <v>9</v>
      </c>
      <c r="H7791" t="s">
        <v>14</v>
      </c>
    </row>
    <row r="7792" spans="1:8" hidden="1" x14ac:dyDescent="0.25">
      <c r="A7792" t="s">
        <v>10698</v>
      </c>
      <c r="B7792" s="1" t="str">
        <f>HYPERLINK("https://asmlis.vasa.lt/Dashboard/Served?ServiceDateFrom=2025-11-24&amp;ServiceDateTo=2025-11-24&amp;DumpsterInvNr=13-S-102409", "13-S-102409")</f>
        <v>13-S-102409</v>
      </c>
      <c r="C7792">
        <v>0.12</v>
      </c>
      <c r="D7792" t="s">
        <v>10613</v>
      </c>
      <c r="E7792" t="s">
        <v>11</v>
      </c>
      <c r="F7792" t="s">
        <v>1209</v>
      </c>
      <c r="G7792" t="s">
        <v>1917</v>
      </c>
      <c r="H7792" t="s">
        <v>432</v>
      </c>
    </row>
    <row r="7793" spans="1:8" hidden="1" x14ac:dyDescent="0.25">
      <c r="A7793" t="s">
        <v>10699</v>
      </c>
      <c r="B7793" s="1" t="str">
        <f>HYPERLINK("https://asmlis.vasa.lt/Dashboard/Served?ServiceDateFrom=2025-11-24&amp;ServiceDateTo=2025-11-24&amp;DumpsterInvNr=13-L-408883", "13-L-408883")</f>
        <v>13-L-408883</v>
      </c>
      <c r="C7793">
        <v>0.24</v>
      </c>
      <c r="D7793" t="s">
        <v>10700</v>
      </c>
      <c r="E7793" t="s">
        <v>11</v>
      </c>
      <c r="G7793" t="s">
        <v>74</v>
      </c>
      <c r="H7793" t="s">
        <v>14</v>
      </c>
    </row>
    <row r="7794" spans="1:8" hidden="1" x14ac:dyDescent="0.25">
      <c r="A7794" t="s">
        <v>10701</v>
      </c>
      <c r="B7794" s="1" t="str">
        <f>HYPERLINK("https://asmlis.vasa.lt/Dashboard/Served?ServiceDateFrom=2025-11-24&amp;ServiceDateTo=2025-11-24&amp;DumpsterInvNr=13-P-100028", "13-P-100028")</f>
        <v>13-P-100028</v>
      </c>
      <c r="C7794">
        <v>0.24</v>
      </c>
      <c r="D7794" t="s">
        <v>10679</v>
      </c>
      <c r="E7794" t="s">
        <v>11</v>
      </c>
      <c r="F7794" t="s">
        <v>1209</v>
      </c>
      <c r="G7794" t="s">
        <v>1917</v>
      </c>
      <c r="H7794" t="s">
        <v>432</v>
      </c>
    </row>
    <row r="7795" spans="1:8" hidden="1" x14ac:dyDescent="0.25">
      <c r="A7795" t="s">
        <v>10594</v>
      </c>
      <c r="B7795" s="1" t="str">
        <f>HYPERLINK("https://asmlis.vasa.lt/Dashboard/Served?ServiceDateFrom=2025-11-24&amp;ServiceDateTo=2025-11-24&amp;DumpsterInvNr=13-L-315452", "13-L-315452")</f>
        <v>13-L-315452</v>
      </c>
      <c r="C7795">
        <v>1.1000000000000001</v>
      </c>
      <c r="D7795" t="s">
        <v>10697</v>
      </c>
      <c r="E7795" t="s">
        <v>11</v>
      </c>
      <c r="G7795" t="s">
        <v>9</v>
      </c>
      <c r="H7795" t="s">
        <v>14</v>
      </c>
    </row>
    <row r="7796" spans="1:8" hidden="1" x14ac:dyDescent="0.25">
      <c r="A7796" t="s">
        <v>10616</v>
      </c>
      <c r="B7796" s="1" t="str">
        <f>HYPERLINK("https://asmlis.vasa.lt/Dashboard/Served?ServiceDateFrom=2025-11-24&amp;ServiceDateTo=2025-11-24&amp;DumpsterInvNr=13-L-118197", "13-L-118197")</f>
        <v>13-L-118197</v>
      </c>
      <c r="C7796">
        <v>0.12</v>
      </c>
      <c r="D7796" t="s">
        <v>10679</v>
      </c>
      <c r="E7796" t="s">
        <v>11</v>
      </c>
      <c r="F7796" t="s">
        <v>1209</v>
      </c>
      <c r="G7796" t="s">
        <v>1912</v>
      </c>
      <c r="H7796" t="s">
        <v>432</v>
      </c>
    </row>
    <row r="7797" spans="1:8" hidden="1" x14ac:dyDescent="0.25">
      <c r="A7797" t="s">
        <v>10618</v>
      </c>
      <c r="B7797" s="1" t="str">
        <f>HYPERLINK("https://asmlis.vasa.lt/Dashboard/Served?ServiceDateFrom=2025-11-24&amp;ServiceDateTo=2025-11-24&amp;DumpsterInvNr=13-L-214942", "13-L-214942")</f>
        <v>13-L-214942</v>
      </c>
      <c r="C7797">
        <v>0.12</v>
      </c>
      <c r="D7797" t="s">
        <v>8546</v>
      </c>
      <c r="E7797" t="s">
        <v>11</v>
      </c>
      <c r="G7797" t="s">
        <v>936</v>
      </c>
      <c r="H7797" t="s">
        <v>938</v>
      </c>
    </row>
    <row r="7798" spans="1:8" hidden="1" x14ac:dyDescent="0.25">
      <c r="A7798" t="s">
        <v>10618</v>
      </c>
      <c r="B7798" s="1" t="str">
        <f>HYPERLINK("https://asmlis.vasa.lt/Dashboard/Served?ServiceDateFrom=2025-11-24&amp;ServiceDateTo=2025-11-24&amp;DumpsterInvNr=13-P-301825", "13-P-301825")</f>
        <v>13-P-301825</v>
      </c>
      <c r="C7798">
        <v>0.66</v>
      </c>
      <c r="D7798" t="s">
        <v>3954</v>
      </c>
      <c r="E7798" t="s">
        <v>11</v>
      </c>
      <c r="G7798" t="s">
        <v>412</v>
      </c>
      <c r="H7798" t="s">
        <v>14</v>
      </c>
    </row>
    <row r="7799" spans="1:8" hidden="1" x14ac:dyDescent="0.25">
      <c r="A7799" t="s">
        <v>10702</v>
      </c>
      <c r="B7799" s="1" t="str">
        <f>HYPERLINK("https://asmlis.vasa.lt/Dashboard/Served?ServiceDateFrom=2025-11-24&amp;ServiceDateTo=2025-11-24&amp;DumpsterInvNr=13-M-205583", "13-M-205583")</f>
        <v>13-M-205583</v>
      </c>
      <c r="C7799">
        <v>0.12</v>
      </c>
      <c r="D7799" t="s">
        <v>10703</v>
      </c>
      <c r="E7799" t="s">
        <v>11</v>
      </c>
      <c r="G7799" t="s">
        <v>4876</v>
      </c>
      <c r="H7799" t="s">
        <v>938</v>
      </c>
    </row>
    <row r="7800" spans="1:8" hidden="1" x14ac:dyDescent="0.25">
      <c r="A7800" t="s">
        <v>10704</v>
      </c>
      <c r="B7800" s="1" t="str">
        <f>HYPERLINK("https://asmlis.vasa.lt/Dashboard/Served?ServiceDateFrom=2025-11-24&amp;ServiceDateTo=2025-11-24&amp;DumpsterInvNr=13-P-207156", "13-P-207156")</f>
        <v>13-P-207156</v>
      </c>
      <c r="C7800">
        <v>0.24</v>
      </c>
      <c r="D7800" t="s">
        <v>6462</v>
      </c>
      <c r="E7800" t="s">
        <v>11</v>
      </c>
      <c r="G7800" t="s">
        <v>234</v>
      </c>
      <c r="H7800" t="s">
        <v>14</v>
      </c>
    </row>
    <row r="7801" spans="1:8" hidden="1" x14ac:dyDescent="0.25">
      <c r="A7801" t="s">
        <v>10705</v>
      </c>
      <c r="B7801" s="1" t="str">
        <f>HYPERLINK("https://asmlis.vasa.lt/Dashboard/Served?ServiceDateFrom=2025-11-24&amp;ServiceDateTo=2025-11-24&amp;DumpsterInvNr=13-L-225149", "13-L-225149")</f>
        <v>13-L-225149</v>
      </c>
      <c r="C7801">
        <v>0.24</v>
      </c>
      <c r="D7801" t="s">
        <v>8532</v>
      </c>
      <c r="E7801" t="s">
        <v>11</v>
      </c>
      <c r="F7801" t="s">
        <v>13</v>
      </c>
      <c r="G7801" t="s">
        <v>936</v>
      </c>
      <c r="H7801" t="s">
        <v>938</v>
      </c>
    </row>
    <row r="7802" spans="1:8" hidden="1" x14ac:dyDescent="0.25">
      <c r="A7802" t="s">
        <v>10706</v>
      </c>
      <c r="B7802" s="1" t="str">
        <f>HYPERLINK("https://asmlis.vasa.lt/Dashboard/Served?ServiceDateFrom=2025-11-24&amp;ServiceDateTo=2025-11-24&amp;DumpsterInvNr=13-P-400571", "13-P-400571")</f>
        <v>13-P-400571</v>
      </c>
      <c r="C7802">
        <v>5</v>
      </c>
      <c r="D7802" t="s">
        <v>10707</v>
      </c>
      <c r="E7802" t="s">
        <v>11</v>
      </c>
      <c r="F7802" t="s">
        <v>13</v>
      </c>
      <c r="G7802" t="s">
        <v>264</v>
      </c>
      <c r="H7802" t="s">
        <v>14</v>
      </c>
    </row>
    <row r="7803" spans="1:8" hidden="1" x14ac:dyDescent="0.25">
      <c r="A7803" t="s">
        <v>10708</v>
      </c>
      <c r="B7803" s="1" t="str">
        <f>HYPERLINK("https://asmlis.vasa.lt/Dashboard/Served?ServiceDateFrom=2025-11-24&amp;ServiceDateTo=2025-11-24&amp;DumpsterInvNr=13-P-203675", "13-P-203675")</f>
        <v>13-P-203675</v>
      </c>
      <c r="C7803">
        <v>0.24</v>
      </c>
      <c r="D7803" t="s">
        <v>6505</v>
      </c>
      <c r="E7803" t="s">
        <v>11</v>
      </c>
      <c r="F7803" t="s">
        <v>1209</v>
      </c>
      <c r="G7803" t="s">
        <v>234</v>
      </c>
      <c r="H7803" t="s">
        <v>14</v>
      </c>
    </row>
    <row r="7804" spans="1:8" hidden="1" x14ac:dyDescent="0.25">
      <c r="A7804" t="s">
        <v>10709</v>
      </c>
      <c r="B7804" s="1" t="str">
        <f>HYPERLINK("https://asmlis.vasa.lt/Dashboard/Served?ServiceDateFrom=2025-11-24&amp;ServiceDateTo=2025-11-24&amp;DumpsterInvNr=13-P-302606", "13-P-302606")</f>
        <v>13-P-302606</v>
      </c>
      <c r="C7804">
        <v>2.5</v>
      </c>
      <c r="D7804" t="s">
        <v>482</v>
      </c>
      <c r="E7804" t="s">
        <v>11</v>
      </c>
      <c r="G7804" t="s">
        <v>412</v>
      </c>
      <c r="H7804" t="s">
        <v>14</v>
      </c>
    </row>
    <row r="7805" spans="1:8" hidden="1" x14ac:dyDescent="0.25">
      <c r="A7805" t="s">
        <v>10710</v>
      </c>
      <c r="B7805" s="1" t="str">
        <f>HYPERLINK("https://asmlis.vasa.lt/Dashboard/Served?ServiceDateFrom=2025-11-24&amp;ServiceDateTo=2025-11-24&amp;DumpsterInvNr=13-L-422506", "13-L-422506")</f>
        <v>13-L-422506</v>
      </c>
      <c r="C7805">
        <v>0.24</v>
      </c>
      <c r="D7805" t="s">
        <v>10711</v>
      </c>
      <c r="E7805" t="s">
        <v>11</v>
      </c>
      <c r="G7805" t="s">
        <v>74</v>
      </c>
      <c r="H7805" t="s">
        <v>14</v>
      </c>
    </row>
    <row r="7806" spans="1:8" hidden="1" x14ac:dyDescent="0.25">
      <c r="A7806" t="s">
        <v>10710</v>
      </c>
      <c r="B7806" s="1" t="str">
        <f>HYPERLINK("https://asmlis.vasa.lt/Dashboard/Served?ServiceDateFrom=2025-11-24&amp;ServiceDateTo=2025-11-24&amp;DumpsterInvNr=13-L-422132", "13-L-422132")</f>
        <v>13-L-422132</v>
      </c>
      <c r="C7806">
        <v>0.24</v>
      </c>
      <c r="D7806" t="s">
        <v>10712</v>
      </c>
      <c r="E7806" t="s">
        <v>11</v>
      </c>
      <c r="G7806" t="s">
        <v>74</v>
      </c>
      <c r="H7806" t="s">
        <v>14</v>
      </c>
    </row>
    <row r="7807" spans="1:8" hidden="1" x14ac:dyDescent="0.25">
      <c r="A7807" t="s">
        <v>10713</v>
      </c>
      <c r="B7807" s="1" t="str">
        <f>HYPERLINK("https://asmlis.vasa.lt/Dashboard/Served?ServiceDateFrom=2025-11-24&amp;ServiceDateTo=2025-11-24&amp;DumpsterInvNr=13-L-411845", "13-L-411845")</f>
        <v>13-L-411845</v>
      </c>
      <c r="C7807">
        <v>0.12</v>
      </c>
      <c r="D7807" t="s">
        <v>10714</v>
      </c>
      <c r="E7807" t="s">
        <v>11</v>
      </c>
      <c r="F7807" t="s">
        <v>1209</v>
      </c>
      <c r="G7807" t="s">
        <v>74</v>
      </c>
      <c r="H7807" t="s">
        <v>14</v>
      </c>
    </row>
    <row r="7808" spans="1:8" hidden="1" x14ac:dyDescent="0.25">
      <c r="A7808" t="s">
        <v>10716</v>
      </c>
      <c r="B7808" s="1" t="str">
        <f>HYPERLINK("https://asmlis.vasa.lt/Dashboard/Served?ServiceDateFrom=2025-11-24&amp;ServiceDateTo=2025-11-24&amp;DumpsterInvNr=13-L-221717", "13-L-221717")</f>
        <v>13-L-221717</v>
      </c>
      <c r="C7808">
        <v>0.24</v>
      </c>
      <c r="D7808" t="s">
        <v>8557</v>
      </c>
      <c r="E7808" t="s">
        <v>11</v>
      </c>
      <c r="G7808" t="s">
        <v>936</v>
      </c>
      <c r="H7808" t="s">
        <v>938</v>
      </c>
    </row>
    <row r="7809" spans="1:8" hidden="1" x14ac:dyDescent="0.25">
      <c r="A7809" t="s">
        <v>10717</v>
      </c>
      <c r="B7809" s="1" t="str">
        <f>HYPERLINK("https://asmlis.vasa.lt/Dashboard/Served?ServiceDateFrom=2025-11-24&amp;ServiceDateTo=2025-11-24&amp;DumpsterInvNr=13-L-316339", "13-L-316339")</f>
        <v>13-L-316339</v>
      </c>
      <c r="C7809">
        <v>1.1000000000000001</v>
      </c>
      <c r="D7809" t="s">
        <v>10718</v>
      </c>
      <c r="E7809" t="s">
        <v>11</v>
      </c>
      <c r="G7809" t="s">
        <v>9</v>
      </c>
      <c r="H7809" t="s">
        <v>14</v>
      </c>
    </row>
    <row r="7810" spans="1:8" hidden="1" x14ac:dyDescent="0.25">
      <c r="A7810" t="s">
        <v>10717</v>
      </c>
      <c r="B7810" s="1" t="str">
        <f>HYPERLINK("https://asmlis.vasa.lt/Dashboard/Served?ServiceDateFrom=2025-11-24&amp;ServiceDateTo=2025-11-24&amp;DumpsterInvNr=13-P-415344", "13-P-415344")</f>
        <v>13-P-415344</v>
      </c>
      <c r="C7810">
        <v>0.24</v>
      </c>
      <c r="D7810" t="s">
        <v>10719</v>
      </c>
      <c r="E7810" t="s">
        <v>11</v>
      </c>
      <c r="G7810" t="s">
        <v>264</v>
      </c>
      <c r="H7810" t="s">
        <v>14</v>
      </c>
    </row>
    <row r="7811" spans="1:8" hidden="1" x14ac:dyDescent="0.25">
      <c r="A7811" t="s">
        <v>10720</v>
      </c>
      <c r="B7811" s="1" t="str">
        <f>HYPERLINK("https://asmlis.vasa.lt/Dashboard/Served?ServiceDateFrom=2025-11-24&amp;ServiceDateTo=2025-11-24&amp;DumpsterInvNr=13-L-427037", "13-L-427037")</f>
        <v>13-L-427037</v>
      </c>
      <c r="C7811">
        <v>1.1000000000000001</v>
      </c>
      <c r="D7811" t="s">
        <v>10721</v>
      </c>
      <c r="E7811" t="s">
        <v>11</v>
      </c>
      <c r="G7811" t="s">
        <v>74</v>
      </c>
      <c r="H7811" t="s">
        <v>14</v>
      </c>
    </row>
    <row r="7812" spans="1:8" hidden="1" x14ac:dyDescent="0.25">
      <c r="A7812" t="s">
        <v>10722</v>
      </c>
      <c r="B7812" s="1" t="str">
        <f>HYPERLINK("https://asmlis.vasa.lt/Dashboard/Served?ServiceDateFrom=2025-11-24&amp;ServiceDateTo=2025-11-24&amp;DumpsterInvNr=13-M-200284", "13-M-200284")</f>
        <v>13-M-200284</v>
      </c>
      <c r="C7812">
        <v>0.12</v>
      </c>
      <c r="D7812" t="s">
        <v>10723</v>
      </c>
      <c r="E7812" t="s">
        <v>11</v>
      </c>
      <c r="G7812" t="s">
        <v>4876</v>
      </c>
      <c r="H7812" t="s">
        <v>938</v>
      </c>
    </row>
    <row r="7813" spans="1:8" hidden="1" x14ac:dyDescent="0.25">
      <c r="A7813" t="s">
        <v>10724</v>
      </c>
      <c r="B7813" s="1" t="str">
        <f>HYPERLINK("https://asmlis.vasa.lt/Dashboard/Served?ServiceDateFrom=2025-11-24&amp;ServiceDateTo=2025-11-24&amp;DumpsterInvNr=13-L-408875", "13-L-408875")</f>
        <v>13-L-408875</v>
      </c>
      <c r="C7813">
        <v>0.12</v>
      </c>
      <c r="D7813" t="s">
        <v>10725</v>
      </c>
      <c r="E7813" t="s">
        <v>11</v>
      </c>
      <c r="G7813" t="s">
        <v>74</v>
      </c>
      <c r="H7813" t="s">
        <v>14</v>
      </c>
    </row>
    <row r="7814" spans="1:8" hidden="1" x14ac:dyDescent="0.25">
      <c r="A7814" t="s">
        <v>10726</v>
      </c>
      <c r="B7814" s="1" t="str">
        <f>HYPERLINK("https://asmlis.vasa.lt/Dashboard/Served?ServiceDateFrom=2025-11-24&amp;ServiceDateTo=2025-11-24&amp;DumpsterInvNr=13-L-318694", "13-L-318694")</f>
        <v>13-L-318694</v>
      </c>
      <c r="C7814">
        <v>1.1000000000000001</v>
      </c>
      <c r="D7814" t="s">
        <v>10727</v>
      </c>
      <c r="E7814" t="s">
        <v>11</v>
      </c>
      <c r="G7814" t="s">
        <v>9</v>
      </c>
      <c r="H7814" t="s">
        <v>14</v>
      </c>
    </row>
    <row r="7815" spans="1:8" hidden="1" x14ac:dyDescent="0.25">
      <c r="A7815" t="s">
        <v>10728</v>
      </c>
      <c r="B7815" s="1" t="str">
        <f>HYPERLINK("https://asmlis.vasa.lt/Dashboard/Served?ServiceDateFrom=2025-11-24&amp;ServiceDateTo=2025-11-24&amp;DumpsterInvNr=13-L-126366", "13-L-126366")</f>
        <v>13-L-126366</v>
      </c>
      <c r="C7815">
        <v>1.1000000000000001</v>
      </c>
      <c r="D7815" t="s">
        <v>10729</v>
      </c>
      <c r="E7815" t="s">
        <v>11</v>
      </c>
      <c r="G7815" t="s">
        <v>430</v>
      </c>
      <c r="H7815" t="s">
        <v>432</v>
      </c>
    </row>
    <row r="7816" spans="1:8" hidden="1" x14ac:dyDescent="0.25">
      <c r="A7816" t="s">
        <v>10730</v>
      </c>
      <c r="B7816" s="1" t="str">
        <f>HYPERLINK("https://asmlis.vasa.lt/Dashboard/Served?ServiceDateFrom=2025-11-24&amp;ServiceDateTo=2025-11-24&amp;DumpsterInvNr=13-P-502321", "13-P-502321")</f>
        <v>13-P-502321</v>
      </c>
      <c r="C7816">
        <v>1.1000000000000001</v>
      </c>
      <c r="D7816" t="s">
        <v>10732</v>
      </c>
      <c r="E7816" t="s">
        <v>11</v>
      </c>
      <c r="G7816" t="s">
        <v>2178</v>
      </c>
      <c r="H7816" t="s">
        <v>432</v>
      </c>
    </row>
    <row r="7817" spans="1:8" hidden="1" x14ac:dyDescent="0.25">
      <c r="A7817" t="s">
        <v>10733</v>
      </c>
      <c r="B7817" s="1" t="str">
        <f>HYPERLINK("https://asmlis.vasa.lt/Dashboard/Served?ServiceDateFrom=2025-11-24&amp;ServiceDateTo=2025-11-24&amp;DumpsterInvNr=13-P-112507", "13-P-112507")</f>
        <v>13-P-112507</v>
      </c>
      <c r="C7817">
        <v>0.24</v>
      </c>
      <c r="D7817" t="s">
        <v>10734</v>
      </c>
      <c r="E7817" t="s">
        <v>11</v>
      </c>
      <c r="F7817" t="s">
        <v>1209</v>
      </c>
      <c r="G7817" t="s">
        <v>1917</v>
      </c>
      <c r="H7817" t="s">
        <v>432</v>
      </c>
    </row>
    <row r="7818" spans="1:8" hidden="1" x14ac:dyDescent="0.25">
      <c r="A7818" t="s">
        <v>10735</v>
      </c>
      <c r="B7818" s="1" t="str">
        <f>HYPERLINK("https://asmlis.vasa.lt/Dashboard/Served?ServiceDateFrom=2025-11-24&amp;ServiceDateTo=2025-11-24&amp;DumpsterInvNr=13-S-402416", "13-S-402416")</f>
        <v>13-S-402416</v>
      </c>
      <c r="C7818">
        <v>0.12</v>
      </c>
      <c r="D7818" t="s">
        <v>10719</v>
      </c>
      <c r="E7818" t="s">
        <v>11</v>
      </c>
      <c r="F7818" t="s">
        <v>1209</v>
      </c>
      <c r="G7818" t="s">
        <v>264</v>
      </c>
      <c r="H7818" t="s">
        <v>14</v>
      </c>
    </row>
    <row r="7819" spans="1:8" hidden="1" x14ac:dyDescent="0.25">
      <c r="A7819" t="s">
        <v>10736</v>
      </c>
      <c r="B7819" s="1" t="str">
        <f>HYPERLINK("https://asmlis.vasa.lt/Dashboard/Served?ServiceDateFrom=2025-11-24&amp;ServiceDateTo=2025-11-24&amp;DumpsterInvNr=13-S-107533", "13-S-107533")</f>
        <v>13-S-107533</v>
      </c>
      <c r="C7819">
        <v>0.12</v>
      </c>
      <c r="D7819" t="s">
        <v>10734</v>
      </c>
      <c r="E7819" t="s">
        <v>11</v>
      </c>
      <c r="F7819" t="s">
        <v>1209</v>
      </c>
      <c r="G7819" t="s">
        <v>1917</v>
      </c>
      <c r="H7819" t="s">
        <v>432</v>
      </c>
    </row>
    <row r="7820" spans="1:8" hidden="1" x14ac:dyDescent="0.25">
      <c r="A7820" t="s">
        <v>10737</v>
      </c>
      <c r="B7820" s="1" t="str">
        <f>HYPERLINK("https://asmlis.vasa.lt/Dashboard/Served?ServiceDateFrom=2025-11-24&amp;ServiceDateTo=2025-11-24&amp;DumpsterInvNr=13-L-138506", "13-L-138506")</f>
        <v>13-L-138506</v>
      </c>
      <c r="C7820">
        <v>0.24</v>
      </c>
      <c r="D7820" t="s">
        <v>10734</v>
      </c>
      <c r="E7820" t="s">
        <v>11</v>
      </c>
      <c r="G7820" t="s">
        <v>1912</v>
      </c>
      <c r="H7820" t="s">
        <v>432</v>
      </c>
    </row>
    <row r="7821" spans="1:8" hidden="1" x14ac:dyDescent="0.25">
      <c r="A7821" t="s">
        <v>10738</v>
      </c>
      <c r="B7821" s="1" t="str">
        <f>HYPERLINK("https://asmlis.vasa.lt/Dashboard/Served?ServiceDateFrom=2025-11-24&amp;ServiceDateTo=2025-11-24&amp;DumpsterInvNr=13-M-200263", "13-M-200263")</f>
        <v>13-M-200263</v>
      </c>
      <c r="C7821">
        <v>0.12</v>
      </c>
      <c r="D7821" t="s">
        <v>10739</v>
      </c>
      <c r="E7821" t="s">
        <v>11</v>
      </c>
      <c r="G7821" t="s">
        <v>4876</v>
      </c>
      <c r="H7821" t="s">
        <v>938</v>
      </c>
    </row>
    <row r="7822" spans="1:8" hidden="1" x14ac:dyDescent="0.25">
      <c r="A7822" t="s">
        <v>10740</v>
      </c>
      <c r="B7822" s="1" t="str">
        <f>HYPERLINK("https://asmlis.vasa.lt/Dashboard/Served?ServiceDateFrom=2025-11-24&amp;ServiceDateTo=2025-11-24&amp;DumpsterInvNr=13-P-209644", "13-P-209644")</f>
        <v>13-P-209644</v>
      </c>
      <c r="C7822">
        <v>0.24</v>
      </c>
      <c r="D7822" t="s">
        <v>6408</v>
      </c>
      <c r="E7822" t="s">
        <v>11</v>
      </c>
      <c r="G7822" t="s">
        <v>234</v>
      </c>
      <c r="H7822" t="s">
        <v>14</v>
      </c>
    </row>
    <row r="7823" spans="1:8" hidden="1" x14ac:dyDescent="0.25">
      <c r="A7823" t="s">
        <v>10741</v>
      </c>
      <c r="B7823" s="1" t="str">
        <f>HYPERLINK("https://asmlis.vasa.lt/Dashboard/Served?ServiceDateFrom=2025-11-24&amp;ServiceDateTo=2025-11-24&amp;DumpsterInvNr=13-P-415262", "13-P-415262")</f>
        <v>13-P-415262</v>
      </c>
      <c r="C7823">
        <v>0.24</v>
      </c>
      <c r="D7823" t="s">
        <v>10742</v>
      </c>
      <c r="E7823" t="s">
        <v>11</v>
      </c>
      <c r="G7823" t="s">
        <v>264</v>
      </c>
      <c r="H7823" t="s">
        <v>14</v>
      </c>
    </row>
    <row r="7824" spans="1:8" hidden="1" x14ac:dyDescent="0.25">
      <c r="A7824" t="s">
        <v>10741</v>
      </c>
      <c r="B7824" s="1" t="str">
        <f>HYPERLINK("https://asmlis.vasa.lt/Dashboard/Served?ServiceDateFrom=2025-11-24&amp;ServiceDateTo=2025-11-24&amp;DumpsterInvNr=13-P-400570", "13-P-400570")</f>
        <v>13-P-400570</v>
      </c>
      <c r="C7824">
        <v>5</v>
      </c>
      <c r="D7824" t="s">
        <v>10743</v>
      </c>
      <c r="E7824" t="s">
        <v>11</v>
      </c>
      <c r="G7824" t="s">
        <v>264</v>
      </c>
      <c r="H7824" t="s">
        <v>14</v>
      </c>
    </row>
    <row r="7825" spans="1:8" hidden="1" x14ac:dyDescent="0.25">
      <c r="A7825" t="s">
        <v>10744</v>
      </c>
      <c r="B7825" s="1" t="str">
        <f>HYPERLINK("https://asmlis.vasa.lt/Dashboard/Served?ServiceDateFrom=2025-11-24&amp;ServiceDateTo=2025-11-24&amp;DumpsterInvNr=13-L-310362", "13-L-310362")</f>
        <v>13-L-310362</v>
      </c>
      <c r="C7825">
        <v>5</v>
      </c>
      <c r="D7825" t="s">
        <v>10745</v>
      </c>
      <c r="E7825" t="s">
        <v>11</v>
      </c>
      <c r="F7825" t="s">
        <v>13</v>
      </c>
      <c r="G7825" t="s">
        <v>9</v>
      </c>
      <c r="H7825" t="s">
        <v>14</v>
      </c>
    </row>
    <row r="7826" spans="1:8" hidden="1" x14ac:dyDescent="0.25">
      <c r="A7826" t="s">
        <v>10746</v>
      </c>
      <c r="B7826" s="1" t="str">
        <f>HYPERLINK("https://asmlis.vasa.lt/Dashboard/Served?ServiceDateFrom=2025-11-24&amp;ServiceDateTo=2025-11-24&amp;DumpsterInvNr=13-P-211231", "13-P-211231")</f>
        <v>13-P-211231</v>
      </c>
      <c r="C7826">
        <v>0.24</v>
      </c>
      <c r="D7826" t="s">
        <v>6400</v>
      </c>
      <c r="E7826" t="s">
        <v>11</v>
      </c>
      <c r="F7826" t="s">
        <v>1209</v>
      </c>
      <c r="G7826" t="s">
        <v>234</v>
      </c>
      <c r="H7826" t="s">
        <v>14</v>
      </c>
    </row>
    <row r="7827" spans="1:8" hidden="1" x14ac:dyDescent="0.25">
      <c r="A7827" t="s">
        <v>10747</v>
      </c>
      <c r="B7827" s="1" t="str">
        <f>HYPERLINK("https://asmlis.vasa.lt/Dashboard/Served?ServiceDateFrom=2025-11-24&amp;ServiceDateTo=2025-11-24&amp;DumpsterInvNr=13-P-415324", "13-P-415324")</f>
        <v>13-P-415324</v>
      </c>
      <c r="C7827">
        <v>0.24</v>
      </c>
      <c r="D7827" t="s">
        <v>10748</v>
      </c>
      <c r="E7827" t="s">
        <v>11</v>
      </c>
      <c r="G7827" t="s">
        <v>264</v>
      </c>
      <c r="H7827" t="s">
        <v>14</v>
      </c>
    </row>
    <row r="7828" spans="1:8" hidden="1" x14ac:dyDescent="0.25">
      <c r="A7828" t="s">
        <v>10749</v>
      </c>
      <c r="B7828" s="1" t="str">
        <f>HYPERLINK("https://asmlis.vasa.lt/Dashboard/Served?ServiceDateFrom=2025-11-24&amp;ServiceDateTo=2025-11-24&amp;DumpsterInvNr=13-S-402449", "13-S-402449")</f>
        <v>13-S-402449</v>
      </c>
      <c r="C7828">
        <v>0.12</v>
      </c>
      <c r="D7828" t="s">
        <v>10742</v>
      </c>
      <c r="E7828" t="s">
        <v>11</v>
      </c>
      <c r="G7828" t="s">
        <v>264</v>
      </c>
      <c r="H7828" t="s">
        <v>14</v>
      </c>
    </row>
    <row r="7829" spans="1:8" hidden="1" x14ac:dyDescent="0.25">
      <c r="A7829" t="s">
        <v>10750</v>
      </c>
      <c r="B7829" s="1" t="str">
        <f>HYPERLINK("https://asmlis.vasa.lt/Dashboard/Served?ServiceDateFrom=2025-11-24&amp;ServiceDateTo=2025-11-24&amp;DumpsterInvNr=13-P-116439", "13-P-116439")</f>
        <v>13-P-116439</v>
      </c>
      <c r="C7829">
        <v>1.1000000000000001</v>
      </c>
      <c r="D7829" t="s">
        <v>10751</v>
      </c>
      <c r="E7829" t="s">
        <v>11</v>
      </c>
      <c r="G7829" t="s">
        <v>1917</v>
      </c>
      <c r="H7829" t="s">
        <v>432</v>
      </c>
    </row>
    <row r="7830" spans="1:8" hidden="1" x14ac:dyDescent="0.25">
      <c r="A7830" t="s">
        <v>10752</v>
      </c>
      <c r="B7830" s="1" t="str">
        <f>HYPERLINK("https://asmlis.vasa.lt/Dashboard/Served?ServiceDateFrom=2025-11-24&amp;ServiceDateTo=2025-11-24&amp;DumpsterInvNr=13-L-318693", "13-L-318693")</f>
        <v>13-L-318693</v>
      </c>
      <c r="C7830">
        <v>1.1000000000000001</v>
      </c>
      <c r="D7830" t="s">
        <v>10727</v>
      </c>
      <c r="E7830" t="s">
        <v>11</v>
      </c>
      <c r="G7830" t="s">
        <v>9</v>
      </c>
      <c r="H7830" t="s">
        <v>14</v>
      </c>
    </row>
    <row r="7831" spans="1:8" hidden="1" x14ac:dyDescent="0.25">
      <c r="A7831" t="s">
        <v>10753</v>
      </c>
      <c r="B7831" s="1" t="str">
        <f>HYPERLINK("https://asmlis.vasa.lt/Dashboard/Served?ServiceDateFrom=2025-11-24&amp;ServiceDateTo=2025-11-24&amp;DumpsterInvNr=13-L-221874", "13-L-221874")</f>
        <v>13-L-221874</v>
      </c>
      <c r="C7831">
        <v>0.24</v>
      </c>
      <c r="D7831" t="s">
        <v>8523</v>
      </c>
      <c r="E7831" t="s">
        <v>11</v>
      </c>
      <c r="G7831" t="s">
        <v>936</v>
      </c>
      <c r="H7831" t="s">
        <v>938</v>
      </c>
    </row>
    <row r="7832" spans="1:8" hidden="1" x14ac:dyDescent="0.25">
      <c r="A7832" t="s">
        <v>10754</v>
      </c>
      <c r="B7832" s="1" t="str">
        <f>HYPERLINK("https://asmlis.vasa.lt/Dashboard/Served?ServiceDateFrom=2025-11-24&amp;ServiceDateTo=2025-11-24&amp;DumpsterInvNr=13-L-117628", "13-L-117628")</f>
        <v>13-L-117628</v>
      </c>
      <c r="C7832">
        <v>0.12</v>
      </c>
      <c r="D7832" t="s">
        <v>10755</v>
      </c>
      <c r="E7832" t="s">
        <v>11</v>
      </c>
      <c r="G7832" t="s">
        <v>1912</v>
      </c>
      <c r="H7832" t="s">
        <v>432</v>
      </c>
    </row>
    <row r="7833" spans="1:8" hidden="1" x14ac:dyDescent="0.25">
      <c r="A7833" t="s">
        <v>10756</v>
      </c>
      <c r="B7833" s="1" t="str">
        <f>HYPERLINK("https://asmlis.vasa.lt/Dashboard/Served?ServiceDateFrom=2025-11-24&amp;ServiceDateTo=2025-11-24&amp;DumpsterInvNr=13-L-425794", "13-L-425794")</f>
        <v>13-L-425794</v>
      </c>
      <c r="C7833">
        <v>0.12</v>
      </c>
      <c r="D7833" t="s">
        <v>10757</v>
      </c>
      <c r="E7833" t="s">
        <v>11</v>
      </c>
      <c r="G7833" t="s">
        <v>74</v>
      </c>
      <c r="H7833" t="s">
        <v>14</v>
      </c>
    </row>
    <row r="7834" spans="1:8" hidden="1" x14ac:dyDescent="0.25">
      <c r="A7834" t="s">
        <v>10758</v>
      </c>
      <c r="B7834" s="1" t="str">
        <f>HYPERLINK("https://asmlis.vasa.lt/Dashboard/Served?ServiceDateFrom=2025-11-24&amp;ServiceDateTo=2025-11-24&amp;DumpsterInvNr=13-P-101141", "13-P-101141")</f>
        <v>13-P-101141</v>
      </c>
      <c r="C7834">
        <v>0.24</v>
      </c>
      <c r="D7834" t="s">
        <v>10755</v>
      </c>
      <c r="E7834" t="s">
        <v>11</v>
      </c>
      <c r="G7834" t="s">
        <v>1917</v>
      </c>
      <c r="H7834" t="s">
        <v>432</v>
      </c>
    </row>
    <row r="7835" spans="1:8" hidden="1" x14ac:dyDescent="0.25">
      <c r="A7835" t="s">
        <v>10759</v>
      </c>
      <c r="B7835" s="1" t="str">
        <f>HYPERLINK("https://asmlis.vasa.lt/Dashboard/Served?ServiceDateFrom=2025-11-24&amp;ServiceDateTo=2025-11-24&amp;DumpsterInvNr=13-M-200299", "13-M-200299")</f>
        <v>13-M-200299</v>
      </c>
      <c r="C7835">
        <v>0.12</v>
      </c>
      <c r="D7835" t="s">
        <v>10760</v>
      </c>
      <c r="E7835" t="s">
        <v>11</v>
      </c>
      <c r="F7835" t="s">
        <v>1209</v>
      </c>
      <c r="G7835" t="s">
        <v>4876</v>
      </c>
      <c r="H7835" t="s">
        <v>938</v>
      </c>
    </row>
    <row r="7836" spans="1:8" hidden="1" x14ac:dyDescent="0.25">
      <c r="A7836" t="s">
        <v>10761</v>
      </c>
      <c r="B7836" s="1" t="str">
        <f>HYPERLINK("https://asmlis.vasa.lt/Dashboard/Served?ServiceDateFrom=2025-11-24&amp;ServiceDateTo=2025-11-24&amp;DumpsterInvNr=13-P-305451", "13-P-305451")</f>
        <v>13-P-305451</v>
      </c>
      <c r="C7836">
        <v>1.8</v>
      </c>
      <c r="D7836" t="s">
        <v>482</v>
      </c>
      <c r="E7836" t="s">
        <v>11</v>
      </c>
      <c r="F7836" t="s">
        <v>13</v>
      </c>
      <c r="G7836" t="s">
        <v>412</v>
      </c>
      <c r="H7836" t="s">
        <v>14</v>
      </c>
    </row>
    <row r="7837" spans="1:8" hidden="1" x14ac:dyDescent="0.25">
      <c r="A7837" t="s">
        <v>10762</v>
      </c>
      <c r="B7837" s="1" t="str">
        <f>HYPERLINK("https://asmlis.vasa.lt/Dashboard/Served?ServiceDateFrom=2025-11-24&amp;ServiceDateTo=2025-11-24&amp;DumpsterInvNr=13-L-421519", "13-L-421519")</f>
        <v>13-L-421519</v>
      </c>
      <c r="C7837">
        <v>1.1000000000000001</v>
      </c>
      <c r="D7837" t="s">
        <v>10763</v>
      </c>
      <c r="E7837" t="s">
        <v>11</v>
      </c>
      <c r="G7837" t="s">
        <v>74</v>
      </c>
      <c r="H7837" t="s">
        <v>14</v>
      </c>
    </row>
    <row r="7838" spans="1:8" hidden="1" x14ac:dyDescent="0.25">
      <c r="A7838" t="s">
        <v>10764</v>
      </c>
      <c r="B7838" s="1" t="str">
        <f>HYPERLINK("https://asmlis.vasa.lt/Dashboard/Served?ServiceDateFrom=2025-11-24&amp;ServiceDateTo=2025-11-24&amp;DumpsterInvNr=13-M-205584", "13-M-205584")</f>
        <v>13-M-205584</v>
      </c>
      <c r="C7838">
        <v>0.12</v>
      </c>
      <c r="D7838" t="s">
        <v>10765</v>
      </c>
      <c r="E7838" t="s">
        <v>11</v>
      </c>
      <c r="F7838" t="s">
        <v>1209</v>
      </c>
      <c r="G7838" t="s">
        <v>4876</v>
      </c>
      <c r="H7838" t="s">
        <v>938</v>
      </c>
    </row>
    <row r="7839" spans="1:8" hidden="1" x14ac:dyDescent="0.25">
      <c r="A7839" t="s">
        <v>10767</v>
      </c>
      <c r="B7839" s="1" t="str">
        <f>HYPERLINK("https://asmlis.vasa.lt/Dashboard/Served?ServiceDateFrom=2025-11-24&amp;ServiceDateTo=2025-11-24&amp;DumpsterInvNr=13-L-143801", "13-L-143801")</f>
        <v>13-L-143801</v>
      </c>
      <c r="C7839">
        <v>5</v>
      </c>
      <c r="D7839" t="s">
        <v>10768</v>
      </c>
      <c r="E7839" t="s">
        <v>11</v>
      </c>
      <c r="F7839" t="s">
        <v>13</v>
      </c>
      <c r="G7839" t="s">
        <v>430</v>
      </c>
      <c r="H7839" t="s">
        <v>432</v>
      </c>
    </row>
    <row r="7840" spans="1:8" hidden="1" x14ac:dyDescent="0.25">
      <c r="A7840" t="s">
        <v>10770</v>
      </c>
      <c r="B7840" s="1" t="str">
        <f>HYPERLINK("https://asmlis.vasa.lt/Dashboard/Served?ServiceDateFrom=2025-11-24&amp;ServiceDateTo=2025-11-24&amp;DumpsterInvNr=13-L-133170", "13-L-133170")</f>
        <v>13-L-133170</v>
      </c>
      <c r="C7840">
        <v>0.24</v>
      </c>
      <c r="D7840" t="s">
        <v>10771</v>
      </c>
      <c r="E7840" t="s">
        <v>11</v>
      </c>
      <c r="G7840" t="s">
        <v>1912</v>
      </c>
      <c r="H7840" t="s">
        <v>432</v>
      </c>
    </row>
    <row r="7841" spans="1:8" hidden="1" x14ac:dyDescent="0.25">
      <c r="A7841" t="s">
        <v>10772</v>
      </c>
      <c r="B7841" s="1" t="str">
        <f>HYPERLINK("https://asmlis.vasa.lt/Dashboard/Served?ServiceDateFrom=2025-11-24&amp;ServiceDateTo=2025-11-24&amp;DumpsterInvNr=13-P-100026", "13-P-100026")</f>
        <v>13-P-100026</v>
      </c>
      <c r="C7841">
        <v>0.24</v>
      </c>
      <c r="D7841" t="s">
        <v>10771</v>
      </c>
      <c r="E7841" t="s">
        <v>11</v>
      </c>
      <c r="G7841" t="s">
        <v>1917</v>
      </c>
      <c r="H7841" t="s">
        <v>432</v>
      </c>
    </row>
    <row r="7842" spans="1:8" hidden="1" x14ac:dyDescent="0.25">
      <c r="A7842" t="s">
        <v>10774</v>
      </c>
      <c r="B7842" s="1" t="str">
        <f>HYPERLINK("https://asmlis.vasa.lt/Dashboard/Served?ServiceDateFrom=2025-11-24&amp;ServiceDateTo=2025-11-24&amp;DumpsterInvNr=13-L-218020", "13-L-218020")</f>
        <v>13-L-218020</v>
      </c>
      <c r="C7842">
        <v>0.24</v>
      </c>
      <c r="D7842" t="s">
        <v>8563</v>
      </c>
      <c r="E7842" t="s">
        <v>11</v>
      </c>
      <c r="G7842" t="s">
        <v>936</v>
      </c>
      <c r="H7842" t="s">
        <v>938</v>
      </c>
    </row>
    <row r="7843" spans="1:8" hidden="1" x14ac:dyDescent="0.25">
      <c r="A7843" t="s">
        <v>10775</v>
      </c>
      <c r="B7843" s="1" t="str">
        <f>HYPERLINK("https://asmlis.vasa.lt/Dashboard/Served?ServiceDateFrom=2025-11-24&amp;ServiceDateTo=2025-11-24&amp;DumpsterInvNr=13-L-148270", "13-L-148270")</f>
        <v>13-L-148270</v>
      </c>
      <c r="C7843">
        <v>1.1000000000000001</v>
      </c>
      <c r="D7843" t="s">
        <v>10776</v>
      </c>
      <c r="E7843" t="s">
        <v>11</v>
      </c>
      <c r="G7843" t="s">
        <v>430</v>
      </c>
      <c r="H7843" t="s">
        <v>432</v>
      </c>
    </row>
    <row r="7844" spans="1:8" hidden="1" x14ac:dyDescent="0.25">
      <c r="A7844" t="s">
        <v>10777</v>
      </c>
      <c r="B7844" s="1" t="str">
        <f>HYPERLINK("https://asmlis.vasa.lt/Dashboard/Served?ServiceDateFrom=2025-11-24&amp;ServiceDateTo=2025-11-24&amp;DumpsterInvNr=13-L-147474", "13-L-147474")</f>
        <v>13-L-147474</v>
      </c>
      <c r="C7844">
        <v>5</v>
      </c>
      <c r="D7844" t="s">
        <v>10778</v>
      </c>
      <c r="E7844" t="s">
        <v>11</v>
      </c>
      <c r="F7844" t="s">
        <v>13</v>
      </c>
      <c r="G7844" t="s">
        <v>430</v>
      </c>
      <c r="H7844" t="s">
        <v>432</v>
      </c>
    </row>
    <row r="7845" spans="1:8" hidden="1" x14ac:dyDescent="0.25">
      <c r="A7845" t="s">
        <v>10779</v>
      </c>
      <c r="B7845" s="1" t="str">
        <f>HYPERLINK("https://asmlis.vasa.lt/Dashboard/Served?ServiceDateFrom=2025-11-24&amp;ServiceDateTo=2025-11-24&amp;DumpsterInvNr=13-L-408867", "13-L-408867")</f>
        <v>13-L-408867</v>
      </c>
      <c r="C7845">
        <v>0.24</v>
      </c>
      <c r="D7845" t="s">
        <v>10780</v>
      </c>
      <c r="E7845" t="s">
        <v>11</v>
      </c>
      <c r="G7845" t="s">
        <v>74</v>
      </c>
      <c r="H7845" t="s">
        <v>14</v>
      </c>
    </row>
    <row r="7846" spans="1:8" hidden="1" x14ac:dyDescent="0.25">
      <c r="A7846" t="s">
        <v>10781</v>
      </c>
      <c r="B7846" s="1" t="str">
        <f>HYPERLINK("https://asmlis.vasa.lt/Dashboard/Served?ServiceDateFrom=2025-11-24&amp;ServiceDateTo=2025-11-24&amp;DumpsterInvNr=13-M-200205", "13-M-200205")</f>
        <v>13-M-200205</v>
      </c>
      <c r="C7846">
        <v>0.12</v>
      </c>
      <c r="D7846" t="s">
        <v>10782</v>
      </c>
      <c r="E7846" t="s">
        <v>11</v>
      </c>
      <c r="F7846" t="s">
        <v>1209</v>
      </c>
      <c r="G7846" t="s">
        <v>4876</v>
      </c>
      <c r="H7846" t="s">
        <v>938</v>
      </c>
    </row>
    <row r="7847" spans="1:8" hidden="1" x14ac:dyDescent="0.25">
      <c r="A7847" t="s">
        <v>10784</v>
      </c>
      <c r="B7847" s="1" t="str">
        <f>HYPERLINK("https://asmlis.vasa.lt/Dashboard/Served?ServiceDateFrom=2025-11-24&amp;ServiceDateTo=2025-11-24&amp;DumpsterInvNr=13-L-314523", "13-L-314523")</f>
        <v>13-L-314523</v>
      </c>
      <c r="C7847">
        <v>1.1000000000000001</v>
      </c>
      <c r="D7847" t="s">
        <v>7032</v>
      </c>
      <c r="E7847" t="s">
        <v>11</v>
      </c>
      <c r="G7847" t="s">
        <v>9</v>
      </c>
      <c r="H7847" t="s">
        <v>14</v>
      </c>
    </row>
    <row r="7848" spans="1:8" hidden="1" x14ac:dyDescent="0.25">
      <c r="A7848" t="s">
        <v>10785</v>
      </c>
      <c r="B7848" s="1" t="str">
        <f>HYPERLINK("https://asmlis.vasa.lt/Dashboard/Served?ServiceDateFrom=2025-11-24&amp;ServiceDateTo=2025-11-24&amp;DumpsterInvNr=13-S-207878", "13-S-207878")</f>
        <v>13-S-207878</v>
      </c>
      <c r="C7848">
        <v>3</v>
      </c>
      <c r="D7848" t="s">
        <v>10787</v>
      </c>
      <c r="E7848" t="s">
        <v>11</v>
      </c>
      <c r="G7848" t="s">
        <v>234</v>
      </c>
      <c r="H7848" t="s">
        <v>14</v>
      </c>
    </row>
    <row r="7849" spans="1:8" hidden="1" x14ac:dyDescent="0.25">
      <c r="A7849" t="s">
        <v>10785</v>
      </c>
      <c r="B7849" s="1" t="str">
        <f>HYPERLINK("https://asmlis.vasa.lt/Dashboard/Served?ServiceDateFrom=2025-11-24&amp;ServiceDateTo=2025-11-24&amp;DumpsterInvNr=13-P-209809", "13-P-209809")</f>
        <v>13-P-209809</v>
      </c>
      <c r="C7849">
        <v>0.24</v>
      </c>
      <c r="D7849" t="s">
        <v>6444</v>
      </c>
      <c r="E7849" t="s">
        <v>11</v>
      </c>
      <c r="F7849" t="s">
        <v>1209</v>
      </c>
      <c r="G7849" t="s">
        <v>234</v>
      </c>
      <c r="H7849" t="s">
        <v>14</v>
      </c>
    </row>
    <row r="7850" spans="1:8" hidden="1" x14ac:dyDescent="0.25">
      <c r="A7850" t="s">
        <v>10788</v>
      </c>
      <c r="B7850" s="1" t="str">
        <f>HYPERLINK("https://asmlis.vasa.lt/Dashboard/Served?ServiceDateFrom=2025-11-24&amp;ServiceDateTo=2025-11-24&amp;DumpsterInvNr=13-M-200978", "13-M-200978")</f>
        <v>13-M-200978</v>
      </c>
      <c r="C7850">
        <v>0.12</v>
      </c>
      <c r="D7850" t="s">
        <v>10789</v>
      </c>
      <c r="E7850" t="s">
        <v>11</v>
      </c>
      <c r="G7850" t="s">
        <v>4876</v>
      </c>
      <c r="H7850" t="s">
        <v>938</v>
      </c>
    </row>
    <row r="7851" spans="1:8" hidden="1" x14ac:dyDescent="0.25">
      <c r="A7851" t="s">
        <v>10790</v>
      </c>
      <c r="B7851" s="1" t="str">
        <f>HYPERLINK("https://asmlis.vasa.lt/Dashboard/Served?ServiceDateFrom=2025-11-24&amp;ServiceDateTo=2025-11-24&amp;DumpsterInvNr=13-P-508002", "13-P-508002")</f>
        <v>13-P-508002</v>
      </c>
      <c r="C7851">
        <v>5</v>
      </c>
      <c r="D7851" t="s">
        <v>10792</v>
      </c>
      <c r="E7851" t="s">
        <v>11</v>
      </c>
      <c r="F7851" t="s">
        <v>13</v>
      </c>
      <c r="G7851" t="s">
        <v>2178</v>
      </c>
      <c r="H7851" t="s">
        <v>432</v>
      </c>
    </row>
    <row r="7852" spans="1:8" hidden="1" x14ac:dyDescent="0.25">
      <c r="A7852" t="s">
        <v>10793</v>
      </c>
      <c r="B7852" s="1" t="str">
        <f>HYPERLINK("https://asmlis.vasa.lt/Dashboard/Served?ServiceDateFrom=2025-11-24&amp;ServiceDateTo=2025-11-24&amp;DumpsterInvNr=13-P-415282", "13-P-415282")</f>
        <v>13-P-415282</v>
      </c>
      <c r="C7852">
        <v>0.24</v>
      </c>
      <c r="D7852" t="s">
        <v>10794</v>
      </c>
      <c r="E7852" t="s">
        <v>11</v>
      </c>
      <c r="F7852" t="s">
        <v>1209</v>
      </c>
      <c r="G7852" t="s">
        <v>264</v>
      </c>
      <c r="H7852" t="s">
        <v>14</v>
      </c>
    </row>
    <row r="7853" spans="1:8" hidden="1" x14ac:dyDescent="0.25">
      <c r="A7853" t="s">
        <v>10796</v>
      </c>
      <c r="B7853" s="1" t="str">
        <f>HYPERLINK("https://asmlis.vasa.lt/Dashboard/Served?ServiceDateFrom=2025-11-24&amp;ServiceDateTo=2025-11-24&amp;DumpsterInvNr=13-L-314522", "13-L-314522")</f>
        <v>13-L-314522</v>
      </c>
      <c r="C7853">
        <v>1.1000000000000001</v>
      </c>
      <c r="D7853" t="s">
        <v>7032</v>
      </c>
      <c r="E7853" t="s">
        <v>11</v>
      </c>
      <c r="G7853" t="s">
        <v>9</v>
      </c>
      <c r="H7853" t="s">
        <v>14</v>
      </c>
    </row>
    <row r="7854" spans="1:8" hidden="1" x14ac:dyDescent="0.25">
      <c r="A7854" t="s">
        <v>10797</v>
      </c>
      <c r="B7854" s="1" t="str">
        <f>HYPERLINK("https://asmlis.vasa.lt/Dashboard/Served?ServiceDateFrom=2025-11-24&amp;ServiceDateTo=2025-11-24&amp;DumpsterInvNr=13-P-501792", "13-P-501792")</f>
        <v>13-P-501792</v>
      </c>
      <c r="C7854">
        <v>5</v>
      </c>
      <c r="D7854" t="s">
        <v>6396</v>
      </c>
      <c r="E7854" t="s">
        <v>11</v>
      </c>
      <c r="F7854" t="s">
        <v>13</v>
      </c>
      <c r="G7854" t="s">
        <v>2178</v>
      </c>
      <c r="H7854" t="s">
        <v>432</v>
      </c>
    </row>
    <row r="7855" spans="1:8" hidden="1" x14ac:dyDescent="0.25">
      <c r="A7855" t="s">
        <v>10798</v>
      </c>
      <c r="B7855" s="1" t="str">
        <f>HYPERLINK("https://asmlis.vasa.lt/Dashboard/Served?ServiceDateFrom=2025-11-24&amp;ServiceDateTo=2025-11-24&amp;DumpsterInvNr=13-L-117626", "13-L-117626")</f>
        <v>13-L-117626</v>
      </c>
      <c r="C7855">
        <v>0.12</v>
      </c>
      <c r="D7855" t="s">
        <v>10799</v>
      </c>
      <c r="E7855" t="s">
        <v>11</v>
      </c>
      <c r="G7855" t="s">
        <v>1912</v>
      </c>
      <c r="H7855" t="s">
        <v>432</v>
      </c>
    </row>
    <row r="7856" spans="1:8" hidden="1" x14ac:dyDescent="0.25">
      <c r="A7856" t="s">
        <v>10800</v>
      </c>
      <c r="B7856" s="1" t="str">
        <f>HYPERLINK("https://asmlis.vasa.lt/Dashboard/Served?ServiceDateFrom=2025-11-24&amp;ServiceDateTo=2025-11-24&amp;DumpsterInvNr=13-P-409146", "13-P-409146")</f>
        <v>13-P-409146</v>
      </c>
      <c r="C7856">
        <v>1.1000000000000001</v>
      </c>
      <c r="D7856" t="s">
        <v>1340</v>
      </c>
      <c r="E7856" t="s">
        <v>11</v>
      </c>
      <c r="G7856" t="s">
        <v>264</v>
      </c>
      <c r="H7856" t="s">
        <v>14</v>
      </c>
    </row>
    <row r="7857" spans="1:8" hidden="1" x14ac:dyDescent="0.25">
      <c r="A7857" t="s">
        <v>10801</v>
      </c>
      <c r="B7857" s="1" t="str">
        <f>HYPERLINK("https://asmlis.vasa.lt/Dashboard/Served?ServiceDateFrom=2025-11-24&amp;ServiceDateTo=2025-11-24&amp;DumpsterInvNr=13-L-228072", "13-L-228072")</f>
        <v>13-L-228072</v>
      </c>
      <c r="C7857">
        <v>5</v>
      </c>
      <c r="D7857" t="s">
        <v>6556</v>
      </c>
      <c r="E7857" t="s">
        <v>11</v>
      </c>
      <c r="G7857" t="s">
        <v>936</v>
      </c>
      <c r="H7857" t="s">
        <v>938</v>
      </c>
    </row>
    <row r="7858" spans="1:8" hidden="1" x14ac:dyDescent="0.25">
      <c r="A7858" t="s">
        <v>10801</v>
      </c>
      <c r="B7858" s="1" t="str">
        <f>HYPERLINK("https://asmlis.vasa.lt/Dashboard/Served?ServiceDateFrom=2025-11-24&amp;ServiceDateTo=2025-11-24&amp;DumpsterInvNr=13-P-302167", "13-P-302167")</f>
        <v>13-P-302167</v>
      </c>
      <c r="C7858">
        <v>1.1000000000000001</v>
      </c>
      <c r="D7858" t="s">
        <v>4447</v>
      </c>
      <c r="E7858" t="s">
        <v>11</v>
      </c>
      <c r="G7858" t="s">
        <v>412</v>
      </c>
      <c r="H7858" t="s">
        <v>14</v>
      </c>
    </row>
    <row r="7859" spans="1:8" hidden="1" x14ac:dyDescent="0.25">
      <c r="A7859" t="s">
        <v>10802</v>
      </c>
      <c r="B7859" s="1" t="str">
        <f>HYPERLINK("https://asmlis.vasa.lt/Dashboard/Served?ServiceDateFrom=2025-11-24&amp;ServiceDateTo=2025-11-24&amp;DumpsterInvNr=13-P-112707", "13-P-112707")</f>
        <v>13-P-112707</v>
      </c>
      <c r="C7859">
        <v>0.24</v>
      </c>
      <c r="D7859" t="s">
        <v>10799</v>
      </c>
      <c r="E7859" t="s">
        <v>11</v>
      </c>
      <c r="G7859" t="s">
        <v>1917</v>
      </c>
      <c r="H7859" t="s">
        <v>432</v>
      </c>
    </row>
    <row r="7860" spans="1:8" hidden="1" x14ac:dyDescent="0.25">
      <c r="A7860" t="s">
        <v>10802</v>
      </c>
      <c r="B7860" s="1" t="str">
        <f>HYPERLINK("https://asmlis.vasa.lt/Dashboard/Served?ServiceDateFrom=2025-11-24&amp;ServiceDateTo=2025-11-24&amp;DumpsterInvNr=13-L-224062", "13-L-224062")</f>
        <v>13-L-224062</v>
      </c>
      <c r="C7860">
        <v>1.1000000000000001</v>
      </c>
      <c r="D7860" t="s">
        <v>10803</v>
      </c>
      <c r="E7860" t="s">
        <v>11</v>
      </c>
      <c r="G7860" t="s">
        <v>936</v>
      </c>
      <c r="H7860" t="s">
        <v>938</v>
      </c>
    </row>
    <row r="7861" spans="1:8" hidden="1" x14ac:dyDescent="0.25">
      <c r="A7861" t="s">
        <v>10804</v>
      </c>
      <c r="B7861" s="1" t="str">
        <f>HYPERLINK("https://asmlis.vasa.lt/Dashboard/Served?ServiceDateFrom=2025-11-24&amp;ServiceDateTo=2025-11-24&amp;DumpsterInvNr=13-S-402486", "13-S-402486")</f>
        <v>13-S-402486</v>
      </c>
      <c r="C7861">
        <v>0.12</v>
      </c>
      <c r="D7861" t="s">
        <v>10361</v>
      </c>
      <c r="E7861" t="s">
        <v>11</v>
      </c>
      <c r="G7861" t="s">
        <v>264</v>
      </c>
      <c r="H7861" t="s">
        <v>14</v>
      </c>
    </row>
    <row r="7862" spans="1:8" hidden="1" x14ac:dyDescent="0.25">
      <c r="A7862" t="s">
        <v>10805</v>
      </c>
      <c r="B7862" s="1" t="str">
        <f>HYPERLINK("https://asmlis.vasa.lt/Dashboard/Served?ServiceDateFrom=2025-11-24&amp;ServiceDateTo=2025-11-24&amp;DumpsterInvNr=13-L-206097", "13-L-206097")</f>
        <v>13-L-206097</v>
      </c>
      <c r="C7862">
        <v>0.12</v>
      </c>
      <c r="D7862" t="s">
        <v>8596</v>
      </c>
      <c r="E7862" t="s">
        <v>11</v>
      </c>
      <c r="F7862" t="s">
        <v>1209</v>
      </c>
      <c r="G7862" t="s">
        <v>936</v>
      </c>
      <c r="H7862" t="s">
        <v>938</v>
      </c>
    </row>
    <row r="7863" spans="1:8" hidden="1" x14ac:dyDescent="0.25">
      <c r="A7863" t="s">
        <v>10806</v>
      </c>
      <c r="B7863" s="1" t="str">
        <f>HYPERLINK("https://asmlis.vasa.lt/Dashboard/Served?ServiceDateFrom=2025-11-24&amp;ServiceDateTo=2025-11-24&amp;DumpsterInvNr=13-S-102354", "13-S-102354")</f>
        <v>13-S-102354</v>
      </c>
      <c r="C7863">
        <v>0.12</v>
      </c>
      <c r="D7863" t="s">
        <v>10755</v>
      </c>
      <c r="E7863" t="s">
        <v>11</v>
      </c>
      <c r="F7863" t="s">
        <v>1209</v>
      </c>
      <c r="G7863" t="s">
        <v>1917</v>
      </c>
      <c r="H7863" t="s">
        <v>432</v>
      </c>
    </row>
    <row r="7864" spans="1:8" hidden="1" x14ac:dyDescent="0.25">
      <c r="A7864" t="s">
        <v>10807</v>
      </c>
      <c r="B7864" s="1" t="str">
        <f>HYPERLINK("https://asmlis.vasa.lt/Dashboard/Served?ServiceDateFrom=2025-11-24&amp;ServiceDateTo=2025-11-24&amp;DumpsterInvNr=13-L-316463", "13-L-316463")</f>
        <v>13-L-316463</v>
      </c>
      <c r="C7864">
        <v>1.1000000000000001</v>
      </c>
      <c r="D7864" t="s">
        <v>7032</v>
      </c>
      <c r="E7864" t="s">
        <v>11</v>
      </c>
      <c r="G7864" t="s">
        <v>9</v>
      </c>
      <c r="H7864" t="s">
        <v>14</v>
      </c>
    </row>
    <row r="7865" spans="1:8" hidden="1" x14ac:dyDescent="0.25">
      <c r="A7865" t="s">
        <v>10808</v>
      </c>
      <c r="B7865" s="1" t="str">
        <f>HYPERLINK("https://asmlis.vasa.lt/Dashboard/Served?ServiceDateFrom=2025-11-24&amp;ServiceDateTo=2025-11-24&amp;DumpsterInvNr=13-L-206096", "13-L-206096")</f>
        <v>13-L-206096</v>
      </c>
      <c r="C7865">
        <v>0.12</v>
      </c>
      <c r="D7865" t="s">
        <v>8499</v>
      </c>
      <c r="E7865" t="s">
        <v>11</v>
      </c>
      <c r="F7865" t="s">
        <v>1209</v>
      </c>
      <c r="G7865" t="s">
        <v>936</v>
      </c>
      <c r="H7865" t="s">
        <v>938</v>
      </c>
    </row>
    <row r="7866" spans="1:8" hidden="1" x14ac:dyDescent="0.25">
      <c r="A7866" t="s">
        <v>10808</v>
      </c>
      <c r="B7866" s="1" t="str">
        <f>HYPERLINK("https://asmlis.vasa.lt/Dashboard/Served?ServiceDateFrom=2025-11-24&amp;ServiceDateTo=2025-11-24&amp;DumpsterInvNr=13-S-107718", "13-S-107718")</f>
        <v>13-S-107718</v>
      </c>
      <c r="C7866">
        <v>0.12</v>
      </c>
      <c r="D7866" t="s">
        <v>10799</v>
      </c>
      <c r="E7866" t="s">
        <v>11</v>
      </c>
      <c r="F7866" t="s">
        <v>1209</v>
      </c>
      <c r="G7866" t="s">
        <v>1917</v>
      </c>
      <c r="H7866" t="s">
        <v>432</v>
      </c>
    </row>
    <row r="7867" spans="1:8" hidden="1" x14ac:dyDescent="0.25">
      <c r="A7867" t="s">
        <v>10810</v>
      </c>
      <c r="B7867" s="1" t="str">
        <f>HYPERLINK("https://asmlis.vasa.lt/Dashboard/Served?ServiceDateFrom=2025-11-24&amp;ServiceDateTo=2025-11-24&amp;DumpsterInvNr=13-P-302345", "13-P-302345")</f>
        <v>13-P-302345</v>
      </c>
      <c r="C7867">
        <v>5</v>
      </c>
      <c r="D7867" t="s">
        <v>10811</v>
      </c>
      <c r="E7867" t="s">
        <v>11</v>
      </c>
      <c r="G7867" t="s">
        <v>412</v>
      </c>
      <c r="H7867" t="s">
        <v>14</v>
      </c>
    </row>
    <row r="7868" spans="1:8" hidden="1" x14ac:dyDescent="0.25">
      <c r="A7868" t="s">
        <v>10812</v>
      </c>
      <c r="B7868" s="1" t="str">
        <f>HYPERLINK("https://asmlis.vasa.lt/Dashboard/Served?ServiceDateFrom=2025-11-24&amp;ServiceDateTo=2025-11-24&amp;DumpsterInvNr=13-P-413815", "13-P-413815")</f>
        <v>13-P-413815</v>
      </c>
      <c r="C7868">
        <v>3</v>
      </c>
      <c r="D7868" t="s">
        <v>10813</v>
      </c>
      <c r="E7868" t="s">
        <v>11</v>
      </c>
      <c r="F7868" t="s">
        <v>13</v>
      </c>
      <c r="G7868" t="s">
        <v>264</v>
      </c>
      <c r="H7868" t="s">
        <v>14</v>
      </c>
    </row>
    <row r="7869" spans="1:8" hidden="1" x14ac:dyDescent="0.25">
      <c r="A7869" t="s">
        <v>10814</v>
      </c>
      <c r="B7869" s="1" t="str">
        <f>HYPERLINK("https://asmlis.vasa.lt/Dashboard/Served?ServiceDateFrom=2025-11-24&amp;ServiceDateTo=2025-11-24&amp;DumpsterInvNr=13-P-413978", "13-P-413978")</f>
        <v>13-P-413978</v>
      </c>
      <c r="C7869">
        <v>3</v>
      </c>
      <c r="D7869" t="s">
        <v>10813</v>
      </c>
      <c r="E7869" t="s">
        <v>11</v>
      </c>
      <c r="F7869" t="s">
        <v>13</v>
      </c>
      <c r="G7869" t="s">
        <v>264</v>
      </c>
      <c r="H7869" t="s">
        <v>14</v>
      </c>
    </row>
    <row r="7870" spans="1:8" hidden="1" x14ac:dyDescent="0.25">
      <c r="A7870" t="s">
        <v>10814</v>
      </c>
      <c r="B7870" s="1" t="str">
        <f>HYPERLINK("https://asmlis.vasa.lt/Dashboard/Served?ServiceDateFrom=2025-11-24&amp;ServiceDateTo=2025-11-24&amp;DumpsterInvNr=13-L-117625", "13-L-117625")</f>
        <v>13-L-117625</v>
      </c>
      <c r="C7870">
        <v>0.12</v>
      </c>
      <c r="D7870" t="s">
        <v>10815</v>
      </c>
      <c r="E7870" t="s">
        <v>11</v>
      </c>
      <c r="F7870" t="s">
        <v>1209</v>
      </c>
      <c r="G7870" t="s">
        <v>1912</v>
      </c>
      <c r="H7870" t="s">
        <v>432</v>
      </c>
    </row>
    <row r="7871" spans="1:8" hidden="1" x14ac:dyDescent="0.25">
      <c r="A7871" t="s">
        <v>10816</v>
      </c>
      <c r="B7871" s="1" t="str">
        <f>HYPERLINK("https://asmlis.vasa.lt/Dashboard/Served?ServiceDateFrom=2025-11-24&amp;ServiceDateTo=2025-11-24&amp;DumpsterInvNr=13-P-409184", "13-P-409184")</f>
        <v>13-P-409184</v>
      </c>
      <c r="C7871">
        <v>1.1000000000000001</v>
      </c>
      <c r="D7871" t="s">
        <v>1340</v>
      </c>
      <c r="E7871" t="s">
        <v>11</v>
      </c>
      <c r="G7871" t="s">
        <v>264</v>
      </c>
      <c r="H7871" t="s">
        <v>14</v>
      </c>
    </row>
    <row r="7872" spans="1:8" hidden="1" x14ac:dyDescent="0.25">
      <c r="A7872" t="s">
        <v>10816</v>
      </c>
      <c r="B7872" s="1" t="str">
        <f>HYPERLINK("https://asmlis.vasa.lt/Dashboard/Served?ServiceDateFrom=2025-11-24&amp;ServiceDateTo=2025-11-24&amp;DumpsterInvNr=13-M-200297", "13-M-200297")</f>
        <v>13-M-200297</v>
      </c>
      <c r="C7872">
        <v>0.12</v>
      </c>
      <c r="D7872" t="s">
        <v>10817</v>
      </c>
      <c r="E7872" t="s">
        <v>11</v>
      </c>
      <c r="G7872" t="s">
        <v>4876</v>
      </c>
      <c r="H7872" t="s">
        <v>938</v>
      </c>
    </row>
    <row r="7873" spans="1:8" hidden="1" x14ac:dyDescent="0.25">
      <c r="A7873" t="s">
        <v>10818</v>
      </c>
      <c r="B7873" s="1" t="str">
        <f>HYPERLINK("https://asmlis.vasa.lt/Dashboard/Served?ServiceDateFrom=2025-11-24&amp;ServiceDateTo=2025-11-24&amp;DumpsterInvNr=13-P-101142", "13-P-101142")</f>
        <v>13-P-101142</v>
      </c>
      <c r="C7873">
        <v>0.24</v>
      </c>
      <c r="D7873" t="s">
        <v>10815</v>
      </c>
      <c r="E7873" t="s">
        <v>11</v>
      </c>
      <c r="F7873" t="s">
        <v>1209</v>
      </c>
      <c r="G7873" t="s">
        <v>1917</v>
      </c>
      <c r="H7873" t="s">
        <v>432</v>
      </c>
    </row>
    <row r="7874" spans="1:8" hidden="1" x14ac:dyDescent="0.25">
      <c r="A7874" t="s">
        <v>10819</v>
      </c>
      <c r="B7874" s="1" t="str">
        <f>HYPERLINK("https://asmlis.vasa.lt/Dashboard/Served?ServiceDateFrom=2025-11-24&amp;ServiceDateTo=2025-11-24&amp;DumpsterInvNr=13-M-205565", "13-M-205565")</f>
        <v>13-M-205565</v>
      </c>
      <c r="C7874">
        <v>0.12</v>
      </c>
      <c r="D7874" t="s">
        <v>10820</v>
      </c>
      <c r="E7874" t="s">
        <v>11</v>
      </c>
      <c r="F7874" t="s">
        <v>1209</v>
      </c>
      <c r="G7874" t="s">
        <v>4876</v>
      </c>
      <c r="H7874" t="s">
        <v>938</v>
      </c>
    </row>
    <row r="7875" spans="1:8" hidden="1" x14ac:dyDescent="0.25">
      <c r="A7875" t="s">
        <v>10821</v>
      </c>
      <c r="B7875" s="1" t="str">
        <f>HYPERLINK("https://asmlis.vasa.lt/Dashboard/Served?ServiceDateFrom=2025-11-24&amp;ServiceDateTo=2025-11-24&amp;DumpsterInvNr=13-L-422542", "13-L-422542")</f>
        <v>13-L-422542</v>
      </c>
      <c r="C7875">
        <v>0.24</v>
      </c>
      <c r="D7875" t="s">
        <v>10822</v>
      </c>
      <c r="E7875" t="s">
        <v>11</v>
      </c>
      <c r="G7875" t="s">
        <v>74</v>
      </c>
      <c r="H7875" t="s">
        <v>14</v>
      </c>
    </row>
    <row r="7876" spans="1:8" hidden="1" x14ac:dyDescent="0.25">
      <c r="A7876" t="s">
        <v>10823</v>
      </c>
      <c r="B7876" s="1" t="str">
        <f>HYPERLINK("https://asmlis.vasa.lt/Dashboard/Served?ServiceDateFrom=2025-11-24&amp;ServiceDateTo=2025-11-24&amp;DumpsterInvNr=13-P-101135", "13-P-101135")</f>
        <v>13-P-101135</v>
      </c>
      <c r="C7876">
        <v>0.12</v>
      </c>
      <c r="D7876" t="s">
        <v>10824</v>
      </c>
      <c r="E7876" t="s">
        <v>11</v>
      </c>
      <c r="G7876" t="s">
        <v>1917</v>
      </c>
      <c r="H7876" t="s">
        <v>432</v>
      </c>
    </row>
    <row r="7877" spans="1:8" hidden="1" x14ac:dyDescent="0.25">
      <c r="A7877" t="s">
        <v>10826</v>
      </c>
      <c r="B7877" s="1" t="str">
        <f>HYPERLINK("https://asmlis.vasa.lt/Dashboard/Served?ServiceDateFrom=2025-11-24&amp;ServiceDateTo=2025-11-24&amp;DumpsterInvNr=13-L-300188", "13-L-300188")</f>
        <v>13-L-300188</v>
      </c>
      <c r="C7877">
        <v>0.24</v>
      </c>
      <c r="D7877" t="s">
        <v>10827</v>
      </c>
      <c r="E7877" t="s">
        <v>11</v>
      </c>
      <c r="G7877" t="s">
        <v>9</v>
      </c>
      <c r="H7877" t="s">
        <v>14</v>
      </c>
    </row>
    <row r="7878" spans="1:8" hidden="1" x14ac:dyDescent="0.25">
      <c r="A7878" t="s">
        <v>10828</v>
      </c>
      <c r="B7878" s="1" t="str">
        <f>HYPERLINK("https://asmlis.vasa.lt/Dashboard/Served?ServiceDateFrom=2025-11-24&amp;ServiceDateTo=2025-11-24&amp;DumpsterInvNr=13-S-102371", "13-S-102371")</f>
        <v>13-S-102371</v>
      </c>
      <c r="C7878">
        <v>0.12</v>
      </c>
      <c r="D7878" t="s">
        <v>10824</v>
      </c>
      <c r="E7878" t="s">
        <v>11</v>
      </c>
      <c r="F7878" t="s">
        <v>1209</v>
      </c>
      <c r="G7878" t="s">
        <v>1917</v>
      </c>
      <c r="H7878" t="s">
        <v>432</v>
      </c>
    </row>
    <row r="7879" spans="1:8" hidden="1" x14ac:dyDescent="0.25">
      <c r="A7879" t="s">
        <v>10831</v>
      </c>
      <c r="B7879" s="1" t="str">
        <f>HYPERLINK("https://asmlis.vasa.lt/Dashboard/Served?ServiceDateFrom=2025-11-24&amp;ServiceDateTo=2025-11-24&amp;DumpsterInvNr=13-P-302221", "13-P-302221")</f>
        <v>13-P-302221</v>
      </c>
      <c r="C7879">
        <v>1.1000000000000001</v>
      </c>
      <c r="D7879" t="s">
        <v>4447</v>
      </c>
      <c r="E7879" t="s">
        <v>11</v>
      </c>
      <c r="G7879" t="s">
        <v>412</v>
      </c>
      <c r="H7879" t="s">
        <v>14</v>
      </c>
    </row>
    <row r="7880" spans="1:8" hidden="1" x14ac:dyDescent="0.25">
      <c r="A7880" t="s">
        <v>10832</v>
      </c>
      <c r="B7880" s="1" t="str">
        <f>HYPERLINK("https://asmlis.vasa.lt/Dashboard/Served?ServiceDateFrom=2025-11-24&amp;ServiceDateTo=2025-11-24&amp;DumpsterInvNr=13-P-415516", "13-P-415516")</f>
        <v>13-P-415516</v>
      </c>
      <c r="C7880">
        <v>5</v>
      </c>
      <c r="D7880" t="s">
        <v>10833</v>
      </c>
      <c r="E7880" t="s">
        <v>11</v>
      </c>
      <c r="G7880" t="s">
        <v>264</v>
      </c>
      <c r="H7880" t="s">
        <v>14</v>
      </c>
    </row>
    <row r="7881" spans="1:8" hidden="1" x14ac:dyDescent="0.25">
      <c r="A7881" t="s">
        <v>10834</v>
      </c>
      <c r="B7881" s="1" t="str">
        <f>HYPERLINK("https://asmlis.vasa.lt/Dashboard/Served?ServiceDateFrom=2025-11-24&amp;ServiceDateTo=2025-11-24&amp;DumpsterInvNr=13-L-418127", "13-L-418127")</f>
        <v>13-L-418127</v>
      </c>
      <c r="C7881">
        <v>1.1000000000000001</v>
      </c>
      <c r="D7881" t="s">
        <v>10763</v>
      </c>
      <c r="E7881" t="s">
        <v>11</v>
      </c>
      <c r="G7881" t="s">
        <v>74</v>
      </c>
      <c r="H7881" t="s">
        <v>14</v>
      </c>
    </row>
    <row r="7882" spans="1:8" hidden="1" x14ac:dyDescent="0.25">
      <c r="A7882" t="s">
        <v>10835</v>
      </c>
      <c r="B7882" s="1" t="str">
        <f>HYPERLINK("https://asmlis.vasa.lt/Dashboard/Served?ServiceDateFrom=2025-11-24&amp;ServiceDateTo=2025-11-24&amp;DumpsterInvNr=13-P-403868", "13-P-403868")</f>
        <v>13-P-403868</v>
      </c>
      <c r="C7882">
        <v>0.24</v>
      </c>
      <c r="D7882" t="s">
        <v>10836</v>
      </c>
      <c r="E7882" t="s">
        <v>11</v>
      </c>
      <c r="G7882" t="s">
        <v>264</v>
      </c>
      <c r="H7882" t="s">
        <v>14</v>
      </c>
    </row>
    <row r="7883" spans="1:8" hidden="1" x14ac:dyDescent="0.25">
      <c r="A7883" t="s">
        <v>10837</v>
      </c>
      <c r="B7883" s="1" t="str">
        <f>HYPERLINK("https://asmlis.vasa.lt/Dashboard/Served?ServiceDateFrom=2025-11-24&amp;ServiceDateTo=2025-11-24&amp;DumpsterInvNr=13-L-206095", "13-L-206095")</f>
        <v>13-L-206095</v>
      </c>
      <c r="C7883">
        <v>0.24</v>
      </c>
      <c r="D7883" t="s">
        <v>8476</v>
      </c>
      <c r="E7883" t="s">
        <v>11</v>
      </c>
      <c r="G7883" t="s">
        <v>936</v>
      </c>
      <c r="H7883" t="s">
        <v>938</v>
      </c>
    </row>
    <row r="7884" spans="1:8" hidden="1" x14ac:dyDescent="0.25">
      <c r="A7884" t="s">
        <v>10838</v>
      </c>
      <c r="B7884" s="1" t="str">
        <f>HYPERLINK("https://asmlis.vasa.lt/Dashboard/Served?ServiceDateFrom=2025-11-24&amp;ServiceDateTo=2025-11-24&amp;DumpsterInvNr=13-L-313908", "13-L-313908")</f>
        <v>13-L-313908</v>
      </c>
      <c r="C7884">
        <v>5</v>
      </c>
      <c r="D7884" t="s">
        <v>1004</v>
      </c>
      <c r="E7884" t="s">
        <v>11</v>
      </c>
      <c r="G7884" t="s">
        <v>9</v>
      </c>
      <c r="H7884" t="s">
        <v>14</v>
      </c>
    </row>
    <row r="7885" spans="1:8" hidden="1" x14ac:dyDescent="0.25">
      <c r="A7885" t="s">
        <v>10839</v>
      </c>
      <c r="B7885" s="1" t="str">
        <f>HYPERLINK("https://asmlis.vasa.lt/Dashboard/Served?ServiceDateFrom=2025-11-24&amp;ServiceDateTo=2025-11-24&amp;DumpsterInvNr=13-P-300747", "13-P-300747")</f>
        <v>13-P-300747</v>
      </c>
      <c r="C7885">
        <v>2.5</v>
      </c>
      <c r="D7885" t="s">
        <v>482</v>
      </c>
      <c r="E7885" t="s">
        <v>11</v>
      </c>
      <c r="G7885" t="s">
        <v>412</v>
      </c>
      <c r="H7885" t="s">
        <v>14</v>
      </c>
    </row>
    <row r="7886" spans="1:8" hidden="1" x14ac:dyDescent="0.25">
      <c r="A7886" t="s">
        <v>10840</v>
      </c>
      <c r="B7886" s="1" t="str">
        <f>HYPERLINK("https://asmlis.vasa.lt/Dashboard/Served?ServiceDateFrom=2025-11-24&amp;ServiceDateTo=2025-11-24&amp;DumpsterInvNr=13-L-113928", "13-L-113928")</f>
        <v>13-L-113928</v>
      </c>
      <c r="C7886">
        <v>0.24</v>
      </c>
      <c r="D7886" t="s">
        <v>10824</v>
      </c>
      <c r="E7886" t="s">
        <v>11</v>
      </c>
      <c r="F7886" t="s">
        <v>1209</v>
      </c>
      <c r="G7886" t="s">
        <v>1912</v>
      </c>
      <c r="H7886" t="s">
        <v>432</v>
      </c>
    </row>
    <row r="7887" spans="1:8" hidden="1" x14ac:dyDescent="0.25">
      <c r="A7887" t="s">
        <v>10841</v>
      </c>
      <c r="B7887" s="1" t="str">
        <f>HYPERLINK("https://asmlis.vasa.lt/Dashboard/Served?ServiceDateFrom=2025-11-24&amp;ServiceDateTo=2025-11-24&amp;DumpsterInvNr=13-L-127557", "13-L-127557")</f>
        <v>13-L-127557</v>
      </c>
      <c r="C7887">
        <v>0.12</v>
      </c>
      <c r="D7887" t="s">
        <v>10842</v>
      </c>
      <c r="E7887" t="s">
        <v>11</v>
      </c>
      <c r="G7887" t="s">
        <v>1912</v>
      </c>
      <c r="H7887" t="s">
        <v>432</v>
      </c>
    </row>
    <row r="7888" spans="1:8" hidden="1" x14ac:dyDescent="0.25">
      <c r="A7888" t="s">
        <v>10841</v>
      </c>
      <c r="B7888" s="1" t="str">
        <f>HYPERLINK("https://asmlis.vasa.lt/Dashboard/Served?ServiceDateFrom=2025-11-24&amp;ServiceDateTo=2025-11-24&amp;DumpsterInvNr=13-M-205534", "13-M-205534")</f>
        <v>13-M-205534</v>
      </c>
      <c r="C7888">
        <v>0.12</v>
      </c>
      <c r="D7888" t="s">
        <v>10844</v>
      </c>
      <c r="E7888" t="s">
        <v>11</v>
      </c>
      <c r="F7888" t="s">
        <v>1209</v>
      </c>
      <c r="G7888" t="s">
        <v>4876</v>
      </c>
      <c r="H7888" t="s">
        <v>938</v>
      </c>
    </row>
    <row r="7889" spans="1:8" hidden="1" x14ac:dyDescent="0.25">
      <c r="A7889" t="s">
        <v>10845</v>
      </c>
      <c r="B7889" s="1" t="str">
        <f>HYPERLINK("https://asmlis.vasa.lt/Dashboard/Served?ServiceDateFrom=2025-11-24&amp;ServiceDateTo=2025-11-24&amp;DumpsterInvNr=13-P-112706", "13-P-112706")</f>
        <v>13-P-112706</v>
      </c>
      <c r="C7889">
        <v>0.24</v>
      </c>
      <c r="D7889" t="s">
        <v>10842</v>
      </c>
      <c r="E7889" t="s">
        <v>11</v>
      </c>
      <c r="G7889" t="s">
        <v>1917</v>
      </c>
      <c r="H7889" t="s">
        <v>432</v>
      </c>
    </row>
    <row r="7890" spans="1:8" hidden="1" x14ac:dyDescent="0.25">
      <c r="A7890" t="s">
        <v>10846</v>
      </c>
      <c r="B7890" s="1" t="str">
        <f>HYPERLINK("https://asmlis.vasa.lt/Dashboard/Served?ServiceDateFrom=2025-11-24&amp;ServiceDateTo=2025-11-24&amp;DumpsterInvNr=13-M-200280", "13-M-200280")</f>
        <v>13-M-200280</v>
      </c>
      <c r="C7890">
        <v>0.12</v>
      </c>
      <c r="D7890" t="s">
        <v>10847</v>
      </c>
      <c r="E7890" t="s">
        <v>11</v>
      </c>
      <c r="F7890" t="s">
        <v>1209</v>
      </c>
      <c r="G7890" t="s">
        <v>4876</v>
      </c>
      <c r="H7890" t="s">
        <v>938</v>
      </c>
    </row>
    <row r="7891" spans="1:8" hidden="1" x14ac:dyDescent="0.25">
      <c r="A7891" t="s">
        <v>10848</v>
      </c>
      <c r="B7891" s="1" t="str">
        <f>HYPERLINK("https://asmlis.vasa.lt/Dashboard/Served?ServiceDateFrom=2025-11-24&amp;ServiceDateTo=2025-11-24&amp;DumpsterInvNr=13-L-425224", "13-L-425224")</f>
        <v>13-L-425224</v>
      </c>
      <c r="C7891">
        <v>1.1000000000000001</v>
      </c>
      <c r="D7891" t="s">
        <v>10763</v>
      </c>
      <c r="E7891" t="s">
        <v>11</v>
      </c>
      <c r="G7891" t="s">
        <v>74</v>
      </c>
      <c r="H7891" t="s">
        <v>14</v>
      </c>
    </row>
    <row r="7892" spans="1:8" hidden="1" x14ac:dyDescent="0.25">
      <c r="A7892" t="s">
        <v>10849</v>
      </c>
      <c r="B7892" s="1" t="str">
        <f>HYPERLINK("https://asmlis.vasa.lt/Dashboard/Served?ServiceDateFrom=2025-11-24&amp;ServiceDateTo=2025-11-24&amp;DumpsterInvNr=13-P-211068", "13-P-211068")</f>
        <v>13-P-211068</v>
      </c>
      <c r="C7892">
        <v>0.24</v>
      </c>
      <c r="D7892" t="s">
        <v>10850</v>
      </c>
      <c r="E7892" t="s">
        <v>11</v>
      </c>
      <c r="F7892" t="s">
        <v>1209</v>
      </c>
      <c r="G7892" t="s">
        <v>234</v>
      </c>
      <c r="H7892" t="s">
        <v>14</v>
      </c>
    </row>
    <row r="7893" spans="1:8" hidden="1" x14ac:dyDescent="0.25">
      <c r="A7893" t="s">
        <v>10851</v>
      </c>
      <c r="B7893" s="1" t="str">
        <f>HYPERLINK("https://asmlis.vasa.lt/Dashboard/Served?ServiceDateFrom=2025-11-24&amp;ServiceDateTo=2025-11-24&amp;DumpsterInvNr=13-L-134781", "13-L-134781")</f>
        <v>13-L-134781</v>
      </c>
      <c r="C7893">
        <v>5</v>
      </c>
      <c r="D7893" t="s">
        <v>10852</v>
      </c>
      <c r="E7893" t="s">
        <v>11</v>
      </c>
      <c r="F7893" t="s">
        <v>13</v>
      </c>
      <c r="G7893" t="s">
        <v>430</v>
      </c>
      <c r="H7893" t="s">
        <v>432</v>
      </c>
    </row>
    <row r="7894" spans="1:8" hidden="1" x14ac:dyDescent="0.25">
      <c r="A7894" t="s">
        <v>10851</v>
      </c>
      <c r="B7894" s="1" t="str">
        <f>HYPERLINK("https://asmlis.vasa.lt/Dashboard/Served?ServiceDateFrom=2025-11-24&amp;ServiceDateTo=2025-11-24&amp;DumpsterInvNr=13-L-117207", "13-L-117207")</f>
        <v>13-L-117207</v>
      </c>
      <c r="C7894">
        <v>0.12</v>
      </c>
      <c r="D7894" t="s">
        <v>10842</v>
      </c>
      <c r="E7894" t="s">
        <v>11</v>
      </c>
      <c r="F7894" t="s">
        <v>1209</v>
      </c>
      <c r="G7894" t="s">
        <v>1912</v>
      </c>
      <c r="H7894" t="s">
        <v>432</v>
      </c>
    </row>
    <row r="7895" spans="1:8" hidden="1" x14ac:dyDescent="0.25">
      <c r="A7895" t="s">
        <v>9735</v>
      </c>
      <c r="B7895" s="1" t="str">
        <f>HYPERLINK("https://asmlis.vasa.lt/Dashboard/Served?ServiceDateFrom=2025-11-24&amp;ServiceDateTo=2025-11-24&amp;DumpsterInvNr=13-L-142529", "13-L-142529")</f>
        <v>13-L-142529</v>
      </c>
      <c r="C7895">
        <v>5</v>
      </c>
      <c r="D7895" t="s">
        <v>10854</v>
      </c>
      <c r="E7895" t="s">
        <v>11</v>
      </c>
      <c r="F7895" t="s">
        <v>13</v>
      </c>
      <c r="G7895" t="s">
        <v>430</v>
      </c>
      <c r="H7895" t="s">
        <v>432</v>
      </c>
    </row>
    <row r="7896" spans="1:8" hidden="1" x14ac:dyDescent="0.25">
      <c r="A7896" t="s">
        <v>9735</v>
      </c>
      <c r="B7896" s="1" t="str">
        <f>HYPERLINK("https://asmlis.vasa.lt/Dashboard/Served?ServiceDateFrom=2025-11-24&amp;ServiceDateTo=2025-11-24&amp;DumpsterInvNr=13-L-425225", "13-L-425225")</f>
        <v>13-L-425225</v>
      </c>
      <c r="C7896">
        <v>1.1000000000000001</v>
      </c>
      <c r="D7896" t="s">
        <v>10763</v>
      </c>
      <c r="E7896" t="s">
        <v>11</v>
      </c>
      <c r="G7896" t="s">
        <v>74</v>
      </c>
      <c r="H7896" t="s">
        <v>14</v>
      </c>
    </row>
    <row r="7897" spans="1:8" hidden="1" x14ac:dyDescent="0.25">
      <c r="A7897" t="s">
        <v>10855</v>
      </c>
      <c r="B7897" s="1" t="str">
        <f>HYPERLINK("https://asmlis.vasa.lt/Dashboard/Served?ServiceDateFrom=2025-11-24&amp;ServiceDateTo=2025-11-24&amp;DumpsterInvNr=13-S-107673", "13-S-107673")</f>
        <v>13-S-107673</v>
      </c>
      <c r="C7897">
        <v>0.12</v>
      </c>
      <c r="D7897" t="s">
        <v>10842</v>
      </c>
      <c r="E7897" t="s">
        <v>11</v>
      </c>
      <c r="F7897" t="s">
        <v>1209</v>
      </c>
      <c r="G7897" t="s">
        <v>1917</v>
      </c>
      <c r="H7897" t="s">
        <v>432</v>
      </c>
    </row>
    <row r="7898" spans="1:8" hidden="1" x14ac:dyDescent="0.25">
      <c r="A7898" t="s">
        <v>10857</v>
      </c>
      <c r="B7898" s="1" t="str">
        <f>HYPERLINK("https://asmlis.vasa.lt/Dashboard/Served?ServiceDateFrom=2025-11-24&amp;ServiceDateTo=2025-11-24&amp;DumpsterInvNr=13-S-409605", "13-S-409605")</f>
        <v>13-S-409605</v>
      </c>
      <c r="C7898">
        <v>0.24</v>
      </c>
      <c r="D7898" t="s">
        <v>10858</v>
      </c>
      <c r="E7898" t="s">
        <v>11</v>
      </c>
      <c r="F7898" t="s">
        <v>1209</v>
      </c>
      <c r="G7898" t="s">
        <v>264</v>
      </c>
      <c r="H7898" t="s">
        <v>14</v>
      </c>
    </row>
    <row r="7899" spans="1:8" hidden="1" x14ac:dyDescent="0.25">
      <c r="A7899" t="s">
        <v>9669</v>
      </c>
      <c r="B7899" s="1" t="str">
        <f>HYPERLINK("https://asmlis.vasa.lt/Dashboard/Served?ServiceDateFrom=2025-11-24&amp;ServiceDateTo=2025-11-24&amp;DumpsterInvNr=13-P-416085", "13-P-416085")</f>
        <v>13-P-416085</v>
      </c>
      <c r="C7899">
        <v>0.24</v>
      </c>
      <c r="D7899" t="s">
        <v>10858</v>
      </c>
      <c r="E7899" t="s">
        <v>11</v>
      </c>
      <c r="F7899" t="s">
        <v>1209</v>
      </c>
      <c r="G7899" t="s">
        <v>264</v>
      </c>
      <c r="H7899" t="s">
        <v>14</v>
      </c>
    </row>
    <row r="7900" spans="1:8" hidden="1" x14ac:dyDescent="0.25">
      <c r="A7900" t="s">
        <v>10860</v>
      </c>
      <c r="B7900" s="1" t="str">
        <f>HYPERLINK("https://asmlis.vasa.lt/Dashboard/Served?ServiceDateFrom=2025-11-24&amp;ServiceDateTo=2025-11-24&amp;DumpsterInvNr=13-P-411472", "13-P-411472")</f>
        <v>13-P-411472</v>
      </c>
      <c r="C7900">
        <v>0.24</v>
      </c>
      <c r="D7900" t="s">
        <v>10862</v>
      </c>
      <c r="E7900" t="s">
        <v>11</v>
      </c>
      <c r="F7900" t="s">
        <v>1209</v>
      </c>
      <c r="G7900" t="s">
        <v>264</v>
      </c>
      <c r="H7900" t="s">
        <v>14</v>
      </c>
    </row>
    <row r="7901" spans="1:8" hidden="1" x14ac:dyDescent="0.25">
      <c r="A7901" t="s">
        <v>10863</v>
      </c>
      <c r="B7901" s="1" t="str">
        <f>HYPERLINK("https://asmlis.vasa.lt/Dashboard/Served?ServiceDateFrom=2025-11-24&amp;ServiceDateTo=2025-11-24&amp;DumpsterInvNr=13-L-319676", "13-L-319676")</f>
        <v>13-L-319676</v>
      </c>
      <c r="C7901">
        <v>1.1000000000000001</v>
      </c>
      <c r="D7901" t="s">
        <v>10864</v>
      </c>
      <c r="E7901" t="s">
        <v>11</v>
      </c>
      <c r="F7901" t="s">
        <v>13</v>
      </c>
      <c r="G7901" t="s">
        <v>9</v>
      </c>
      <c r="H7901" t="s">
        <v>14</v>
      </c>
    </row>
    <row r="7902" spans="1:8" hidden="1" x14ac:dyDescent="0.25">
      <c r="A7902" t="s">
        <v>10865</v>
      </c>
      <c r="B7902" s="1" t="str">
        <f>HYPERLINK("https://asmlis.vasa.lt/Dashboard/Served?ServiceDateFrom=2025-11-24&amp;ServiceDateTo=2025-11-24&amp;DumpsterInvNr=13-L-422543", "13-L-422543")</f>
        <v>13-L-422543</v>
      </c>
      <c r="C7902">
        <v>0.12</v>
      </c>
      <c r="D7902" t="s">
        <v>10866</v>
      </c>
      <c r="E7902" t="s">
        <v>11</v>
      </c>
      <c r="G7902" t="s">
        <v>74</v>
      </c>
      <c r="H7902" t="s">
        <v>14</v>
      </c>
    </row>
    <row r="7903" spans="1:8" hidden="1" x14ac:dyDescent="0.25">
      <c r="A7903" t="s">
        <v>10867</v>
      </c>
      <c r="B7903" s="1" t="str">
        <f>HYPERLINK("https://asmlis.vasa.lt/Dashboard/Served?ServiceDateFrom=2025-11-24&amp;ServiceDateTo=2025-11-24&amp;DumpsterInvNr=13-L-217912", "13-L-217912")</f>
        <v>13-L-217912</v>
      </c>
      <c r="C7903">
        <v>0.24</v>
      </c>
      <c r="D7903" t="s">
        <v>8465</v>
      </c>
      <c r="E7903" t="s">
        <v>11</v>
      </c>
      <c r="G7903" t="s">
        <v>936</v>
      </c>
      <c r="H7903" t="s">
        <v>938</v>
      </c>
    </row>
    <row r="7904" spans="1:8" hidden="1" x14ac:dyDescent="0.25">
      <c r="A7904" t="s">
        <v>10868</v>
      </c>
      <c r="B7904" s="1" t="str">
        <f>HYPERLINK("https://asmlis.vasa.lt/Dashboard/Served?ServiceDateFrom=2025-11-24&amp;ServiceDateTo=2025-11-24&amp;DumpsterInvNr=13-L-211114", "13-L-211114")</f>
        <v>13-L-211114</v>
      </c>
      <c r="C7904">
        <v>0.24</v>
      </c>
      <c r="D7904" t="s">
        <v>8462</v>
      </c>
      <c r="E7904" t="s">
        <v>11</v>
      </c>
      <c r="G7904" t="s">
        <v>936</v>
      </c>
      <c r="H7904" t="s">
        <v>938</v>
      </c>
    </row>
    <row r="7905" spans="1:10" hidden="1" x14ac:dyDescent="0.25">
      <c r="A7905" t="s">
        <v>10868</v>
      </c>
      <c r="B7905" s="1" t="str">
        <f>HYPERLINK("https://asmlis.vasa.lt/Dashboard/Served?ServiceDateFrom=2025-11-24&amp;ServiceDateTo=2025-11-24&amp;DumpsterInvNr=13-M-202346", "13-M-202346")</f>
        <v>13-M-202346</v>
      </c>
      <c r="C7905">
        <v>0.12</v>
      </c>
      <c r="D7905" t="s">
        <v>10869</v>
      </c>
      <c r="E7905" t="s">
        <v>11</v>
      </c>
      <c r="F7905" t="s">
        <v>1209</v>
      </c>
      <c r="G7905" t="s">
        <v>4876</v>
      </c>
      <c r="H7905" t="s">
        <v>938</v>
      </c>
    </row>
    <row r="7906" spans="1:10" hidden="1" x14ac:dyDescent="0.25">
      <c r="A7906" t="s">
        <v>10868</v>
      </c>
      <c r="B7906" s="1" t="str">
        <f>HYPERLINK("https://asmlis.vasa.lt/Dashboard/Served?ServiceDateFrom=2025-11-24&amp;ServiceDateTo=2025-11-24&amp;DumpsterInvNr=13-P-500443", "13-P-500443")</f>
        <v>13-P-500443</v>
      </c>
      <c r="C7906">
        <v>5</v>
      </c>
      <c r="D7906" t="s">
        <v>6313</v>
      </c>
      <c r="E7906" t="s">
        <v>11</v>
      </c>
      <c r="F7906" t="s">
        <v>13</v>
      </c>
      <c r="G7906" t="s">
        <v>2178</v>
      </c>
      <c r="H7906" t="s">
        <v>432</v>
      </c>
    </row>
    <row r="7907" spans="1:10" hidden="1" x14ac:dyDescent="0.25">
      <c r="A7907" t="s">
        <v>10871</v>
      </c>
      <c r="B7907" s="1" t="str">
        <f>HYPERLINK("https://asmlis.vasa.lt/Dashboard/Served?ServiceDateFrom=2025-11-24&amp;ServiceDateTo=2025-11-24&amp;DumpsterInvNr=13-L-219319", "13-L-219319")</f>
        <v>13-L-219319</v>
      </c>
      <c r="C7907">
        <v>1.1000000000000001</v>
      </c>
      <c r="D7907" t="s">
        <v>10872</v>
      </c>
      <c r="E7907" t="s">
        <v>11</v>
      </c>
      <c r="G7907" t="s">
        <v>936</v>
      </c>
      <c r="H7907" t="s">
        <v>938</v>
      </c>
    </row>
    <row r="7908" spans="1:10" hidden="1" x14ac:dyDescent="0.25">
      <c r="A7908" t="s">
        <v>10873</v>
      </c>
      <c r="B7908" s="1" t="str">
        <f>HYPERLINK("https://asmlis.vasa.lt/Dashboard/Served?ServiceDateFrom=2025-11-24&amp;ServiceDateTo=2025-11-24&amp;DumpsterInvNr=13-M-204673", "13-M-204673")</f>
        <v>13-M-204673</v>
      </c>
      <c r="C7908">
        <v>0.12</v>
      </c>
      <c r="D7908" t="s">
        <v>10874</v>
      </c>
      <c r="E7908" t="s">
        <v>11</v>
      </c>
      <c r="F7908" t="s">
        <v>1209</v>
      </c>
      <c r="G7908" t="s">
        <v>4876</v>
      </c>
      <c r="H7908" t="s">
        <v>938</v>
      </c>
    </row>
    <row r="7909" spans="1:10" hidden="1" x14ac:dyDescent="0.25">
      <c r="A7909" t="s">
        <v>10875</v>
      </c>
      <c r="B7909" s="1" t="str">
        <f>HYPERLINK("https://asmlis.vasa.lt/Dashboard/Served?ServiceDateFrom=2025-11-24&amp;ServiceDateTo=2025-11-24&amp;DumpsterInvNr=13-P-500442", "13-P-500442")</f>
        <v>13-P-500442</v>
      </c>
      <c r="C7909">
        <v>5</v>
      </c>
      <c r="D7909" t="s">
        <v>6313</v>
      </c>
      <c r="E7909" t="s">
        <v>11</v>
      </c>
      <c r="F7909" t="s">
        <v>13</v>
      </c>
      <c r="G7909" t="s">
        <v>2178</v>
      </c>
      <c r="H7909" t="s">
        <v>432</v>
      </c>
    </row>
    <row r="7910" spans="1:10" hidden="1" x14ac:dyDescent="0.25">
      <c r="A7910" t="s">
        <v>10876</v>
      </c>
      <c r="B7910" s="1" t="str">
        <f>HYPERLINK("https://asmlis.vasa.lt/Dashboard/Served?ServiceDateFrom=2025-11-24&amp;ServiceDateTo=2025-11-24&amp;DumpsterInvNr=13-M-202151", "13-M-202151")</f>
        <v>13-M-202151</v>
      </c>
      <c r="C7910">
        <v>0.12</v>
      </c>
      <c r="D7910" t="s">
        <v>10877</v>
      </c>
      <c r="E7910" t="s">
        <v>11</v>
      </c>
      <c r="F7910" t="s">
        <v>1209</v>
      </c>
      <c r="G7910" t="s">
        <v>4876</v>
      </c>
      <c r="H7910" t="s">
        <v>938</v>
      </c>
    </row>
    <row r="7911" spans="1:10" hidden="1" x14ac:dyDescent="0.25">
      <c r="A7911" t="s">
        <v>10879</v>
      </c>
      <c r="B7911" s="1" t="str">
        <f>HYPERLINK("https://asmlis.vasa.lt/Dashboard/Served?ServiceDateFrom=2025-11-24&amp;ServiceDateTo=2025-11-24&amp;DumpsterInvNr=13-M-204694", "13-M-204694")</f>
        <v>13-M-204694</v>
      </c>
      <c r="C7911">
        <v>0.12</v>
      </c>
      <c r="D7911" t="s">
        <v>10880</v>
      </c>
      <c r="E7911" t="s">
        <v>11</v>
      </c>
      <c r="F7911" t="s">
        <v>1209</v>
      </c>
      <c r="G7911" t="s">
        <v>4876</v>
      </c>
      <c r="H7911" t="s">
        <v>938</v>
      </c>
    </row>
    <row r="7912" spans="1:10" hidden="1" x14ac:dyDescent="0.25">
      <c r="A7912" t="s">
        <v>10882</v>
      </c>
      <c r="B7912" s="1" t="str">
        <f>HYPERLINK("https://asmlis.vasa.lt/Dashboard/Served?ServiceDateFrom=2025-11-24&amp;ServiceDateTo=2025-11-24&amp;DumpsterInvNr=13-M-200285", "13-M-200285")</f>
        <v>13-M-200285</v>
      </c>
      <c r="C7912">
        <v>0.12</v>
      </c>
      <c r="D7912" t="s">
        <v>10883</v>
      </c>
      <c r="E7912" t="s">
        <v>11</v>
      </c>
      <c r="F7912" t="s">
        <v>1209</v>
      </c>
      <c r="G7912" t="s">
        <v>4876</v>
      </c>
      <c r="H7912" t="s">
        <v>938</v>
      </c>
    </row>
    <row r="7913" spans="1:10" hidden="1" x14ac:dyDescent="0.25">
      <c r="A7913" t="s">
        <v>10884</v>
      </c>
      <c r="B7913" s="1" t="str">
        <f>HYPERLINK("https://asmlis.vasa.lt/Dashboard/Served?ServiceDateFrom=2025-11-24&amp;ServiceDateTo=2025-11-24&amp;DumpsterInvNr=13-M-200265", "13-M-200265")</f>
        <v>13-M-200265</v>
      </c>
      <c r="C7913">
        <v>0.12</v>
      </c>
      <c r="D7913" t="s">
        <v>10885</v>
      </c>
      <c r="E7913" t="s">
        <v>11</v>
      </c>
      <c r="F7913" t="s">
        <v>1209</v>
      </c>
      <c r="G7913" t="s">
        <v>4876</v>
      </c>
      <c r="H7913" t="s">
        <v>938</v>
      </c>
    </row>
    <row r="7914" spans="1:10" hidden="1" x14ac:dyDescent="0.25">
      <c r="A7914" t="s">
        <v>10887</v>
      </c>
      <c r="B7914" s="1" t="str">
        <f>HYPERLINK("https://asmlis.vasa.lt/Dashboard/Served?ServiceDateFrom=2025-11-24&amp;ServiceDateTo=2025-11-24&amp;DumpsterInvNr=13-P-411292", "13-P-411292")</f>
        <v>13-P-411292</v>
      </c>
      <c r="C7914">
        <v>0.24</v>
      </c>
      <c r="D7914" t="s">
        <v>10888</v>
      </c>
      <c r="E7914" t="s">
        <v>11</v>
      </c>
      <c r="F7914" t="s">
        <v>1209</v>
      </c>
      <c r="G7914" t="s">
        <v>264</v>
      </c>
      <c r="H7914" t="s">
        <v>14</v>
      </c>
    </row>
    <row r="7915" spans="1:10" hidden="1" x14ac:dyDescent="0.25">
      <c r="A7915" t="s">
        <v>10887</v>
      </c>
      <c r="B7915" s="1" t="str">
        <f>HYPERLINK("https://asmlis.vasa.lt/Dashboard/Served?ServiceDateFrom=2025-11-24&amp;ServiceDateTo=2025-11-24&amp;DumpsterInvNr=13-M-202450", "13-M-202450")</f>
        <v>13-M-202450</v>
      </c>
      <c r="C7915">
        <v>0.12</v>
      </c>
      <c r="D7915" t="s">
        <v>10890</v>
      </c>
      <c r="E7915" t="s">
        <v>11</v>
      </c>
      <c r="F7915" t="s">
        <v>1209</v>
      </c>
      <c r="G7915" t="s">
        <v>4876</v>
      </c>
      <c r="H7915" t="s">
        <v>938</v>
      </c>
    </row>
    <row r="7916" spans="1:10" hidden="1" x14ac:dyDescent="0.25">
      <c r="A7916" t="s">
        <v>10891</v>
      </c>
      <c r="B7916" s="1" t="str">
        <f>HYPERLINK("https://asmlis.vasa.lt/Dashboard/Served?ServiceDateFrom=2025-11-24&amp;ServiceDateTo=2025-11-24&amp;DumpsterInvNr=13-L-223678", "13-L-223678")</f>
        <v>13-L-223678</v>
      </c>
      <c r="C7916">
        <v>1.1000000000000001</v>
      </c>
      <c r="D7916" t="s">
        <v>10872</v>
      </c>
      <c r="E7916" t="s">
        <v>11</v>
      </c>
      <c r="G7916" t="s">
        <v>936</v>
      </c>
      <c r="H7916" t="s">
        <v>938</v>
      </c>
    </row>
    <row r="7917" spans="1:10" hidden="1" x14ac:dyDescent="0.25">
      <c r="A7917" t="s">
        <v>10892</v>
      </c>
      <c r="B7917" s="1" t="str">
        <f>HYPERLINK("https://asmlis.vasa.lt/Dashboard/Served?ServiceDateFrom=2025-11-24&amp;ServiceDateTo=2025-11-24&amp;DumpsterInvNr=13-L-422566", "13-L-422566")</f>
        <v>13-L-422566</v>
      </c>
      <c r="C7917">
        <v>1.1000000000000001</v>
      </c>
      <c r="D7917" t="s">
        <v>10763</v>
      </c>
      <c r="E7917" t="s">
        <v>11</v>
      </c>
      <c r="G7917" t="s">
        <v>74</v>
      </c>
      <c r="H7917" t="s">
        <v>14</v>
      </c>
    </row>
    <row r="7918" spans="1:10" x14ac:dyDescent="0.25">
      <c r="A7918" t="s">
        <v>10892</v>
      </c>
      <c r="B7918" s="1" t="str">
        <f>HYPERLINK("https://asmlis.vasa.lt/Dashboard/Served?ServiceDateFrom=2025-11-24&amp;ServiceDateTo=2025-11-24&amp;DumpsterInvNr=13-L-420789", "13-L-420789")</f>
        <v>13-L-420789</v>
      </c>
      <c r="C7918">
        <v>0.24</v>
      </c>
      <c r="D7918" t="s">
        <v>6141</v>
      </c>
      <c r="E7918" t="s">
        <v>11</v>
      </c>
      <c r="F7918" t="s">
        <v>1215</v>
      </c>
      <c r="G7918" t="s">
        <v>74</v>
      </c>
      <c r="H7918" t="s">
        <v>14</v>
      </c>
      <c r="J7918" t="s">
        <v>17511</v>
      </c>
    </row>
    <row r="7919" spans="1:10" hidden="1" x14ac:dyDescent="0.25">
      <c r="A7919" t="s">
        <v>10894</v>
      </c>
      <c r="B7919" s="1" t="str">
        <f>HYPERLINK("https://asmlis.vasa.lt/Dashboard/Served?ServiceDateFrom=2025-11-24&amp;ServiceDateTo=2025-11-24&amp;DumpsterInvNr=13-P-208071", "13-P-208071")</f>
        <v>13-P-208071</v>
      </c>
      <c r="C7919">
        <v>0.24</v>
      </c>
      <c r="D7919" t="s">
        <v>10895</v>
      </c>
      <c r="E7919" t="s">
        <v>11</v>
      </c>
      <c r="F7919" t="s">
        <v>1209</v>
      </c>
      <c r="G7919" t="s">
        <v>234</v>
      </c>
      <c r="H7919" t="s">
        <v>14</v>
      </c>
    </row>
    <row r="7920" spans="1:10" hidden="1" x14ac:dyDescent="0.25">
      <c r="A7920" t="s">
        <v>10896</v>
      </c>
      <c r="B7920" s="1" t="str">
        <f>HYPERLINK("https://asmlis.vasa.lt/Dashboard/Served?ServiceDateFrom=2025-11-24&amp;ServiceDateTo=2025-11-24&amp;DumpsterInvNr=13-L-123910", "13-L-123910")</f>
        <v>13-L-123910</v>
      </c>
      <c r="C7920">
        <v>0.12</v>
      </c>
      <c r="D7920" t="s">
        <v>10897</v>
      </c>
      <c r="E7920" t="s">
        <v>11</v>
      </c>
      <c r="G7920" t="s">
        <v>1912</v>
      </c>
      <c r="H7920" t="s">
        <v>432</v>
      </c>
    </row>
    <row r="7921" spans="1:10" hidden="1" x14ac:dyDescent="0.25">
      <c r="A7921" t="s">
        <v>10899</v>
      </c>
      <c r="B7921" s="1" t="str">
        <f>HYPERLINK("https://asmlis.vasa.lt/Dashboard/Served?ServiceDateFrom=2025-11-24&amp;ServiceDateTo=2025-11-24&amp;DumpsterInvNr=13-P-301224", "13-P-301224")</f>
        <v>13-P-301224</v>
      </c>
      <c r="C7921">
        <v>0.24</v>
      </c>
      <c r="D7921" t="s">
        <v>4722</v>
      </c>
      <c r="E7921" t="s">
        <v>11</v>
      </c>
      <c r="G7921" t="s">
        <v>412</v>
      </c>
      <c r="H7921" t="s">
        <v>14</v>
      </c>
    </row>
    <row r="7922" spans="1:10" hidden="1" x14ac:dyDescent="0.25">
      <c r="A7922" t="s">
        <v>10900</v>
      </c>
      <c r="B7922" s="1" t="str">
        <f>HYPERLINK("https://asmlis.vasa.lt/Dashboard/Served?ServiceDateFrom=2025-11-24&amp;ServiceDateTo=2025-11-24&amp;DumpsterInvNr=13-P-305450", "13-P-305450")</f>
        <v>13-P-305450</v>
      </c>
      <c r="C7922">
        <v>2.5</v>
      </c>
      <c r="D7922" t="s">
        <v>482</v>
      </c>
      <c r="E7922" t="s">
        <v>11</v>
      </c>
      <c r="F7922" t="s">
        <v>13</v>
      </c>
      <c r="G7922" t="s">
        <v>412</v>
      </c>
      <c r="H7922" t="s">
        <v>14</v>
      </c>
    </row>
    <row r="7923" spans="1:10" hidden="1" x14ac:dyDescent="0.25">
      <c r="A7923" t="s">
        <v>10901</v>
      </c>
      <c r="B7923" s="1" t="str">
        <f>HYPERLINK("https://asmlis.vasa.lt/Dashboard/Served?ServiceDateFrom=2025-11-24&amp;ServiceDateTo=2025-11-24&amp;DumpsterInvNr=13-P-114601", "13-P-114601")</f>
        <v>13-P-114601</v>
      </c>
      <c r="C7923">
        <v>0.24</v>
      </c>
      <c r="D7923" t="s">
        <v>10897</v>
      </c>
      <c r="E7923" t="s">
        <v>11</v>
      </c>
      <c r="G7923" t="s">
        <v>1917</v>
      </c>
      <c r="H7923" t="s">
        <v>432</v>
      </c>
    </row>
    <row r="7924" spans="1:10" hidden="1" x14ac:dyDescent="0.25">
      <c r="A7924" t="s">
        <v>10893</v>
      </c>
      <c r="B7924" s="1" t="str">
        <f>HYPERLINK("https://asmlis.vasa.lt/Dashboard/Served?ServiceDateFrom=2025-11-24&amp;ServiceDateTo=2025-11-24&amp;DumpsterInvNr=13-L-318914", "13-L-318914")</f>
        <v>13-L-318914</v>
      </c>
      <c r="C7924">
        <v>1.1000000000000001</v>
      </c>
      <c r="D7924" t="s">
        <v>10902</v>
      </c>
      <c r="E7924" t="s">
        <v>11</v>
      </c>
      <c r="G7924" t="s">
        <v>9</v>
      </c>
      <c r="H7924" t="s">
        <v>14</v>
      </c>
    </row>
    <row r="7925" spans="1:10" hidden="1" x14ac:dyDescent="0.25">
      <c r="A7925" t="s">
        <v>9638</v>
      </c>
      <c r="B7925" s="1" t="str">
        <f>HYPERLINK("https://asmlis.vasa.lt/Dashboard/Served?ServiceDateFrom=2025-11-24&amp;ServiceDateTo=2025-11-24&amp;DumpsterInvNr=13-P-501839", "13-P-501839")</f>
        <v>13-P-501839</v>
      </c>
      <c r="C7925">
        <v>5</v>
      </c>
      <c r="D7925" t="s">
        <v>10903</v>
      </c>
      <c r="E7925" t="s">
        <v>11</v>
      </c>
      <c r="F7925" t="s">
        <v>13</v>
      </c>
      <c r="G7925" t="s">
        <v>2178</v>
      </c>
      <c r="H7925" t="s">
        <v>432</v>
      </c>
    </row>
    <row r="7926" spans="1:10" hidden="1" x14ac:dyDescent="0.25">
      <c r="A7926" t="s">
        <v>10861</v>
      </c>
      <c r="B7926" s="1" t="str">
        <f>HYPERLINK("https://asmlis.vasa.lt/Dashboard/Served?ServiceDateFrom=2025-11-24&amp;ServiceDateTo=2025-11-24&amp;DumpsterInvNr=13-L-223677", "13-L-223677")</f>
        <v>13-L-223677</v>
      </c>
      <c r="C7926">
        <v>1.1000000000000001</v>
      </c>
      <c r="D7926" t="s">
        <v>10872</v>
      </c>
      <c r="E7926" t="s">
        <v>11</v>
      </c>
      <c r="G7926" t="s">
        <v>936</v>
      </c>
      <c r="H7926" t="s">
        <v>938</v>
      </c>
    </row>
    <row r="7927" spans="1:10" hidden="1" x14ac:dyDescent="0.25">
      <c r="A7927" t="s">
        <v>10904</v>
      </c>
      <c r="B7927" s="1" t="str">
        <f>HYPERLINK("https://asmlis.vasa.lt/Dashboard/Served?ServiceDateFrom=2025-11-24&amp;ServiceDateTo=2025-11-24&amp;DumpsterInvNr=13-L-141047", "13-L-141047")</f>
        <v>13-L-141047</v>
      </c>
      <c r="C7927">
        <v>0.12</v>
      </c>
      <c r="D7927" t="s">
        <v>10905</v>
      </c>
      <c r="E7927" t="s">
        <v>11</v>
      </c>
      <c r="G7927" t="s">
        <v>1912</v>
      </c>
      <c r="H7927" t="s">
        <v>432</v>
      </c>
    </row>
    <row r="7928" spans="1:10" x14ac:dyDescent="0.25">
      <c r="A7928" t="s">
        <v>10907</v>
      </c>
      <c r="B7928" s="1" t="str">
        <f>HYPERLINK("https://asmlis.vasa.lt/Dashboard/Served?ServiceDateFrom=2025-11-24&amp;ServiceDateTo=2025-11-24&amp;DumpsterInvNr=13-L-419369", "13-L-419369")</f>
        <v>13-L-419369</v>
      </c>
      <c r="C7928">
        <v>0.24</v>
      </c>
      <c r="D7928" t="s">
        <v>6145</v>
      </c>
      <c r="E7928" t="s">
        <v>11</v>
      </c>
      <c r="F7928" t="s">
        <v>1215</v>
      </c>
      <c r="G7928" t="s">
        <v>74</v>
      </c>
      <c r="H7928" t="s">
        <v>14</v>
      </c>
      <c r="J7928" t="s">
        <v>17511</v>
      </c>
    </row>
    <row r="7929" spans="1:10" hidden="1" x14ac:dyDescent="0.25">
      <c r="A7929" t="s">
        <v>10907</v>
      </c>
      <c r="B7929" s="1" t="str">
        <f>HYPERLINK("https://asmlis.vasa.lt/Dashboard/Served?ServiceDateFrom=2025-11-24&amp;ServiceDateTo=2025-11-24&amp;DumpsterInvNr=13-S-409986", "13-S-409986")</f>
        <v>13-S-409986</v>
      </c>
      <c r="C7929">
        <v>0.12</v>
      </c>
      <c r="D7929" t="s">
        <v>10908</v>
      </c>
      <c r="E7929" t="s">
        <v>11</v>
      </c>
      <c r="F7929" t="s">
        <v>1209</v>
      </c>
      <c r="G7929" t="s">
        <v>264</v>
      </c>
      <c r="H7929" t="s">
        <v>14</v>
      </c>
    </row>
    <row r="7930" spans="1:10" hidden="1" x14ac:dyDescent="0.25">
      <c r="A7930" t="s">
        <v>10910</v>
      </c>
      <c r="B7930" s="1" t="str">
        <f>HYPERLINK("https://asmlis.vasa.lt/Dashboard/Served?ServiceDateFrom=2025-11-24&amp;ServiceDateTo=2025-11-24&amp;DumpsterInvNr=13-P-208657", "13-P-208657")</f>
        <v>13-P-208657</v>
      </c>
      <c r="C7930">
        <v>0.24</v>
      </c>
      <c r="D7930" t="s">
        <v>10911</v>
      </c>
      <c r="E7930" t="s">
        <v>11</v>
      </c>
      <c r="F7930" t="s">
        <v>1209</v>
      </c>
      <c r="G7930" t="s">
        <v>234</v>
      </c>
      <c r="H7930" t="s">
        <v>14</v>
      </c>
    </row>
    <row r="7931" spans="1:10" hidden="1" x14ac:dyDescent="0.25">
      <c r="A7931" t="s">
        <v>10912</v>
      </c>
      <c r="B7931" s="1" t="str">
        <f>HYPERLINK("https://asmlis.vasa.lt/Dashboard/Served?ServiceDateFrom=2025-11-24&amp;ServiceDateTo=2025-11-24&amp;DumpsterInvNr=13-P-416255", "13-P-416255")</f>
        <v>13-P-416255</v>
      </c>
      <c r="C7931">
        <v>5</v>
      </c>
      <c r="D7931" t="s">
        <v>2659</v>
      </c>
      <c r="E7931" t="s">
        <v>11</v>
      </c>
      <c r="G7931" t="s">
        <v>264</v>
      </c>
      <c r="H7931" t="s">
        <v>14</v>
      </c>
    </row>
    <row r="7932" spans="1:10" hidden="1" x14ac:dyDescent="0.25">
      <c r="A7932" t="s">
        <v>10913</v>
      </c>
      <c r="B7932" s="1" t="str">
        <f>HYPERLINK("https://asmlis.vasa.lt/Dashboard/Served?ServiceDateFrom=2025-11-24&amp;ServiceDateTo=2025-11-24&amp;DumpsterInvNr=13-S-208371", "13-S-208371")</f>
        <v>13-S-208371</v>
      </c>
      <c r="C7932">
        <v>0.12</v>
      </c>
      <c r="D7932" t="s">
        <v>6684</v>
      </c>
      <c r="E7932" t="s">
        <v>11</v>
      </c>
      <c r="G7932" t="s">
        <v>234</v>
      </c>
      <c r="H7932" t="s">
        <v>14</v>
      </c>
    </row>
    <row r="7933" spans="1:10" hidden="1" x14ac:dyDescent="0.25">
      <c r="A7933" t="s">
        <v>10914</v>
      </c>
      <c r="B7933" s="1" t="str">
        <f>HYPERLINK("https://asmlis.vasa.lt/Dashboard/Served?ServiceDateFrom=2025-11-24&amp;ServiceDateTo=2025-11-24&amp;DumpsterInvNr=DGA-ZALVARIS", "DGA-ZALVARIS")</f>
        <v>DGA-ZALVARIS</v>
      </c>
      <c r="C7933">
        <v>1</v>
      </c>
      <c r="D7933" t="s">
        <v>6326</v>
      </c>
      <c r="E7933" t="s">
        <v>12</v>
      </c>
      <c r="F7933" t="s">
        <v>13</v>
      </c>
      <c r="G7933" t="s">
        <v>10915</v>
      </c>
      <c r="H7933" t="s">
        <v>6765</v>
      </c>
    </row>
    <row r="7934" spans="1:10" hidden="1" x14ac:dyDescent="0.25">
      <c r="A7934" t="s">
        <v>10916</v>
      </c>
      <c r="B7934" s="1" t="str">
        <f>HYPERLINK("https://asmlis.vasa.lt/Dashboard/Served?ServiceDateFrom=2025-11-24&amp;ServiceDateTo=2025-11-24&amp;DumpsterInvNr=13-L-223679", "13-L-223679")</f>
        <v>13-L-223679</v>
      </c>
      <c r="C7934">
        <v>1.1000000000000001</v>
      </c>
      <c r="D7934" t="s">
        <v>10872</v>
      </c>
      <c r="E7934" t="s">
        <v>11</v>
      </c>
      <c r="G7934" t="s">
        <v>936</v>
      </c>
      <c r="H7934" t="s">
        <v>938</v>
      </c>
    </row>
    <row r="7935" spans="1:10" x14ac:dyDescent="0.25">
      <c r="A7935" t="s">
        <v>10917</v>
      </c>
      <c r="B7935" s="1" t="str">
        <f>HYPERLINK("https://asmlis.vasa.lt/Dashboard/Served?ServiceDateFrom=2025-11-24&amp;ServiceDateTo=2025-11-24&amp;DumpsterInvNr=13-L-404658", "13-L-404658")</f>
        <v>13-L-404658</v>
      </c>
      <c r="C7935">
        <v>0.12</v>
      </c>
      <c r="D7935" t="s">
        <v>10918</v>
      </c>
      <c r="E7935" t="s">
        <v>11</v>
      </c>
      <c r="F7935" t="s">
        <v>1215</v>
      </c>
      <c r="G7935" t="s">
        <v>74</v>
      </c>
      <c r="H7935" t="s">
        <v>14</v>
      </c>
      <c r="J7935" t="s">
        <v>17511</v>
      </c>
    </row>
    <row r="7936" spans="1:10" hidden="1" x14ac:dyDescent="0.25">
      <c r="A7936" t="s">
        <v>10919</v>
      </c>
      <c r="B7936" s="1" t="str">
        <f>HYPERLINK("https://asmlis.vasa.lt/Dashboard/Served?ServiceDateFrom=2025-11-24&amp;ServiceDateTo=2025-11-24&amp;DumpsterInvNr=13-M-204348", "13-M-204348")</f>
        <v>13-M-204348</v>
      </c>
      <c r="C7936">
        <v>0.12</v>
      </c>
      <c r="D7936" t="s">
        <v>10920</v>
      </c>
      <c r="E7936" t="s">
        <v>11</v>
      </c>
      <c r="G7936" t="s">
        <v>4876</v>
      </c>
      <c r="H7936" t="s">
        <v>938</v>
      </c>
    </row>
    <row r="7937" spans="1:10" hidden="1" x14ac:dyDescent="0.25">
      <c r="A7937" t="s">
        <v>10921</v>
      </c>
      <c r="B7937" s="1" t="str">
        <f>HYPERLINK("https://asmlis.vasa.lt/Dashboard/Served?ServiceDateFrom=2025-11-24&amp;ServiceDateTo=2025-11-24&amp;DumpsterInvNr=13-P-205381", "13-P-205381")</f>
        <v>13-P-205381</v>
      </c>
      <c r="C7937">
        <v>0.24</v>
      </c>
      <c r="D7937" t="s">
        <v>6684</v>
      </c>
      <c r="E7937" t="s">
        <v>11</v>
      </c>
      <c r="G7937" t="s">
        <v>234</v>
      </c>
      <c r="H7937" t="s">
        <v>14</v>
      </c>
    </row>
    <row r="7938" spans="1:10" hidden="1" x14ac:dyDescent="0.25">
      <c r="A7938" t="s">
        <v>10922</v>
      </c>
      <c r="B7938" s="1" t="str">
        <f>HYPERLINK("https://asmlis.vasa.lt/Dashboard/Served?ServiceDateFrom=2025-11-24&amp;ServiceDateTo=2025-11-24&amp;DumpsterInvNr=13-P-302315", "13-P-302315")</f>
        <v>13-P-302315</v>
      </c>
      <c r="C7938">
        <v>5</v>
      </c>
      <c r="D7938" t="s">
        <v>10923</v>
      </c>
      <c r="E7938" t="s">
        <v>11</v>
      </c>
      <c r="G7938" t="s">
        <v>412</v>
      </c>
      <c r="H7938" t="s">
        <v>14</v>
      </c>
    </row>
    <row r="7939" spans="1:10" hidden="1" x14ac:dyDescent="0.25">
      <c r="A7939" t="s">
        <v>10922</v>
      </c>
      <c r="B7939" s="1" t="str">
        <f>HYPERLINK("https://asmlis.vasa.lt/Dashboard/Served?ServiceDateFrom=2025-11-24&amp;ServiceDateTo=2025-11-24&amp;DumpsterInvNr=13-M-202157", "13-M-202157")</f>
        <v>13-M-202157</v>
      </c>
      <c r="C7939">
        <v>0.12</v>
      </c>
      <c r="D7939" t="s">
        <v>10924</v>
      </c>
      <c r="E7939" t="s">
        <v>11</v>
      </c>
      <c r="F7939" t="s">
        <v>1209</v>
      </c>
      <c r="G7939" t="s">
        <v>4876</v>
      </c>
      <c r="H7939" t="s">
        <v>938</v>
      </c>
    </row>
    <row r="7940" spans="1:10" hidden="1" x14ac:dyDescent="0.25">
      <c r="A7940" t="s">
        <v>10926</v>
      </c>
      <c r="B7940" s="1" t="str">
        <f>HYPERLINK("https://asmlis.vasa.lt/Dashboard/Served?ServiceDateFrom=2025-11-24&amp;ServiceDateTo=2025-11-24&amp;DumpsterInvNr=13-M-204930", "13-M-204930")</f>
        <v>13-M-204930</v>
      </c>
      <c r="C7940">
        <v>0.12</v>
      </c>
      <c r="D7940" t="s">
        <v>10920</v>
      </c>
      <c r="E7940" t="s">
        <v>11</v>
      </c>
      <c r="F7940" t="s">
        <v>1209</v>
      </c>
      <c r="G7940" t="s">
        <v>4876</v>
      </c>
      <c r="H7940" t="s">
        <v>938</v>
      </c>
    </row>
    <row r="7941" spans="1:10" hidden="1" x14ac:dyDescent="0.25">
      <c r="A7941" t="s">
        <v>10928</v>
      </c>
      <c r="B7941" s="1" t="str">
        <f>HYPERLINK("https://asmlis.vasa.lt/Dashboard/Served?ServiceDateFrom=2025-11-24&amp;ServiceDateTo=2025-11-24&amp;DumpsterInvNr=13-L-140856", "13-L-140856")</f>
        <v>13-L-140856</v>
      </c>
      <c r="C7941">
        <v>5</v>
      </c>
      <c r="D7941" t="s">
        <v>10929</v>
      </c>
      <c r="E7941" t="s">
        <v>11</v>
      </c>
      <c r="F7941" t="s">
        <v>13</v>
      </c>
      <c r="G7941" t="s">
        <v>430</v>
      </c>
      <c r="H7941" t="s">
        <v>432</v>
      </c>
    </row>
    <row r="7942" spans="1:10" hidden="1" x14ac:dyDescent="0.25">
      <c r="A7942" t="s">
        <v>10930</v>
      </c>
      <c r="B7942" s="1" t="str">
        <f>HYPERLINK("https://asmlis.vasa.lt/Dashboard/Served?ServiceDateFrom=2025-11-24&amp;ServiceDateTo=2025-11-24&amp;DumpsterInvNr=13-L-316809", "13-L-316809")</f>
        <v>13-L-316809</v>
      </c>
      <c r="C7942">
        <v>1.1000000000000001</v>
      </c>
      <c r="D7942" t="s">
        <v>10902</v>
      </c>
      <c r="E7942" t="s">
        <v>11</v>
      </c>
      <c r="G7942" t="s">
        <v>9</v>
      </c>
      <c r="H7942" t="s">
        <v>14</v>
      </c>
    </row>
    <row r="7943" spans="1:10" x14ac:dyDescent="0.25">
      <c r="A7943" t="s">
        <v>10930</v>
      </c>
      <c r="B7943" s="1" t="str">
        <f>HYPERLINK("https://asmlis.vasa.lt/Dashboard/Served?ServiceDateFrom=2025-11-24&amp;ServiceDateTo=2025-11-24&amp;DumpsterInvNr=13-L-411453", "13-L-411453")</f>
        <v>13-L-411453</v>
      </c>
      <c r="C7943">
        <v>0.24</v>
      </c>
      <c r="D7943" t="s">
        <v>10931</v>
      </c>
      <c r="E7943" t="s">
        <v>11</v>
      </c>
      <c r="F7943" t="s">
        <v>1215</v>
      </c>
      <c r="G7943" t="s">
        <v>74</v>
      </c>
      <c r="H7943" t="s">
        <v>14</v>
      </c>
      <c r="J7943" t="s">
        <v>17511</v>
      </c>
    </row>
    <row r="7944" spans="1:10" hidden="1" x14ac:dyDescent="0.25">
      <c r="A7944" t="s">
        <v>10932</v>
      </c>
      <c r="B7944" s="1" t="str">
        <f>HYPERLINK("https://asmlis.vasa.lt/Dashboard/Served?ServiceDateFrom=2025-11-24&amp;ServiceDateTo=2025-11-24&amp;DumpsterInvNr=13-T-000117", "13-T-000117")</f>
        <v>13-T-000117</v>
      </c>
      <c r="C7944">
        <v>2.5</v>
      </c>
      <c r="D7944" t="s">
        <v>9506</v>
      </c>
      <c r="E7944" t="s">
        <v>11</v>
      </c>
      <c r="F7944" t="s">
        <v>13</v>
      </c>
      <c r="G7944" t="s">
        <v>1899</v>
      </c>
      <c r="H7944" t="s">
        <v>432</v>
      </c>
    </row>
    <row r="7945" spans="1:10" hidden="1" x14ac:dyDescent="0.25">
      <c r="A7945" t="s">
        <v>10932</v>
      </c>
      <c r="B7945" s="1" t="str">
        <f>HYPERLINK("https://asmlis.vasa.lt/Dashboard/Served?ServiceDateFrom=2025-11-24&amp;ServiceDateTo=2025-11-24&amp;DumpsterInvNr=13-P-400521", "13-P-400521")</f>
        <v>13-P-400521</v>
      </c>
      <c r="C7945">
        <v>5</v>
      </c>
      <c r="D7945" t="s">
        <v>10934</v>
      </c>
      <c r="E7945" t="s">
        <v>11</v>
      </c>
      <c r="F7945" t="s">
        <v>13</v>
      </c>
      <c r="G7945" t="s">
        <v>264</v>
      </c>
      <c r="H7945" t="s">
        <v>14</v>
      </c>
    </row>
    <row r="7946" spans="1:10" hidden="1" x14ac:dyDescent="0.25">
      <c r="A7946" t="s">
        <v>10935</v>
      </c>
      <c r="B7946" s="1" t="str">
        <f>HYPERLINK("https://asmlis.vasa.lt/Dashboard/Served?ServiceDateFrom=2025-11-24&amp;ServiceDateTo=2025-11-24&amp;DumpsterInvNr=13-S-208166", "13-S-208166")</f>
        <v>13-S-208166</v>
      </c>
      <c r="C7946">
        <v>0.12</v>
      </c>
      <c r="D7946" t="s">
        <v>10911</v>
      </c>
      <c r="E7946" t="s">
        <v>11</v>
      </c>
      <c r="F7946" t="s">
        <v>1209</v>
      </c>
      <c r="G7946" t="s">
        <v>234</v>
      </c>
      <c r="H7946" t="s">
        <v>14</v>
      </c>
    </row>
    <row r="7947" spans="1:10" hidden="1" x14ac:dyDescent="0.25">
      <c r="A7947" t="s">
        <v>10937</v>
      </c>
      <c r="B7947" s="1" t="str">
        <f>HYPERLINK("https://asmlis.vasa.lt/Dashboard/Served?ServiceDateFrom=2025-11-24&amp;ServiceDateTo=2025-11-24&amp;DumpsterInvNr=13-L-140855", "13-L-140855")</f>
        <v>13-L-140855</v>
      </c>
      <c r="C7947">
        <v>5</v>
      </c>
      <c r="D7947" t="s">
        <v>10929</v>
      </c>
      <c r="E7947" t="s">
        <v>11</v>
      </c>
      <c r="F7947" t="s">
        <v>13</v>
      </c>
      <c r="G7947" t="s">
        <v>430</v>
      </c>
      <c r="H7947" t="s">
        <v>432</v>
      </c>
    </row>
    <row r="7948" spans="1:10" hidden="1" x14ac:dyDescent="0.25">
      <c r="A7948" t="s">
        <v>10937</v>
      </c>
      <c r="B7948" s="1" t="str">
        <f>HYPERLINK("https://asmlis.vasa.lt/Dashboard/Served?ServiceDateFrom=2025-11-24&amp;ServiceDateTo=2025-11-24&amp;DumpsterInvNr=13-P-112654", "13-P-112654")</f>
        <v>13-P-112654</v>
      </c>
      <c r="C7948">
        <v>0.24</v>
      </c>
      <c r="D7948" t="s">
        <v>10938</v>
      </c>
      <c r="E7948" t="s">
        <v>11</v>
      </c>
      <c r="G7948" t="s">
        <v>1917</v>
      </c>
      <c r="H7948" t="s">
        <v>432</v>
      </c>
    </row>
    <row r="7949" spans="1:10" hidden="1" x14ac:dyDescent="0.25">
      <c r="A7949" t="s">
        <v>10940</v>
      </c>
      <c r="B7949" s="1" t="str">
        <f>HYPERLINK("https://asmlis.vasa.lt/Dashboard/Served?ServiceDateFrom=2025-11-24&amp;ServiceDateTo=2025-11-24&amp;DumpsterInvNr=13-S-208728", "13-S-208728")</f>
        <v>13-S-208728</v>
      </c>
      <c r="C7949">
        <v>0.12</v>
      </c>
      <c r="D7949" t="s">
        <v>10941</v>
      </c>
      <c r="E7949" t="s">
        <v>11</v>
      </c>
      <c r="F7949" t="s">
        <v>1209</v>
      </c>
      <c r="G7949" t="s">
        <v>234</v>
      </c>
      <c r="H7949" t="s">
        <v>14</v>
      </c>
    </row>
    <row r="7950" spans="1:10" hidden="1" x14ac:dyDescent="0.25">
      <c r="A7950" t="s">
        <v>10942</v>
      </c>
      <c r="B7950" s="1" t="str">
        <f>HYPERLINK("https://asmlis.vasa.lt/Dashboard/Served?ServiceDateFrom=2025-11-24&amp;ServiceDateTo=2025-11-24&amp;DumpsterInvNr=13-L-121244", "13-L-121244")</f>
        <v>13-L-121244</v>
      </c>
      <c r="C7950">
        <v>0.24</v>
      </c>
      <c r="D7950" t="s">
        <v>10938</v>
      </c>
      <c r="E7950" t="s">
        <v>11</v>
      </c>
      <c r="G7950" t="s">
        <v>1912</v>
      </c>
      <c r="H7950" t="s">
        <v>432</v>
      </c>
    </row>
    <row r="7951" spans="1:10" hidden="1" x14ac:dyDescent="0.25">
      <c r="A7951" t="s">
        <v>10943</v>
      </c>
      <c r="B7951" s="1" t="str">
        <f>HYPERLINK("https://asmlis.vasa.lt/Dashboard/Served?ServiceDateFrom=2025-11-24&amp;ServiceDateTo=2025-11-24&amp;DumpsterInvNr=13-S-102369", "13-S-102369")</f>
        <v>13-S-102369</v>
      </c>
      <c r="C7951">
        <v>0.12</v>
      </c>
      <c r="D7951" t="s">
        <v>10944</v>
      </c>
      <c r="E7951" t="s">
        <v>11</v>
      </c>
      <c r="G7951" t="s">
        <v>1917</v>
      </c>
      <c r="H7951" t="s">
        <v>432</v>
      </c>
    </row>
    <row r="7952" spans="1:10" hidden="1" x14ac:dyDescent="0.25">
      <c r="A7952" t="s">
        <v>10946</v>
      </c>
      <c r="B7952" s="1" t="str">
        <f>HYPERLINK("https://asmlis.vasa.lt/Dashboard/Served?ServiceDateFrom=2025-11-24&amp;ServiceDateTo=2025-11-24&amp;DumpsterInvNr=13-P-411422", "13-P-411422")</f>
        <v>13-P-411422</v>
      </c>
      <c r="C7952">
        <v>0.24</v>
      </c>
      <c r="D7952" t="s">
        <v>10947</v>
      </c>
      <c r="E7952" t="s">
        <v>11</v>
      </c>
      <c r="G7952" t="s">
        <v>264</v>
      </c>
      <c r="H7952" t="s">
        <v>14</v>
      </c>
    </row>
    <row r="7953" spans="1:10" x14ac:dyDescent="0.25">
      <c r="A7953" t="s">
        <v>10948</v>
      </c>
      <c r="B7953" s="1" t="str">
        <f>HYPERLINK("https://asmlis.vasa.lt/Dashboard/Served?ServiceDateFrom=2025-11-24&amp;ServiceDateTo=2025-11-24&amp;DumpsterInvNr=13-L-418684", "13-L-418684")</f>
        <v>13-L-418684</v>
      </c>
      <c r="C7953">
        <v>0.24</v>
      </c>
      <c r="D7953" t="s">
        <v>6132</v>
      </c>
      <c r="E7953" t="s">
        <v>11</v>
      </c>
      <c r="F7953" t="s">
        <v>1215</v>
      </c>
      <c r="G7953" t="s">
        <v>74</v>
      </c>
      <c r="H7953" t="s">
        <v>14</v>
      </c>
      <c r="J7953" t="s">
        <v>17511</v>
      </c>
    </row>
    <row r="7954" spans="1:10" hidden="1" x14ac:dyDescent="0.25">
      <c r="A7954" t="s">
        <v>10950</v>
      </c>
      <c r="B7954" s="1" t="str">
        <f>HYPERLINK("https://asmlis.vasa.lt/Dashboard/Served?ServiceDateFrom=2025-11-24&amp;ServiceDateTo=2025-11-24&amp;DumpsterInvNr=13-T-000123", "13-T-000123")</f>
        <v>13-T-000123</v>
      </c>
      <c r="C7954">
        <v>2.5</v>
      </c>
      <c r="D7954" t="s">
        <v>9506</v>
      </c>
      <c r="E7954" t="s">
        <v>11</v>
      </c>
      <c r="F7954" t="s">
        <v>13</v>
      </c>
      <c r="G7954" t="s">
        <v>1899</v>
      </c>
      <c r="H7954" t="s">
        <v>432</v>
      </c>
    </row>
    <row r="7955" spans="1:10" hidden="1" x14ac:dyDescent="0.25">
      <c r="A7955" t="s">
        <v>10951</v>
      </c>
      <c r="B7955" s="1" t="str">
        <f>HYPERLINK("https://asmlis.vasa.lt/Dashboard/Served?ServiceDateFrom=2025-11-24&amp;ServiceDateTo=2025-11-24&amp;DumpsterInvNr=13-L-316825", "13-L-316825")</f>
        <v>13-L-316825</v>
      </c>
      <c r="C7955">
        <v>1.1000000000000001</v>
      </c>
      <c r="D7955" t="s">
        <v>10902</v>
      </c>
      <c r="E7955" t="s">
        <v>11</v>
      </c>
      <c r="G7955" t="s">
        <v>9</v>
      </c>
      <c r="H7955" t="s">
        <v>14</v>
      </c>
    </row>
    <row r="7956" spans="1:10" hidden="1" x14ac:dyDescent="0.25">
      <c r="A7956" t="s">
        <v>10952</v>
      </c>
      <c r="B7956" s="1" t="str">
        <f>HYPERLINK("https://asmlis.vasa.lt/Dashboard/Served?ServiceDateFrom=2025-11-24&amp;ServiceDateTo=2025-11-24&amp;DumpsterInvNr=13-P-411448", "13-P-411448")</f>
        <v>13-P-411448</v>
      </c>
      <c r="C7956">
        <v>0.24</v>
      </c>
      <c r="D7956" t="s">
        <v>10908</v>
      </c>
      <c r="E7956" t="s">
        <v>11</v>
      </c>
      <c r="F7956" t="s">
        <v>13</v>
      </c>
      <c r="G7956" t="s">
        <v>264</v>
      </c>
      <c r="H7956" t="s">
        <v>14</v>
      </c>
    </row>
    <row r="7957" spans="1:10" hidden="1" x14ac:dyDescent="0.25">
      <c r="A7957" t="s">
        <v>10953</v>
      </c>
      <c r="B7957" s="1" t="str">
        <f>HYPERLINK("https://asmlis.vasa.lt/Dashboard/Served?ServiceDateFrom=2025-11-24&amp;ServiceDateTo=2025-11-24&amp;DumpsterInvNr=13-L-206226", "13-L-206226")</f>
        <v>13-L-206226</v>
      </c>
      <c r="C7957">
        <v>0.12</v>
      </c>
      <c r="D7957" t="s">
        <v>8207</v>
      </c>
      <c r="E7957" t="s">
        <v>11</v>
      </c>
      <c r="G7957" t="s">
        <v>936</v>
      </c>
      <c r="H7957" t="s">
        <v>938</v>
      </c>
    </row>
    <row r="7958" spans="1:10" hidden="1" x14ac:dyDescent="0.25">
      <c r="A7958" t="s">
        <v>10954</v>
      </c>
      <c r="B7958" s="1" t="str">
        <f>HYPERLINK("https://asmlis.vasa.lt/Dashboard/Served?ServiceDateFrom=2025-11-24&amp;ServiceDateTo=2025-11-24&amp;DumpsterInvNr=13-P-411520", "13-P-411520")</f>
        <v>13-P-411520</v>
      </c>
      <c r="C7958">
        <v>0.24</v>
      </c>
      <c r="D7958" t="s">
        <v>10955</v>
      </c>
      <c r="E7958" t="s">
        <v>11</v>
      </c>
      <c r="G7958" t="s">
        <v>264</v>
      </c>
      <c r="H7958" t="s">
        <v>14</v>
      </c>
    </row>
    <row r="7959" spans="1:10" hidden="1" x14ac:dyDescent="0.25">
      <c r="A7959" t="s">
        <v>10853</v>
      </c>
      <c r="B7959" s="1" t="str">
        <f>HYPERLINK("https://asmlis.vasa.lt/Dashboard/Served?ServiceDateFrom=2025-11-24&amp;ServiceDateTo=2025-11-24&amp;DumpsterInvNr=13-L-121249", "13-L-121249")</f>
        <v>13-L-121249</v>
      </c>
      <c r="C7959">
        <v>0.24</v>
      </c>
      <c r="D7959" t="s">
        <v>10938</v>
      </c>
      <c r="E7959" t="s">
        <v>11</v>
      </c>
      <c r="G7959" t="s">
        <v>1912</v>
      </c>
      <c r="H7959" t="s">
        <v>432</v>
      </c>
    </row>
    <row r="7960" spans="1:10" hidden="1" x14ac:dyDescent="0.25">
      <c r="A7960" t="s">
        <v>10949</v>
      </c>
      <c r="B7960" s="1" t="str">
        <f>HYPERLINK("https://asmlis.vasa.lt/Dashboard/Served?ServiceDateFrom=2025-11-24&amp;ServiceDateTo=2025-11-24&amp;DumpsterInvNr=13-L-210361", "13-L-210361")</f>
        <v>13-L-210361</v>
      </c>
      <c r="C7960">
        <v>0.24</v>
      </c>
      <c r="D7960" t="s">
        <v>8189</v>
      </c>
      <c r="E7960" t="s">
        <v>11</v>
      </c>
      <c r="F7960" t="s">
        <v>1209</v>
      </c>
      <c r="G7960" t="s">
        <v>936</v>
      </c>
      <c r="H7960" t="s">
        <v>938</v>
      </c>
    </row>
    <row r="7961" spans="1:10" hidden="1" x14ac:dyDescent="0.25">
      <c r="A7961" t="s">
        <v>10957</v>
      </c>
      <c r="B7961" s="1" t="str">
        <f>HYPERLINK("https://asmlis.vasa.lt/Dashboard/Served?ServiceDateFrom=2025-11-24&amp;ServiceDateTo=2025-11-24&amp;DumpsterInvNr=13-P-301222", "13-P-301222")</f>
        <v>13-P-301222</v>
      </c>
      <c r="C7961">
        <v>0.24</v>
      </c>
      <c r="D7961" t="s">
        <v>4722</v>
      </c>
      <c r="E7961" t="s">
        <v>11</v>
      </c>
      <c r="F7961" t="s">
        <v>13</v>
      </c>
      <c r="G7961" t="s">
        <v>412</v>
      </c>
      <c r="H7961" t="s">
        <v>14</v>
      </c>
    </row>
    <row r="7962" spans="1:10" hidden="1" x14ac:dyDescent="0.25">
      <c r="A7962" t="s">
        <v>10958</v>
      </c>
      <c r="B7962" s="1" t="str">
        <f>HYPERLINK("https://asmlis.vasa.lt/Dashboard/Served?ServiceDateFrom=2025-11-24&amp;ServiceDateTo=2025-11-24&amp;DumpsterInvNr=13-P-301319", "13-P-301319")</f>
        <v>13-P-301319</v>
      </c>
      <c r="C7962">
        <v>0.24</v>
      </c>
      <c r="D7962" t="s">
        <v>4722</v>
      </c>
      <c r="E7962" t="s">
        <v>11</v>
      </c>
      <c r="F7962" t="s">
        <v>13</v>
      </c>
      <c r="G7962" t="s">
        <v>412</v>
      </c>
      <c r="H7962" t="s">
        <v>14</v>
      </c>
    </row>
    <row r="7963" spans="1:10" hidden="1" x14ac:dyDescent="0.25">
      <c r="A7963" t="s">
        <v>10660</v>
      </c>
      <c r="B7963" s="1" t="str">
        <f>HYPERLINK("https://asmlis.vasa.lt/Dashboard/Served?ServiceDateFrom=2025-11-24&amp;ServiceDateTo=2025-11-24&amp;DumpsterInvNr=13-L-117632", "13-L-117632")</f>
        <v>13-L-117632</v>
      </c>
      <c r="C7963">
        <v>0.12</v>
      </c>
      <c r="D7963" t="s">
        <v>10959</v>
      </c>
      <c r="E7963" t="s">
        <v>11</v>
      </c>
      <c r="G7963" t="s">
        <v>1912</v>
      </c>
      <c r="H7963" t="s">
        <v>432</v>
      </c>
    </row>
    <row r="7964" spans="1:10" hidden="1" x14ac:dyDescent="0.25">
      <c r="A7964" t="s">
        <v>10961</v>
      </c>
      <c r="B7964" s="1" t="str">
        <f>HYPERLINK("https://asmlis.vasa.lt/Dashboard/Served?ServiceDateFrom=2025-11-24&amp;ServiceDateTo=2025-11-24&amp;DumpsterInvNr=13-M-206086", "13-M-206086")</f>
        <v>13-M-206086</v>
      </c>
      <c r="C7964">
        <v>0.12</v>
      </c>
      <c r="D7964" t="s">
        <v>10962</v>
      </c>
      <c r="E7964" t="s">
        <v>11</v>
      </c>
      <c r="F7964" t="s">
        <v>1209</v>
      </c>
      <c r="G7964" t="s">
        <v>4876</v>
      </c>
      <c r="H7964" t="s">
        <v>938</v>
      </c>
    </row>
    <row r="7965" spans="1:10" hidden="1" x14ac:dyDescent="0.25">
      <c r="A7965" t="s">
        <v>10695</v>
      </c>
      <c r="B7965" s="1" t="str">
        <f>HYPERLINK("https://asmlis.vasa.lt/Dashboard/Served?ServiceDateFrom=2025-11-24&amp;ServiceDateTo=2025-11-24&amp;DumpsterInvNr=13-P-101134", "13-P-101134")</f>
        <v>13-P-101134</v>
      </c>
      <c r="C7965">
        <v>0.24</v>
      </c>
      <c r="D7965" t="s">
        <v>10959</v>
      </c>
      <c r="E7965" t="s">
        <v>11</v>
      </c>
      <c r="G7965" t="s">
        <v>1917</v>
      </c>
      <c r="H7965" t="s">
        <v>432</v>
      </c>
    </row>
    <row r="7966" spans="1:10" hidden="1" x14ac:dyDescent="0.25">
      <c r="A7966" t="s">
        <v>10963</v>
      </c>
      <c r="B7966" s="1" t="str">
        <f>HYPERLINK("https://asmlis.vasa.lt/Dashboard/Served?ServiceDateFrom=2025-11-24&amp;ServiceDateTo=2025-11-24&amp;DumpsterInvNr=13-P-116477", "13-P-116477")</f>
        <v>13-P-116477</v>
      </c>
      <c r="C7966">
        <v>1.1000000000000001</v>
      </c>
      <c r="D7966" t="s">
        <v>10964</v>
      </c>
      <c r="E7966" t="s">
        <v>11</v>
      </c>
      <c r="F7966" t="s">
        <v>10965</v>
      </c>
      <c r="G7966" t="s">
        <v>1917</v>
      </c>
      <c r="H7966" t="s">
        <v>432</v>
      </c>
      <c r="J7966" t="s">
        <v>17516</v>
      </c>
    </row>
    <row r="7967" spans="1:10" hidden="1" x14ac:dyDescent="0.25">
      <c r="A7967" t="s">
        <v>10966</v>
      </c>
      <c r="B7967" s="1" t="str">
        <f>HYPERLINK("https://asmlis.vasa.lt/Dashboard/Served?ServiceDateFrom=2025-11-24&amp;ServiceDateTo=2025-11-24&amp;DumpsterInvNr=13-L-422342", "13-L-422342")</f>
        <v>13-L-422342</v>
      </c>
      <c r="C7967">
        <v>0.24</v>
      </c>
      <c r="D7967" t="s">
        <v>10967</v>
      </c>
      <c r="E7967" t="s">
        <v>11</v>
      </c>
      <c r="G7967" t="s">
        <v>74</v>
      </c>
      <c r="H7967" t="s">
        <v>14</v>
      </c>
    </row>
    <row r="7968" spans="1:10" hidden="1" x14ac:dyDescent="0.25">
      <c r="A7968" t="s">
        <v>10968</v>
      </c>
      <c r="B7968" s="1" t="str">
        <f>HYPERLINK("https://asmlis.vasa.lt/Dashboard/Served?ServiceDateFrom=2025-11-24&amp;ServiceDateTo=2025-11-24&amp;DumpsterInvNr=13-L-136677", "13-L-136677")</f>
        <v>13-L-136677</v>
      </c>
      <c r="C7968">
        <v>0.24</v>
      </c>
      <c r="D7968" t="s">
        <v>10969</v>
      </c>
      <c r="E7968" t="s">
        <v>11</v>
      </c>
      <c r="G7968" t="s">
        <v>1912</v>
      </c>
      <c r="H7968" t="s">
        <v>432</v>
      </c>
    </row>
    <row r="7969" spans="1:8" hidden="1" x14ac:dyDescent="0.25">
      <c r="A7969" t="s">
        <v>10769</v>
      </c>
      <c r="B7969" s="1" t="str">
        <f>HYPERLINK("https://asmlis.vasa.lt/Dashboard/Served?ServiceDateFrom=2025-11-24&amp;ServiceDateTo=2025-11-24&amp;DumpsterInvNr=13-P-205323", "13-P-205323")</f>
        <v>13-P-205323</v>
      </c>
      <c r="C7969">
        <v>0.24</v>
      </c>
      <c r="D7969" t="s">
        <v>6714</v>
      </c>
      <c r="E7969" t="s">
        <v>11</v>
      </c>
      <c r="G7969" t="s">
        <v>234</v>
      </c>
      <c r="H7969" t="s">
        <v>14</v>
      </c>
    </row>
    <row r="7970" spans="1:8" hidden="1" x14ac:dyDescent="0.25">
      <c r="A7970" t="s">
        <v>10970</v>
      </c>
      <c r="B7970" s="1" t="str">
        <f>HYPERLINK("https://asmlis.vasa.lt/Dashboard/Served?ServiceDateFrom=2025-11-24&amp;ServiceDateTo=2025-11-24&amp;DumpsterInvNr=13-P-101101", "13-P-101101")</f>
        <v>13-P-101101</v>
      </c>
      <c r="C7970">
        <v>0.12</v>
      </c>
      <c r="D7970" t="s">
        <v>10969</v>
      </c>
      <c r="E7970" t="s">
        <v>11</v>
      </c>
      <c r="G7970" t="s">
        <v>1917</v>
      </c>
      <c r="H7970" t="s">
        <v>432</v>
      </c>
    </row>
    <row r="7971" spans="1:8" hidden="1" x14ac:dyDescent="0.25">
      <c r="A7971" t="s">
        <v>10971</v>
      </c>
      <c r="B7971" s="1" t="str">
        <f>HYPERLINK("https://asmlis.vasa.lt/Dashboard/Served?ServiceDateFrom=2025-11-24&amp;ServiceDateTo=2025-11-24&amp;DumpsterInvNr=13-P-415844", "13-P-415844")</f>
        <v>13-P-415844</v>
      </c>
      <c r="C7971">
        <v>5</v>
      </c>
      <c r="D7971" t="s">
        <v>2528</v>
      </c>
      <c r="E7971" t="s">
        <v>11</v>
      </c>
      <c r="G7971" t="s">
        <v>264</v>
      </c>
      <c r="H7971" t="s">
        <v>14</v>
      </c>
    </row>
    <row r="7972" spans="1:8" hidden="1" x14ac:dyDescent="0.25">
      <c r="A7972" t="s">
        <v>10972</v>
      </c>
      <c r="B7972" s="1" t="str">
        <f>HYPERLINK("https://asmlis.vasa.lt/Dashboard/Served?ServiceDateFrom=2025-11-24&amp;ServiceDateTo=2025-11-24&amp;DumpsterInvNr=13-P-211016", "13-P-211016")</f>
        <v>13-P-211016</v>
      </c>
      <c r="C7972">
        <v>0.24</v>
      </c>
      <c r="D7972" t="s">
        <v>10941</v>
      </c>
      <c r="E7972" t="s">
        <v>11</v>
      </c>
      <c r="F7972" t="s">
        <v>1209</v>
      </c>
      <c r="G7972" t="s">
        <v>234</v>
      </c>
      <c r="H7972" t="s">
        <v>14</v>
      </c>
    </row>
    <row r="7973" spans="1:8" hidden="1" x14ac:dyDescent="0.25">
      <c r="A7973" t="s">
        <v>10973</v>
      </c>
      <c r="B7973" s="1" t="str">
        <f>HYPERLINK("https://asmlis.vasa.lt/Dashboard/Served?ServiceDateFrom=2025-11-24&amp;ServiceDateTo=2025-11-24&amp;DumpsterInvNr=13-P-403865", "13-P-403865")</f>
        <v>13-P-403865</v>
      </c>
      <c r="C7973">
        <v>0.12</v>
      </c>
      <c r="D7973" t="s">
        <v>10974</v>
      </c>
      <c r="E7973" t="s">
        <v>11</v>
      </c>
      <c r="G7973" t="s">
        <v>264</v>
      </c>
      <c r="H7973" t="s">
        <v>14</v>
      </c>
    </row>
    <row r="7974" spans="1:8" hidden="1" x14ac:dyDescent="0.25">
      <c r="A7974" t="s">
        <v>10975</v>
      </c>
      <c r="B7974" s="1" t="str">
        <f>HYPERLINK("https://asmlis.vasa.lt/Dashboard/Served?ServiceDateFrom=2025-11-24&amp;ServiceDateTo=2025-11-24&amp;DumpsterInvNr=13-L-117631", "13-L-117631")</f>
        <v>13-L-117631</v>
      </c>
      <c r="C7974">
        <v>0.12</v>
      </c>
      <c r="D7974" t="s">
        <v>10944</v>
      </c>
      <c r="E7974" t="s">
        <v>11</v>
      </c>
      <c r="G7974" t="s">
        <v>1912</v>
      </c>
      <c r="H7974" t="s">
        <v>432</v>
      </c>
    </row>
    <row r="7975" spans="1:8" hidden="1" x14ac:dyDescent="0.25">
      <c r="A7975" t="s">
        <v>10975</v>
      </c>
      <c r="B7975" s="1" t="str">
        <f>HYPERLINK("https://asmlis.vasa.lt/Dashboard/Served?ServiceDateFrom=2025-11-24&amp;ServiceDateTo=2025-11-24&amp;DumpsterInvNr=13-L-206189", "13-L-206189")</f>
        <v>13-L-206189</v>
      </c>
      <c r="C7975">
        <v>0.24</v>
      </c>
      <c r="D7975" t="s">
        <v>8254</v>
      </c>
      <c r="E7975" t="s">
        <v>11</v>
      </c>
      <c r="G7975" t="s">
        <v>936</v>
      </c>
      <c r="H7975" t="s">
        <v>938</v>
      </c>
    </row>
    <row r="7976" spans="1:8" hidden="1" x14ac:dyDescent="0.25">
      <c r="A7976" t="s">
        <v>10976</v>
      </c>
      <c r="B7976" s="1" t="str">
        <f>HYPERLINK("https://asmlis.vasa.lt/Dashboard/Served?ServiceDateFrom=2025-11-24&amp;ServiceDateTo=2025-11-24&amp;DumpsterInvNr=13-L-423402", "13-L-423402")</f>
        <v>13-L-423402</v>
      </c>
      <c r="C7976">
        <v>0.24</v>
      </c>
      <c r="D7976" t="s">
        <v>10977</v>
      </c>
      <c r="E7976" t="s">
        <v>11</v>
      </c>
      <c r="G7976" t="s">
        <v>74</v>
      </c>
      <c r="H7976" t="s">
        <v>14</v>
      </c>
    </row>
    <row r="7977" spans="1:8" hidden="1" x14ac:dyDescent="0.25">
      <c r="A7977" t="s">
        <v>10978</v>
      </c>
      <c r="B7977" s="1" t="str">
        <f>HYPERLINK("https://asmlis.vasa.lt/Dashboard/Served?ServiceDateFrom=2025-11-24&amp;ServiceDateTo=2025-11-24&amp;DumpsterInvNr=13-P-101129", "13-P-101129")</f>
        <v>13-P-101129</v>
      </c>
      <c r="C7977">
        <v>0.24</v>
      </c>
      <c r="D7977" t="s">
        <v>10944</v>
      </c>
      <c r="E7977" t="s">
        <v>11</v>
      </c>
      <c r="G7977" t="s">
        <v>1917</v>
      </c>
      <c r="H7977" t="s">
        <v>432</v>
      </c>
    </row>
    <row r="7978" spans="1:8" hidden="1" x14ac:dyDescent="0.25">
      <c r="A7978" t="s">
        <v>10978</v>
      </c>
      <c r="B7978" s="1" t="str">
        <f>HYPERLINK("https://asmlis.vasa.lt/Dashboard/Served?ServiceDateFrom=2025-11-24&amp;ServiceDateTo=2025-11-24&amp;DumpsterInvNr=13-M-206317", "13-M-206317")</f>
        <v>13-M-206317</v>
      </c>
      <c r="C7978">
        <v>0.12</v>
      </c>
      <c r="D7978" t="s">
        <v>10979</v>
      </c>
      <c r="E7978" t="s">
        <v>11</v>
      </c>
      <c r="G7978" t="s">
        <v>4876</v>
      </c>
      <c r="H7978" t="s">
        <v>938</v>
      </c>
    </row>
    <row r="7979" spans="1:8" hidden="1" x14ac:dyDescent="0.25">
      <c r="A7979" t="s">
        <v>10980</v>
      </c>
      <c r="B7979" s="1" t="str">
        <f>HYPERLINK("https://asmlis.vasa.lt/Dashboard/Served?ServiceDateFrom=2025-11-24&amp;ServiceDateTo=2025-11-24&amp;DumpsterInvNr=13-S-206562", "13-S-206562")</f>
        <v>13-S-206562</v>
      </c>
      <c r="C7979">
        <v>0.12</v>
      </c>
      <c r="D7979" t="s">
        <v>6714</v>
      </c>
      <c r="E7979" t="s">
        <v>11</v>
      </c>
      <c r="F7979" t="s">
        <v>1209</v>
      </c>
      <c r="G7979" t="s">
        <v>234</v>
      </c>
      <c r="H7979" t="s">
        <v>14</v>
      </c>
    </row>
    <row r="7980" spans="1:8" hidden="1" x14ac:dyDescent="0.25">
      <c r="A7980" t="s">
        <v>10981</v>
      </c>
      <c r="B7980" s="1" t="str">
        <f>HYPERLINK("https://asmlis.vasa.lt/Dashboard/Served?ServiceDateFrom=2025-11-24&amp;ServiceDateTo=2025-11-24&amp;DumpsterInvNr=13-L-313113", "13-L-313113")</f>
        <v>13-L-313113</v>
      </c>
      <c r="C7980">
        <v>5</v>
      </c>
      <c r="D7980" t="s">
        <v>10982</v>
      </c>
      <c r="E7980" t="s">
        <v>11</v>
      </c>
      <c r="F7980" t="s">
        <v>13</v>
      </c>
      <c r="G7980" t="s">
        <v>9</v>
      </c>
      <c r="H7980" t="s">
        <v>14</v>
      </c>
    </row>
    <row r="7981" spans="1:8" hidden="1" x14ac:dyDescent="0.25">
      <c r="A7981" t="s">
        <v>10983</v>
      </c>
      <c r="B7981" s="1" t="str">
        <f>HYPERLINK("https://asmlis.vasa.lt/Dashboard/Served?ServiceDateFrom=2025-11-24&amp;ServiceDateTo=2025-11-24&amp;DumpsterInvNr=13-L-316409", "13-L-316409")</f>
        <v>13-L-316409</v>
      </c>
      <c r="C7981">
        <v>0.24</v>
      </c>
      <c r="D7981" t="s">
        <v>10984</v>
      </c>
      <c r="E7981" t="s">
        <v>11</v>
      </c>
      <c r="F7981" t="s">
        <v>13</v>
      </c>
      <c r="G7981" t="s">
        <v>9</v>
      </c>
      <c r="H7981" t="s">
        <v>14</v>
      </c>
    </row>
    <row r="7982" spans="1:8" hidden="1" x14ac:dyDescent="0.25">
      <c r="A7982" t="s">
        <v>10985</v>
      </c>
      <c r="B7982" s="1" t="str">
        <f>HYPERLINK("https://asmlis.vasa.lt/Dashboard/Served?ServiceDateFrom=2025-11-24&amp;ServiceDateTo=2025-11-24&amp;DumpsterInvNr=13-P-208646", "13-P-208646")</f>
        <v>13-P-208646</v>
      </c>
      <c r="C7982">
        <v>0.24</v>
      </c>
      <c r="D7982" t="s">
        <v>10986</v>
      </c>
      <c r="E7982" t="s">
        <v>11</v>
      </c>
      <c r="F7982" t="s">
        <v>1209</v>
      </c>
      <c r="G7982" t="s">
        <v>234</v>
      </c>
      <c r="H7982" t="s">
        <v>14</v>
      </c>
    </row>
    <row r="7983" spans="1:8" hidden="1" x14ac:dyDescent="0.25">
      <c r="A7983" t="s">
        <v>10987</v>
      </c>
      <c r="B7983" s="1" t="str">
        <f>HYPERLINK("https://asmlis.vasa.lt/Dashboard/Served?ServiceDateFrom=2025-11-24&amp;ServiceDateTo=2025-11-24&amp;DumpsterInvNr=13-L-206342", "13-L-206342")</f>
        <v>13-L-206342</v>
      </c>
      <c r="C7983">
        <v>0.24</v>
      </c>
      <c r="D7983" t="s">
        <v>8234</v>
      </c>
      <c r="E7983" t="s">
        <v>11</v>
      </c>
      <c r="F7983" t="s">
        <v>1209</v>
      </c>
      <c r="G7983" t="s">
        <v>936</v>
      </c>
      <c r="H7983" t="s">
        <v>938</v>
      </c>
    </row>
    <row r="7984" spans="1:8" hidden="1" x14ac:dyDescent="0.25">
      <c r="A7984" t="s">
        <v>10809</v>
      </c>
      <c r="B7984" s="1" t="str">
        <f>HYPERLINK("https://asmlis.vasa.lt/Dashboard/Served?ServiceDateFrom=2025-11-24&amp;ServiceDateTo=2025-11-24&amp;DumpsterInvNr=13-M-206081", "13-M-206081")</f>
        <v>13-M-206081</v>
      </c>
      <c r="C7984">
        <v>0.12</v>
      </c>
      <c r="D7984" t="s">
        <v>10988</v>
      </c>
      <c r="E7984" t="s">
        <v>11</v>
      </c>
      <c r="F7984" t="s">
        <v>1209</v>
      </c>
      <c r="G7984" t="s">
        <v>4876</v>
      </c>
      <c r="H7984" t="s">
        <v>938</v>
      </c>
    </row>
    <row r="7985" spans="1:8" hidden="1" x14ac:dyDescent="0.25">
      <c r="A7985" t="s">
        <v>10809</v>
      </c>
      <c r="B7985" s="1" t="str">
        <f>HYPERLINK("https://asmlis.vasa.lt/Dashboard/Served?ServiceDateFrom=2025-11-24&amp;ServiceDateTo=2025-11-24&amp;DumpsterInvNr=13-P-500438", "13-P-500438")</f>
        <v>13-P-500438</v>
      </c>
      <c r="C7985">
        <v>5</v>
      </c>
      <c r="D7985" t="s">
        <v>6230</v>
      </c>
      <c r="E7985" t="s">
        <v>11</v>
      </c>
      <c r="F7985" t="s">
        <v>13</v>
      </c>
      <c r="G7985" t="s">
        <v>2178</v>
      </c>
      <c r="H7985" t="s">
        <v>432</v>
      </c>
    </row>
    <row r="7986" spans="1:8" hidden="1" x14ac:dyDescent="0.25">
      <c r="A7986" t="s">
        <v>10989</v>
      </c>
      <c r="B7986" s="1" t="str">
        <f>HYPERLINK("https://asmlis.vasa.lt/Dashboard/Served?ServiceDateFrom=2025-11-24&amp;ServiceDateTo=2025-11-24&amp;DumpsterInvNr=13-P-208041", "13-P-208041")</f>
        <v>13-P-208041</v>
      </c>
      <c r="C7986">
        <v>0.24</v>
      </c>
      <c r="D7986" t="s">
        <v>6748</v>
      </c>
      <c r="E7986" t="s">
        <v>11</v>
      </c>
      <c r="F7986" t="s">
        <v>1209</v>
      </c>
      <c r="G7986" t="s">
        <v>234</v>
      </c>
      <c r="H7986" t="s">
        <v>14</v>
      </c>
    </row>
    <row r="7987" spans="1:8" hidden="1" x14ac:dyDescent="0.25">
      <c r="A7987" t="s">
        <v>10990</v>
      </c>
      <c r="B7987" s="1" t="str">
        <f>HYPERLINK("https://asmlis.vasa.lt/Dashboard/Served?ServiceDateFrom=2025-11-24&amp;ServiceDateTo=2025-11-24&amp;DumpsterInvNr=13-P-115836", "13-P-115836")</f>
        <v>13-P-115836</v>
      </c>
      <c r="C7987">
        <v>1.1000000000000001</v>
      </c>
      <c r="D7987" t="s">
        <v>10991</v>
      </c>
      <c r="E7987" t="s">
        <v>11</v>
      </c>
      <c r="F7987" t="s">
        <v>1209</v>
      </c>
      <c r="G7987" t="s">
        <v>1917</v>
      </c>
      <c r="H7987" t="s">
        <v>432</v>
      </c>
    </row>
    <row r="7988" spans="1:8" hidden="1" x14ac:dyDescent="0.25">
      <c r="A7988" t="s">
        <v>10992</v>
      </c>
      <c r="B7988" s="1" t="str">
        <f>HYPERLINK("https://asmlis.vasa.lt/Dashboard/Served?ServiceDateFrom=2025-11-24&amp;ServiceDateTo=2025-11-24&amp;DumpsterInvNr=13-L-415846", "13-L-415846")</f>
        <v>13-L-415846</v>
      </c>
      <c r="C7988">
        <v>0.77</v>
      </c>
      <c r="D7988" t="s">
        <v>10674</v>
      </c>
      <c r="E7988" t="s">
        <v>11</v>
      </c>
      <c r="G7988" t="s">
        <v>74</v>
      </c>
      <c r="H7988" t="s">
        <v>14</v>
      </c>
    </row>
    <row r="7989" spans="1:8" hidden="1" x14ac:dyDescent="0.25">
      <c r="A7989" t="s">
        <v>10766</v>
      </c>
      <c r="B7989" s="1" t="str">
        <f>HYPERLINK("https://asmlis.vasa.lt/Dashboard/Served?ServiceDateFrom=2025-11-24&amp;ServiceDateTo=2025-11-24&amp;DumpsterInvNr=13-P-112634", "13-P-112634")</f>
        <v>13-P-112634</v>
      </c>
      <c r="C7989">
        <v>0.24</v>
      </c>
      <c r="D7989" t="s">
        <v>10842</v>
      </c>
      <c r="E7989" t="s">
        <v>11</v>
      </c>
      <c r="F7989" t="s">
        <v>1209</v>
      </c>
      <c r="G7989" t="s">
        <v>1917</v>
      </c>
      <c r="H7989" t="s">
        <v>432</v>
      </c>
    </row>
    <row r="7990" spans="1:8" hidden="1" x14ac:dyDescent="0.25">
      <c r="A7990" t="s">
        <v>10783</v>
      </c>
      <c r="B7990" s="1" t="str">
        <f>HYPERLINK("https://asmlis.vasa.lt/Dashboard/Served?ServiceDateFrom=2025-11-24&amp;ServiceDateTo=2025-11-24&amp;DumpsterInvNr=13-P-411441", "13-P-411441")</f>
        <v>13-P-411441</v>
      </c>
      <c r="C7990">
        <v>0.24</v>
      </c>
      <c r="D7990" t="s">
        <v>2386</v>
      </c>
      <c r="E7990" t="s">
        <v>11</v>
      </c>
      <c r="G7990" t="s">
        <v>264</v>
      </c>
      <c r="H7990" t="s">
        <v>14</v>
      </c>
    </row>
    <row r="7991" spans="1:8" hidden="1" x14ac:dyDescent="0.25">
      <c r="A7991" t="s">
        <v>10993</v>
      </c>
      <c r="B7991" s="1" t="str">
        <f>HYPERLINK("https://asmlis.vasa.lt/Dashboard/Served?ServiceDateFrom=2025-11-24&amp;ServiceDateTo=2025-11-24&amp;DumpsterInvNr=13-P-409194", "13-P-409194")</f>
        <v>13-P-409194</v>
      </c>
      <c r="C7991">
        <v>1.1000000000000001</v>
      </c>
      <c r="D7991" t="s">
        <v>10994</v>
      </c>
      <c r="E7991" t="s">
        <v>11</v>
      </c>
      <c r="G7991" t="s">
        <v>264</v>
      </c>
      <c r="H7991" t="s">
        <v>14</v>
      </c>
    </row>
    <row r="7992" spans="1:8" hidden="1" x14ac:dyDescent="0.25">
      <c r="A7992" t="s">
        <v>10995</v>
      </c>
      <c r="B7992" s="1" t="str">
        <f>HYPERLINK("https://asmlis.vasa.lt/Dashboard/Served?ServiceDateFrom=2025-11-24&amp;ServiceDateTo=2025-11-24&amp;DumpsterInvNr=13-L-132882", "13-L-132882")</f>
        <v>13-L-132882</v>
      </c>
      <c r="C7992">
        <v>1.1000000000000001</v>
      </c>
      <c r="D7992" t="s">
        <v>10997</v>
      </c>
      <c r="E7992" t="s">
        <v>11</v>
      </c>
      <c r="G7992" t="s">
        <v>430</v>
      </c>
      <c r="H7992" t="s">
        <v>432</v>
      </c>
    </row>
    <row r="7993" spans="1:8" hidden="1" x14ac:dyDescent="0.25">
      <c r="A7993" t="s">
        <v>10998</v>
      </c>
      <c r="B7993" s="1" t="str">
        <f>HYPERLINK("https://asmlis.vasa.lt/Dashboard/Served?ServiceDateFrom=2025-11-24&amp;ServiceDateTo=2025-11-24&amp;DumpsterInvNr=13-S-102368", "13-S-102368")</f>
        <v>13-S-102368</v>
      </c>
      <c r="C7993">
        <v>0.12</v>
      </c>
      <c r="D7993" t="s">
        <v>10959</v>
      </c>
      <c r="E7993" t="s">
        <v>11</v>
      </c>
      <c r="F7993" t="s">
        <v>1209</v>
      </c>
      <c r="G7993" t="s">
        <v>1917</v>
      </c>
      <c r="H7993" t="s">
        <v>432</v>
      </c>
    </row>
    <row r="7994" spans="1:8" hidden="1" x14ac:dyDescent="0.25">
      <c r="A7994" t="s">
        <v>10999</v>
      </c>
      <c r="B7994" s="1" t="str">
        <f>HYPERLINK("https://asmlis.vasa.lt/Dashboard/Served?ServiceDateFrom=2025-11-24&amp;ServiceDateTo=2025-11-24&amp;DumpsterInvNr=13-S-107658", "13-S-107658")</f>
        <v>13-S-107658</v>
      </c>
      <c r="C7994">
        <v>0.12</v>
      </c>
      <c r="D7994" t="s">
        <v>10938</v>
      </c>
      <c r="E7994" t="s">
        <v>11</v>
      </c>
      <c r="F7994" t="s">
        <v>1209</v>
      </c>
      <c r="G7994" t="s">
        <v>1917</v>
      </c>
      <c r="H7994" t="s">
        <v>432</v>
      </c>
    </row>
    <row r="7995" spans="1:8" hidden="1" x14ac:dyDescent="0.25">
      <c r="A7995" t="s">
        <v>10878</v>
      </c>
      <c r="B7995" s="1" t="str">
        <f>HYPERLINK("https://asmlis.vasa.lt/Dashboard/Served?ServiceDateFrom=2025-11-24&amp;ServiceDateTo=2025-11-24&amp;DumpsterInvNr=13-S-109259", "13-S-109259")</f>
        <v>13-S-109259</v>
      </c>
      <c r="C7995">
        <v>0.12</v>
      </c>
      <c r="D7995" t="s">
        <v>10897</v>
      </c>
      <c r="E7995" t="s">
        <v>11</v>
      </c>
      <c r="F7995" t="s">
        <v>1209</v>
      </c>
      <c r="G7995" t="s">
        <v>1917</v>
      </c>
      <c r="H7995" t="s">
        <v>432</v>
      </c>
    </row>
    <row r="7996" spans="1:8" hidden="1" x14ac:dyDescent="0.25">
      <c r="A7996" t="s">
        <v>10881</v>
      </c>
      <c r="B7996" s="1" t="str">
        <f>HYPERLINK("https://asmlis.vasa.lt/Dashboard/Served?ServiceDateFrom=2025-11-24&amp;ServiceDateTo=2025-11-24&amp;DumpsterInvNr=13-S-102338", "13-S-102338")</f>
        <v>13-S-102338</v>
      </c>
      <c r="C7996">
        <v>0.12</v>
      </c>
      <c r="D7996" t="s">
        <v>10905</v>
      </c>
      <c r="E7996" t="s">
        <v>11</v>
      </c>
      <c r="F7996" t="s">
        <v>1209</v>
      </c>
      <c r="G7996" t="s">
        <v>1917</v>
      </c>
      <c r="H7996" t="s">
        <v>432</v>
      </c>
    </row>
    <row r="7997" spans="1:8" hidden="1" x14ac:dyDescent="0.25">
      <c r="A7997" t="s">
        <v>11001</v>
      </c>
      <c r="B7997" s="1" t="str">
        <f>HYPERLINK("https://asmlis.vasa.lt/Dashboard/Served?ServiceDateFrom=2025-11-24&amp;ServiceDateTo=2025-11-24&amp;DumpsterInvNr=13-L-124888", "13-L-124888")</f>
        <v>13-L-124888</v>
      </c>
      <c r="C7997">
        <v>1.1000000000000001</v>
      </c>
      <c r="D7997" t="s">
        <v>11002</v>
      </c>
      <c r="E7997" t="s">
        <v>11</v>
      </c>
      <c r="G7997" t="s">
        <v>430</v>
      </c>
      <c r="H7997" t="s">
        <v>432</v>
      </c>
    </row>
    <row r="7998" spans="1:8" hidden="1" x14ac:dyDescent="0.25">
      <c r="A7998" t="s">
        <v>10886</v>
      </c>
      <c r="B7998" s="1" t="str">
        <f>HYPERLINK("https://asmlis.vasa.lt/Dashboard/Served?ServiceDateFrom=2025-11-24&amp;ServiceDateTo=2025-11-24&amp;DumpsterInvNr=13-L-210159", "13-L-210159")</f>
        <v>13-L-210159</v>
      </c>
      <c r="C7998">
        <v>0.12</v>
      </c>
      <c r="D7998" t="s">
        <v>8249</v>
      </c>
      <c r="E7998" t="s">
        <v>11</v>
      </c>
      <c r="F7998" t="s">
        <v>1209</v>
      </c>
      <c r="G7998" t="s">
        <v>936</v>
      </c>
      <c r="H7998" t="s">
        <v>938</v>
      </c>
    </row>
    <row r="7999" spans="1:8" hidden="1" x14ac:dyDescent="0.25">
      <c r="A7999" t="s">
        <v>11005</v>
      </c>
      <c r="B7999" s="1" t="str">
        <f>HYPERLINK("https://asmlis.vasa.lt/Dashboard/Served?ServiceDateFrom=2025-11-24&amp;ServiceDateTo=2025-11-24&amp;DumpsterInvNr=13-S-102355", "13-S-102355")</f>
        <v>13-S-102355</v>
      </c>
      <c r="C7999">
        <v>0.12</v>
      </c>
      <c r="D7999" t="s">
        <v>10969</v>
      </c>
      <c r="E7999" t="s">
        <v>11</v>
      </c>
      <c r="F7999" t="s">
        <v>1209</v>
      </c>
      <c r="G7999" t="s">
        <v>1917</v>
      </c>
      <c r="H7999" t="s">
        <v>432</v>
      </c>
    </row>
    <row r="8000" spans="1:8" hidden="1" x14ac:dyDescent="0.25">
      <c r="A8000" t="s">
        <v>11006</v>
      </c>
      <c r="B8000" s="1" t="str">
        <f>HYPERLINK("https://asmlis.vasa.lt/Dashboard/Served?ServiceDateFrom=2025-11-24&amp;ServiceDateTo=2025-11-24&amp;DumpsterInvNr=13-L-426928", "13-L-426928")</f>
        <v>13-L-426928</v>
      </c>
      <c r="C8000">
        <v>1.1000000000000001</v>
      </c>
      <c r="D8000" t="s">
        <v>11007</v>
      </c>
      <c r="E8000" t="s">
        <v>11</v>
      </c>
      <c r="F8000" t="s">
        <v>13</v>
      </c>
      <c r="G8000" t="s">
        <v>74</v>
      </c>
      <c r="H8000" t="s">
        <v>14</v>
      </c>
    </row>
    <row r="8001" spans="1:8" hidden="1" x14ac:dyDescent="0.25">
      <c r="A8001" t="s">
        <v>11006</v>
      </c>
      <c r="B8001" s="1" t="str">
        <f>HYPERLINK("https://asmlis.vasa.lt/Dashboard/Served?ServiceDateFrom=2025-11-24&amp;ServiceDateTo=2025-11-24&amp;DumpsterInvNr=13-L-422547", "13-L-422547")</f>
        <v>13-L-422547</v>
      </c>
      <c r="C8001">
        <v>0.12</v>
      </c>
      <c r="D8001" t="s">
        <v>11008</v>
      </c>
      <c r="E8001" t="s">
        <v>11</v>
      </c>
      <c r="G8001" t="s">
        <v>74</v>
      </c>
      <c r="H8001" t="s">
        <v>14</v>
      </c>
    </row>
    <row r="8002" spans="1:8" hidden="1" x14ac:dyDescent="0.25">
      <c r="A8002" t="s">
        <v>11006</v>
      </c>
      <c r="B8002" s="1" t="str">
        <f>HYPERLINK("https://asmlis.vasa.lt/Dashboard/Served?ServiceDateFrom=2025-11-24&amp;ServiceDateTo=2025-11-24&amp;DumpsterInvNr=13-L-422541", "13-L-422541")</f>
        <v>13-L-422541</v>
      </c>
      <c r="C8002">
        <v>0.12</v>
      </c>
      <c r="D8002" t="s">
        <v>11009</v>
      </c>
      <c r="E8002" t="s">
        <v>11</v>
      </c>
      <c r="G8002" t="s">
        <v>74</v>
      </c>
      <c r="H8002" t="s">
        <v>14</v>
      </c>
    </row>
    <row r="8003" spans="1:8" hidden="1" x14ac:dyDescent="0.25">
      <c r="A8003" t="s">
        <v>11010</v>
      </c>
      <c r="B8003" s="1" t="str">
        <f>HYPERLINK("https://asmlis.vasa.lt/Dashboard/Served?ServiceDateFrom=2025-11-24&amp;ServiceDateTo=2025-11-24&amp;DumpsterInvNr=13-P-302456", "13-P-302456")</f>
        <v>13-P-302456</v>
      </c>
      <c r="C8003">
        <v>5</v>
      </c>
      <c r="D8003" t="s">
        <v>11011</v>
      </c>
      <c r="E8003" t="s">
        <v>11</v>
      </c>
      <c r="G8003" t="s">
        <v>412</v>
      </c>
      <c r="H8003" t="s">
        <v>14</v>
      </c>
    </row>
    <row r="8004" spans="1:8" hidden="1" x14ac:dyDescent="0.25">
      <c r="A8004" t="s">
        <v>11012</v>
      </c>
      <c r="B8004" s="1" t="str">
        <f>HYPERLINK("https://asmlis.vasa.lt/Dashboard/Served?ServiceDateFrom=2025-11-24&amp;ServiceDateTo=2025-11-24&amp;DumpsterInvNr=13-P-209661", "13-P-209661")</f>
        <v>13-P-209661</v>
      </c>
      <c r="C8004">
        <v>0.24</v>
      </c>
      <c r="D8004" t="s">
        <v>11014</v>
      </c>
      <c r="E8004" t="s">
        <v>11</v>
      </c>
      <c r="G8004" t="s">
        <v>234</v>
      </c>
      <c r="H8004" t="s">
        <v>14</v>
      </c>
    </row>
    <row r="8005" spans="1:8" hidden="1" x14ac:dyDescent="0.25">
      <c r="A8005" t="s">
        <v>11012</v>
      </c>
      <c r="B8005" s="1" t="str">
        <f>HYPERLINK("https://asmlis.vasa.lt/Dashboard/Served?ServiceDateFrom=2025-11-24&amp;ServiceDateTo=2025-11-24&amp;DumpsterInvNr=13-L-132883", "13-L-132883")</f>
        <v>13-L-132883</v>
      </c>
      <c r="C8005">
        <v>1.1000000000000001</v>
      </c>
      <c r="D8005" t="s">
        <v>10997</v>
      </c>
      <c r="E8005" t="s">
        <v>11</v>
      </c>
      <c r="G8005" t="s">
        <v>430</v>
      </c>
      <c r="H8005" t="s">
        <v>432</v>
      </c>
    </row>
    <row r="8006" spans="1:8" hidden="1" x14ac:dyDescent="0.25">
      <c r="A8006" t="s">
        <v>10870</v>
      </c>
      <c r="B8006" s="1" t="str">
        <f>HYPERLINK("https://asmlis.vasa.lt/Dashboard/Served?ServiceDateFrom=2025-11-24&amp;ServiceDateTo=2025-11-24&amp;DumpsterInvNr=13-L-136746", "13-L-136746")</f>
        <v>13-L-136746</v>
      </c>
      <c r="C8006">
        <v>5</v>
      </c>
      <c r="D8006" t="s">
        <v>11015</v>
      </c>
      <c r="E8006" t="s">
        <v>11</v>
      </c>
      <c r="F8006" t="s">
        <v>13</v>
      </c>
      <c r="G8006" t="s">
        <v>430</v>
      </c>
      <c r="H8006" t="s">
        <v>432</v>
      </c>
    </row>
    <row r="8007" spans="1:8" hidden="1" x14ac:dyDescent="0.25">
      <c r="A8007" t="s">
        <v>11016</v>
      </c>
      <c r="B8007" s="1" t="str">
        <f>HYPERLINK("https://asmlis.vasa.lt/Dashboard/Served?ServiceDateFrom=2025-11-24&amp;ServiceDateTo=2025-11-24&amp;DumpsterInvNr=13-P-400525", "13-P-400525")</f>
        <v>13-P-400525</v>
      </c>
      <c r="C8007">
        <v>5</v>
      </c>
      <c r="D8007" t="s">
        <v>11017</v>
      </c>
      <c r="E8007" t="s">
        <v>11</v>
      </c>
      <c r="F8007" t="s">
        <v>13</v>
      </c>
      <c r="G8007" t="s">
        <v>264</v>
      </c>
      <c r="H8007" t="s">
        <v>14</v>
      </c>
    </row>
    <row r="8008" spans="1:8" hidden="1" x14ac:dyDescent="0.25">
      <c r="A8008" t="s">
        <v>10925</v>
      </c>
      <c r="B8008" s="1" t="str">
        <f>HYPERLINK("https://asmlis.vasa.lt/Dashboard/Served?ServiceDateFrom=2025-11-24&amp;ServiceDateTo=2025-11-24&amp;DumpsterInvNr=13-L-316330", "13-L-316330")</f>
        <v>13-L-316330</v>
      </c>
      <c r="C8008">
        <v>1.1000000000000001</v>
      </c>
      <c r="D8008" t="s">
        <v>11018</v>
      </c>
      <c r="E8008" t="s">
        <v>11</v>
      </c>
      <c r="G8008" t="s">
        <v>9</v>
      </c>
      <c r="H8008" t="s">
        <v>14</v>
      </c>
    </row>
    <row r="8009" spans="1:8" hidden="1" x14ac:dyDescent="0.25">
      <c r="A8009" t="s">
        <v>10927</v>
      </c>
      <c r="B8009" s="1" t="str">
        <f>HYPERLINK("https://asmlis.vasa.lt/Dashboard/Served?ServiceDateFrom=2025-11-24&amp;ServiceDateTo=2025-11-24&amp;DumpsterInvNr=13-M-206199", "13-M-206199")</f>
        <v>13-M-206199</v>
      </c>
      <c r="C8009">
        <v>0.12</v>
      </c>
      <c r="D8009" t="s">
        <v>11019</v>
      </c>
      <c r="E8009" t="s">
        <v>11</v>
      </c>
      <c r="F8009" t="s">
        <v>1209</v>
      </c>
      <c r="G8009" t="s">
        <v>4876</v>
      </c>
      <c r="H8009" t="s">
        <v>938</v>
      </c>
    </row>
    <row r="8010" spans="1:8" hidden="1" x14ac:dyDescent="0.25">
      <c r="A8010" t="s">
        <v>11020</v>
      </c>
      <c r="B8010" s="1" t="str">
        <f>HYPERLINK("https://asmlis.vasa.lt/Dashboard/Served?ServiceDateFrom=2025-11-24&amp;ServiceDateTo=2025-11-24&amp;DumpsterInvNr=13-L-305492", "13-L-305492")</f>
        <v>13-L-305492</v>
      </c>
      <c r="C8010">
        <v>0.77</v>
      </c>
      <c r="D8010" t="s">
        <v>11021</v>
      </c>
      <c r="E8010" t="s">
        <v>11</v>
      </c>
      <c r="G8010" t="s">
        <v>9</v>
      </c>
      <c r="H8010" t="s">
        <v>14</v>
      </c>
    </row>
    <row r="8011" spans="1:8" hidden="1" x14ac:dyDescent="0.25">
      <c r="A8011" t="s">
        <v>10632</v>
      </c>
      <c r="B8011" s="1" t="str">
        <f>HYPERLINK("https://asmlis.vasa.lt/Dashboard/Served?ServiceDateFrom=2025-11-24&amp;ServiceDateTo=2025-11-24&amp;DumpsterInvNr=13-L-117630", "13-L-117630")</f>
        <v>13-L-117630</v>
      </c>
      <c r="C8011">
        <v>0.12</v>
      </c>
      <c r="D8011" t="s">
        <v>11022</v>
      </c>
      <c r="E8011" t="s">
        <v>11</v>
      </c>
      <c r="G8011" t="s">
        <v>1912</v>
      </c>
      <c r="H8011" t="s">
        <v>432</v>
      </c>
    </row>
    <row r="8012" spans="1:8" hidden="1" x14ac:dyDescent="0.25">
      <c r="A8012" t="s">
        <v>10825</v>
      </c>
      <c r="B8012" s="1" t="str">
        <f>HYPERLINK("https://asmlis.vasa.lt/Dashboard/Served?ServiceDateFrom=2025-11-24&amp;ServiceDateTo=2025-11-24&amp;DumpsterInvNr=13-P-411306", "13-P-411306")</f>
        <v>13-P-411306</v>
      </c>
      <c r="C8012">
        <v>0.24</v>
      </c>
      <c r="D8012" t="s">
        <v>11023</v>
      </c>
      <c r="E8012" t="s">
        <v>11</v>
      </c>
      <c r="G8012" t="s">
        <v>264</v>
      </c>
      <c r="H8012" t="s">
        <v>14</v>
      </c>
    </row>
    <row r="8013" spans="1:8" hidden="1" x14ac:dyDescent="0.25">
      <c r="A8013" t="s">
        <v>10830</v>
      </c>
      <c r="B8013" s="1" t="str">
        <f>HYPERLINK("https://asmlis.vasa.lt/Dashboard/Served?ServiceDateFrom=2025-11-24&amp;ServiceDateTo=2025-11-24&amp;DumpsterInvNr=13-L-213220", "13-L-213220")</f>
        <v>13-L-213220</v>
      </c>
      <c r="C8013">
        <v>0.24</v>
      </c>
      <c r="D8013" t="s">
        <v>8301</v>
      </c>
      <c r="E8013" t="s">
        <v>11</v>
      </c>
      <c r="F8013" t="s">
        <v>1209</v>
      </c>
      <c r="G8013" t="s">
        <v>936</v>
      </c>
      <c r="H8013" t="s">
        <v>938</v>
      </c>
    </row>
    <row r="8014" spans="1:8" hidden="1" x14ac:dyDescent="0.25">
      <c r="A8014" t="s">
        <v>10843</v>
      </c>
      <c r="B8014" s="1" t="str">
        <f>HYPERLINK("https://asmlis.vasa.lt/Dashboard/Served?ServiceDateFrom=2025-11-24&amp;ServiceDateTo=2025-11-24&amp;DumpsterInvNr=13-P-100025", "13-P-100025")</f>
        <v>13-P-100025</v>
      </c>
      <c r="C8014">
        <v>0.12</v>
      </c>
      <c r="D8014" t="s">
        <v>11022</v>
      </c>
      <c r="E8014" t="s">
        <v>11</v>
      </c>
      <c r="G8014" t="s">
        <v>1917</v>
      </c>
      <c r="H8014" t="s">
        <v>432</v>
      </c>
    </row>
    <row r="8015" spans="1:8" hidden="1" x14ac:dyDescent="0.25">
      <c r="A8015" t="s">
        <v>11024</v>
      </c>
      <c r="B8015" s="1" t="str">
        <f>HYPERLINK("https://asmlis.vasa.lt/Dashboard/Served?ServiceDateFrom=2025-11-24&amp;ServiceDateTo=2025-11-24&amp;DumpsterInvNr=13-P-205446", "13-P-205446")</f>
        <v>13-P-205446</v>
      </c>
      <c r="C8015">
        <v>0.24</v>
      </c>
      <c r="D8015" t="s">
        <v>6881</v>
      </c>
      <c r="E8015" t="s">
        <v>11</v>
      </c>
      <c r="G8015" t="s">
        <v>234</v>
      </c>
      <c r="H8015" t="s">
        <v>14</v>
      </c>
    </row>
    <row r="8016" spans="1:8" hidden="1" x14ac:dyDescent="0.25">
      <c r="A8016" t="s">
        <v>10856</v>
      </c>
      <c r="B8016" s="1" t="str">
        <f>HYPERLINK("https://asmlis.vasa.lt/Dashboard/Served?ServiceDateFrom=2025-11-24&amp;ServiceDateTo=2025-11-24&amp;DumpsterInvNr=13-L-206437", "13-L-206437")</f>
        <v>13-L-206437</v>
      </c>
      <c r="C8016">
        <v>0.12</v>
      </c>
      <c r="D8016" t="s">
        <v>8285</v>
      </c>
      <c r="E8016" t="s">
        <v>11</v>
      </c>
      <c r="F8016" t="s">
        <v>1209</v>
      </c>
      <c r="G8016" t="s">
        <v>936</v>
      </c>
      <c r="H8016" t="s">
        <v>938</v>
      </c>
    </row>
    <row r="8017" spans="1:10" hidden="1" x14ac:dyDescent="0.25">
      <c r="A8017" t="s">
        <v>10856</v>
      </c>
      <c r="B8017" s="1" t="str">
        <f>HYPERLINK("https://asmlis.vasa.lt/Dashboard/Served?ServiceDateFrom=2025-11-24&amp;ServiceDateTo=2025-11-24&amp;DumpsterInvNr=13-M-202349", "13-M-202349")</f>
        <v>13-M-202349</v>
      </c>
      <c r="C8017">
        <v>0.12</v>
      </c>
      <c r="D8017" t="s">
        <v>11025</v>
      </c>
      <c r="E8017" t="s">
        <v>11</v>
      </c>
      <c r="G8017" t="s">
        <v>4876</v>
      </c>
      <c r="H8017" t="s">
        <v>938</v>
      </c>
    </row>
    <row r="8018" spans="1:10" hidden="1" x14ac:dyDescent="0.25">
      <c r="A8018" t="s">
        <v>10898</v>
      </c>
      <c r="B8018" s="1" t="str">
        <f>HYPERLINK("https://asmlis.vasa.lt/Dashboard/Served?ServiceDateFrom=2025-11-24&amp;ServiceDateTo=2025-11-24&amp;DumpsterInvNr=13-L-427304", "13-L-427304")</f>
        <v>13-L-427304</v>
      </c>
      <c r="C8018">
        <v>0.24</v>
      </c>
      <c r="D8018" t="s">
        <v>6215</v>
      </c>
      <c r="E8018" t="s">
        <v>11</v>
      </c>
      <c r="F8018" t="s">
        <v>1209</v>
      </c>
      <c r="G8018" t="s">
        <v>74</v>
      </c>
      <c r="H8018" t="s">
        <v>14</v>
      </c>
    </row>
    <row r="8019" spans="1:10" hidden="1" x14ac:dyDescent="0.25">
      <c r="A8019" t="s">
        <v>10906</v>
      </c>
      <c r="B8019" s="1" t="str">
        <f>HYPERLINK("https://asmlis.vasa.lt/Dashboard/Served?ServiceDateFrom=2025-11-24&amp;ServiceDateTo=2025-11-24&amp;DumpsterInvNr=13-S-206426", "13-S-206426")</f>
        <v>13-S-206426</v>
      </c>
      <c r="C8019">
        <v>0.12</v>
      </c>
      <c r="D8019" t="s">
        <v>6881</v>
      </c>
      <c r="E8019" t="s">
        <v>11</v>
      </c>
      <c r="G8019" t="s">
        <v>234</v>
      </c>
      <c r="H8019" t="s">
        <v>14</v>
      </c>
    </row>
    <row r="8020" spans="1:10" hidden="1" x14ac:dyDescent="0.25">
      <c r="A8020" t="s">
        <v>10939</v>
      </c>
      <c r="B8020" s="1" t="str">
        <f>HYPERLINK("https://asmlis.vasa.lt/Dashboard/Served?ServiceDateFrom=2025-11-24&amp;ServiceDateTo=2025-11-24&amp;DumpsterInvNr=13-L-214055", "13-L-214055")</f>
        <v>13-L-214055</v>
      </c>
      <c r="C8020">
        <v>0.24</v>
      </c>
      <c r="D8020" t="s">
        <v>11026</v>
      </c>
      <c r="E8020" t="s">
        <v>11</v>
      </c>
      <c r="F8020" t="s">
        <v>13</v>
      </c>
      <c r="G8020" t="s">
        <v>936</v>
      </c>
      <c r="H8020" t="s">
        <v>938</v>
      </c>
    </row>
    <row r="8021" spans="1:10" hidden="1" x14ac:dyDescent="0.25">
      <c r="A8021" t="s">
        <v>11027</v>
      </c>
      <c r="B8021" s="1" t="str">
        <f>HYPERLINK("https://asmlis.vasa.lt/Dashboard/Served?ServiceDateFrom=2025-11-24&amp;ServiceDateTo=2025-11-24&amp;DumpsterInvNr=13-S-107631", "13-S-107631")</f>
        <v>13-S-107631</v>
      </c>
      <c r="C8021">
        <v>0.12</v>
      </c>
      <c r="D8021" t="s">
        <v>11028</v>
      </c>
      <c r="E8021" t="s">
        <v>11</v>
      </c>
      <c r="F8021" t="s">
        <v>1209</v>
      </c>
      <c r="G8021" t="s">
        <v>1917</v>
      </c>
      <c r="H8021" t="s">
        <v>432</v>
      </c>
    </row>
    <row r="8022" spans="1:10" hidden="1" x14ac:dyDescent="0.25">
      <c r="A8022" t="s">
        <v>10945</v>
      </c>
      <c r="B8022" s="1" t="str">
        <f>HYPERLINK("https://asmlis.vasa.lt/Dashboard/Served?ServiceDateFrom=2025-11-24&amp;ServiceDateTo=2025-11-24&amp;DumpsterInvNr=13-L-404652", "13-L-404652")</f>
        <v>13-L-404652</v>
      </c>
      <c r="C8022">
        <v>0.24</v>
      </c>
      <c r="D8022" t="s">
        <v>11029</v>
      </c>
      <c r="E8022" t="s">
        <v>11</v>
      </c>
      <c r="F8022" t="s">
        <v>1209</v>
      </c>
      <c r="G8022" t="s">
        <v>74</v>
      </c>
      <c r="H8022" t="s">
        <v>14</v>
      </c>
    </row>
    <row r="8023" spans="1:10" hidden="1" x14ac:dyDescent="0.25">
      <c r="A8023" t="s">
        <v>11030</v>
      </c>
      <c r="B8023" s="1" t="str">
        <f>HYPERLINK("https://asmlis.vasa.lt/Dashboard/Served?ServiceDateFrom=2025-11-24&amp;ServiceDateTo=2025-11-24&amp;DumpsterInvNr=13-L-404651", "13-L-404651")</f>
        <v>13-L-404651</v>
      </c>
      <c r="C8023">
        <v>0.12</v>
      </c>
      <c r="D8023" t="s">
        <v>11031</v>
      </c>
      <c r="E8023" t="s">
        <v>11</v>
      </c>
      <c r="F8023" t="s">
        <v>1209</v>
      </c>
      <c r="G8023" t="s">
        <v>74</v>
      </c>
      <c r="H8023" t="s">
        <v>14</v>
      </c>
    </row>
    <row r="8024" spans="1:10" hidden="1" x14ac:dyDescent="0.25">
      <c r="A8024" t="s">
        <v>11030</v>
      </c>
      <c r="B8024" s="1" t="str">
        <f>HYPERLINK("https://asmlis.vasa.lt/Dashboard/Served?ServiceDateFrom=2025-11-24&amp;ServiceDateTo=2025-11-24&amp;DumpsterInvNr=13-P-112627", "13-P-112627")</f>
        <v>13-P-112627</v>
      </c>
      <c r="C8024">
        <v>0.24</v>
      </c>
      <c r="D8024" t="s">
        <v>11028</v>
      </c>
      <c r="E8024" t="s">
        <v>11</v>
      </c>
      <c r="F8024" t="s">
        <v>1209</v>
      </c>
      <c r="G8024" t="s">
        <v>1917</v>
      </c>
      <c r="H8024" t="s">
        <v>432</v>
      </c>
    </row>
    <row r="8025" spans="1:10" hidden="1" x14ac:dyDescent="0.25">
      <c r="A8025" t="s">
        <v>11033</v>
      </c>
      <c r="B8025" s="1" t="str">
        <f>HYPERLINK("https://asmlis.vasa.lt/Dashboard/Served?ServiceDateFrom=2025-11-24&amp;ServiceDateTo=2025-11-24&amp;DumpsterInvNr=13-P-411440", "13-P-411440")</f>
        <v>13-P-411440</v>
      </c>
      <c r="C8025">
        <v>0.24</v>
      </c>
      <c r="D8025" t="s">
        <v>11034</v>
      </c>
      <c r="E8025" t="s">
        <v>11</v>
      </c>
      <c r="G8025" t="s">
        <v>264</v>
      </c>
      <c r="H8025" t="s">
        <v>14</v>
      </c>
    </row>
    <row r="8026" spans="1:10" hidden="1" x14ac:dyDescent="0.25">
      <c r="A8026" t="s">
        <v>11033</v>
      </c>
      <c r="B8026" s="1" t="str">
        <f>HYPERLINK("https://asmlis.vasa.lt/Dashboard/Served?ServiceDateFrom=2025-11-24&amp;ServiceDateTo=2025-11-24&amp;DumpsterInvNr=13-P-500173", "13-P-500173")</f>
        <v>13-P-500173</v>
      </c>
      <c r="C8026">
        <v>3</v>
      </c>
      <c r="D8026" t="s">
        <v>11035</v>
      </c>
      <c r="E8026" t="s">
        <v>11</v>
      </c>
      <c r="F8026" t="s">
        <v>13</v>
      </c>
      <c r="G8026" t="s">
        <v>2178</v>
      </c>
      <c r="H8026" t="s">
        <v>432</v>
      </c>
    </row>
    <row r="8027" spans="1:10" hidden="1" x14ac:dyDescent="0.25">
      <c r="A8027" t="s">
        <v>11033</v>
      </c>
      <c r="B8027" s="1" t="str">
        <f>HYPERLINK("https://asmlis.vasa.lt/Dashboard/Served?ServiceDateFrom=2025-11-24&amp;ServiceDateTo=2025-11-24&amp;DumpsterInvNr=13-L-224232", "13-L-224232")</f>
        <v>13-L-224232</v>
      </c>
      <c r="C8027">
        <v>5</v>
      </c>
      <c r="D8027" t="s">
        <v>4016</v>
      </c>
      <c r="E8027" t="s">
        <v>11</v>
      </c>
      <c r="G8027" t="s">
        <v>936</v>
      </c>
      <c r="H8027" t="s">
        <v>938</v>
      </c>
    </row>
    <row r="8028" spans="1:10" hidden="1" x14ac:dyDescent="0.25">
      <c r="A8028" t="s">
        <v>11033</v>
      </c>
      <c r="B8028" s="1" t="str">
        <f>HYPERLINK("https://asmlis.vasa.lt/Dashboard/Served?ServiceDateFrom=2025-11-24&amp;ServiceDateTo=2025-11-24&amp;DumpsterInvNr=13-P-100024", "13-P-100024")</f>
        <v>13-P-100024</v>
      </c>
      <c r="C8028">
        <v>0.12</v>
      </c>
      <c r="D8028" t="s">
        <v>11022</v>
      </c>
      <c r="E8028" t="s">
        <v>11</v>
      </c>
      <c r="F8028" t="s">
        <v>1209</v>
      </c>
      <c r="G8028" t="s">
        <v>1917</v>
      </c>
      <c r="H8028" t="s">
        <v>432</v>
      </c>
    </row>
    <row r="8029" spans="1:10" hidden="1" x14ac:dyDescent="0.25">
      <c r="A8029" t="s">
        <v>11038</v>
      </c>
      <c r="B8029" s="1" t="str">
        <f>HYPERLINK("https://asmlis.vasa.lt/Dashboard/Served?ServiceDateFrom=2025-11-24&amp;ServiceDateTo=2025-11-24&amp;DumpsterInvNr=13-L-117629", "13-L-117629")</f>
        <v>13-L-117629</v>
      </c>
      <c r="C8029">
        <v>0.12</v>
      </c>
      <c r="D8029" t="s">
        <v>11028</v>
      </c>
      <c r="E8029" t="s">
        <v>11</v>
      </c>
      <c r="F8029" t="s">
        <v>1209</v>
      </c>
      <c r="G8029" t="s">
        <v>1912</v>
      </c>
      <c r="H8029" t="s">
        <v>432</v>
      </c>
    </row>
    <row r="8030" spans="1:10" hidden="1" x14ac:dyDescent="0.25">
      <c r="A8030" t="s">
        <v>11038</v>
      </c>
      <c r="B8030" s="1" t="str">
        <f>HYPERLINK("https://asmlis.vasa.lt/Dashboard/Served?ServiceDateFrom=2025-11-24&amp;ServiceDateTo=2025-11-24&amp;DumpsterInvNr=13-M-206087", "13-M-206087")</f>
        <v>13-M-206087</v>
      </c>
      <c r="C8030">
        <v>0.12</v>
      </c>
      <c r="D8030" t="s">
        <v>11039</v>
      </c>
      <c r="E8030" t="s">
        <v>11</v>
      </c>
      <c r="F8030" t="s">
        <v>1209</v>
      </c>
      <c r="G8030" t="s">
        <v>4876</v>
      </c>
      <c r="H8030" t="s">
        <v>938</v>
      </c>
    </row>
    <row r="8031" spans="1:10" hidden="1" x14ac:dyDescent="0.25">
      <c r="A8031" t="s">
        <v>11040</v>
      </c>
      <c r="B8031" s="1" t="str">
        <f>HYPERLINK("https://asmlis.vasa.lt/Dashboard/Served?ServiceDateFrom=2025-11-24&amp;ServiceDateTo=2025-11-24&amp;DumpsterInvNr=13-L-206100", "13-L-206100")</f>
        <v>13-L-206100</v>
      </c>
      <c r="C8031">
        <v>0.12</v>
      </c>
      <c r="D8031" t="s">
        <v>8805</v>
      </c>
      <c r="E8031" t="s">
        <v>11</v>
      </c>
      <c r="F8031" t="s">
        <v>1209</v>
      </c>
      <c r="G8031" t="s">
        <v>936</v>
      </c>
      <c r="H8031" t="s">
        <v>938</v>
      </c>
    </row>
    <row r="8032" spans="1:10" x14ac:dyDescent="0.25">
      <c r="A8032" t="s">
        <v>11041</v>
      </c>
      <c r="B8032" s="1" t="str">
        <f>HYPERLINK("https://asmlis.vasa.lt/Dashboard/Served?ServiceDateFrom=2025-11-24&amp;ServiceDateTo=2025-11-24&amp;DumpsterInvNr=13-L-404641", "13-L-404641")</f>
        <v>13-L-404641</v>
      </c>
      <c r="C8032">
        <v>0.24</v>
      </c>
      <c r="D8032" t="s">
        <v>11042</v>
      </c>
      <c r="E8032" t="s">
        <v>11</v>
      </c>
      <c r="F8032" t="s">
        <v>1215</v>
      </c>
      <c r="G8032" t="s">
        <v>74</v>
      </c>
      <c r="H8032" t="s">
        <v>14</v>
      </c>
      <c r="J8032" t="s">
        <v>17511</v>
      </c>
    </row>
    <row r="8033" spans="1:10" hidden="1" x14ac:dyDescent="0.25">
      <c r="A8033" t="s">
        <v>11043</v>
      </c>
      <c r="B8033" s="1" t="str">
        <f>HYPERLINK("https://asmlis.vasa.lt/Dashboard/Served?ServiceDateFrom=2025-11-24&amp;ServiceDateTo=2025-11-24&amp;DumpsterInvNr=13-L-209561", "13-L-209561")</f>
        <v>13-L-209561</v>
      </c>
      <c r="C8033">
        <v>0.12</v>
      </c>
      <c r="D8033" t="s">
        <v>11044</v>
      </c>
      <c r="E8033" t="s">
        <v>11</v>
      </c>
      <c r="F8033" t="s">
        <v>1209</v>
      </c>
      <c r="G8033" t="s">
        <v>936</v>
      </c>
      <c r="H8033" t="s">
        <v>938</v>
      </c>
    </row>
    <row r="8034" spans="1:10" hidden="1" x14ac:dyDescent="0.25">
      <c r="A8034" t="s">
        <v>11043</v>
      </c>
      <c r="B8034" s="1" t="str">
        <f>HYPERLINK("https://asmlis.vasa.lt/Dashboard/Served?ServiceDateFrom=2025-11-24&amp;ServiceDateTo=2025-11-24&amp;DumpsterInvNr=13-P-400524", "13-P-400524")</f>
        <v>13-P-400524</v>
      </c>
      <c r="C8034">
        <v>5</v>
      </c>
      <c r="D8034" t="s">
        <v>11045</v>
      </c>
      <c r="E8034" t="s">
        <v>11</v>
      </c>
      <c r="G8034" t="s">
        <v>264</v>
      </c>
      <c r="H8034" t="s">
        <v>14</v>
      </c>
    </row>
    <row r="8035" spans="1:10" hidden="1" x14ac:dyDescent="0.25">
      <c r="A8035" t="s">
        <v>11043</v>
      </c>
      <c r="B8035" s="1" t="str">
        <f>HYPERLINK("https://asmlis.vasa.lt/Dashboard/Served?ServiceDateFrom=2025-11-24&amp;ServiceDateTo=2025-11-24&amp;DumpsterInvNr=13-P-205157", "13-P-205157")</f>
        <v>13-P-205157</v>
      </c>
      <c r="C8035">
        <v>0.24</v>
      </c>
      <c r="D8035" t="s">
        <v>6871</v>
      </c>
      <c r="E8035" t="s">
        <v>11</v>
      </c>
      <c r="F8035" t="s">
        <v>1209</v>
      </c>
      <c r="G8035" t="s">
        <v>234</v>
      </c>
      <c r="H8035" t="s">
        <v>14</v>
      </c>
    </row>
    <row r="8036" spans="1:10" hidden="1" x14ac:dyDescent="0.25">
      <c r="A8036" t="s">
        <v>11046</v>
      </c>
      <c r="B8036" s="1" t="str">
        <f>HYPERLINK("https://asmlis.vasa.lt/Dashboard/Served?ServiceDateFrom=2025-11-24&amp;ServiceDateTo=2025-11-24&amp;DumpsterInvNr=13-P-211067", "13-P-211067")</f>
        <v>13-P-211067</v>
      </c>
      <c r="C8036">
        <v>0.24</v>
      </c>
      <c r="D8036" t="s">
        <v>11047</v>
      </c>
      <c r="E8036" t="s">
        <v>11</v>
      </c>
      <c r="F8036" t="s">
        <v>1209</v>
      </c>
      <c r="G8036" t="s">
        <v>234</v>
      </c>
      <c r="H8036" t="s">
        <v>14</v>
      </c>
    </row>
    <row r="8037" spans="1:10" x14ac:dyDescent="0.25">
      <c r="A8037" t="s">
        <v>11048</v>
      </c>
      <c r="B8037" s="1" t="str">
        <f>HYPERLINK("https://asmlis.vasa.lt/Dashboard/Served?ServiceDateFrom=2025-11-24&amp;ServiceDateTo=2025-11-24&amp;DumpsterInvNr=13-L-423389", "13-L-423389")</f>
        <v>13-L-423389</v>
      </c>
      <c r="C8037">
        <v>0.24</v>
      </c>
      <c r="D8037" t="s">
        <v>11049</v>
      </c>
      <c r="E8037" t="s">
        <v>11</v>
      </c>
      <c r="F8037" t="s">
        <v>1215</v>
      </c>
      <c r="G8037" t="s">
        <v>74</v>
      </c>
      <c r="H8037" t="s">
        <v>14</v>
      </c>
      <c r="J8037" t="s">
        <v>17511</v>
      </c>
    </row>
    <row r="8038" spans="1:10" hidden="1" x14ac:dyDescent="0.25">
      <c r="A8038" t="s">
        <v>11051</v>
      </c>
      <c r="B8038" s="1" t="str">
        <f>HYPERLINK("https://asmlis.vasa.lt/Dashboard/Served?ServiceDateFrom=2025-11-24&amp;ServiceDateTo=2025-11-24&amp;DumpsterInvNr=13-P-301184", "13-P-301184")</f>
        <v>13-P-301184</v>
      </c>
      <c r="C8038">
        <v>0.24</v>
      </c>
      <c r="D8038" t="s">
        <v>4317</v>
      </c>
      <c r="E8038" t="s">
        <v>11</v>
      </c>
      <c r="F8038" t="s">
        <v>13</v>
      </c>
      <c r="G8038" t="s">
        <v>412</v>
      </c>
      <c r="H8038" t="s">
        <v>14</v>
      </c>
    </row>
    <row r="8039" spans="1:10" hidden="1" x14ac:dyDescent="0.25">
      <c r="A8039" t="s">
        <v>11052</v>
      </c>
      <c r="B8039" s="1" t="str">
        <f>HYPERLINK("https://asmlis.vasa.lt/Dashboard/Served?ServiceDateFrom=2025-11-24&amp;ServiceDateTo=2025-11-24&amp;DumpsterInvNr=13-P-411470", "13-P-411470")</f>
        <v>13-P-411470</v>
      </c>
      <c r="C8039">
        <v>0.24</v>
      </c>
      <c r="D8039" t="s">
        <v>2330</v>
      </c>
      <c r="E8039" t="s">
        <v>11</v>
      </c>
      <c r="G8039" t="s">
        <v>264</v>
      </c>
      <c r="H8039" t="s">
        <v>14</v>
      </c>
    </row>
    <row r="8040" spans="1:10" hidden="1" x14ac:dyDescent="0.25">
      <c r="A8040" t="s">
        <v>11053</v>
      </c>
      <c r="B8040" s="1" t="str">
        <f>HYPERLINK("https://asmlis.vasa.lt/Dashboard/Served?ServiceDateFrom=2025-11-24&amp;ServiceDateTo=2025-11-24&amp;DumpsterInvNr=13-L-427067", "13-L-427067")</f>
        <v>13-L-427067</v>
      </c>
      <c r="C8040">
        <v>1.1000000000000001</v>
      </c>
      <c r="D8040" t="s">
        <v>11007</v>
      </c>
      <c r="E8040" t="s">
        <v>11</v>
      </c>
      <c r="G8040" t="s">
        <v>74</v>
      </c>
      <c r="H8040" t="s">
        <v>14</v>
      </c>
    </row>
    <row r="8041" spans="1:10" hidden="1" x14ac:dyDescent="0.25">
      <c r="A8041" t="s">
        <v>11053</v>
      </c>
      <c r="B8041" s="1" t="str">
        <f>HYPERLINK("https://asmlis.vasa.lt/Dashboard/Served?ServiceDateFrom=2025-11-24&amp;ServiceDateTo=2025-11-24&amp;DumpsterInvNr=13-L-124889", "13-L-124889")</f>
        <v>13-L-124889</v>
      </c>
      <c r="C8041">
        <v>0.77</v>
      </c>
      <c r="D8041" t="s">
        <v>11054</v>
      </c>
      <c r="E8041" t="s">
        <v>11</v>
      </c>
      <c r="G8041" t="s">
        <v>430</v>
      </c>
      <c r="H8041" t="s">
        <v>432</v>
      </c>
    </row>
    <row r="8042" spans="1:10" hidden="1" x14ac:dyDescent="0.25">
      <c r="A8042" t="s">
        <v>11055</v>
      </c>
      <c r="B8042" s="1" t="str">
        <f>HYPERLINK("https://asmlis.vasa.lt/Dashboard/Served?ServiceDateFrom=2025-11-24&amp;ServiceDateTo=2025-11-24&amp;DumpsterInvNr=13-L-224925", "13-L-224925")</f>
        <v>13-L-224925</v>
      </c>
      <c r="C8042">
        <v>1.1000000000000001</v>
      </c>
      <c r="D8042" t="s">
        <v>8320</v>
      </c>
      <c r="E8042" t="s">
        <v>11</v>
      </c>
      <c r="G8042" t="s">
        <v>936</v>
      </c>
      <c r="H8042" t="s">
        <v>938</v>
      </c>
    </row>
    <row r="8043" spans="1:10" hidden="1" x14ac:dyDescent="0.25">
      <c r="A8043" t="s">
        <v>11050</v>
      </c>
      <c r="B8043" s="1" t="str">
        <f>HYPERLINK("https://asmlis.vasa.lt/Dashboard/Served?ServiceDateFrom=2025-11-24&amp;ServiceDateTo=2025-11-24&amp;DumpsterInvNr=13-M-202583", "13-M-202583")</f>
        <v>13-M-202583</v>
      </c>
      <c r="C8043">
        <v>0.12</v>
      </c>
      <c r="D8043" t="s">
        <v>11056</v>
      </c>
      <c r="E8043" t="s">
        <v>11</v>
      </c>
      <c r="G8043" t="s">
        <v>4876</v>
      </c>
      <c r="H8043" t="s">
        <v>938</v>
      </c>
    </row>
    <row r="8044" spans="1:10" hidden="1" x14ac:dyDescent="0.25">
      <c r="A8044" t="s">
        <v>11057</v>
      </c>
      <c r="B8044" s="1" t="str">
        <f>HYPERLINK("https://asmlis.vasa.lt/Dashboard/Served?ServiceDateFrom=2025-11-24&amp;ServiceDateTo=2025-11-24&amp;DumpsterInvNr=13-P-116355", "13-P-116355")</f>
        <v>13-P-116355</v>
      </c>
      <c r="C8044">
        <v>1.1000000000000001</v>
      </c>
      <c r="D8044" t="s">
        <v>11058</v>
      </c>
      <c r="E8044" t="s">
        <v>11</v>
      </c>
      <c r="G8044" t="s">
        <v>1917</v>
      </c>
      <c r="H8044" t="s">
        <v>432</v>
      </c>
    </row>
    <row r="8045" spans="1:10" x14ac:dyDescent="0.25">
      <c r="A8045" t="s">
        <v>11060</v>
      </c>
      <c r="B8045" s="1" t="str">
        <f>HYPERLINK("https://asmlis.vasa.lt/Dashboard/Served?ServiceDateFrom=2025-11-24&amp;ServiceDateTo=2025-11-24&amp;DumpsterInvNr=13-L-411889", "13-L-411889")</f>
        <v>13-L-411889</v>
      </c>
      <c r="C8045">
        <v>0.12</v>
      </c>
      <c r="D8045" t="s">
        <v>11061</v>
      </c>
      <c r="E8045" t="s">
        <v>11</v>
      </c>
      <c r="F8045" t="s">
        <v>1215</v>
      </c>
      <c r="G8045" t="s">
        <v>74</v>
      </c>
      <c r="H8045" t="s">
        <v>14</v>
      </c>
      <c r="J8045" t="s">
        <v>17511</v>
      </c>
    </row>
    <row r="8046" spans="1:10" hidden="1" x14ac:dyDescent="0.25">
      <c r="A8046" t="s">
        <v>11062</v>
      </c>
      <c r="B8046" s="1" t="str">
        <f>HYPERLINK("https://asmlis.vasa.lt/Dashboard/Served?ServiceDateFrom=2025-11-24&amp;ServiceDateTo=2025-11-24&amp;DumpsterInvNr=13-P-306870", "13-P-306870")</f>
        <v>13-P-306870</v>
      </c>
      <c r="C8046">
        <v>1.1000000000000001</v>
      </c>
      <c r="D8046" t="s">
        <v>4131</v>
      </c>
      <c r="E8046" t="s">
        <v>11</v>
      </c>
      <c r="F8046" t="s">
        <v>13</v>
      </c>
      <c r="G8046" t="s">
        <v>412</v>
      </c>
      <c r="H8046" t="s">
        <v>14</v>
      </c>
    </row>
    <row r="8047" spans="1:10" hidden="1" x14ac:dyDescent="0.25">
      <c r="A8047" t="s">
        <v>11063</v>
      </c>
      <c r="B8047" s="1" t="str">
        <f>HYPERLINK("https://asmlis.vasa.lt/Dashboard/Served?ServiceDateFrom=2025-11-24&amp;ServiceDateTo=2025-11-24&amp;DumpsterInvNr=13-L-316418", "13-L-316418")</f>
        <v>13-L-316418</v>
      </c>
      <c r="C8047">
        <v>0.77</v>
      </c>
      <c r="D8047" t="s">
        <v>11064</v>
      </c>
      <c r="E8047" t="s">
        <v>11</v>
      </c>
      <c r="G8047" t="s">
        <v>9</v>
      </c>
      <c r="H8047" t="s">
        <v>14</v>
      </c>
    </row>
    <row r="8048" spans="1:10" hidden="1" x14ac:dyDescent="0.25">
      <c r="A8048" t="s">
        <v>11063</v>
      </c>
      <c r="B8048" s="1" t="str">
        <f>HYPERLINK("https://asmlis.vasa.lt/Dashboard/Served?ServiceDateFrom=2025-11-24&amp;ServiceDateTo=2025-11-24&amp;DumpsterInvNr=13-M-202671", "13-M-202671")</f>
        <v>13-M-202671</v>
      </c>
      <c r="C8048">
        <v>0.12</v>
      </c>
      <c r="D8048" t="s">
        <v>11065</v>
      </c>
      <c r="E8048" t="s">
        <v>11</v>
      </c>
      <c r="F8048" t="s">
        <v>1209</v>
      </c>
      <c r="G8048" t="s">
        <v>4876</v>
      </c>
      <c r="H8048" t="s">
        <v>938</v>
      </c>
    </row>
    <row r="8049" spans="1:10" hidden="1" x14ac:dyDescent="0.25">
      <c r="A8049" t="s">
        <v>11066</v>
      </c>
      <c r="B8049" s="1" t="str">
        <f>HYPERLINK("https://asmlis.vasa.lt/Dashboard/Served?ServiceDateFrom=2025-11-24&amp;ServiceDateTo=2025-11-24&amp;DumpsterInvNr=13-L-301333", "13-L-301333")</f>
        <v>13-L-301333</v>
      </c>
      <c r="C8049">
        <v>1.1000000000000001</v>
      </c>
      <c r="D8049" t="s">
        <v>11067</v>
      </c>
      <c r="E8049" t="s">
        <v>11</v>
      </c>
      <c r="F8049" t="s">
        <v>1209</v>
      </c>
      <c r="G8049" t="s">
        <v>9</v>
      </c>
      <c r="H8049" t="s">
        <v>14</v>
      </c>
    </row>
    <row r="8050" spans="1:10" x14ac:dyDescent="0.25">
      <c r="A8050" t="s">
        <v>11068</v>
      </c>
      <c r="B8050" s="1" t="str">
        <f>HYPERLINK("https://asmlis.vasa.lt/Dashboard/Served?ServiceDateFrom=2025-11-24&amp;ServiceDateTo=2025-11-24&amp;DumpsterInvNr=13-L-409188", "13-L-409188")</f>
        <v>13-L-409188</v>
      </c>
      <c r="C8050">
        <v>0.12</v>
      </c>
      <c r="D8050" t="s">
        <v>11069</v>
      </c>
      <c r="E8050" t="s">
        <v>11</v>
      </c>
      <c r="F8050" t="s">
        <v>1215</v>
      </c>
      <c r="G8050" t="s">
        <v>74</v>
      </c>
      <c r="H8050" t="s">
        <v>14</v>
      </c>
      <c r="J8050" t="s">
        <v>17511</v>
      </c>
    </row>
    <row r="8051" spans="1:10" hidden="1" x14ac:dyDescent="0.25">
      <c r="A8051" t="s">
        <v>11070</v>
      </c>
      <c r="B8051" s="1" t="str">
        <f>HYPERLINK("https://asmlis.vasa.lt/Dashboard/Served?ServiceDateFrom=2025-11-24&amp;ServiceDateTo=2025-11-24&amp;DumpsterInvNr=13-L-319692", "13-L-319692")</f>
        <v>13-L-319692</v>
      </c>
      <c r="C8051">
        <v>0.24</v>
      </c>
      <c r="D8051" t="s">
        <v>11071</v>
      </c>
      <c r="E8051" t="s">
        <v>11</v>
      </c>
      <c r="G8051" t="s">
        <v>9</v>
      </c>
      <c r="H8051" t="s">
        <v>14</v>
      </c>
    </row>
    <row r="8052" spans="1:10" hidden="1" x14ac:dyDescent="0.25">
      <c r="A8052" t="s">
        <v>11072</v>
      </c>
      <c r="B8052" s="1" t="str">
        <f>HYPERLINK("https://asmlis.vasa.lt/Dashboard/Served?ServiceDateFrom=2025-11-24&amp;ServiceDateTo=2025-11-24&amp;DumpsterInvNr=13-P-416256", "13-P-416256")</f>
        <v>13-P-416256</v>
      </c>
      <c r="C8052">
        <v>5</v>
      </c>
      <c r="D8052" t="s">
        <v>2712</v>
      </c>
      <c r="E8052" t="s">
        <v>11</v>
      </c>
      <c r="G8052" t="s">
        <v>264</v>
      </c>
      <c r="H8052" t="s">
        <v>14</v>
      </c>
    </row>
    <row r="8053" spans="1:10" hidden="1" x14ac:dyDescent="0.25">
      <c r="A8053" t="s">
        <v>11073</v>
      </c>
      <c r="B8053" s="1" t="str">
        <f>HYPERLINK("https://asmlis.vasa.lt/Dashboard/Served?ServiceDateFrom=2025-11-24&amp;ServiceDateTo=2025-11-24&amp;DumpsterInvNr=13-L-146075", "13-L-146075")</f>
        <v>13-L-146075</v>
      </c>
      <c r="C8053">
        <v>0.24</v>
      </c>
      <c r="D8053" t="s">
        <v>11074</v>
      </c>
      <c r="E8053" t="s">
        <v>11</v>
      </c>
      <c r="G8053" t="s">
        <v>1912</v>
      </c>
      <c r="H8053" t="s">
        <v>432</v>
      </c>
    </row>
    <row r="8054" spans="1:10" x14ac:dyDescent="0.25">
      <c r="A8054" t="s">
        <v>11075</v>
      </c>
      <c r="B8054" s="1" t="str">
        <f>HYPERLINK("https://asmlis.vasa.lt/Dashboard/Served?ServiceDateFrom=2025-11-24&amp;ServiceDateTo=2025-11-24&amp;DumpsterInvNr=13-L-404682", "13-L-404682")</f>
        <v>13-L-404682</v>
      </c>
      <c r="C8054">
        <v>0.12</v>
      </c>
      <c r="D8054" t="s">
        <v>11076</v>
      </c>
      <c r="E8054" t="s">
        <v>11</v>
      </c>
      <c r="F8054" t="s">
        <v>1215</v>
      </c>
      <c r="G8054" t="s">
        <v>74</v>
      </c>
      <c r="H8054" t="s">
        <v>14</v>
      </c>
      <c r="J8054" t="s">
        <v>17511</v>
      </c>
    </row>
    <row r="8055" spans="1:10" hidden="1" x14ac:dyDescent="0.25">
      <c r="A8055" t="s">
        <v>11075</v>
      </c>
      <c r="B8055" s="1" t="str">
        <f>HYPERLINK("https://asmlis.vasa.lt/Dashboard/Served?ServiceDateFrom=2025-11-24&amp;ServiceDateTo=2025-11-24&amp;DumpsterInvNr=13-P-109150", "13-P-109150")</f>
        <v>13-P-109150</v>
      </c>
      <c r="C8055">
        <v>0.24</v>
      </c>
      <c r="D8055" t="s">
        <v>11074</v>
      </c>
      <c r="E8055" t="s">
        <v>11</v>
      </c>
      <c r="G8055" t="s">
        <v>1917</v>
      </c>
      <c r="H8055" t="s">
        <v>432</v>
      </c>
    </row>
    <row r="8056" spans="1:10" hidden="1" x14ac:dyDescent="0.25">
      <c r="A8056" t="s">
        <v>11078</v>
      </c>
      <c r="B8056" s="1" t="str">
        <f>HYPERLINK("https://asmlis.vasa.lt/Dashboard/Served?ServiceDateFrom=2025-11-24&amp;ServiceDateTo=2025-11-24&amp;DumpsterInvNr=13-P-411582", "13-P-411582")</f>
        <v>13-P-411582</v>
      </c>
      <c r="C8056">
        <v>0.24</v>
      </c>
      <c r="D8056" t="s">
        <v>11079</v>
      </c>
      <c r="E8056" t="s">
        <v>11</v>
      </c>
      <c r="G8056" t="s">
        <v>264</v>
      </c>
      <c r="H8056" t="s">
        <v>14</v>
      </c>
    </row>
    <row r="8057" spans="1:10" hidden="1" x14ac:dyDescent="0.25">
      <c r="A8057" t="s">
        <v>11080</v>
      </c>
      <c r="B8057" s="1" t="str">
        <f>HYPERLINK("https://asmlis.vasa.lt/Dashboard/Served?ServiceDateFrom=2025-11-24&amp;ServiceDateTo=2025-11-24&amp;DumpsterInvNr=13-L-143381", "13-L-143381")</f>
        <v>13-L-143381</v>
      </c>
      <c r="C8057">
        <v>5</v>
      </c>
      <c r="D8057" t="s">
        <v>11081</v>
      </c>
      <c r="E8057" t="s">
        <v>11</v>
      </c>
      <c r="F8057" t="s">
        <v>13</v>
      </c>
      <c r="G8057" t="s">
        <v>430</v>
      </c>
      <c r="H8057" t="s">
        <v>432</v>
      </c>
    </row>
    <row r="8058" spans="1:10" hidden="1" x14ac:dyDescent="0.25">
      <c r="A8058" t="s">
        <v>11082</v>
      </c>
      <c r="B8058" s="1" t="str">
        <f>HYPERLINK("https://asmlis.vasa.lt/Dashboard/Served?ServiceDateFrom=2025-11-24&amp;ServiceDateTo=2025-11-24&amp;DumpsterInvNr=DGA-ZALVARIS", "DGA-ZALVARIS")</f>
        <v>DGA-ZALVARIS</v>
      </c>
      <c r="C8058">
        <v>1</v>
      </c>
      <c r="D8058" t="s">
        <v>6778</v>
      </c>
      <c r="E8058" t="s">
        <v>12</v>
      </c>
      <c r="F8058" t="s">
        <v>13</v>
      </c>
      <c r="G8058" t="s">
        <v>10915</v>
      </c>
      <c r="H8058" t="s">
        <v>6765</v>
      </c>
    </row>
    <row r="8059" spans="1:10" hidden="1" x14ac:dyDescent="0.25">
      <c r="A8059" t="s">
        <v>11083</v>
      </c>
      <c r="B8059" s="1" t="str">
        <f>HYPERLINK("https://asmlis.vasa.lt/Dashboard/Served?ServiceDateFrom=2025-11-24&amp;ServiceDateTo=2025-11-24&amp;DumpsterInvNr=13-P-500174", "13-P-500174")</f>
        <v>13-P-500174</v>
      </c>
      <c r="C8059">
        <v>3</v>
      </c>
      <c r="D8059" t="s">
        <v>11035</v>
      </c>
      <c r="E8059" t="s">
        <v>11</v>
      </c>
      <c r="F8059" t="s">
        <v>13</v>
      </c>
      <c r="G8059" t="s">
        <v>2178</v>
      </c>
      <c r="H8059" t="s">
        <v>432</v>
      </c>
    </row>
    <row r="8060" spans="1:10" x14ac:dyDescent="0.25">
      <c r="A8060" t="s">
        <v>11084</v>
      </c>
      <c r="B8060" s="1" t="str">
        <f>HYPERLINK("https://asmlis.vasa.lt/Dashboard/Served?ServiceDateFrom=2025-11-24&amp;ServiceDateTo=2025-11-24&amp;DumpsterInvNr=13-L-404681", "13-L-404681")</f>
        <v>13-L-404681</v>
      </c>
      <c r="C8060">
        <v>0.12</v>
      </c>
      <c r="D8060" t="s">
        <v>11085</v>
      </c>
      <c r="E8060" t="s">
        <v>11</v>
      </c>
      <c r="F8060" t="s">
        <v>1215</v>
      </c>
      <c r="G8060" t="s">
        <v>74</v>
      </c>
      <c r="H8060" t="s">
        <v>14</v>
      </c>
      <c r="J8060" t="s">
        <v>17511</v>
      </c>
    </row>
    <row r="8061" spans="1:10" hidden="1" x14ac:dyDescent="0.25">
      <c r="A8061" t="s">
        <v>11087</v>
      </c>
      <c r="B8061" s="1" t="str">
        <f>HYPERLINK("https://asmlis.vasa.lt/Dashboard/Served?ServiceDateFrom=2025-11-24&amp;ServiceDateTo=2025-11-24&amp;DumpsterInvNr=13-S-110100", "13-S-110100")</f>
        <v>13-S-110100</v>
      </c>
      <c r="C8061">
        <v>0.12</v>
      </c>
      <c r="D8061" t="s">
        <v>11074</v>
      </c>
      <c r="E8061" t="s">
        <v>11</v>
      </c>
      <c r="F8061" t="s">
        <v>1209</v>
      </c>
      <c r="G8061" t="s">
        <v>1917</v>
      </c>
      <c r="H8061" t="s">
        <v>432</v>
      </c>
    </row>
    <row r="8062" spans="1:10" hidden="1" x14ac:dyDescent="0.25">
      <c r="A8062" t="s">
        <v>11086</v>
      </c>
      <c r="B8062" s="1" t="str">
        <f>HYPERLINK("https://asmlis.vasa.lt/Dashboard/Served?ServiceDateFrom=2025-11-24&amp;ServiceDateTo=2025-11-24&amp;DumpsterInvNr=13-P-500434", "13-P-500434")</f>
        <v>13-P-500434</v>
      </c>
      <c r="C8062">
        <v>5</v>
      </c>
      <c r="D8062" t="s">
        <v>7427</v>
      </c>
      <c r="E8062" t="s">
        <v>11</v>
      </c>
      <c r="F8062" t="s">
        <v>13</v>
      </c>
      <c r="G8062" t="s">
        <v>2178</v>
      </c>
      <c r="H8062" t="s">
        <v>432</v>
      </c>
    </row>
    <row r="8063" spans="1:10" hidden="1" x14ac:dyDescent="0.25">
      <c r="A8063" t="s">
        <v>11089</v>
      </c>
      <c r="B8063" s="1" t="str">
        <f>HYPERLINK("https://asmlis.vasa.lt/Dashboard/Served?ServiceDateFrom=2025-11-24&amp;ServiceDateTo=2025-11-24&amp;DumpsterInvNr=13-M-202010", "13-M-202010")</f>
        <v>13-M-202010</v>
      </c>
      <c r="C8063">
        <v>0.12</v>
      </c>
      <c r="D8063" t="s">
        <v>11090</v>
      </c>
      <c r="E8063" t="s">
        <v>11</v>
      </c>
      <c r="G8063" t="s">
        <v>4876</v>
      </c>
      <c r="H8063" t="s">
        <v>938</v>
      </c>
    </row>
    <row r="8064" spans="1:10" hidden="1" x14ac:dyDescent="0.25">
      <c r="A8064" t="s">
        <v>11091</v>
      </c>
      <c r="B8064" s="1" t="str">
        <f>HYPERLINK("https://asmlis.vasa.lt/Dashboard/Served?ServiceDateFrom=2025-11-24&amp;ServiceDateTo=2025-11-24&amp;DumpsterInvNr=13-L-225503", "13-L-225503")</f>
        <v>13-L-225503</v>
      </c>
      <c r="C8064">
        <v>5</v>
      </c>
      <c r="D8064" t="s">
        <v>4016</v>
      </c>
      <c r="E8064" t="s">
        <v>11</v>
      </c>
      <c r="G8064" t="s">
        <v>936</v>
      </c>
      <c r="H8064" t="s">
        <v>938</v>
      </c>
    </row>
    <row r="8065" spans="1:10" x14ac:dyDescent="0.25">
      <c r="A8065" t="s">
        <v>11093</v>
      </c>
      <c r="B8065" s="1" t="str">
        <f>HYPERLINK("https://asmlis.vasa.lt/Dashboard/Served?ServiceDateFrom=2025-11-24&amp;ServiceDateTo=2025-11-24&amp;DumpsterInvNr=13-L-404642", "13-L-404642")</f>
        <v>13-L-404642</v>
      </c>
      <c r="C8065">
        <v>0.12</v>
      </c>
      <c r="D8065" t="s">
        <v>11094</v>
      </c>
      <c r="E8065" t="s">
        <v>11</v>
      </c>
      <c r="F8065" t="s">
        <v>1215</v>
      </c>
      <c r="G8065" t="s">
        <v>74</v>
      </c>
      <c r="H8065" t="s">
        <v>14</v>
      </c>
      <c r="J8065" t="s">
        <v>17511</v>
      </c>
    </row>
    <row r="8066" spans="1:10" hidden="1" x14ac:dyDescent="0.25">
      <c r="A8066" t="s">
        <v>11093</v>
      </c>
      <c r="B8066" s="1" t="str">
        <f>HYPERLINK("https://asmlis.vasa.lt/Dashboard/Served?ServiceDateFrom=2025-11-24&amp;ServiceDateTo=2025-11-24&amp;DumpsterInvNr=13-P-411363", "13-P-411363")</f>
        <v>13-P-411363</v>
      </c>
      <c r="C8066">
        <v>0.24</v>
      </c>
      <c r="D8066" t="s">
        <v>11095</v>
      </c>
      <c r="E8066" t="s">
        <v>11</v>
      </c>
      <c r="G8066" t="s">
        <v>264</v>
      </c>
      <c r="H8066" t="s">
        <v>14</v>
      </c>
    </row>
    <row r="8067" spans="1:10" hidden="1" x14ac:dyDescent="0.25">
      <c r="A8067" t="s">
        <v>11096</v>
      </c>
      <c r="B8067" s="1" t="str">
        <f>HYPERLINK("https://asmlis.vasa.lt/Dashboard/Served?ServiceDateFrom=2025-11-24&amp;ServiceDateTo=2025-11-24&amp;DumpsterInvNr=13-L-114675", "13-L-114675")</f>
        <v>13-L-114675</v>
      </c>
      <c r="C8067">
        <v>0.12</v>
      </c>
      <c r="D8067" t="s">
        <v>11097</v>
      </c>
      <c r="E8067" t="s">
        <v>11</v>
      </c>
      <c r="G8067" t="s">
        <v>1912</v>
      </c>
      <c r="H8067" t="s">
        <v>432</v>
      </c>
    </row>
    <row r="8068" spans="1:10" hidden="1" x14ac:dyDescent="0.25">
      <c r="A8068" t="s">
        <v>11098</v>
      </c>
      <c r="B8068" s="1" t="str">
        <f>HYPERLINK("https://asmlis.vasa.lt/Dashboard/Served?ServiceDateFrom=2025-11-24&amp;ServiceDateTo=2025-11-24&amp;DumpsterInvNr=13-T-000287", "13-T-000287")</f>
        <v>13-T-000287</v>
      </c>
      <c r="C8068">
        <v>2.5</v>
      </c>
      <c r="D8068" t="s">
        <v>11100</v>
      </c>
      <c r="E8068" t="s">
        <v>11</v>
      </c>
      <c r="F8068" t="s">
        <v>13</v>
      </c>
      <c r="G8068" t="s">
        <v>1899</v>
      </c>
      <c r="H8068" t="s">
        <v>432</v>
      </c>
    </row>
    <row r="8069" spans="1:10" hidden="1" x14ac:dyDescent="0.25">
      <c r="A8069" t="s">
        <v>10715</v>
      </c>
      <c r="B8069" s="1" t="str">
        <f>HYPERLINK("https://asmlis.vasa.lt/Dashboard/Served?ServiceDateFrom=2025-11-24&amp;ServiceDateTo=2025-11-24&amp;DumpsterInvNr=13-T-000288", "13-T-000288")</f>
        <v>13-T-000288</v>
      </c>
      <c r="C8069">
        <v>2.5</v>
      </c>
      <c r="D8069" t="s">
        <v>11100</v>
      </c>
      <c r="E8069" t="s">
        <v>11</v>
      </c>
      <c r="F8069" t="s">
        <v>13</v>
      </c>
      <c r="G8069" t="s">
        <v>1899</v>
      </c>
      <c r="H8069" t="s">
        <v>432</v>
      </c>
    </row>
    <row r="8070" spans="1:10" hidden="1" x14ac:dyDescent="0.25">
      <c r="A8070" t="s">
        <v>10795</v>
      </c>
      <c r="B8070" s="1" t="str">
        <f>HYPERLINK("https://asmlis.vasa.lt/Dashboard/Served?ServiceDateFrom=2025-11-24&amp;ServiceDateTo=2025-11-24&amp;DumpsterInvNr=13-P-300235", "13-P-300235")</f>
        <v>13-P-300235</v>
      </c>
      <c r="C8070">
        <v>0.66</v>
      </c>
      <c r="D8070" t="s">
        <v>3699</v>
      </c>
      <c r="E8070" t="s">
        <v>11</v>
      </c>
      <c r="G8070" t="s">
        <v>412</v>
      </c>
      <c r="H8070" t="s">
        <v>14</v>
      </c>
    </row>
    <row r="8071" spans="1:10" hidden="1" x14ac:dyDescent="0.25">
      <c r="A8071" t="s">
        <v>10859</v>
      </c>
      <c r="B8071" s="1" t="str">
        <f>HYPERLINK("https://asmlis.vasa.lt/Dashboard/Served?ServiceDateFrom=2025-11-24&amp;ServiceDateTo=2025-11-24&amp;DumpsterInvNr=13-P-305453", "13-P-305453")</f>
        <v>13-P-305453</v>
      </c>
      <c r="C8071">
        <v>2.5</v>
      </c>
      <c r="D8071" t="s">
        <v>8068</v>
      </c>
      <c r="E8071" t="s">
        <v>11</v>
      </c>
      <c r="G8071" t="s">
        <v>412</v>
      </c>
      <c r="H8071" t="s">
        <v>14</v>
      </c>
    </row>
    <row r="8072" spans="1:10" hidden="1" x14ac:dyDescent="0.25">
      <c r="A8072" t="s">
        <v>10889</v>
      </c>
      <c r="B8072" s="1" t="str">
        <f>HYPERLINK("https://asmlis.vasa.lt/Dashboard/Served?ServiceDateFrom=2025-11-24&amp;ServiceDateTo=2025-11-24&amp;DumpsterInvNr=13-P-112466", "13-P-112466")</f>
        <v>13-P-112466</v>
      </c>
      <c r="C8072">
        <v>0.24</v>
      </c>
      <c r="D8072" t="s">
        <v>11097</v>
      </c>
      <c r="E8072" t="s">
        <v>11</v>
      </c>
      <c r="F8072" t="s">
        <v>1209</v>
      </c>
      <c r="G8072" t="s">
        <v>1917</v>
      </c>
      <c r="H8072" t="s">
        <v>432</v>
      </c>
    </row>
    <row r="8073" spans="1:10" hidden="1" x14ac:dyDescent="0.25">
      <c r="A8073" t="s">
        <v>10909</v>
      </c>
      <c r="B8073" s="1" t="str">
        <f>HYPERLINK("https://asmlis.vasa.lt/Dashboard/Served?ServiceDateFrom=2025-11-24&amp;ServiceDateTo=2025-11-24&amp;DumpsterInvNr=13-S-107453", "13-S-107453")</f>
        <v>13-S-107453</v>
      </c>
      <c r="C8073">
        <v>0.12</v>
      </c>
      <c r="D8073" t="s">
        <v>11097</v>
      </c>
      <c r="E8073" t="s">
        <v>11</v>
      </c>
      <c r="F8073" t="s">
        <v>1209</v>
      </c>
      <c r="G8073" t="s">
        <v>1917</v>
      </c>
      <c r="H8073" t="s">
        <v>432</v>
      </c>
    </row>
    <row r="8074" spans="1:10" hidden="1" x14ac:dyDescent="0.25">
      <c r="A8074" t="s">
        <v>10640</v>
      </c>
      <c r="B8074" s="1" t="str">
        <f>HYPERLINK("https://asmlis.vasa.lt/Dashboard/Served?ServiceDateFrom=2025-11-24&amp;ServiceDateTo=2025-11-24&amp;DumpsterInvNr=13-L-311682", "13-L-311682")</f>
        <v>13-L-311682</v>
      </c>
      <c r="C8074">
        <v>0.77</v>
      </c>
      <c r="D8074" t="s">
        <v>11103</v>
      </c>
      <c r="E8074" t="s">
        <v>11</v>
      </c>
      <c r="G8074" t="s">
        <v>9</v>
      </c>
      <c r="H8074" t="s">
        <v>14</v>
      </c>
    </row>
    <row r="8075" spans="1:10" hidden="1" x14ac:dyDescent="0.25">
      <c r="A8075" t="s">
        <v>11104</v>
      </c>
      <c r="B8075" s="1" t="str">
        <f>HYPERLINK("https://asmlis.vasa.lt/Dashboard/Served?ServiceDateFrom=2025-11-24&amp;ServiceDateTo=2025-11-24&amp;DumpsterInvNr=13-L-218016", "13-L-218016")</f>
        <v>13-L-218016</v>
      </c>
      <c r="C8075">
        <v>0.12</v>
      </c>
      <c r="D8075" t="s">
        <v>8396</v>
      </c>
      <c r="E8075" t="s">
        <v>11</v>
      </c>
      <c r="G8075" t="s">
        <v>936</v>
      </c>
      <c r="H8075" t="s">
        <v>938</v>
      </c>
    </row>
    <row r="8076" spans="1:10" hidden="1" x14ac:dyDescent="0.25">
      <c r="A8076" t="s">
        <v>11105</v>
      </c>
      <c r="B8076" s="1" t="str">
        <f>HYPERLINK("https://asmlis.vasa.lt/Dashboard/Served?ServiceDateFrom=2025-11-24&amp;ServiceDateTo=2025-11-24&amp;DumpsterInvNr=13-L-423499", "13-L-423499")</f>
        <v>13-L-423499</v>
      </c>
      <c r="C8076">
        <v>0.24</v>
      </c>
      <c r="D8076" t="s">
        <v>11106</v>
      </c>
      <c r="E8076" t="s">
        <v>11</v>
      </c>
      <c r="G8076" t="s">
        <v>74</v>
      </c>
      <c r="H8076" t="s">
        <v>14</v>
      </c>
    </row>
    <row r="8077" spans="1:10" hidden="1" x14ac:dyDescent="0.25">
      <c r="A8077" t="s">
        <v>11107</v>
      </c>
      <c r="B8077" s="1" t="str">
        <f>HYPERLINK("https://asmlis.vasa.lt/Dashboard/Served?ServiceDateFrom=2025-11-24&amp;ServiceDateTo=2025-11-24&amp;DumpsterInvNr=13-P-403321", "13-P-403321")</f>
        <v>13-P-403321</v>
      </c>
      <c r="C8077">
        <v>0.12</v>
      </c>
      <c r="D8077" t="s">
        <v>11108</v>
      </c>
      <c r="E8077" t="s">
        <v>11</v>
      </c>
      <c r="G8077" t="s">
        <v>264</v>
      </c>
      <c r="H8077" t="s">
        <v>14</v>
      </c>
    </row>
    <row r="8078" spans="1:10" hidden="1" x14ac:dyDescent="0.25">
      <c r="A8078" t="s">
        <v>11107</v>
      </c>
      <c r="B8078" s="1" t="str">
        <f>HYPERLINK("https://asmlis.vasa.lt/Dashboard/Served?ServiceDateFrom=2025-11-24&amp;ServiceDateTo=2025-11-24&amp;DumpsterInvNr=13-L-123911", "13-L-123911")</f>
        <v>13-L-123911</v>
      </c>
      <c r="C8078">
        <v>0.12</v>
      </c>
      <c r="D8078" t="s">
        <v>11109</v>
      </c>
      <c r="E8078" t="s">
        <v>11</v>
      </c>
      <c r="G8078" t="s">
        <v>1912</v>
      </c>
      <c r="H8078" t="s">
        <v>432</v>
      </c>
    </row>
    <row r="8079" spans="1:10" hidden="1" x14ac:dyDescent="0.25">
      <c r="A8079" t="s">
        <v>11111</v>
      </c>
      <c r="B8079" s="1" t="str">
        <f>HYPERLINK("https://asmlis.vasa.lt/Dashboard/Served?ServiceDateFrom=2025-11-24&amp;ServiceDateTo=2025-11-24&amp;DumpsterInvNr=13-S-206109", "13-S-206109")</f>
        <v>13-S-206109</v>
      </c>
      <c r="C8079">
        <v>3</v>
      </c>
      <c r="D8079" t="s">
        <v>2443</v>
      </c>
      <c r="E8079" t="s">
        <v>11</v>
      </c>
      <c r="G8079" t="s">
        <v>234</v>
      </c>
      <c r="H8079" t="s">
        <v>14</v>
      </c>
    </row>
    <row r="8080" spans="1:10" hidden="1" x14ac:dyDescent="0.25">
      <c r="A8080" t="s">
        <v>11112</v>
      </c>
      <c r="B8080" s="1" t="str">
        <f>HYPERLINK("https://asmlis.vasa.lt/Dashboard/Served?ServiceDateFrom=2025-11-24&amp;ServiceDateTo=2025-11-24&amp;DumpsterInvNr=13-L-423498", "13-L-423498")</f>
        <v>13-L-423498</v>
      </c>
      <c r="C8080">
        <v>0.12</v>
      </c>
      <c r="D8080" t="s">
        <v>11113</v>
      </c>
      <c r="E8080" t="s">
        <v>11</v>
      </c>
      <c r="G8080" t="s">
        <v>74</v>
      </c>
      <c r="H8080" t="s">
        <v>14</v>
      </c>
    </row>
    <row r="8081" spans="1:8" hidden="1" x14ac:dyDescent="0.25">
      <c r="A8081" t="s">
        <v>11114</v>
      </c>
      <c r="B8081" s="1" t="str">
        <f>HYPERLINK("https://asmlis.vasa.lt/Dashboard/Served?ServiceDateFrom=2025-11-24&amp;ServiceDateTo=2025-11-24&amp;DumpsterInvNr=13-L-317864", "13-L-317864")</f>
        <v>13-L-317864</v>
      </c>
      <c r="C8081">
        <v>1.1000000000000001</v>
      </c>
      <c r="D8081" t="s">
        <v>11115</v>
      </c>
      <c r="E8081" t="s">
        <v>11</v>
      </c>
      <c r="G8081" t="s">
        <v>9</v>
      </c>
      <c r="H8081" t="s">
        <v>14</v>
      </c>
    </row>
    <row r="8082" spans="1:8" hidden="1" x14ac:dyDescent="0.25">
      <c r="A8082" t="s">
        <v>11116</v>
      </c>
      <c r="B8082" s="1" t="str">
        <f>HYPERLINK("https://asmlis.vasa.lt/Dashboard/Served?ServiceDateFrom=2025-11-24&amp;ServiceDateTo=2025-11-24&amp;DumpsterInvNr=13-L-317861", "13-L-317861")</f>
        <v>13-L-317861</v>
      </c>
      <c r="C8082">
        <v>0.77</v>
      </c>
      <c r="D8082" t="s">
        <v>11117</v>
      </c>
      <c r="E8082" t="s">
        <v>11</v>
      </c>
      <c r="F8082" t="s">
        <v>13</v>
      </c>
      <c r="G8082" t="s">
        <v>9</v>
      </c>
      <c r="H8082" t="s">
        <v>14</v>
      </c>
    </row>
    <row r="8083" spans="1:8" hidden="1" x14ac:dyDescent="0.25">
      <c r="A8083" t="s">
        <v>11118</v>
      </c>
      <c r="B8083" s="1" t="str">
        <f>HYPERLINK("https://asmlis.vasa.lt/Dashboard/Served?ServiceDateFrom=2025-11-24&amp;ServiceDateTo=2025-11-24&amp;DumpsterInvNr=13-L-308005", "13-L-308005")</f>
        <v>13-L-308005</v>
      </c>
      <c r="C8083">
        <v>0.24</v>
      </c>
      <c r="D8083" t="s">
        <v>11071</v>
      </c>
      <c r="E8083" t="s">
        <v>11</v>
      </c>
      <c r="F8083" t="s">
        <v>13</v>
      </c>
      <c r="G8083" t="s">
        <v>9</v>
      </c>
      <c r="H8083" t="s">
        <v>14</v>
      </c>
    </row>
    <row r="8084" spans="1:8" hidden="1" x14ac:dyDescent="0.25">
      <c r="A8084" t="s">
        <v>11119</v>
      </c>
      <c r="B8084" s="1" t="str">
        <f>HYPERLINK("https://asmlis.vasa.lt/Dashboard/Served?ServiceDateFrom=2025-11-24&amp;ServiceDateTo=2025-11-24&amp;DumpsterInvNr=13-M-206057", "13-M-206057")</f>
        <v>13-M-206057</v>
      </c>
      <c r="C8084">
        <v>0.12</v>
      </c>
      <c r="D8084" t="s">
        <v>11120</v>
      </c>
      <c r="E8084" t="s">
        <v>11</v>
      </c>
      <c r="F8084" t="s">
        <v>1209</v>
      </c>
      <c r="G8084" t="s">
        <v>4876</v>
      </c>
      <c r="H8084" t="s">
        <v>938</v>
      </c>
    </row>
    <row r="8085" spans="1:8" hidden="1" x14ac:dyDescent="0.25">
      <c r="A8085" t="s">
        <v>11121</v>
      </c>
      <c r="B8085" s="1" t="str">
        <f>HYPERLINK("https://asmlis.vasa.lt/Dashboard/Served?ServiceDateFrom=2025-11-24&amp;ServiceDateTo=2025-11-24&amp;DumpsterInvNr=13-L-139546", "13-L-139546")</f>
        <v>13-L-139546</v>
      </c>
      <c r="C8085">
        <v>5</v>
      </c>
      <c r="D8085" t="s">
        <v>11122</v>
      </c>
      <c r="E8085" t="s">
        <v>11</v>
      </c>
      <c r="F8085" t="s">
        <v>13</v>
      </c>
      <c r="G8085" t="s">
        <v>430</v>
      </c>
      <c r="H8085" t="s">
        <v>432</v>
      </c>
    </row>
    <row r="8086" spans="1:8" hidden="1" x14ac:dyDescent="0.25">
      <c r="A8086" t="s">
        <v>11123</v>
      </c>
      <c r="B8086" s="1" t="str">
        <f>HYPERLINK("https://asmlis.vasa.lt/Dashboard/Served?ServiceDateFrom=2025-11-24&amp;ServiceDateTo=2025-11-24&amp;DumpsterInvNr=13-P-305452", "13-P-305452")</f>
        <v>13-P-305452</v>
      </c>
      <c r="C8086">
        <v>2.5</v>
      </c>
      <c r="D8086" t="s">
        <v>8068</v>
      </c>
      <c r="E8086" t="s">
        <v>11</v>
      </c>
      <c r="F8086" t="s">
        <v>13</v>
      </c>
      <c r="G8086" t="s">
        <v>412</v>
      </c>
      <c r="H8086" t="s">
        <v>14</v>
      </c>
    </row>
    <row r="8087" spans="1:8" hidden="1" x14ac:dyDescent="0.25">
      <c r="A8087" t="s">
        <v>11124</v>
      </c>
      <c r="B8087" s="1" t="str">
        <f>HYPERLINK("https://asmlis.vasa.lt/Dashboard/Served?ServiceDateFrom=2025-11-24&amp;ServiceDateTo=2025-11-24&amp;DumpsterInvNr=13-L-203586", "13-L-203586")</f>
        <v>13-L-203586</v>
      </c>
      <c r="C8087">
        <v>0.12</v>
      </c>
      <c r="D8087" t="s">
        <v>8389</v>
      </c>
      <c r="E8087" t="s">
        <v>11</v>
      </c>
      <c r="F8087" t="s">
        <v>13</v>
      </c>
      <c r="G8087" t="s">
        <v>936</v>
      </c>
      <c r="H8087" t="s">
        <v>938</v>
      </c>
    </row>
    <row r="8088" spans="1:8" hidden="1" x14ac:dyDescent="0.25">
      <c r="A8088" t="s">
        <v>11124</v>
      </c>
      <c r="B8088" s="1" t="str">
        <f>HYPERLINK("https://asmlis.vasa.lt/Dashboard/Served?ServiceDateFrom=2025-11-24&amp;ServiceDateTo=2025-11-24&amp;DumpsterInvNr=13-M-205164", "13-M-205164")</f>
        <v>13-M-205164</v>
      </c>
      <c r="C8088">
        <v>0.12</v>
      </c>
      <c r="D8088" t="s">
        <v>11125</v>
      </c>
      <c r="E8088" t="s">
        <v>11</v>
      </c>
      <c r="F8088" t="s">
        <v>1209</v>
      </c>
      <c r="G8088" t="s">
        <v>4876</v>
      </c>
      <c r="H8088" t="s">
        <v>938</v>
      </c>
    </row>
    <row r="8089" spans="1:8" hidden="1" x14ac:dyDescent="0.25">
      <c r="A8089" t="s">
        <v>11126</v>
      </c>
      <c r="B8089" s="1" t="str">
        <f>HYPERLINK("https://asmlis.vasa.lt/Dashboard/Served?ServiceDateFrom=2025-11-24&amp;ServiceDateTo=2025-11-24&amp;DumpsterInvNr=13-S-400456", "13-S-400456")</f>
        <v>13-S-400456</v>
      </c>
      <c r="C8089">
        <v>0.12</v>
      </c>
      <c r="D8089" t="s">
        <v>11127</v>
      </c>
      <c r="E8089" t="s">
        <v>11</v>
      </c>
      <c r="G8089" t="s">
        <v>264</v>
      </c>
      <c r="H8089" t="s">
        <v>14</v>
      </c>
    </row>
    <row r="8090" spans="1:8" hidden="1" x14ac:dyDescent="0.25">
      <c r="A8090" t="s">
        <v>11128</v>
      </c>
      <c r="B8090" s="1" t="str">
        <f>HYPERLINK("https://asmlis.vasa.lt/Dashboard/Served?ServiceDateFrom=2025-11-24&amp;ServiceDateTo=2025-11-24&amp;DumpsterInvNr=13-P-206400", "13-P-206400")</f>
        <v>13-P-206400</v>
      </c>
      <c r="C8090">
        <v>1.1000000000000001</v>
      </c>
      <c r="D8090" t="s">
        <v>11129</v>
      </c>
      <c r="E8090" t="s">
        <v>11</v>
      </c>
      <c r="F8090" t="s">
        <v>13</v>
      </c>
      <c r="G8090" t="s">
        <v>234</v>
      </c>
      <c r="H8090" t="s">
        <v>14</v>
      </c>
    </row>
    <row r="8091" spans="1:8" hidden="1" x14ac:dyDescent="0.25">
      <c r="A8091" t="s">
        <v>11130</v>
      </c>
      <c r="B8091" s="1" t="str">
        <f>HYPERLINK("https://asmlis.vasa.lt/Dashboard/Served?ServiceDateFrom=2025-11-24&amp;ServiceDateTo=2025-11-24&amp;DumpsterInvNr=13-M-202305", "13-M-202305")</f>
        <v>13-M-202305</v>
      </c>
      <c r="C8091">
        <v>0.12</v>
      </c>
      <c r="D8091" t="s">
        <v>11131</v>
      </c>
      <c r="E8091" t="s">
        <v>11</v>
      </c>
      <c r="F8091" t="s">
        <v>1209</v>
      </c>
      <c r="G8091" t="s">
        <v>4876</v>
      </c>
      <c r="H8091" t="s">
        <v>938</v>
      </c>
    </row>
    <row r="8092" spans="1:8" hidden="1" x14ac:dyDescent="0.25">
      <c r="A8092" t="s">
        <v>11132</v>
      </c>
      <c r="B8092" s="1" t="str">
        <f>HYPERLINK("https://asmlis.vasa.lt/Dashboard/Served?ServiceDateFrom=2025-11-24&amp;ServiceDateTo=2025-11-24&amp;DumpsterInvNr=13-P-416360", "13-P-416360")</f>
        <v>13-P-416360</v>
      </c>
      <c r="C8092">
        <v>1.1000000000000001</v>
      </c>
      <c r="D8092" t="s">
        <v>11133</v>
      </c>
      <c r="E8092" t="s">
        <v>11</v>
      </c>
      <c r="G8092" t="s">
        <v>264</v>
      </c>
      <c r="H8092" t="s">
        <v>14</v>
      </c>
    </row>
    <row r="8093" spans="1:8" hidden="1" x14ac:dyDescent="0.25">
      <c r="A8093" t="s">
        <v>11134</v>
      </c>
      <c r="B8093" s="1" t="str">
        <f>HYPERLINK("https://asmlis.vasa.lt/Dashboard/Served?ServiceDateFrom=2025-11-24&amp;ServiceDateTo=2025-11-24&amp;DumpsterInvNr=13-P-400568", "13-P-400568")</f>
        <v>13-P-400568</v>
      </c>
      <c r="C8093">
        <v>5</v>
      </c>
      <c r="D8093" t="s">
        <v>11135</v>
      </c>
      <c r="E8093" t="s">
        <v>11</v>
      </c>
      <c r="F8093" t="s">
        <v>13</v>
      </c>
      <c r="G8093" t="s">
        <v>264</v>
      </c>
      <c r="H8093" t="s">
        <v>14</v>
      </c>
    </row>
    <row r="8094" spans="1:8" hidden="1" x14ac:dyDescent="0.25">
      <c r="A8094" t="s">
        <v>11136</v>
      </c>
      <c r="B8094" s="1" t="str">
        <f>HYPERLINK("https://asmlis.vasa.lt/Dashboard/Served?ServiceDateFrom=2025-11-24&amp;ServiceDateTo=2025-11-24&amp;DumpsterInvNr=13-L-118201", "13-L-118201")</f>
        <v>13-L-118201</v>
      </c>
      <c r="C8094">
        <v>0.12</v>
      </c>
      <c r="D8094" t="s">
        <v>11137</v>
      </c>
      <c r="E8094" t="s">
        <v>11</v>
      </c>
      <c r="G8094" t="s">
        <v>1912</v>
      </c>
      <c r="H8094" t="s">
        <v>432</v>
      </c>
    </row>
    <row r="8095" spans="1:8" hidden="1" x14ac:dyDescent="0.25">
      <c r="A8095" t="s">
        <v>11138</v>
      </c>
      <c r="B8095" s="1" t="str">
        <f>HYPERLINK("https://asmlis.vasa.lt/Dashboard/Served?ServiceDateFrom=2025-11-24&amp;ServiceDateTo=2025-11-24&amp;DumpsterInvNr=13-P-115692", "13-P-115692")</f>
        <v>13-P-115692</v>
      </c>
      <c r="C8095">
        <v>0.24</v>
      </c>
      <c r="D8095" t="s">
        <v>11137</v>
      </c>
      <c r="E8095" t="s">
        <v>11</v>
      </c>
      <c r="G8095" t="s">
        <v>1917</v>
      </c>
      <c r="H8095" t="s">
        <v>432</v>
      </c>
    </row>
    <row r="8096" spans="1:8" hidden="1" x14ac:dyDescent="0.25">
      <c r="A8096" t="s">
        <v>11140</v>
      </c>
      <c r="B8096" s="1" t="str">
        <f>HYPERLINK("https://asmlis.vasa.lt/Dashboard/Served?ServiceDateFrom=2025-11-24&amp;ServiceDateTo=2025-11-24&amp;DumpsterInvNr=13-P-403862", "13-P-403862")</f>
        <v>13-P-403862</v>
      </c>
      <c r="C8096">
        <v>0.12</v>
      </c>
      <c r="D8096" t="s">
        <v>11127</v>
      </c>
      <c r="E8096" t="s">
        <v>11</v>
      </c>
      <c r="F8096" t="s">
        <v>1209</v>
      </c>
      <c r="G8096" t="s">
        <v>264</v>
      </c>
      <c r="H8096" t="s">
        <v>14</v>
      </c>
    </row>
    <row r="8097" spans="1:8" hidden="1" x14ac:dyDescent="0.25">
      <c r="A8097" t="s">
        <v>11142</v>
      </c>
      <c r="B8097" s="1" t="str">
        <f>HYPERLINK("https://asmlis.vasa.lt/Dashboard/Served?ServiceDateFrom=2025-11-24&amp;ServiceDateTo=2025-11-24&amp;DumpsterInvNr=13-P-411158", "13-P-411158")</f>
        <v>13-P-411158</v>
      </c>
      <c r="C8097">
        <v>0.24</v>
      </c>
      <c r="D8097" t="s">
        <v>11143</v>
      </c>
      <c r="E8097" t="s">
        <v>11</v>
      </c>
      <c r="G8097" t="s">
        <v>264</v>
      </c>
      <c r="H8097" t="s">
        <v>14</v>
      </c>
    </row>
    <row r="8098" spans="1:8" hidden="1" x14ac:dyDescent="0.25">
      <c r="A8098" t="s">
        <v>11144</v>
      </c>
      <c r="B8098" s="1" t="str">
        <f>HYPERLINK("https://asmlis.vasa.lt/Dashboard/Served?ServiceDateFrom=2025-11-24&amp;ServiceDateTo=2025-11-24&amp;DumpsterInvNr=13-L-404683", "13-L-404683")</f>
        <v>13-L-404683</v>
      </c>
      <c r="C8098">
        <v>0.12</v>
      </c>
      <c r="D8098" t="s">
        <v>6284</v>
      </c>
      <c r="E8098" t="s">
        <v>11</v>
      </c>
      <c r="G8098" t="s">
        <v>74</v>
      </c>
      <c r="H8098" t="s">
        <v>14</v>
      </c>
    </row>
    <row r="8099" spans="1:8" hidden="1" x14ac:dyDescent="0.25">
      <c r="A8099" t="s">
        <v>11145</v>
      </c>
      <c r="B8099" s="1" t="str">
        <f>HYPERLINK("https://asmlis.vasa.lt/Dashboard/Served?ServiceDateFrom=2025-11-24&amp;ServiceDateTo=2025-11-24&amp;DumpsterInvNr=13-S-212571", "13-S-212571")</f>
        <v>13-S-212571</v>
      </c>
      <c r="C8099">
        <v>0.12</v>
      </c>
      <c r="D8099" t="s">
        <v>6979</v>
      </c>
      <c r="E8099" t="s">
        <v>11</v>
      </c>
      <c r="G8099" t="s">
        <v>234</v>
      </c>
      <c r="H8099" t="s">
        <v>14</v>
      </c>
    </row>
    <row r="8100" spans="1:8" hidden="1" x14ac:dyDescent="0.25">
      <c r="A8100" t="s">
        <v>11146</v>
      </c>
      <c r="B8100" s="1" t="str">
        <f>HYPERLINK("https://asmlis.vasa.lt/Dashboard/Served?ServiceDateFrom=2025-11-24&amp;ServiceDateTo=2025-11-24&amp;DumpsterInvNr=13-L-222585", "13-L-222585")</f>
        <v>13-L-222585</v>
      </c>
      <c r="C8100">
        <v>1.1000000000000001</v>
      </c>
      <c r="D8100" t="s">
        <v>11147</v>
      </c>
      <c r="E8100" t="s">
        <v>11</v>
      </c>
      <c r="F8100" t="s">
        <v>13</v>
      </c>
      <c r="G8100" t="s">
        <v>936</v>
      </c>
      <c r="H8100" t="s">
        <v>938</v>
      </c>
    </row>
    <row r="8101" spans="1:8" hidden="1" x14ac:dyDescent="0.25">
      <c r="A8101" t="s">
        <v>11148</v>
      </c>
      <c r="B8101" s="1" t="str">
        <f>HYPERLINK("https://asmlis.vasa.lt/Dashboard/Served?ServiceDateFrom=2025-11-24&amp;ServiceDateTo=2025-11-24&amp;DumpsterInvNr=13-P-401517", "13-P-401517")</f>
        <v>13-P-401517</v>
      </c>
      <c r="C8101">
        <v>1.1000000000000001</v>
      </c>
      <c r="D8101" t="s">
        <v>11133</v>
      </c>
      <c r="E8101" t="s">
        <v>11</v>
      </c>
      <c r="G8101" t="s">
        <v>264</v>
      </c>
      <c r="H8101" t="s">
        <v>14</v>
      </c>
    </row>
    <row r="8102" spans="1:8" hidden="1" x14ac:dyDescent="0.25">
      <c r="A8102" t="s">
        <v>11149</v>
      </c>
      <c r="B8102" s="1" t="str">
        <f>HYPERLINK("https://asmlis.vasa.lt/Dashboard/Served?ServiceDateFrom=2025-11-24&amp;ServiceDateTo=2025-11-24&amp;DumpsterInvNr=13-T-000106", "13-T-000106")</f>
        <v>13-T-000106</v>
      </c>
      <c r="C8102">
        <v>2.5</v>
      </c>
      <c r="D8102" t="s">
        <v>11150</v>
      </c>
      <c r="E8102" t="s">
        <v>11</v>
      </c>
      <c r="F8102" t="s">
        <v>13</v>
      </c>
      <c r="G8102" t="s">
        <v>1899</v>
      </c>
      <c r="H8102" t="s">
        <v>432</v>
      </c>
    </row>
    <row r="8103" spans="1:8" hidden="1" x14ac:dyDescent="0.25">
      <c r="A8103" t="s">
        <v>11151</v>
      </c>
      <c r="B8103" s="1" t="str">
        <f>HYPERLINK("https://asmlis.vasa.lt/Dashboard/Served?ServiceDateFrom=2025-11-24&amp;ServiceDateTo=2025-11-24&amp;DumpsterInvNr=13-L-118200", "13-L-118200")</f>
        <v>13-L-118200</v>
      </c>
      <c r="C8103">
        <v>0.12</v>
      </c>
      <c r="D8103" t="s">
        <v>11137</v>
      </c>
      <c r="E8103" t="s">
        <v>11</v>
      </c>
      <c r="G8103" t="s">
        <v>1912</v>
      </c>
      <c r="H8103" t="s">
        <v>432</v>
      </c>
    </row>
    <row r="8104" spans="1:8" hidden="1" x14ac:dyDescent="0.25">
      <c r="A8104" t="s">
        <v>11151</v>
      </c>
      <c r="B8104" s="1" t="str">
        <f>HYPERLINK("https://asmlis.vasa.lt/Dashboard/Served?ServiceDateFrom=2025-11-24&amp;ServiceDateTo=2025-11-24&amp;DumpsterInvNr=13-M-202166", "13-M-202166")</f>
        <v>13-M-202166</v>
      </c>
      <c r="C8104">
        <v>0.12</v>
      </c>
      <c r="D8104" t="s">
        <v>11153</v>
      </c>
      <c r="E8104" t="s">
        <v>11</v>
      </c>
      <c r="F8104" t="s">
        <v>1209</v>
      </c>
      <c r="G8104" t="s">
        <v>4876</v>
      </c>
      <c r="H8104" t="s">
        <v>938</v>
      </c>
    </row>
    <row r="8105" spans="1:8" hidden="1" x14ac:dyDescent="0.25">
      <c r="A8105" t="s">
        <v>11154</v>
      </c>
      <c r="B8105" s="1" t="str">
        <f>HYPERLINK("https://asmlis.vasa.lt/Dashboard/Served?ServiceDateFrom=2025-11-24&amp;ServiceDateTo=2025-11-24&amp;DumpsterInvNr=13-L-210305", "13-L-210305")</f>
        <v>13-L-210305</v>
      </c>
      <c r="C8105">
        <v>0.12</v>
      </c>
      <c r="D8105" t="s">
        <v>8434</v>
      </c>
      <c r="E8105" t="s">
        <v>11</v>
      </c>
      <c r="G8105" t="s">
        <v>936</v>
      </c>
      <c r="H8105" t="s">
        <v>938</v>
      </c>
    </row>
    <row r="8106" spans="1:8" hidden="1" x14ac:dyDescent="0.25">
      <c r="A8106" t="s">
        <v>11155</v>
      </c>
      <c r="B8106" s="1" t="str">
        <f>HYPERLINK("https://asmlis.vasa.lt/Dashboard/Served?ServiceDateFrom=2025-11-24&amp;ServiceDateTo=2025-11-24&amp;DumpsterInvNr=13-P-112498", "13-P-112498")</f>
        <v>13-P-112498</v>
      </c>
      <c r="C8106">
        <v>0.24</v>
      </c>
      <c r="D8106" t="s">
        <v>11137</v>
      </c>
      <c r="E8106" t="s">
        <v>11</v>
      </c>
      <c r="G8106" t="s">
        <v>1917</v>
      </c>
      <c r="H8106" t="s">
        <v>432</v>
      </c>
    </row>
    <row r="8107" spans="1:8" hidden="1" x14ac:dyDescent="0.25">
      <c r="A8107" t="s">
        <v>11156</v>
      </c>
      <c r="B8107" s="1" t="str">
        <f>HYPERLINK("https://asmlis.vasa.lt/Dashboard/Served?ServiceDateFrom=2025-11-24&amp;ServiceDateTo=2025-11-24&amp;DumpsterInvNr=13-M-206045", "13-M-206045")</f>
        <v>13-M-206045</v>
      </c>
      <c r="C8107">
        <v>0.12</v>
      </c>
      <c r="D8107" t="s">
        <v>11157</v>
      </c>
      <c r="E8107" t="s">
        <v>11</v>
      </c>
      <c r="F8107" t="s">
        <v>1209</v>
      </c>
      <c r="G8107" t="s">
        <v>4876</v>
      </c>
      <c r="H8107" t="s">
        <v>938</v>
      </c>
    </row>
    <row r="8108" spans="1:8" hidden="1" x14ac:dyDescent="0.25">
      <c r="A8108" t="s">
        <v>11158</v>
      </c>
      <c r="B8108" s="1" t="str">
        <f>HYPERLINK("https://asmlis.vasa.lt/Dashboard/Served?ServiceDateFrom=2025-11-24&amp;ServiceDateTo=2025-11-24&amp;DumpsterInvNr=13-P-500435", "13-P-500435")</f>
        <v>13-P-500435</v>
      </c>
      <c r="C8108">
        <v>5</v>
      </c>
      <c r="D8108" t="s">
        <v>7210</v>
      </c>
      <c r="E8108" t="s">
        <v>11</v>
      </c>
      <c r="F8108" t="s">
        <v>13</v>
      </c>
      <c r="G8108" t="s">
        <v>2178</v>
      </c>
      <c r="H8108" t="s">
        <v>432</v>
      </c>
    </row>
    <row r="8109" spans="1:8" hidden="1" x14ac:dyDescent="0.25">
      <c r="A8109" t="s">
        <v>11160</v>
      </c>
      <c r="B8109" s="1" t="str">
        <f>HYPERLINK("https://asmlis.vasa.lt/Dashboard/Served?ServiceDateFrom=2025-11-24&amp;ServiceDateTo=2025-11-24&amp;DumpsterInvNr=13-T-000105", "13-T-000105")</f>
        <v>13-T-000105</v>
      </c>
      <c r="C8109">
        <v>2.5</v>
      </c>
      <c r="D8109" t="s">
        <v>11150</v>
      </c>
      <c r="E8109" t="s">
        <v>11</v>
      </c>
      <c r="F8109" t="s">
        <v>13</v>
      </c>
      <c r="G8109" t="s">
        <v>1899</v>
      </c>
      <c r="H8109" t="s">
        <v>432</v>
      </c>
    </row>
    <row r="8110" spans="1:8" hidden="1" x14ac:dyDescent="0.25">
      <c r="A8110" t="s">
        <v>11161</v>
      </c>
      <c r="B8110" s="1" t="str">
        <f>HYPERLINK("https://asmlis.vasa.lt/Dashboard/Served?ServiceDateFrom=2025-11-24&amp;ServiceDateTo=2025-11-24&amp;DumpsterInvNr=13-L-420989", "13-L-420989")</f>
        <v>13-L-420989</v>
      </c>
      <c r="C8110">
        <v>1.1000000000000001</v>
      </c>
      <c r="D8110" t="s">
        <v>11162</v>
      </c>
      <c r="E8110" t="s">
        <v>11</v>
      </c>
      <c r="G8110" t="s">
        <v>74</v>
      </c>
      <c r="H8110" t="s">
        <v>14</v>
      </c>
    </row>
    <row r="8111" spans="1:8" hidden="1" x14ac:dyDescent="0.25">
      <c r="A8111" t="s">
        <v>11163</v>
      </c>
      <c r="B8111" s="1" t="str">
        <f>HYPERLINK("https://asmlis.vasa.lt/Dashboard/Served?ServiceDateFrom=2025-11-24&amp;ServiceDateTo=2025-11-24&amp;DumpsterInvNr=13-L-105152", "13-L-105152")</f>
        <v>13-L-105152</v>
      </c>
      <c r="C8111">
        <v>1.1000000000000001</v>
      </c>
      <c r="D8111" t="s">
        <v>7687</v>
      </c>
      <c r="E8111" t="s">
        <v>11</v>
      </c>
      <c r="G8111" t="s">
        <v>430</v>
      </c>
      <c r="H8111" t="s">
        <v>432</v>
      </c>
    </row>
    <row r="8112" spans="1:8" hidden="1" x14ac:dyDescent="0.25">
      <c r="A8112" t="s">
        <v>11163</v>
      </c>
      <c r="B8112" s="1" t="str">
        <f>HYPERLINK("https://asmlis.vasa.lt/Dashboard/Served?ServiceDateFrom=2025-11-24&amp;ServiceDateTo=2025-11-24&amp;DumpsterInvNr=13-P-413742", "13-P-413742")</f>
        <v>13-P-413742</v>
      </c>
      <c r="C8112">
        <v>0.24</v>
      </c>
      <c r="D8112" t="s">
        <v>2255</v>
      </c>
      <c r="E8112" t="s">
        <v>11</v>
      </c>
      <c r="G8112" t="s">
        <v>264</v>
      </c>
      <c r="H8112" t="s">
        <v>14</v>
      </c>
    </row>
    <row r="8113" spans="1:8" hidden="1" x14ac:dyDescent="0.25">
      <c r="A8113" t="s">
        <v>11164</v>
      </c>
      <c r="B8113" s="1" t="str">
        <f>HYPERLINK("https://asmlis.vasa.lt/Dashboard/Served?ServiceDateFrom=2025-11-24&amp;ServiceDateTo=2025-11-24&amp;DumpsterInvNr=13-S-402479", "13-S-402479")</f>
        <v>13-S-402479</v>
      </c>
      <c r="C8113">
        <v>0.12</v>
      </c>
      <c r="D8113" t="s">
        <v>11165</v>
      </c>
      <c r="E8113" t="s">
        <v>11</v>
      </c>
      <c r="G8113" t="s">
        <v>264</v>
      </c>
      <c r="H8113" t="s">
        <v>14</v>
      </c>
    </row>
    <row r="8114" spans="1:8" hidden="1" x14ac:dyDescent="0.25">
      <c r="A8114" t="s">
        <v>11166</v>
      </c>
      <c r="B8114" s="1" t="str">
        <f>HYPERLINK("https://asmlis.vasa.lt/Dashboard/Served?ServiceDateFrom=2025-11-24&amp;ServiceDateTo=2025-11-24&amp;DumpsterInvNr=13-L-422546", "13-L-422546")</f>
        <v>13-L-422546</v>
      </c>
      <c r="C8114">
        <v>0.24</v>
      </c>
      <c r="D8114" t="s">
        <v>6303</v>
      </c>
      <c r="E8114" t="s">
        <v>11</v>
      </c>
      <c r="G8114" t="s">
        <v>74</v>
      </c>
      <c r="H8114" t="s">
        <v>14</v>
      </c>
    </row>
    <row r="8115" spans="1:8" hidden="1" x14ac:dyDescent="0.25">
      <c r="A8115" t="s">
        <v>11167</v>
      </c>
      <c r="B8115" s="1" t="str">
        <f>HYPERLINK("https://asmlis.vasa.lt/Dashboard/Served?ServiceDateFrom=2025-11-24&amp;ServiceDateTo=2025-11-24&amp;DumpsterInvNr=13-L-412704", "13-L-412704")</f>
        <v>13-L-412704</v>
      </c>
      <c r="C8115">
        <v>0.12</v>
      </c>
      <c r="D8115" t="s">
        <v>6375</v>
      </c>
      <c r="E8115" t="s">
        <v>11</v>
      </c>
      <c r="G8115" t="s">
        <v>74</v>
      </c>
      <c r="H8115" t="s">
        <v>14</v>
      </c>
    </row>
    <row r="8116" spans="1:8" hidden="1" x14ac:dyDescent="0.25">
      <c r="A8116" t="s">
        <v>9298</v>
      </c>
      <c r="B8116" s="1" t="str">
        <f>HYPERLINK("https://asmlis.vasa.lt/Dashboard/Served?ServiceDateFrom=2025-11-24&amp;ServiceDateTo=2025-11-24&amp;DumpsterInvNr=13-L-134780", "13-L-134780")</f>
        <v>13-L-134780</v>
      </c>
      <c r="C8116">
        <v>5</v>
      </c>
      <c r="D8116" t="s">
        <v>11168</v>
      </c>
      <c r="E8116" t="s">
        <v>11</v>
      </c>
      <c r="F8116" t="s">
        <v>13</v>
      </c>
      <c r="G8116" t="s">
        <v>430</v>
      </c>
      <c r="H8116" t="s">
        <v>432</v>
      </c>
    </row>
    <row r="8117" spans="1:8" hidden="1" x14ac:dyDescent="0.25">
      <c r="A8117" t="s">
        <v>9920</v>
      </c>
      <c r="B8117" s="1" t="str">
        <f>HYPERLINK("https://asmlis.vasa.lt/Dashboard/Served?ServiceDateFrom=2025-11-24&amp;ServiceDateTo=2025-11-24&amp;DumpsterInvNr=13-S-102344", "13-S-102344")</f>
        <v>13-S-102344</v>
      </c>
      <c r="C8117">
        <v>0.12</v>
      </c>
      <c r="D8117" t="s">
        <v>11137</v>
      </c>
      <c r="E8117" t="s">
        <v>11</v>
      </c>
      <c r="F8117" t="s">
        <v>1209</v>
      </c>
      <c r="G8117" t="s">
        <v>1917</v>
      </c>
      <c r="H8117" t="s">
        <v>432</v>
      </c>
    </row>
    <row r="8118" spans="1:8" hidden="1" x14ac:dyDescent="0.25">
      <c r="A8118" t="s">
        <v>9920</v>
      </c>
      <c r="B8118" s="1" t="str">
        <f>HYPERLINK("https://asmlis.vasa.lt/Dashboard/Served?ServiceDateFrom=2025-11-24&amp;ServiceDateTo=2025-11-24&amp;DumpsterInvNr=13-P-500146", "13-P-500146")</f>
        <v>13-P-500146</v>
      </c>
      <c r="C8118">
        <v>5</v>
      </c>
      <c r="D8118" t="s">
        <v>2478</v>
      </c>
      <c r="E8118" t="s">
        <v>11</v>
      </c>
      <c r="F8118" t="s">
        <v>13</v>
      </c>
      <c r="G8118" t="s">
        <v>2178</v>
      </c>
      <c r="H8118" t="s">
        <v>432</v>
      </c>
    </row>
    <row r="8119" spans="1:8" hidden="1" x14ac:dyDescent="0.25">
      <c r="A8119" t="s">
        <v>10167</v>
      </c>
      <c r="B8119" s="1" t="str">
        <f>HYPERLINK("https://asmlis.vasa.lt/Dashboard/Served?ServiceDateFrom=2025-11-24&amp;ServiceDateTo=2025-11-24&amp;DumpsterInvNr=13-L-131605", "13-L-131605")</f>
        <v>13-L-131605</v>
      </c>
      <c r="C8119">
        <v>0.24</v>
      </c>
      <c r="D8119" t="s">
        <v>11171</v>
      </c>
      <c r="E8119" t="s">
        <v>11</v>
      </c>
      <c r="G8119" t="s">
        <v>1912</v>
      </c>
      <c r="H8119" t="s">
        <v>432</v>
      </c>
    </row>
    <row r="8120" spans="1:8" hidden="1" x14ac:dyDescent="0.25">
      <c r="A8120" t="s">
        <v>11172</v>
      </c>
      <c r="B8120" s="1" t="str">
        <f>HYPERLINK("https://asmlis.vasa.lt/Dashboard/Served?ServiceDateFrom=2025-11-24&amp;ServiceDateTo=2025-11-24&amp;DumpsterInvNr=13-P-113629", "13-P-113629")</f>
        <v>13-P-113629</v>
      </c>
      <c r="C8120">
        <v>0.24</v>
      </c>
      <c r="D8120" t="s">
        <v>11173</v>
      </c>
      <c r="E8120" t="s">
        <v>11</v>
      </c>
      <c r="F8120" t="s">
        <v>1209</v>
      </c>
      <c r="G8120" t="s">
        <v>1917</v>
      </c>
      <c r="H8120" t="s">
        <v>432</v>
      </c>
    </row>
    <row r="8121" spans="1:8" hidden="1" x14ac:dyDescent="0.25">
      <c r="A8121" t="s">
        <v>10224</v>
      </c>
      <c r="B8121" s="1" t="str">
        <f>HYPERLINK("https://asmlis.vasa.lt/Dashboard/Served?ServiceDateFrom=2025-11-24&amp;ServiceDateTo=2025-11-24&amp;DumpsterInvNr=13-P-110054", "13-P-110054")</f>
        <v>13-P-110054</v>
      </c>
      <c r="C8121">
        <v>0.24</v>
      </c>
      <c r="D8121" t="s">
        <v>11171</v>
      </c>
      <c r="E8121" t="s">
        <v>11</v>
      </c>
      <c r="G8121" t="s">
        <v>1917</v>
      </c>
      <c r="H8121" t="s">
        <v>432</v>
      </c>
    </row>
    <row r="8122" spans="1:8" hidden="1" x14ac:dyDescent="0.25">
      <c r="A8122" t="s">
        <v>11174</v>
      </c>
      <c r="B8122" s="1" t="str">
        <f>HYPERLINK("https://asmlis.vasa.lt/Dashboard/Served?ServiceDateFrom=2025-11-24&amp;ServiceDateTo=2025-11-24&amp;DumpsterInvNr=13-L-130873", "13-L-130873")</f>
        <v>13-L-130873</v>
      </c>
      <c r="C8122">
        <v>0.12</v>
      </c>
      <c r="D8122" t="s">
        <v>11173</v>
      </c>
      <c r="E8122" t="s">
        <v>11</v>
      </c>
      <c r="F8122" t="s">
        <v>1209</v>
      </c>
      <c r="G8122" t="s">
        <v>1912</v>
      </c>
      <c r="H8122" t="s">
        <v>432</v>
      </c>
    </row>
    <row r="8123" spans="1:8" hidden="1" x14ac:dyDescent="0.25">
      <c r="A8123" t="s">
        <v>11176</v>
      </c>
      <c r="B8123" s="1" t="str">
        <f>HYPERLINK("https://asmlis.vasa.lt/Dashboard/Served?ServiceDateFrom=2025-11-24&amp;ServiceDateTo=2025-11-24&amp;DumpsterInvNr=13-P-312590", "13-P-312590")</f>
        <v>13-P-312590</v>
      </c>
      <c r="C8123">
        <v>2.5</v>
      </c>
      <c r="D8123" t="s">
        <v>8354</v>
      </c>
      <c r="E8123" t="s">
        <v>11</v>
      </c>
      <c r="F8123" t="s">
        <v>13</v>
      </c>
      <c r="G8123" t="s">
        <v>412</v>
      </c>
      <c r="H8123" t="s">
        <v>14</v>
      </c>
    </row>
    <row r="8124" spans="1:8" hidden="1" x14ac:dyDescent="0.25">
      <c r="A8124" t="s">
        <v>11177</v>
      </c>
      <c r="B8124" s="1" t="str">
        <f>HYPERLINK("https://asmlis.vasa.lt/Dashboard/Served?ServiceDateFrom=2025-11-24&amp;ServiceDateTo=2025-11-24&amp;DumpsterInvNr=13-L-301112", "13-L-301112")</f>
        <v>13-L-301112</v>
      </c>
      <c r="C8124">
        <v>0.24</v>
      </c>
      <c r="D8124" t="s">
        <v>11178</v>
      </c>
      <c r="E8124" t="s">
        <v>11</v>
      </c>
      <c r="G8124" t="s">
        <v>9</v>
      </c>
      <c r="H8124" t="s">
        <v>14</v>
      </c>
    </row>
    <row r="8125" spans="1:8" hidden="1" x14ac:dyDescent="0.25">
      <c r="A8125" t="s">
        <v>11179</v>
      </c>
      <c r="B8125" s="1" t="str">
        <f>HYPERLINK("https://asmlis.vasa.lt/Dashboard/Served?ServiceDateFrom=2025-11-24&amp;ServiceDateTo=2025-11-24&amp;DumpsterInvNr=13-L-105151", "13-L-105151")</f>
        <v>13-L-105151</v>
      </c>
      <c r="C8125">
        <v>1.1000000000000001</v>
      </c>
      <c r="D8125" t="s">
        <v>7687</v>
      </c>
      <c r="E8125" t="s">
        <v>11</v>
      </c>
      <c r="G8125" t="s">
        <v>430</v>
      </c>
      <c r="H8125" t="s">
        <v>432</v>
      </c>
    </row>
    <row r="8126" spans="1:8" hidden="1" x14ac:dyDescent="0.25">
      <c r="A8126" t="s">
        <v>11179</v>
      </c>
      <c r="B8126" s="1" t="str">
        <f>HYPERLINK("https://asmlis.vasa.lt/Dashboard/Served?ServiceDateFrom=2025-11-24&amp;ServiceDateTo=2025-11-24&amp;DumpsterInvNr=13-P-413800", "13-P-413800")</f>
        <v>13-P-413800</v>
      </c>
      <c r="C8126">
        <v>0.24</v>
      </c>
      <c r="D8126" t="s">
        <v>11180</v>
      </c>
      <c r="E8126" t="s">
        <v>11</v>
      </c>
      <c r="G8126" t="s">
        <v>264</v>
      </c>
      <c r="H8126" t="s">
        <v>14</v>
      </c>
    </row>
    <row r="8127" spans="1:8" hidden="1" x14ac:dyDescent="0.25">
      <c r="A8127" t="s">
        <v>11179</v>
      </c>
      <c r="B8127" s="1" t="str">
        <f>HYPERLINK("https://asmlis.vasa.lt/Dashboard/Served?ServiceDateFrom=2025-11-24&amp;ServiceDateTo=2025-11-24&amp;DumpsterInvNr=13-M-204758", "13-M-204758")</f>
        <v>13-M-204758</v>
      </c>
      <c r="C8127">
        <v>0.12</v>
      </c>
      <c r="D8127" t="s">
        <v>11181</v>
      </c>
      <c r="E8127" t="s">
        <v>11</v>
      </c>
      <c r="F8127" t="s">
        <v>1209</v>
      </c>
      <c r="G8127" t="s">
        <v>4876</v>
      </c>
      <c r="H8127" t="s">
        <v>938</v>
      </c>
    </row>
    <row r="8128" spans="1:8" hidden="1" x14ac:dyDescent="0.25">
      <c r="A8128" t="s">
        <v>11182</v>
      </c>
      <c r="B8128" s="1" t="str">
        <f>HYPERLINK("https://asmlis.vasa.lt/Dashboard/Served?ServiceDateFrom=2025-11-24&amp;ServiceDateTo=2025-11-24&amp;DumpsterInvNr=13-P-101128", "13-P-101128")</f>
        <v>13-P-101128</v>
      </c>
      <c r="C8128">
        <v>0.12</v>
      </c>
      <c r="D8128" t="s">
        <v>11137</v>
      </c>
      <c r="E8128" t="s">
        <v>11</v>
      </c>
      <c r="F8128" t="s">
        <v>1209</v>
      </c>
      <c r="G8128" t="s">
        <v>1917</v>
      </c>
      <c r="H8128" t="s">
        <v>432</v>
      </c>
    </row>
    <row r="8129" spans="1:8" hidden="1" x14ac:dyDescent="0.25">
      <c r="A8129" t="s">
        <v>11183</v>
      </c>
      <c r="B8129" s="1" t="str">
        <f>HYPERLINK("https://asmlis.vasa.lt/Dashboard/Served?ServiceDateFrom=2025-11-24&amp;ServiceDateTo=2025-11-24&amp;DumpsterInvNr=13-P-102435", "13-P-102435")</f>
        <v>13-P-102435</v>
      </c>
      <c r="C8129">
        <v>5</v>
      </c>
      <c r="D8129" t="s">
        <v>11184</v>
      </c>
      <c r="E8129" t="s">
        <v>11</v>
      </c>
      <c r="F8129" t="s">
        <v>13</v>
      </c>
      <c r="G8129" t="s">
        <v>1917</v>
      </c>
      <c r="H8129" t="s">
        <v>432</v>
      </c>
    </row>
    <row r="8130" spans="1:8" hidden="1" x14ac:dyDescent="0.25">
      <c r="A8130" t="s">
        <v>11185</v>
      </c>
      <c r="B8130" s="1" t="str">
        <f>HYPERLINK("https://asmlis.vasa.lt/Dashboard/Served?ServiceDateFrom=2025-11-24&amp;ServiceDateTo=2025-11-24&amp;DumpsterInvNr=13-S-106541", "13-S-106541")</f>
        <v>13-S-106541</v>
      </c>
      <c r="C8130">
        <v>0.12</v>
      </c>
      <c r="D8130" t="s">
        <v>11186</v>
      </c>
      <c r="E8130" t="s">
        <v>11</v>
      </c>
      <c r="F8130" t="s">
        <v>1209</v>
      </c>
      <c r="G8130" t="s">
        <v>1917</v>
      </c>
      <c r="H8130" t="s">
        <v>432</v>
      </c>
    </row>
    <row r="8131" spans="1:8" hidden="1" x14ac:dyDescent="0.25">
      <c r="A8131" t="s">
        <v>11187</v>
      </c>
      <c r="B8131" s="1" t="str">
        <f>HYPERLINK("https://asmlis.vasa.lt/Dashboard/Served?ServiceDateFrom=2025-11-24&amp;ServiceDateTo=2025-11-24&amp;DumpsterInvNr=13-P-413120", "13-P-413120")</f>
        <v>13-P-413120</v>
      </c>
      <c r="C8131">
        <v>5</v>
      </c>
      <c r="D8131" t="s">
        <v>11188</v>
      </c>
      <c r="E8131" t="s">
        <v>11</v>
      </c>
      <c r="G8131" t="s">
        <v>264</v>
      </c>
      <c r="H8131" t="s">
        <v>14</v>
      </c>
    </row>
    <row r="8132" spans="1:8" hidden="1" x14ac:dyDescent="0.25">
      <c r="A8132" t="s">
        <v>11189</v>
      </c>
      <c r="B8132" s="1" t="str">
        <f>HYPERLINK("https://asmlis.vasa.lt/Dashboard/Served?ServiceDateFrom=2025-11-24&amp;ServiceDateTo=2025-11-24&amp;DumpsterInvNr=13-L-112468", "13-L-112468")</f>
        <v>13-L-112468</v>
      </c>
      <c r="C8132">
        <v>0.24</v>
      </c>
      <c r="D8132" t="s">
        <v>11186</v>
      </c>
      <c r="E8132" t="s">
        <v>11</v>
      </c>
      <c r="F8132" t="s">
        <v>1209</v>
      </c>
      <c r="G8132" t="s">
        <v>1912</v>
      </c>
      <c r="H8132" t="s">
        <v>432</v>
      </c>
    </row>
    <row r="8133" spans="1:8" hidden="1" x14ac:dyDescent="0.25">
      <c r="A8133" t="s">
        <v>11190</v>
      </c>
      <c r="B8133" s="1" t="str">
        <f>HYPERLINK("https://asmlis.vasa.lt/Dashboard/Served?ServiceDateFrom=2025-11-24&amp;ServiceDateTo=2025-11-24&amp;DumpsterInvNr=13-P-415232", "13-P-415232")</f>
        <v>13-P-415232</v>
      </c>
      <c r="C8133">
        <v>0.24</v>
      </c>
      <c r="D8133" t="s">
        <v>2258</v>
      </c>
      <c r="E8133" t="s">
        <v>11</v>
      </c>
      <c r="G8133" t="s">
        <v>264</v>
      </c>
      <c r="H8133" t="s">
        <v>14</v>
      </c>
    </row>
    <row r="8134" spans="1:8" hidden="1" x14ac:dyDescent="0.25">
      <c r="A8134" t="s">
        <v>11191</v>
      </c>
      <c r="B8134" s="1" t="str">
        <f>HYPERLINK("https://asmlis.vasa.lt/Dashboard/Served?ServiceDateFrom=2025-11-24&amp;ServiceDateTo=2025-11-24&amp;DumpsterInvNr=13-P-302071", "13-P-302071")</f>
        <v>13-P-302071</v>
      </c>
      <c r="C8134">
        <v>1.1000000000000001</v>
      </c>
      <c r="D8134" t="s">
        <v>11192</v>
      </c>
      <c r="E8134" t="s">
        <v>11</v>
      </c>
      <c r="G8134" t="s">
        <v>412</v>
      </c>
      <c r="H8134" t="s">
        <v>14</v>
      </c>
    </row>
    <row r="8135" spans="1:8" hidden="1" x14ac:dyDescent="0.25">
      <c r="A8135" t="s">
        <v>11191</v>
      </c>
      <c r="B8135" s="1" t="str">
        <f>HYPERLINK("https://asmlis.vasa.lt/Dashboard/Served?ServiceDateFrom=2025-11-24&amp;ServiceDateTo=2025-11-24&amp;DumpsterInvNr=13-P-114900", "13-P-114900")</f>
        <v>13-P-114900</v>
      </c>
      <c r="C8135">
        <v>0.24</v>
      </c>
      <c r="D8135" t="s">
        <v>11186</v>
      </c>
      <c r="E8135" t="s">
        <v>11</v>
      </c>
      <c r="F8135" t="s">
        <v>1209</v>
      </c>
      <c r="G8135" t="s">
        <v>1917</v>
      </c>
      <c r="H8135" t="s">
        <v>432</v>
      </c>
    </row>
    <row r="8136" spans="1:8" hidden="1" x14ac:dyDescent="0.25">
      <c r="A8136" t="s">
        <v>11193</v>
      </c>
      <c r="B8136" s="1" t="str">
        <f>HYPERLINK("https://asmlis.vasa.lt/Dashboard/Served?ServiceDateFrom=2025-11-24&amp;ServiceDateTo=2025-11-24&amp;DumpsterInvNr=13-L-220792", "13-L-220792")</f>
        <v>13-L-220792</v>
      </c>
      <c r="C8136">
        <v>0.12</v>
      </c>
      <c r="D8136" t="s">
        <v>7543</v>
      </c>
      <c r="E8136" t="s">
        <v>11</v>
      </c>
      <c r="G8136" t="s">
        <v>936</v>
      </c>
      <c r="H8136" t="s">
        <v>938</v>
      </c>
    </row>
    <row r="8137" spans="1:8" hidden="1" x14ac:dyDescent="0.25">
      <c r="A8137" t="s">
        <v>11194</v>
      </c>
      <c r="B8137" s="1" t="str">
        <f>HYPERLINK("https://asmlis.vasa.lt/Dashboard/Served?ServiceDateFrom=2025-11-24&amp;ServiceDateTo=2025-11-24&amp;DumpsterInvNr=13-L-317756", "13-L-317756")</f>
        <v>13-L-317756</v>
      </c>
      <c r="C8137">
        <v>1.1000000000000001</v>
      </c>
      <c r="D8137" t="s">
        <v>11195</v>
      </c>
      <c r="E8137" t="s">
        <v>11</v>
      </c>
      <c r="G8137" t="s">
        <v>9</v>
      </c>
      <c r="H8137" t="s">
        <v>14</v>
      </c>
    </row>
    <row r="8138" spans="1:8" hidden="1" x14ac:dyDescent="0.25">
      <c r="A8138" t="s">
        <v>11196</v>
      </c>
      <c r="B8138" s="1" t="str">
        <f>HYPERLINK("https://asmlis.vasa.lt/Dashboard/Served?ServiceDateFrom=2025-11-24&amp;ServiceDateTo=2025-11-24&amp;DumpsterInvNr=13-L-404684", "13-L-404684")</f>
        <v>13-L-404684</v>
      </c>
      <c r="C8138">
        <v>0.12</v>
      </c>
      <c r="D8138" t="s">
        <v>6333</v>
      </c>
      <c r="E8138" t="s">
        <v>11</v>
      </c>
      <c r="G8138" t="s">
        <v>74</v>
      </c>
      <c r="H8138" t="s">
        <v>14</v>
      </c>
    </row>
    <row r="8139" spans="1:8" hidden="1" x14ac:dyDescent="0.25">
      <c r="A8139" t="s">
        <v>11197</v>
      </c>
      <c r="B8139" s="1" t="str">
        <f>HYPERLINK("https://asmlis.vasa.lt/Dashboard/Served?ServiceDateFrom=2025-11-24&amp;ServiceDateTo=2025-11-24&amp;DumpsterInvNr=13-M-204707", "13-M-204707")</f>
        <v>13-M-204707</v>
      </c>
      <c r="C8139">
        <v>0.12</v>
      </c>
      <c r="D8139" t="s">
        <v>11198</v>
      </c>
      <c r="E8139" t="s">
        <v>11</v>
      </c>
      <c r="G8139" t="s">
        <v>4876</v>
      </c>
      <c r="H8139" t="s">
        <v>938</v>
      </c>
    </row>
    <row r="8140" spans="1:8" hidden="1" x14ac:dyDescent="0.25">
      <c r="A8140" t="s">
        <v>11199</v>
      </c>
      <c r="B8140" s="1" t="str">
        <f>HYPERLINK("https://asmlis.vasa.lt/Dashboard/Served?ServiceDateFrom=2025-11-24&amp;ServiceDateTo=2025-11-24&amp;DumpsterInvNr=13-L-225270", "13-L-225270")</f>
        <v>13-L-225270</v>
      </c>
      <c r="C8140">
        <v>0.77</v>
      </c>
      <c r="D8140" t="s">
        <v>11147</v>
      </c>
      <c r="E8140" t="s">
        <v>11</v>
      </c>
      <c r="G8140" t="s">
        <v>936</v>
      </c>
      <c r="H8140" t="s">
        <v>938</v>
      </c>
    </row>
    <row r="8141" spans="1:8" hidden="1" x14ac:dyDescent="0.25">
      <c r="A8141" t="s">
        <v>11200</v>
      </c>
      <c r="B8141" s="1" t="str">
        <f>HYPERLINK("https://asmlis.vasa.lt/Dashboard/Served?ServiceDateFrom=2025-11-24&amp;ServiceDateTo=2025-11-24&amp;DumpsterInvNr=13-L-422595", "13-L-422595")</f>
        <v>13-L-422595</v>
      </c>
      <c r="C8141">
        <v>1.1000000000000001</v>
      </c>
      <c r="D8141" t="s">
        <v>11162</v>
      </c>
      <c r="E8141" t="s">
        <v>11</v>
      </c>
      <c r="G8141" t="s">
        <v>74</v>
      </c>
      <c r="H8141" t="s">
        <v>14</v>
      </c>
    </row>
    <row r="8142" spans="1:8" hidden="1" x14ac:dyDescent="0.25">
      <c r="A8142" t="s">
        <v>11201</v>
      </c>
      <c r="B8142" s="1" t="str">
        <f>HYPERLINK("https://asmlis.vasa.lt/Dashboard/Served?ServiceDateFrom=2025-11-24&amp;ServiceDateTo=2025-11-24&amp;DumpsterInvNr=13-P-302105", "13-P-302105")</f>
        <v>13-P-302105</v>
      </c>
      <c r="C8142">
        <v>1.1000000000000001</v>
      </c>
      <c r="D8142" t="s">
        <v>11192</v>
      </c>
      <c r="E8142" t="s">
        <v>11</v>
      </c>
      <c r="G8142" t="s">
        <v>412</v>
      </c>
      <c r="H8142" t="s">
        <v>14</v>
      </c>
    </row>
    <row r="8143" spans="1:8" hidden="1" x14ac:dyDescent="0.25">
      <c r="A8143" t="s">
        <v>11202</v>
      </c>
      <c r="B8143" s="1" t="str">
        <f>HYPERLINK("https://asmlis.vasa.lt/Dashboard/Served?ServiceDateFrom=2025-11-24&amp;ServiceDateTo=2025-11-24&amp;DumpsterInvNr=13-L-210943", "13-L-210943")</f>
        <v>13-L-210943</v>
      </c>
      <c r="C8143">
        <v>0.24</v>
      </c>
      <c r="D8143" t="s">
        <v>11203</v>
      </c>
      <c r="E8143" t="s">
        <v>11</v>
      </c>
      <c r="G8143" t="s">
        <v>936</v>
      </c>
      <c r="H8143" t="s">
        <v>938</v>
      </c>
    </row>
    <row r="8144" spans="1:8" hidden="1" x14ac:dyDescent="0.25">
      <c r="A8144" t="s">
        <v>11202</v>
      </c>
      <c r="B8144" s="1" t="str">
        <f>HYPERLINK("https://asmlis.vasa.lt/Dashboard/Served?ServiceDateFrom=2025-11-24&amp;ServiceDateTo=2025-11-24&amp;DumpsterInvNr=13-P-415288", "13-P-415288")</f>
        <v>13-P-415288</v>
      </c>
      <c r="C8144">
        <v>0.24</v>
      </c>
      <c r="D8144" t="s">
        <v>11165</v>
      </c>
      <c r="E8144" t="s">
        <v>11</v>
      </c>
      <c r="G8144" t="s">
        <v>264</v>
      </c>
      <c r="H8144" t="s">
        <v>14</v>
      </c>
    </row>
    <row r="8145" spans="1:8" hidden="1" x14ac:dyDescent="0.25">
      <c r="A8145" t="s">
        <v>11204</v>
      </c>
      <c r="B8145" s="1" t="str">
        <f>HYPERLINK("https://asmlis.vasa.lt/Dashboard/Served?ServiceDateFrom=2025-11-24&amp;ServiceDateTo=2025-11-24&amp;DumpsterInvNr=13-L-117491", "13-L-117491")</f>
        <v>13-L-117491</v>
      </c>
      <c r="C8145">
        <v>1.1000000000000001</v>
      </c>
      <c r="D8145" t="s">
        <v>10535</v>
      </c>
      <c r="E8145" t="s">
        <v>11</v>
      </c>
      <c r="G8145" t="s">
        <v>1912</v>
      </c>
      <c r="H8145" t="s">
        <v>432</v>
      </c>
    </row>
    <row r="8146" spans="1:8" hidden="1" x14ac:dyDescent="0.25">
      <c r="A8146" t="s">
        <v>11205</v>
      </c>
      <c r="B8146" s="1" t="str">
        <f>HYPERLINK("https://asmlis.vasa.lt/Dashboard/Served?ServiceDateFrom=2025-11-24&amp;ServiceDateTo=2025-11-24&amp;DumpsterInvNr=13-L-117514", "13-L-117514")</f>
        <v>13-L-117514</v>
      </c>
      <c r="C8146">
        <v>0.77</v>
      </c>
      <c r="D8146" t="s">
        <v>11206</v>
      </c>
      <c r="E8146" t="s">
        <v>11</v>
      </c>
      <c r="G8146" t="s">
        <v>1912</v>
      </c>
      <c r="H8146" t="s">
        <v>432</v>
      </c>
    </row>
    <row r="8147" spans="1:8" hidden="1" x14ac:dyDescent="0.25">
      <c r="A8147" t="s">
        <v>11205</v>
      </c>
      <c r="B8147" s="1" t="str">
        <f>HYPERLINK("https://asmlis.vasa.lt/Dashboard/Served?ServiceDateFrom=2025-11-24&amp;ServiceDateTo=2025-11-24&amp;DumpsterInvNr=13-L-117513", "13-L-117513")</f>
        <v>13-L-117513</v>
      </c>
      <c r="C8147">
        <v>0.77</v>
      </c>
      <c r="D8147" t="s">
        <v>11206</v>
      </c>
      <c r="E8147" t="s">
        <v>11</v>
      </c>
      <c r="G8147" t="s">
        <v>1912</v>
      </c>
      <c r="H8147" t="s">
        <v>432</v>
      </c>
    </row>
    <row r="8148" spans="1:8" hidden="1" x14ac:dyDescent="0.25">
      <c r="A8148" t="s">
        <v>11205</v>
      </c>
      <c r="B8148" s="1" t="str">
        <f>HYPERLINK("https://asmlis.vasa.lt/Dashboard/Served?ServiceDateFrom=2025-11-24&amp;ServiceDateTo=2025-11-24&amp;DumpsterInvNr=13-L-117523", "13-L-117523")</f>
        <v>13-L-117523</v>
      </c>
      <c r="C8148">
        <v>0.77</v>
      </c>
      <c r="D8148" t="s">
        <v>11207</v>
      </c>
      <c r="E8148" t="s">
        <v>11</v>
      </c>
      <c r="G8148" t="s">
        <v>1912</v>
      </c>
      <c r="H8148" t="s">
        <v>432</v>
      </c>
    </row>
    <row r="8149" spans="1:8" hidden="1" x14ac:dyDescent="0.25">
      <c r="A8149" t="s">
        <v>9770</v>
      </c>
      <c r="B8149" s="1" t="str">
        <f>HYPERLINK("https://asmlis.vasa.lt/Dashboard/Served?ServiceDateFrom=2025-11-24&amp;ServiceDateTo=2025-11-24&amp;DumpsterInvNr=13-S-207809", "13-S-207809")</f>
        <v>13-S-207809</v>
      </c>
      <c r="C8149">
        <v>3</v>
      </c>
      <c r="D8149" t="s">
        <v>2513</v>
      </c>
      <c r="E8149" t="s">
        <v>11</v>
      </c>
      <c r="G8149" t="s">
        <v>234</v>
      </c>
      <c r="H8149" t="s">
        <v>14</v>
      </c>
    </row>
    <row r="8150" spans="1:8" hidden="1" x14ac:dyDescent="0.25">
      <c r="A8150" t="s">
        <v>9770</v>
      </c>
      <c r="B8150" s="1" t="str">
        <f>HYPERLINK("https://asmlis.vasa.lt/Dashboard/Served?ServiceDateFrom=2025-11-24&amp;ServiceDateTo=2025-11-24&amp;DumpsterInvNr=13-L-117522", "13-L-117522")</f>
        <v>13-L-117522</v>
      </c>
      <c r="C8150">
        <v>0.77</v>
      </c>
      <c r="D8150" t="s">
        <v>11207</v>
      </c>
      <c r="E8150" t="s">
        <v>11</v>
      </c>
      <c r="G8150" t="s">
        <v>1912</v>
      </c>
      <c r="H8150" t="s">
        <v>432</v>
      </c>
    </row>
    <row r="8151" spans="1:8" hidden="1" x14ac:dyDescent="0.25">
      <c r="A8151" t="s">
        <v>10338</v>
      </c>
      <c r="B8151" s="1" t="str">
        <f>HYPERLINK("https://asmlis.vasa.lt/Dashboard/Served?ServiceDateFrom=2025-11-24&amp;ServiceDateTo=2025-11-24&amp;DumpsterInvNr=13-L-425795", "13-L-425795")</f>
        <v>13-L-425795</v>
      </c>
      <c r="C8151">
        <v>0.12</v>
      </c>
      <c r="D8151" t="s">
        <v>6339</v>
      </c>
      <c r="E8151" t="s">
        <v>11</v>
      </c>
      <c r="G8151" t="s">
        <v>74</v>
      </c>
      <c r="H8151" t="s">
        <v>14</v>
      </c>
    </row>
    <row r="8152" spans="1:8" hidden="1" x14ac:dyDescent="0.25">
      <c r="A8152" t="s">
        <v>10591</v>
      </c>
      <c r="B8152" s="1" t="str">
        <f>HYPERLINK("https://asmlis.vasa.lt/Dashboard/Served?ServiceDateFrom=2025-11-24&amp;ServiceDateTo=2025-11-24&amp;DumpsterInvNr=13-M-204575", "13-M-204575")</f>
        <v>13-M-204575</v>
      </c>
      <c r="C8152">
        <v>0.12</v>
      </c>
      <c r="D8152" t="s">
        <v>11208</v>
      </c>
      <c r="E8152" t="s">
        <v>11</v>
      </c>
      <c r="F8152" t="s">
        <v>1209</v>
      </c>
      <c r="G8152" t="s">
        <v>4876</v>
      </c>
      <c r="H8152" t="s">
        <v>938</v>
      </c>
    </row>
    <row r="8153" spans="1:8" hidden="1" x14ac:dyDescent="0.25">
      <c r="A8153" t="s">
        <v>10207</v>
      </c>
      <c r="B8153" s="1" t="str">
        <f>HYPERLINK("https://asmlis.vasa.lt/Dashboard/Served?ServiceDateFrom=2025-11-24&amp;ServiceDateTo=2025-11-24&amp;DumpsterInvNr=13-L-300151", "13-L-300151")</f>
        <v>13-L-300151</v>
      </c>
      <c r="C8153">
        <v>1.1000000000000001</v>
      </c>
      <c r="D8153" t="s">
        <v>11210</v>
      </c>
      <c r="E8153" t="s">
        <v>11</v>
      </c>
      <c r="G8153" t="s">
        <v>9</v>
      </c>
      <c r="H8153" t="s">
        <v>14</v>
      </c>
    </row>
    <row r="8154" spans="1:8" hidden="1" x14ac:dyDescent="0.25">
      <c r="A8154" t="s">
        <v>11211</v>
      </c>
      <c r="B8154" s="1" t="str">
        <f>HYPERLINK("https://asmlis.vasa.lt/Dashboard/Served?ServiceDateFrom=2025-11-24&amp;ServiceDateTo=2025-11-24&amp;DumpsterInvNr=13-L-316600", "13-L-316600")</f>
        <v>13-L-316600</v>
      </c>
      <c r="C8154">
        <v>5</v>
      </c>
      <c r="D8154" t="s">
        <v>11212</v>
      </c>
      <c r="E8154" t="s">
        <v>11</v>
      </c>
      <c r="F8154" t="s">
        <v>13</v>
      </c>
      <c r="G8154" t="s">
        <v>9</v>
      </c>
      <c r="H8154" t="s">
        <v>14</v>
      </c>
    </row>
    <row r="8155" spans="1:8" hidden="1" x14ac:dyDescent="0.25">
      <c r="A8155" t="s">
        <v>11213</v>
      </c>
      <c r="B8155" s="1" t="str">
        <f>HYPERLINK("https://asmlis.vasa.lt/Dashboard/Served?ServiceDateFrom=2025-11-24&amp;ServiceDateTo=2025-11-24&amp;DumpsterInvNr=13-L-316520", "13-L-316520")</f>
        <v>13-L-316520</v>
      </c>
      <c r="C8155">
        <v>5</v>
      </c>
      <c r="D8155" t="s">
        <v>11212</v>
      </c>
      <c r="E8155" t="s">
        <v>11</v>
      </c>
      <c r="F8155" t="s">
        <v>13</v>
      </c>
      <c r="G8155" t="s">
        <v>9</v>
      </c>
      <c r="H8155" t="s">
        <v>14</v>
      </c>
    </row>
    <row r="8156" spans="1:8" hidden="1" x14ac:dyDescent="0.25">
      <c r="A8156" t="s">
        <v>11214</v>
      </c>
      <c r="B8156" s="1" t="str">
        <f>HYPERLINK("https://asmlis.vasa.lt/Dashboard/Served?ServiceDateFrom=2025-11-24&amp;ServiceDateTo=2025-11-24&amp;DumpsterInvNr=13-P-302631", "13-P-302631")</f>
        <v>13-P-302631</v>
      </c>
      <c r="C8156">
        <v>2.5</v>
      </c>
      <c r="D8156" t="s">
        <v>2468</v>
      </c>
      <c r="E8156" t="s">
        <v>11</v>
      </c>
      <c r="F8156" t="s">
        <v>13</v>
      </c>
      <c r="G8156" t="s">
        <v>412</v>
      </c>
      <c r="H8156" t="s">
        <v>14</v>
      </c>
    </row>
    <row r="8157" spans="1:8" hidden="1" x14ac:dyDescent="0.25">
      <c r="A8157" t="s">
        <v>11215</v>
      </c>
      <c r="B8157" s="1" t="str">
        <f>HYPERLINK("https://asmlis.vasa.lt/Dashboard/Served?ServiceDateFrom=2025-11-24&amp;ServiceDateTo=2025-11-24&amp;DumpsterInvNr=13-L-138289", "13-L-138289")</f>
        <v>13-L-138289</v>
      </c>
      <c r="C8157">
        <v>0.24</v>
      </c>
      <c r="D8157" t="s">
        <v>11216</v>
      </c>
      <c r="E8157" t="s">
        <v>11</v>
      </c>
      <c r="G8157" t="s">
        <v>1912</v>
      </c>
      <c r="H8157" t="s">
        <v>432</v>
      </c>
    </row>
    <row r="8158" spans="1:8" hidden="1" x14ac:dyDescent="0.25">
      <c r="A8158" t="s">
        <v>11217</v>
      </c>
      <c r="B8158" s="1" t="str">
        <f>HYPERLINK("https://asmlis.vasa.lt/Dashboard/Served?ServiceDateFrom=2025-11-24&amp;ServiceDateTo=2025-11-24&amp;DumpsterInvNr=13-P-304051", "13-P-304051")</f>
        <v>13-P-304051</v>
      </c>
      <c r="C8158">
        <v>2.5</v>
      </c>
      <c r="D8158" t="s">
        <v>2468</v>
      </c>
      <c r="E8158" t="s">
        <v>11</v>
      </c>
      <c r="F8158" t="s">
        <v>13</v>
      </c>
      <c r="G8158" t="s">
        <v>412</v>
      </c>
      <c r="H8158" t="s">
        <v>14</v>
      </c>
    </row>
    <row r="8159" spans="1:8" hidden="1" x14ac:dyDescent="0.25">
      <c r="A8159" t="s">
        <v>11218</v>
      </c>
      <c r="B8159" s="1" t="str">
        <f>HYPERLINK("https://asmlis.vasa.lt/Dashboard/Served?ServiceDateFrom=2025-11-24&amp;ServiceDateTo=2025-11-24&amp;DumpsterInvNr=13-L-222820", "13-L-222820")</f>
        <v>13-L-222820</v>
      </c>
      <c r="C8159">
        <v>0.24</v>
      </c>
      <c r="D8159" t="s">
        <v>7566</v>
      </c>
      <c r="E8159" t="s">
        <v>11</v>
      </c>
      <c r="F8159" t="s">
        <v>13</v>
      </c>
      <c r="G8159" t="s">
        <v>936</v>
      </c>
      <c r="H8159" t="s">
        <v>938</v>
      </c>
    </row>
    <row r="8160" spans="1:8" hidden="1" x14ac:dyDescent="0.25">
      <c r="A8160" t="s">
        <v>11219</v>
      </c>
      <c r="B8160" s="1" t="str">
        <f>HYPERLINK("https://asmlis.vasa.lt/Dashboard/Served?ServiceDateFrom=2025-11-24&amp;ServiceDateTo=2025-11-24&amp;DumpsterInvNr=13-M-204861", "13-M-204861")</f>
        <v>13-M-204861</v>
      </c>
      <c r="C8160">
        <v>0.12</v>
      </c>
      <c r="D8160" t="s">
        <v>11220</v>
      </c>
      <c r="E8160" t="s">
        <v>11</v>
      </c>
      <c r="G8160" t="s">
        <v>4876</v>
      </c>
      <c r="H8160" t="s">
        <v>938</v>
      </c>
    </row>
    <row r="8161" spans="1:8" hidden="1" x14ac:dyDescent="0.25">
      <c r="A8161" t="s">
        <v>10936</v>
      </c>
      <c r="B8161" s="1" t="str">
        <f>HYPERLINK("https://asmlis.vasa.lt/Dashboard/Served?ServiceDateFrom=2025-11-24&amp;ServiceDateTo=2025-11-24&amp;DumpsterInvNr=13-P-501782", "13-P-501782")</f>
        <v>13-P-501782</v>
      </c>
      <c r="C8161">
        <v>5</v>
      </c>
      <c r="D8161" t="s">
        <v>11221</v>
      </c>
      <c r="E8161" t="s">
        <v>11</v>
      </c>
      <c r="F8161" t="s">
        <v>13</v>
      </c>
      <c r="G8161" t="s">
        <v>2178</v>
      </c>
      <c r="H8161" t="s">
        <v>432</v>
      </c>
    </row>
    <row r="8162" spans="1:8" hidden="1" x14ac:dyDescent="0.25">
      <c r="A8162" t="s">
        <v>11013</v>
      </c>
      <c r="B8162" s="1" t="str">
        <f>HYPERLINK("https://asmlis.vasa.lt/Dashboard/Served?ServiceDateFrom=2025-11-24&amp;ServiceDateTo=2025-11-24&amp;DumpsterInvNr=13-P-101174", "13-P-101174")</f>
        <v>13-P-101174</v>
      </c>
      <c r="C8162">
        <v>0.24</v>
      </c>
      <c r="D8162" t="s">
        <v>11216</v>
      </c>
      <c r="E8162" t="s">
        <v>11</v>
      </c>
      <c r="G8162" t="s">
        <v>1917</v>
      </c>
      <c r="H8162" t="s">
        <v>432</v>
      </c>
    </row>
    <row r="8163" spans="1:8" hidden="1" x14ac:dyDescent="0.25">
      <c r="A8163" t="s">
        <v>11222</v>
      </c>
      <c r="B8163" s="1" t="str">
        <f>HYPERLINK("https://asmlis.vasa.lt/Dashboard/Served?ServiceDateFrom=2025-11-24&amp;ServiceDateTo=2025-11-24&amp;DumpsterInvNr=13-M-204671", "13-M-204671")</f>
        <v>13-M-204671</v>
      </c>
      <c r="C8163">
        <v>0.12</v>
      </c>
      <c r="D8163" t="s">
        <v>11223</v>
      </c>
      <c r="E8163" t="s">
        <v>11</v>
      </c>
      <c r="F8163" t="s">
        <v>1209</v>
      </c>
      <c r="G8163" t="s">
        <v>4876</v>
      </c>
      <c r="H8163" t="s">
        <v>938</v>
      </c>
    </row>
    <row r="8164" spans="1:8" hidden="1" x14ac:dyDescent="0.25">
      <c r="A8164" t="s">
        <v>11224</v>
      </c>
      <c r="B8164" s="1" t="str">
        <f>HYPERLINK("https://asmlis.vasa.lt/Dashboard/Served?ServiceDateFrom=2025-11-24&amp;ServiceDateTo=2025-11-24&amp;DumpsterInvNr=13-P-213437", "13-P-213437")</f>
        <v>13-P-213437</v>
      </c>
      <c r="C8164">
        <v>1.1000000000000001</v>
      </c>
      <c r="D8164" t="s">
        <v>11225</v>
      </c>
      <c r="E8164" t="s">
        <v>11</v>
      </c>
      <c r="G8164" t="s">
        <v>234</v>
      </c>
      <c r="H8164" t="s">
        <v>14</v>
      </c>
    </row>
    <row r="8165" spans="1:8" hidden="1" x14ac:dyDescent="0.25">
      <c r="A8165" t="s">
        <v>11226</v>
      </c>
      <c r="B8165" s="1" t="str">
        <f>HYPERLINK("https://asmlis.vasa.lt/Dashboard/Served?ServiceDateFrom=2025-11-24&amp;ServiceDateTo=2025-11-24&amp;DumpsterInvNr=13-L-413046", "13-L-413046")</f>
        <v>13-L-413046</v>
      </c>
      <c r="C8165">
        <v>1.1000000000000001</v>
      </c>
      <c r="D8165" t="s">
        <v>11162</v>
      </c>
      <c r="E8165" t="s">
        <v>11</v>
      </c>
      <c r="G8165" t="s">
        <v>74</v>
      </c>
      <c r="H8165" t="s">
        <v>14</v>
      </c>
    </row>
    <row r="8166" spans="1:8" hidden="1" x14ac:dyDescent="0.25">
      <c r="A8166" t="s">
        <v>11228</v>
      </c>
      <c r="B8166" s="1" t="str">
        <f>HYPERLINK("https://asmlis.vasa.lt/Dashboard/Served?ServiceDateFrom=2025-11-24&amp;ServiceDateTo=2025-11-24&amp;DumpsterInvNr=13-P-415211", "13-P-415211")</f>
        <v>13-P-415211</v>
      </c>
      <c r="C8166">
        <v>0.24</v>
      </c>
      <c r="D8166" t="s">
        <v>11229</v>
      </c>
      <c r="E8166" t="s">
        <v>11</v>
      </c>
      <c r="F8166" t="s">
        <v>1209</v>
      </c>
      <c r="G8166" t="s">
        <v>264</v>
      </c>
      <c r="H8166" t="s">
        <v>14</v>
      </c>
    </row>
    <row r="8167" spans="1:8" hidden="1" x14ac:dyDescent="0.25">
      <c r="A8167" t="s">
        <v>11228</v>
      </c>
      <c r="B8167" s="1" t="str">
        <f>HYPERLINK("https://asmlis.vasa.lt/Dashboard/Served?ServiceDateFrom=2025-11-24&amp;ServiceDateTo=2025-11-24&amp;DumpsterInvNr=13-P-413855", "13-P-413855")</f>
        <v>13-P-413855</v>
      </c>
      <c r="C8167">
        <v>5</v>
      </c>
      <c r="D8167" t="s">
        <v>11230</v>
      </c>
      <c r="E8167" t="s">
        <v>11</v>
      </c>
      <c r="F8167" t="s">
        <v>13</v>
      </c>
      <c r="G8167" t="s">
        <v>264</v>
      </c>
      <c r="H8167" t="s">
        <v>14</v>
      </c>
    </row>
    <row r="8168" spans="1:8" hidden="1" x14ac:dyDescent="0.25">
      <c r="A8168" t="s">
        <v>11231</v>
      </c>
      <c r="B8168" s="1" t="str">
        <f>HYPERLINK("https://asmlis.vasa.lt/Dashboard/Served?ServiceDateFrom=2025-11-24&amp;ServiceDateTo=2025-11-24&amp;DumpsterInvNr=13-L-204102", "13-L-204102")</f>
        <v>13-L-204102</v>
      </c>
      <c r="C8168">
        <v>0.12</v>
      </c>
      <c r="D8168" t="s">
        <v>11232</v>
      </c>
      <c r="E8168" t="s">
        <v>11</v>
      </c>
      <c r="F8168" t="s">
        <v>13</v>
      </c>
      <c r="G8168" t="s">
        <v>936</v>
      </c>
      <c r="H8168" t="s">
        <v>938</v>
      </c>
    </row>
    <row r="8169" spans="1:8" hidden="1" x14ac:dyDescent="0.25">
      <c r="A8169" t="s">
        <v>11233</v>
      </c>
      <c r="B8169" s="1" t="str">
        <f>HYPERLINK("https://asmlis.vasa.lt/Dashboard/Served?ServiceDateFrom=2025-11-24&amp;ServiceDateTo=2025-11-24&amp;DumpsterInvNr=13-S-103166", "13-S-103166")</f>
        <v>13-S-103166</v>
      </c>
      <c r="C8169">
        <v>0.12</v>
      </c>
      <c r="D8169" t="s">
        <v>11234</v>
      </c>
      <c r="E8169" t="s">
        <v>11</v>
      </c>
      <c r="F8169" t="s">
        <v>1209</v>
      </c>
      <c r="G8169" t="s">
        <v>1917</v>
      </c>
      <c r="H8169" t="s">
        <v>432</v>
      </c>
    </row>
    <row r="8170" spans="1:8" hidden="1" x14ac:dyDescent="0.25">
      <c r="A8170" t="s">
        <v>11235</v>
      </c>
      <c r="B8170" s="1" t="str">
        <f>HYPERLINK("https://asmlis.vasa.lt/Dashboard/Served?ServiceDateFrom=2025-11-24&amp;ServiceDateTo=2025-11-24&amp;DumpsterInvNr=13-L-422776", "13-L-422776")</f>
        <v>13-L-422776</v>
      </c>
      <c r="C8170">
        <v>0.12</v>
      </c>
      <c r="D8170" t="s">
        <v>11236</v>
      </c>
      <c r="E8170" t="s">
        <v>11</v>
      </c>
      <c r="G8170" t="s">
        <v>74</v>
      </c>
      <c r="H8170" t="s">
        <v>14</v>
      </c>
    </row>
    <row r="8171" spans="1:8" hidden="1" x14ac:dyDescent="0.25">
      <c r="A8171" t="s">
        <v>11235</v>
      </c>
      <c r="B8171" s="1" t="str">
        <f>HYPERLINK("https://asmlis.vasa.lt/Dashboard/Served?ServiceDateFrom=2025-11-24&amp;ServiceDateTo=2025-11-24&amp;DumpsterInvNr=13-L-423496", "13-L-423496")</f>
        <v>13-L-423496</v>
      </c>
      <c r="C8171">
        <v>0.12</v>
      </c>
      <c r="D8171" t="s">
        <v>11237</v>
      </c>
      <c r="E8171" t="s">
        <v>11</v>
      </c>
      <c r="G8171" t="s">
        <v>74</v>
      </c>
      <c r="H8171" t="s">
        <v>14</v>
      </c>
    </row>
    <row r="8172" spans="1:8" hidden="1" x14ac:dyDescent="0.25">
      <c r="A8172" t="s">
        <v>11238</v>
      </c>
      <c r="B8172" s="1" t="str">
        <f>HYPERLINK("https://asmlis.vasa.lt/Dashboard/Served?ServiceDateFrom=2025-11-24&amp;ServiceDateTo=2025-11-24&amp;DumpsterInvNr=13-P-411150", "13-P-411150")</f>
        <v>13-P-411150</v>
      </c>
      <c r="C8172">
        <v>0.24</v>
      </c>
      <c r="D8172" t="s">
        <v>11239</v>
      </c>
      <c r="E8172" t="s">
        <v>11</v>
      </c>
      <c r="G8172" t="s">
        <v>264</v>
      </c>
      <c r="H8172" t="s">
        <v>14</v>
      </c>
    </row>
    <row r="8173" spans="1:8" hidden="1" x14ac:dyDescent="0.25">
      <c r="A8173" t="s">
        <v>11240</v>
      </c>
      <c r="B8173" s="1" t="str">
        <f>HYPERLINK("https://asmlis.vasa.lt/Dashboard/Served?ServiceDateFrom=2025-11-24&amp;ServiceDateTo=2025-11-24&amp;DumpsterInvNr=13-M-202285", "13-M-202285")</f>
        <v>13-M-202285</v>
      </c>
      <c r="C8173">
        <v>0.12</v>
      </c>
      <c r="D8173" t="s">
        <v>11241</v>
      </c>
      <c r="E8173" t="s">
        <v>11</v>
      </c>
      <c r="G8173" t="s">
        <v>4876</v>
      </c>
      <c r="H8173" t="s">
        <v>938</v>
      </c>
    </row>
    <row r="8174" spans="1:8" hidden="1" x14ac:dyDescent="0.25">
      <c r="A8174" t="s">
        <v>11242</v>
      </c>
      <c r="B8174" s="1" t="str">
        <f>HYPERLINK("https://asmlis.vasa.lt/Dashboard/Served?ServiceDateFrom=2025-11-24&amp;ServiceDateTo=2025-11-24&amp;DumpsterInvNr=DGA-ZALVARIS", "DGA-ZALVARIS")</f>
        <v>DGA-ZALVARIS</v>
      </c>
      <c r="C8174">
        <v>1</v>
      </c>
      <c r="D8174" t="s">
        <v>2578</v>
      </c>
      <c r="E8174" t="s">
        <v>12</v>
      </c>
      <c r="F8174" t="s">
        <v>13</v>
      </c>
      <c r="G8174" t="s">
        <v>10915</v>
      </c>
      <c r="H8174" t="s">
        <v>6765</v>
      </c>
    </row>
    <row r="8175" spans="1:8" hidden="1" x14ac:dyDescent="0.25">
      <c r="A8175" t="s">
        <v>11243</v>
      </c>
      <c r="B8175" s="1" t="str">
        <f>HYPERLINK("https://asmlis.vasa.lt/Dashboard/Served?ServiceDateFrom=2025-11-24&amp;ServiceDateTo=2025-11-24&amp;DumpsterInvNr=13-M-202140", "13-M-202140")</f>
        <v>13-M-202140</v>
      </c>
      <c r="C8175">
        <v>0.12</v>
      </c>
      <c r="D8175" t="s">
        <v>11244</v>
      </c>
      <c r="E8175" t="s">
        <v>11</v>
      </c>
      <c r="F8175" t="s">
        <v>1209</v>
      </c>
      <c r="G8175" t="s">
        <v>4876</v>
      </c>
      <c r="H8175" t="s">
        <v>938</v>
      </c>
    </row>
    <row r="8176" spans="1:8" hidden="1" x14ac:dyDescent="0.25">
      <c r="A8176" t="s">
        <v>11245</v>
      </c>
      <c r="B8176" s="1" t="str">
        <f>HYPERLINK("https://asmlis.vasa.lt/Dashboard/Served?ServiceDateFrom=2025-11-24&amp;ServiceDateTo=2025-11-24&amp;DumpsterInvNr=13-L-317139", "13-L-317139")</f>
        <v>13-L-317139</v>
      </c>
      <c r="C8176">
        <v>1.1000000000000001</v>
      </c>
      <c r="D8176" t="s">
        <v>11246</v>
      </c>
      <c r="E8176" t="s">
        <v>11</v>
      </c>
      <c r="G8176" t="s">
        <v>9</v>
      </c>
      <c r="H8176" t="s">
        <v>14</v>
      </c>
    </row>
    <row r="8177" spans="1:8" hidden="1" x14ac:dyDescent="0.25">
      <c r="A8177" t="s">
        <v>11247</v>
      </c>
      <c r="B8177" s="1" t="str">
        <f>HYPERLINK("https://asmlis.vasa.lt/Dashboard/Served?ServiceDateFrom=2025-11-24&amp;ServiceDateTo=2025-11-24&amp;DumpsterInvNr=13-L-136747", "13-L-136747")</f>
        <v>13-L-136747</v>
      </c>
      <c r="C8177">
        <v>5</v>
      </c>
      <c r="D8177" t="s">
        <v>11248</v>
      </c>
      <c r="E8177" t="s">
        <v>11</v>
      </c>
      <c r="F8177" t="s">
        <v>13</v>
      </c>
      <c r="G8177" t="s">
        <v>430</v>
      </c>
      <c r="H8177" t="s">
        <v>432</v>
      </c>
    </row>
    <row r="8178" spans="1:8" hidden="1" x14ac:dyDescent="0.25">
      <c r="A8178" t="s">
        <v>11249</v>
      </c>
      <c r="B8178" s="1" t="str">
        <f>HYPERLINK("https://asmlis.vasa.lt/Dashboard/Served?ServiceDateFrom=2025-11-24&amp;ServiceDateTo=2025-11-24&amp;DumpsterInvNr=13-L-123904", "13-L-123904")</f>
        <v>13-L-123904</v>
      </c>
      <c r="C8178">
        <v>0.12</v>
      </c>
      <c r="D8178" t="s">
        <v>11234</v>
      </c>
      <c r="E8178" t="s">
        <v>11</v>
      </c>
      <c r="G8178" t="s">
        <v>1912</v>
      </c>
      <c r="H8178" t="s">
        <v>432</v>
      </c>
    </row>
    <row r="8179" spans="1:8" hidden="1" x14ac:dyDescent="0.25">
      <c r="A8179" t="s">
        <v>11249</v>
      </c>
      <c r="B8179" s="1" t="str">
        <f>HYPERLINK("https://asmlis.vasa.lt/Dashboard/Served?ServiceDateFrom=2025-11-24&amp;ServiceDateTo=2025-11-24&amp;DumpsterInvNr=13-P-103402", "13-P-103402")</f>
        <v>13-P-103402</v>
      </c>
      <c r="C8179">
        <v>0.24</v>
      </c>
      <c r="D8179" t="s">
        <v>11234</v>
      </c>
      <c r="E8179" t="s">
        <v>11</v>
      </c>
      <c r="G8179" t="s">
        <v>1917</v>
      </c>
      <c r="H8179" t="s">
        <v>432</v>
      </c>
    </row>
    <row r="8180" spans="1:8" hidden="1" x14ac:dyDescent="0.25">
      <c r="A8180" t="s">
        <v>11249</v>
      </c>
      <c r="B8180" s="1" t="str">
        <f>HYPERLINK("https://asmlis.vasa.lt/Dashboard/Served?ServiceDateFrom=2025-11-24&amp;ServiceDateTo=2025-11-24&amp;DumpsterInvNr=13-P-115569", "13-P-115569")</f>
        <v>13-P-115569</v>
      </c>
      <c r="C8180">
        <v>1.1000000000000001</v>
      </c>
      <c r="D8180" t="s">
        <v>11251</v>
      </c>
      <c r="E8180" t="s">
        <v>11</v>
      </c>
      <c r="G8180" t="s">
        <v>1917</v>
      </c>
      <c r="H8180" t="s">
        <v>432</v>
      </c>
    </row>
    <row r="8181" spans="1:8" hidden="1" x14ac:dyDescent="0.25">
      <c r="A8181" t="s">
        <v>11252</v>
      </c>
      <c r="B8181" s="1" t="str">
        <f>HYPERLINK("https://asmlis.vasa.lt/Dashboard/Served?ServiceDateFrom=2025-11-24&amp;ServiceDateTo=2025-11-24&amp;DumpsterInvNr=13-L-415275", "13-L-415275")</f>
        <v>13-L-415275</v>
      </c>
      <c r="C8181">
        <v>1.1000000000000001</v>
      </c>
      <c r="D8181" t="s">
        <v>11162</v>
      </c>
      <c r="E8181" t="s">
        <v>11</v>
      </c>
      <c r="G8181" t="s">
        <v>74</v>
      </c>
      <c r="H8181" t="s">
        <v>14</v>
      </c>
    </row>
    <row r="8182" spans="1:8" hidden="1" x14ac:dyDescent="0.25">
      <c r="A8182" t="s">
        <v>11252</v>
      </c>
      <c r="B8182" s="1" t="str">
        <f>HYPERLINK("https://asmlis.vasa.lt/Dashboard/Served?ServiceDateFrom=2025-11-24&amp;ServiceDateTo=2025-11-24&amp;DumpsterInvNr=13-L-416872", "13-L-416872")</f>
        <v>13-L-416872</v>
      </c>
      <c r="C8182">
        <v>0.12</v>
      </c>
      <c r="D8182" t="s">
        <v>11253</v>
      </c>
      <c r="E8182" t="s">
        <v>11</v>
      </c>
      <c r="G8182" t="s">
        <v>74</v>
      </c>
      <c r="H8182" t="s">
        <v>14</v>
      </c>
    </row>
    <row r="8183" spans="1:8" hidden="1" x14ac:dyDescent="0.25">
      <c r="A8183" t="s">
        <v>11252</v>
      </c>
      <c r="B8183" s="1" t="str">
        <f>HYPERLINK("https://asmlis.vasa.lt/Dashboard/Served?ServiceDateFrom=2025-11-24&amp;ServiceDateTo=2025-11-24&amp;DumpsterInvNr=13-L-423497", "13-L-423497")</f>
        <v>13-L-423497</v>
      </c>
      <c r="C8183">
        <v>0.24</v>
      </c>
      <c r="D8183" t="s">
        <v>7497</v>
      </c>
      <c r="E8183" t="s">
        <v>11</v>
      </c>
      <c r="G8183" t="s">
        <v>74</v>
      </c>
      <c r="H8183" t="s">
        <v>14</v>
      </c>
    </row>
    <row r="8184" spans="1:8" hidden="1" x14ac:dyDescent="0.25">
      <c r="A8184" t="s">
        <v>11254</v>
      </c>
      <c r="B8184" s="1" t="str">
        <f>HYPERLINK("https://asmlis.vasa.lt/Dashboard/Served?ServiceDateFrom=2025-11-24&amp;ServiceDateTo=2025-11-24&amp;DumpsterInvNr=13-L-219824", "13-L-219824")</f>
        <v>13-L-219824</v>
      </c>
      <c r="C8184">
        <v>1.1000000000000001</v>
      </c>
      <c r="D8184" t="s">
        <v>11232</v>
      </c>
      <c r="E8184" t="s">
        <v>11</v>
      </c>
      <c r="G8184" t="s">
        <v>936</v>
      </c>
      <c r="H8184" t="s">
        <v>938</v>
      </c>
    </row>
    <row r="8185" spans="1:8" hidden="1" x14ac:dyDescent="0.25">
      <c r="A8185" t="s">
        <v>11255</v>
      </c>
      <c r="B8185" s="1" t="str">
        <f>HYPERLINK("https://asmlis.vasa.lt/Dashboard/Served?ServiceDateFrom=2025-11-24&amp;ServiceDateTo=2025-11-24&amp;DumpsterInvNr=13-M-204571", "13-M-204571")</f>
        <v>13-M-204571</v>
      </c>
      <c r="C8185">
        <v>0.12</v>
      </c>
      <c r="D8185" t="s">
        <v>11256</v>
      </c>
      <c r="E8185" t="s">
        <v>11</v>
      </c>
      <c r="G8185" t="s">
        <v>4876</v>
      </c>
      <c r="H8185" t="s">
        <v>938</v>
      </c>
    </row>
    <row r="8186" spans="1:8" hidden="1" x14ac:dyDescent="0.25">
      <c r="A8186" t="s">
        <v>11257</v>
      </c>
      <c r="B8186" s="1" t="str">
        <f>HYPERLINK("https://asmlis.vasa.lt/Dashboard/Served?ServiceDateFrom=2025-11-24&amp;ServiceDateTo=2025-11-24&amp;DumpsterInvNr=13-L-403693", "13-L-403693")</f>
        <v>13-L-403693</v>
      </c>
      <c r="C8186">
        <v>0.12</v>
      </c>
      <c r="D8186" t="s">
        <v>11162</v>
      </c>
      <c r="E8186" t="s">
        <v>11</v>
      </c>
      <c r="F8186" t="s">
        <v>1209</v>
      </c>
      <c r="G8186" t="s">
        <v>74</v>
      </c>
      <c r="H8186" t="s">
        <v>14</v>
      </c>
    </row>
    <row r="8187" spans="1:8" hidden="1" x14ac:dyDescent="0.25">
      <c r="A8187" t="s">
        <v>11259</v>
      </c>
      <c r="B8187" s="1" t="str">
        <f>HYPERLINK("https://asmlis.vasa.lt/Dashboard/Served?ServiceDateFrom=2025-11-24&amp;ServiceDateTo=2025-11-24&amp;DumpsterInvNr=13-P-302304", "13-P-302304")</f>
        <v>13-P-302304</v>
      </c>
      <c r="C8187">
        <v>5</v>
      </c>
      <c r="D8187" t="s">
        <v>11260</v>
      </c>
      <c r="E8187" t="s">
        <v>11</v>
      </c>
      <c r="G8187" t="s">
        <v>412</v>
      </c>
      <c r="H8187" t="s">
        <v>14</v>
      </c>
    </row>
    <row r="8188" spans="1:8" hidden="1" x14ac:dyDescent="0.25">
      <c r="A8188" t="s">
        <v>11261</v>
      </c>
      <c r="B8188" s="1" t="str">
        <f>HYPERLINK("https://asmlis.vasa.lt/Dashboard/Served?ServiceDateFrom=2025-11-24&amp;ServiceDateTo=2025-11-24&amp;DumpsterInvNr=13-P-500153", "13-P-500153")</f>
        <v>13-P-500153</v>
      </c>
      <c r="C8188">
        <v>5</v>
      </c>
      <c r="D8188" t="s">
        <v>2623</v>
      </c>
      <c r="E8188" t="s">
        <v>11</v>
      </c>
      <c r="F8188" t="s">
        <v>13</v>
      </c>
      <c r="G8188" t="s">
        <v>2178</v>
      </c>
      <c r="H8188" t="s">
        <v>432</v>
      </c>
    </row>
    <row r="8189" spans="1:8" hidden="1" x14ac:dyDescent="0.25">
      <c r="A8189" t="s">
        <v>11169</v>
      </c>
      <c r="B8189" s="1" t="str">
        <f>HYPERLINK("https://asmlis.vasa.lt/Dashboard/Served?ServiceDateFrom=2025-11-24&amp;ServiceDateTo=2025-11-24&amp;DumpsterInvNr=13-L-317140", "13-L-317140")</f>
        <v>13-L-317140</v>
      </c>
      <c r="C8189">
        <v>1.1000000000000001</v>
      </c>
      <c r="D8189" t="s">
        <v>11246</v>
      </c>
      <c r="E8189" t="s">
        <v>11</v>
      </c>
      <c r="G8189" t="s">
        <v>9</v>
      </c>
      <c r="H8189" t="s">
        <v>14</v>
      </c>
    </row>
    <row r="8190" spans="1:8" hidden="1" x14ac:dyDescent="0.25">
      <c r="A8190" t="s">
        <v>11169</v>
      </c>
      <c r="B8190" s="1" t="str">
        <f>HYPERLINK("https://asmlis.vasa.lt/Dashboard/Served?ServiceDateFrom=2025-11-24&amp;ServiceDateTo=2025-11-24&amp;DumpsterInvNr=13-S-102432", "13-S-102432")</f>
        <v>13-S-102432</v>
      </c>
      <c r="C8190">
        <v>0.12</v>
      </c>
      <c r="D8190" t="s">
        <v>11262</v>
      </c>
      <c r="E8190" t="s">
        <v>11</v>
      </c>
      <c r="G8190" t="s">
        <v>1917</v>
      </c>
      <c r="H8190" t="s">
        <v>432</v>
      </c>
    </row>
    <row r="8191" spans="1:8" hidden="1" x14ac:dyDescent="0.25">
      <c r="A8191" t="s">
        <v>11003</v>
      </c>
      <c r="B8191" s="1" t="str">
        <f>HYPERLINK("https://asmlis.vasa.lt/Dashboard/Served?ServiceDateFrom=2025-11-24&amp;ServiceDateTo=2025-11-24&amp;DumpsterInvNr=13-L-142543", "13-L-142543")</f>
        <v>13-L-142543</v>
      </c>
      <c r="C8191">
        <v>1.1000000000000001</v>
      </c>
      <c r="D8191" t="s">
        <v>3943</v>
      </c>
      <c r="E8191" t="s">
        <v>11</v>
      </c>
      <c r="G8191" t="s">
        <v>430</v>
      </c>
      <c r="H8191" t="s">
        <v>432</v>
      </c>
    </row>
    <row r="8192" spans="1:8" hidden="1" x14ac:dyDescent="0.25">
      <c r="A8192" t="s">
        <v>10956</v>
      </c>
      <c r="B8192" s="1" t="str">
        <f>HYPERLINK("https://asmlis.vasa.lt/Dashboard/Served?ServiceDateFrom=2025-11-24&amp;ServiceDateTo=2025-11-24&amp;DumpsterInvNr=13-L-102629", "13-L-102629")</f>
        <v>13-L-102629</v>
      </c>
      <c r="C8192">
        <v>0.12</v>
      </c>
      <c r="D8192" t="s">
        <v>11263</v>
      </c>
      <c r="E8192" t="s">
        <v>11</v>
      </c>
      <c r="G8192" t="s">
        <v>1912</v>
      </c>
      <c r="H8192" t="s">
        <v>432</v>
      </c>
    </row>
    <row r="8193" spans="1:8" hidden="1" x14ac:dyDescent="0.25">
      <c r="A8193" t="s">
        <v>10956</v>
      </c>
      <c r="B8193" s="1" t="str">
        <f>HYPERLINK("https://asmlis.vasa.lt/Dashboard/Served?ServiceDateFrom=2025-11-24&amp;ServiceDateTo=2025-11-24&amp;DumpsterInvNr=13-L-404691", "13-L-404691")</f>
        <v>13-L-404691</v>
      </c>
      <c r="C8193">
        <v>0.12</v>
      </c>
      <c r="D8193" t="s">
        <v>6463</v>
      </c>
      <c r="E8193" t="s">
        <v>11</v>
      </c>
      <c r="F8193" t="s">
        <v>1209</v>
      </c>
      <c r="G8193" t="s">
        <v>74</v>
      </c>
      <c r="H8193" t="s">
        <v>14</v>
      </c>
    </row>
    <row r="8194" spans="1:8" hidden="1" x14ac:dyDescent="0.25">
      <c r="A8194" t="s">
        <v>10956</v>
      </c>
      <c r="B8194" s="1" t="str">
        <f>HYPERLINK("https://asmlis.vasa.lt/Dashboard/Served?ServiceDateFrom=2025-11-24&amp;ServiceDateTo=2025-11-24&amp;DumpsterInvNr=13-P-101175", "13-P-101175")</f>
        <v>13-P-101175</v>
      </c>
      <c r="C8194">
        <v>0.24</v>
      </c>
      <c r="D8194" t="s">
        <v>11263</v>
      </c>
      <c r="E8194" t="s">
        <v>11</v>
      </c>
      <c r="G8194" t="s">
        <v>1917</v>
      </c>
      <c r="H8194" t="s">
        <v>432</v>
      </c>
    </row>
    <row r="8195" spans="1:8" hidden="1" x14ac:dyDescent="0.25">
      <c r="A8195" t="s">
        <v>11267</v>
      </c>
      <c r="B8195" s="1" t="str">
        <f>HYPERLINK("https://asmlis.vasa.lt/Dashboard/Served?ServiceDateFrom=2025-11-24&amp;ServiceDateTo=2025-11-24&amp;DumpsterInvNr=13-P-400588", "13-P-400588")</f>
        <v>13-P-400588</v>
      </c>
      <c r="C8195">
        <v>5</v>
      </c>
      <c r="D8195" t="s">
        <v>11268</v>
      </c>
      <c r="E8195" t="s">
        <v>11</v>
      </c>
      <c r="G8195" t="s">
        <v>264</v>
      </c>
      <c r="H8195" t="s">
        <v>14</v>
      </c>
    </row>
    <row r="8196" spans="1:8" hidden="1" x14ac:dyDescent="0.25">
      <c r="A8196" t="s">
        <v>11267</v>
      </c>
      <c r="B8196" s="1" t="str">
        <f>HYPERLINK("https://asmlis.vasa.lt/Dashboard/Served?ServiceDateFrom=2025-11-24&amp;ServiceDateTo=2025-11-24&amp;DumpsterInvNr=13-L-106685", "13-L-106685")</f>
        <v>13-L-106685</v>
      </c>
      <c r="C8196">
        <v>0.77</v>
      </c>
      <c r="D8196" t="s">
        <v>11269</v>
      </c>
      <c r="E8196" t="s">
        <v>11</v>
      </c>
      <c r="G8196" t="s">
        <v>1912</v>
      </c>
      <c r="H8196" t="s">
        <v>432</v>
      </c>
    </row>
    <row r="8197" spans="1:8" hidden="1" x14ac:dyDescent="0.25">
      <c r="A8197" t="s">
        <v>10960</v>
      </c>
      <c r="B8197" s="1" t="str">
        <f>HYPERLINK("https://asmlis.vasa.lt/Dashboard/Served?ServiceDateFrom=2025-11-24&amp;ServiceDateTo=2025-11-24&amp;DumpsterInvNr=13-L-131435", "13-L-131435")</f>
        <v>13-L-131435</v>
      </c>
      <c r="C8197">
        <v>5</v>
      </c>
      <c r="D8197" t="s">
        <v>11270</v>
      </c>
      <c r="E8197" t="s">
        <v>11</v>
      </c>
      <c r="F8197" t="s">
        <v>13</v>
      </c>
      <c r="G8197" t="s">
        <v>430</v>
      </c>
      <c r="H8197" t="s">
        <v>432</v>
      </c>
    </row>
    <row r="8198" spans="1:8" hidden="1" x14ac:dyDescent="0.25">
      <c r="A8198" t="s">
        <v>11036</v>
      </c>
      <c r="B8198" s="1" t="str">
        <f>HYPERLINK("https://asmlis.vasa.lt/Dashboard/Served?ServiceDateFrom=2025-11-24&amp;ServiceDateTo=2025-11-24&amp;DumpsterInvNr=13-P-300733", "13-P-300733")</f>
        <v>13-P-300733</v>
      </c>
      <c r="C8198">
        <v>1.1000000000000001</v>
      </c>
      <c r="D8198" t="s">
        <v>8220</v>
      </c>
      <c r="E8198" t="s">
        <v>11</v>
      </c>
      <c r="G8198" t="s">
        <v>412</v>
      </c>
      <c r="H8198" t="s">
        <v>14</v>
      </c>
    </row>
    <row r="8199" spans="1:8" hidden="1" x14ac:dyDescent="0.25">
      <c r="A8199" t="s">
        <v>11004</v>
      </c>
      <c r="B8199" s="1" t="str">
        <f>HYPERLINK("https://asmlis.vasa.lt/Dashboard/Served?ServiceDateFrom=2025-11-24&amp;ServiceDateTo=2025-11-24&amp;DumpsterInvNr=13-L-220958", "13-L-220958")</f>
        <v>13-L-220958</v>
      </c>
      <c r="C8199">
        <v>1.1000000000000001</v>
      </c>
      <c r="D8199" t="s">
        <v>11271</v>
      </c>
      <c r="E8199" t="s">
        <v>11</v>
      </c>
      <c r="G8199" t="s">
        <v>936</v>
      </c>
      <c r="H8199" t="s">
        <v>938</v>
      </c>
    </row>
    <row r="8200" spans="1:8" hidden="1" x14ac:dyDescent="0.25">
      <c r="A8200" t="s">
        <v>11004</v>
      </c>
      <c r="B8200" s="1" t="str">
        <f>HYPERLINK("https://asmlis.vasa.lt/Dashboard/Served?ServiceDateFrom=2025-11-24&amp;ServiceDateTo=2025-11-24&amp;DumpsterInvNr=13-P-211200", "13-P-211200")</f>
        <v>13-P-211200</v>
      </c>
      <c r="C8200">
        <v>0.24</v>
      </c>
      <c r="D8200" t="s">
        <v>11272</v>
      </c>
      <c r="E8200" t="s">
        <v>11</v>
      </c>
      <c r="G8200" t="s">
        <v>234</v>
      </c>
      <c r="H8200" t="s">
        <v>14</v>
      </c>
    </row>
    <row r="8201" spans="1:8" hidden="1" x14ac:dyDescent="0.25">
      <c r="A8201" t="s">
        <v>11092</v>
      </c>
      <c r="B8201" s="1" t="str">
        <f>HYPERLINK("https://asmlis.vasa.lt/Dashboard/Served?ServiceDateFrom=2025-11-24&amp;ServiceDateTo=2025-11-24&amp;DumpsterInvNr=13-P-500436", "13-P-500436")</f>
        <v>13-P-500436</v>
      </c>
      <c r="C8201">
        <v>5</v>
      </c>
      <c r="D8201" t="s">
        <v>7205</v>
      </c>
      <c r="E8201" t="s">
        <v>11</v>
      </c>
      <c r="F8201" t="s">
        <v>13</v>
      </c>
      <c r="G8201" t="s">
        <v>2178</v>
      </c>
      <c r="H8201" t="s">
        <v>432</v>
      </c>
    </row>
    <row r="8202" spans="1:8" hidden="1" x14ac:dyDescent="0.25">
      <c r="A8202" t="s">
        <v>11092</v>
      </c>
      <c r="B8202" s="1" t="str">
        <f>HYPERLINK("https://asmlis.vasa.lt/Dashboard/Served?ServiceDateFrom=2025-11-24&amp;ServiceDateTo=2025-11-24&amp;DumpsterInvNr=13-L-131436", "13-L-131436")</f>
        <v>13-L-131436</v>
      </c>
      <c r="C8202">
        <v>5</v>
      </c>
      <c r="D8202" t="s">
        <v>11270</v>
      </c>
      <c r="E8202" t="s">
        <v>11</v>
      </c>
      <c r="F8202" t="s">
        <v>13</v>
      </c>
      <c r="G8202" t="s">
        <v>430</v>
      </c>
      <c r="H8202" t="s">
        <v>432</v>
      </c>
    </row>
    <row r="8203" spans="1:8" hidden="1" x14ac:dyDescent="0.25">
      <c r="A8203" t="s">
        <v>11273</v>
      </c>
      <c r="B8203" s="1" t="str">
        <f>HYPERLINK("https://asmlis.vasa.lt/Dashboard/Served?ServiceDateFrom=2025-11-24&amp;ServiceDateTo=2025-11-24&amp;DumpsterInvNr=13-P-401177", "13-P-401177")</f>
        <v>13-P-401177</v>
      </c>
      <c r="C8203">
        <v>5</v>
      </c>
      <c r="D8203" t="s">
        <v>11274</v>
      </c>
      <c r="E8203" t="s">
        <v>11</v>
      </c>
      <c r="F8203" t="s">
        <v>13</v>
      </c>
      <c r="G8203" t="s">
        <v>264</v>
      </c>
      <c r="H8203" t="s">
        <v>14</v>
      </c>
    </row>
    <row r="8204" spans="1:8" hidden="1" x14ac:dyDescent="0.25">
      <c r="A8204" t="s">
        <v>11000</v>
      </c>
      <c r="B8204" s="1" t="str">
        <f>HYPERLINK("https://asmlis.vasa.lt/Dashboard/Served?ServiceDateFrom=2025-11-24&amp;ServiceDateTo=2025-11-24&amp;DumpsterInvNr=13-L-149116", "13-L-149116")</f>
        <v>13-L-149116</v>
      </c>
      <c r="C8204">
        <v>1.1000000000000001</v>
      </c>
      <c r="D8204" t="s">
        <v>3943</v>
      </c>
      <c r="E8204" t="s">
        <v>11</v>
      </c>
      <c r="G8204" t="s">
        <v>430</v>
      </c>
      <c r="H8204" t="s">
        <v>432</v>
      </c>
    </row>
    <row r="8205" spans="1:8" hidden="1" x14ac:dyDescent="0.25">
      <c r="A8205" t="s">
        <v>11037</v>
      </c>
      <c r="B8205" s="1" t="str">
        <f>HYPERLINK("https://asmlis.vasa.lt/Dashboard/Served?ServiceDateFrom=2025-11-24&amp;ServiceDateTo=2025-11-24&amp;DumpsterInvNr=13-L-220520", "13-L-220520")</f>
        <v>13-L-220520</v>
      </c>
      <c r="C8205">
        <v>0.24</v>
      </c>
      <c r="D8205" t="s">
        <v>11275</v>
      </c>
      <c r="E8205" t="s">
        <v>11</v>
      </c>
      <c r="G8205" t="s">
        <v>936</v>
      </c>
      <c r="H8205" t="s">
        <v>938</v>
      </c>
    </row>
    <row r="8206" spans="1:8" hidden="1" x14ac:dyDescent="0.25">
      <c r="A8206" t="s">
        <v>11037</v>
      </c>
      <c r="B8206" s="1" t="str">
        <f>HYPERLINK("https://asmlis.vasa.lt/Dashboard/Served?ServiceDateFrom=2025-11-24&amp;ServiceDateTo=2025-11-24&amp;DumpsterInvNr=13-L-425796", "13-L-425796")</f>
        <v>13-L-425796</v>
      </c>
      <c r="C8206">
        <v>0.12</v>
      </c>
      <c r="D8206" t="s">
        <v>6484</v>
      </c>
      <c r="E8206" t="s">
        <v>11</v>
      </c>
      <c r="G8206" t="s">
        <v>74</v>
      </c>
      <c r="H8206" t="s">
        <v>14</v>
      </c>
    </row>
    <row r="8207" spans="1:8" hidden="1" x14ac:dyDescent="0.25">
      <c r="A8207" t="s">
        <v>11037</v>
      </c>
      <c r="B8207" s="1" t="str">
        <f>HYPERLINK("https://asmlis.vasa.lt/Dashboard/Served?ServiceDateFrom=2025-11-24&amp;ServiceDateTo=2025-11-24&amp;DumpsterInvNr=13-L-404693", "13-L-404693")</f>
        <v>13-L-404693</v>
      </c>
      <c r="C8207">
        <v>0.12</v>
      </c>
      <c r="D8207" t="s">
        <v>6484</v>
      </c>
      <c r="E8207" t="s">
        <v>11</v>
      </c>
      <c r="G8207" t="s">
        <v>74</v>
      </c>
      <c r="H8207" t="s">
        <v>14</v>
      </c>
    </row>
    <row r="8208" spans="1:8" hidden="1" x14ac:dyDescent="0.25">
      <c r="A8208" t="s">
        <v>11037</v>
      </c>
      <c r="B8208" s="1" t="str">
        <f>HYPERLINK("https://asmlis.vasa.lt/Dashboard/Served?ServiceDateFrom=2025-11-24&amp;ServiceDateTo=2025-11-24&amp;DumpsterInvNr=13-P-405427", "13-P-405427")</f>
        <v>13-P-405427</v>
      </c>
      <c r="C8208">
        <v>5</v>
      </c>
      <c r="D8208" t="s">
        <v>11276</v>
      </c>
      <c r="E8208" t="s">
        <v>11</v>
      </c>
      <c r="F8208" t="s">
        <v>13</v>
      </c>
      <c r="G8208" t="s">
        <v>264</v>
      </c>
      <c r="H8208" t="s">
        <v>14</v>
      </c>
    </row>
    <row r="8209" spans="1:8" hidden="1" x14ac:dyDescent="0.25">
      <c r="A8209" t="s">
        <v>11077</v>
      </c>
      <c r="B8209" s="1" t="str">
        <f>HYPERLINK("https://asmlis.vasa.lt/Dashboard/Served?ServiceDateFrom=2025-11-24&amp;ServiceDateTo=2025-11-24&amp;DumpsterInvNr=13-L-426927", "13-L-426927")</f>
        <v>13-L-426927</v>
      </c>
      <c r="C8209">
        <v>0.24</v>
      </c>
      <c r="D8209" t="s">
        <v>11162</v>
      </c>
      <c r="E8209" t="s">
        <v>11</v>
      </c>
      <c r="G8209" t="s">
        <v>74</v>
      </c>
      <c r="H8209" t="s">
        <v>14</v>
      </c>
    </row>
    <row r="8210" spans="1:8" hidden="1" x14ac:dyDescent="0.25">
      <c r="A8210" t="s">
        <v>11088</v>
      </c>
      <c r="B8210" s="1" t="str">
        <f>HYPERLINK("https://asmlis.vasa.lt/Dashboard/Served?ServiceDateFrom=2025-11-24&amp;ServiceDateTo=2025-11-24&amp;DumpsterInvNr=13-P-415398", "13-P-415398")</f>
        <v>13-P-415398</v>
      </c>
      <c r="C8210">
        <v>0.12</v>
      </c>
      <c r="D8210" t="s">
        <v>11277</v>
      </c>
      <c r="E8210" t="s">
        <v>11</v>
      </c>
      <c r="G8210" t="s">
        <v>264</v>
      </c>
      <c r="H8210" t="s">
        <v>14</v>
      </c>
    </row>
    <row r="8211" spans="1:8" hidden="1" x14ac:dyDescent="0.25">
      <c r="A8211" t="s">
        <v>11102</v>
      </c>
      <c r="B8211" s="1" t="str">
        <f>HYPERLINK("https://asmlis.vasa.lt/Dashboard/Served?ServiceDateFrom=2025-11-24&amp;ServiceDateTo=2025-11-24&amp;DumpsterInvNr=13-L-209246", "13-L-209246")</f>
        <v>13-L-209246</v>
      </c>
      <c r="C8211">
        <v>1.1000000000000001</v>
      </c>
      <c r="D8211" t="s">
        <v>11232</v>
      </c>
      <c r="E8211" t="s">
        <v>11</v>
      </c>
      <c r="F8211" t="s">
        <v>13</v>
      </c>
      <c r="G8211" t="s">
        <v>936</v>
      </c>
      <c r="H8211" t="s">
        <v>938</v>
      </c>
    </row>
    <row r="8212" spans="1:8" hidden="1" x14ac:dyDescent="0.25">
      <c r="A8212" t="s">
        <v>11110</v>
      </c>
      <c r="B8212" s="1" t="str">
        <f>HYPERLINK("https://asmlis.vasa.lt/Dashboard/Served?ServiceDateFrom=2025-11-24&amp;ServiceDateTo=2025-11-24&amp;DumpsterInvNr=13-S-402548", "13-S-402548")</f>
        <v>13-S-402548</v>
      </c>
      <c r="C8212">
        <v>0.12</v>
      </c>
      <c r="D8212" t="s">
        <v>2175</v>
      </c>
      <c r="E8212" t="s">
        <v>11</v>
      </c>
      <c r="G8212" t="s">
        <v>264</v>
      </c>
      <c r="H8212" t="s">
        <v>14</v>
      </c>
    </row>
    <row r="8213" spans="1:8" hidden="1" x14ac:dyDescent="0.25">
      <c r="A8213" t="s">
        <v>11278</v>
      </c>
      <c r="B8213" s="1" t="str">
        <f>HYPERLINK("https://asmlis.vasa.lt/Dashboard/Served?ServiceDateFrom=2025-11-24&amp;ServiceDateTo=2025-11-24&amp;DumpsterInvNr=13-S-212535", "13-S-212535")</f>
        <v>13-S-212535</v>
      </c>
      <c r="C8213">
        <v>3</v>
      </c>
      <c r="D8213" t="s">
        <v>2587</v>
      </c>
      <c r="E8213" t="s">
        <v>11</v>
      </c>
      <c r="F8213" t="s">
        <v>13</v>
      </c>
      <c r="G8213" t="s">
        <v>234</v>
      </c>
      <c r="H8213" t="s">
        <v>14</v>
      </c>
    </row>
    <row r="8214" spans="1:8" hidden="1" x14ac:dyDescent="0.25">
      <c r="A8214" t="s">
        <v>11139</v>
      </c>
      <c r="B8214" s="1" t="str">
        <f>HYPERLINK("https://asmlis.vasa.lt/Dashboard/Served?ServiceDateFrom=2025-11-24&amp;ServiceDateTo=2025-11-24&amp;DumpsterInvNr=13-P-300719", "13-P-300719")</f>
        <v>13-P-300719</v>
      </c>
      <c r="C8214">
        <v>1.1000000000000001</v>
      </c>
      <c r="D8214" t="s">
        <v>8220</v>
      </c>
      <c r="E8214" t="s">
        <v>11</v>
      </c>
      <c r="G8214" t="s">
        <v>412</v>
      </c>
      <c r="H8214" t="s">
        <v>14</v>
      </c>
    </row>
    <row r="8215" spans="1:8" hidden="1" x14ac:dyDescent="0.25">
      <c r="A8215" t="s">
        <v>11152</v>
      </c>
      <c r="B8215" s="1" t="str">
        <f>HYPERLINK("https://asmlis.vasa.lt/Dashboard/Served?ServiceDateFrom=2025-11-24&amp;ServiceDateTo=2025-11-24&amp;DumpsterInvNr=13-P-415381", "13-P-415381")</f>
        <v>13-P-415381</v>
      </c>
      <c r="C8215">
        <v>0.24</v>
      </c>
      <c r="D8215" t="s">
        <v>11280</v>
      </c>
      <c r="E8215" t="s">
        <v>11</v>
      </c>
      <c r="G8215" t="s">
        <v>264</v>
      </c>
      <c r="H8215" t="s">
        <v>14</v>
      </c>
    </row>
    <row r="8216" spans="1:8" hidden="1" x14ac:dyDescent="0.25">
      <c r="A8216" t="s">
        <v>11170</v>
      </c>
      <c r="B8216" s="1" t="str">
        <f>HYPERLINK("https://asmlis.vasa.lt/Dashboard/Served?ServiceDateFrom=2025-11-24&amp;ServiceDateTo=2025-11-24&amp;DumpsterInvNr=13-P-408792", "13-P-408792")</f>
        <v>13-P-408792</v>
      </c>
      <c r="C8216">
        <v>1.1000000000000001</v>
      </c>
      <c r="D8216" t="s">
        <v>11281</v>
      </c>
      <c r="E8216" t="s">
        <v>11</v>
      </c>
      <c r="G8216" t="s">
        <v>264</v>
      </c>
      <c r="H8216" t="s">
        <v>14</v>
      </c>
    </row>
    <row r="8217" spans="1:8" hidden="1" x14ac:dyDescent="0.25">
      <c r="A8217" t="s">
        <v>11170</v>
      </c>
      <c r="B8217" s="1" t="str">
        <f>HYPERLINK("https://asmlis.vasa.lt/Dashboard/Served?ServiceDateFrom=2025-11-24&amp;ServiceDateTo=2025-11-24&amp;DumpsterInvNr=13-L-134637", "13-L-134637")</f>
        <v>13-L-134637</v>
      </c>
      <c r="C8217">
        <v>0.12</v>
      </c>
      <c r="D8217" t="s">
        <v>11262</v>
      </c>
      <c r="E8217" t="s">
        <v>11</v>
      </c>
      <c r="G8217" t="s">
        <v>1912</v>
      </c>
      <c r="H8217" t="s">
        <v>432</v>
      </c>
    </row>
    <row r="8218" spans="1:8" hidden="1" x14ac:dyDescent="0.25">
      <c r="A8218" t="s">
        <v>11175</v>
      </c>
      <c r="B8218" s="1" t="str">
        <f>HYPERLINK("https://asmlis.vasa.lt/Dashboard/Served?ServiceDateFrom=2025-11-24&amp;ServiceDateTo=2025-11-24&amp;DumpsterInvNr=13-P-103412", "13-P-103412")</f>
        <v>13-P-103412</v>
      </c>
      <c r="C8218">
        <v>0.24</v>
      </c>
      <c r="D8218" t="s">
        <v>11262</v>
      </c>
      <c r="E8218" t="s">
        <v>11</v>
      </c>
      <c r="G8218" t="s">
        <v>1917</v>
      </c>
      <c r="H8218" t="s">
        <v>432</v>
      </c>
    </row>
    <row r="8219" spans="1:8" hidden="1" x14ac:dyDescent="0.25">
      <c r="A8219" t="s">
        <v>11250</v>
      </c>
      <c r="B8219" s="1" t="str">
        <f>HYPERLINK("https://asmlis.vasa.lt/Dashboard/Served?ServiceDateFrom=2025-11-24&amp;ServiceDateTo=2025-11-24&amp;DumpsterInvNr=13-P-209478", "13-P-209478")</f>
        <v>13-P-209478</v>
      </c>
      <c r="C8219">
        <v>0.24</v>
      </c>
      <c r="D8219" t="s">
        <v>11282</v>
      </c>
      <c r="E8219" t="s">
        <v>11</v>
      </c>
      <c r="G8219" t="s">
        <v>234</v>
      </c>
      <c r="H8219" t="s">
        <v>14</v>
      </c>
    </row>
    <row r="8220" spans="1:8" hidden="1" x14ac:dyDescent="0.25">
      <c r="A8220" t="s">
        <v>11283</v>
      </c>
      <c r="B8220" s="1" t="str">
        <f>HYPERLINK("https://asmlis.vasa.lt/Dashboard/Served?ServiceDateFrom=2025-11-24&amp;ServiceDateTo=2025-11-24&amp;DumpsterInvNr=13-L-318755", "13-L-318755")</f>
        <v>13-L-318755</v>
      </c>
      <c r="C8220">
        <v>1.1000000000000001</v>
      </c>
      <c r="D8220" t="s">
        <v>11284</v>
      </c>
      <c r="E8220" t="s">
        <v>11</v>
      </c>
      <c r="G8220" t="s">
        <v>9</v>
      </c>
      <c r="H8220" t="s">
        <v>14</v>
      </c>
    </row>
    <row r="8221" spans="1:8" hidden="1" x14ac:dyDescent="0.25">
      <c r="A8221" t="s">
        <v>11285</v>
      </c>
      <c r="B8221" s="1" t="str">
        <f>HYPERLINK("https://asmlis.vasa.lt/Dashboard/Served?ServiceDateFrom=2025-11-24&amp;ServiceDateTo=2025-11-24&amp;DumpsterInvNr=13-L-209068", "13-L-209068")</f>
        <v>13-L-209068</v>
      </c>
      <c r="C8221">
        <v>0.24</v>
      </c>
      <c r="D8221" t="s">
        <v>7619</v>
      </c>
      <c r="E8221" t="s">
        <v>11</v>
      </c>
      <c r="F8221" t="s">
        <v>13</v>
      </c>
      <c r="G8221" t="s">
        <v>936</v>
      </c>
      <c r="H8221" t="s">
        <v>938</v>
      </c>
    </row>
    <row r="8222" spans="1:8" hidden="1" x14ac:dyDescent="0.25">
      <c r="A8222" t="s">
        <v>11286</v>
      </c>
      <c r="B8222" s="1" t="str">
        <f>HYPERLINK("https://asmlis.vasa.lt/Dashboard/Served?ServiceDateFrom=2025-11-24&amp;ServiceDateTo=2025-11-24&amp;DumpsterInvNr=13-L-409119", "13-L-409119")</f>
        <v>13-L-409119</v>
      </c>
      <c r="C8222">
        <v>0.24</v>
      </c>
      <c r="D8222" t="s">
        <v>11162</v>
      </c>
      <c r="E8222" t="s">
        <v>11</v>
      </c>
      <c r="G8222" t="s">
        <v>74</v>
      </c>
      <c r="H8222" t="s">
        <v>14</v>
      </c>
    </row>
    <row r="8223" spans="1:8" hidden="1" x14ac:dyDescent="0.25">
      <c r="A8223" t="s">
        <v>11287</v>
      </c>
      <c r="B8223" s="1" t="str">
        <f>HYPERLINK("https://asmlis.vasa.lt/Dashboard/Served?ServiceDateFrom=2025-11-24&amp;ServiceDateTo=2025-11-24&amp;DumpsterInvNr=13-T-000347", "13-T-000347")</f>
        <v>13-T-000347</v>
      </c>
      <c r="C8223">
        <v>2.5</v>
      </c>
      <c r="D8223" t="s">
        <v>11288</v>
      </c>
      <c r="E8223" t="s">
        <v>11</v>
      </c>
      <c r="F8223" t="s">
        <v>13</v>
      </c>
      <c r="G8223" t="s">
        <v>1899</v>
      </c>
      <c r="H8223" t="s">
        <v>432</v>
      </c>
    </row>
    <row r="8224" spans="1:8" hidden="1" x14ac:dyDescent="0.25">
      <c r="A8224" t="s">
        <v>11289</v>
      </c>
      <c r="B8224" s="1" t="str">
        <f>HYPERLINK("https://asmlis.vasa.lt/Dashboard/Served?ServiceDateFrom=2025-11-24&amp;ServiceDateTo=2025-11-24&amp;DumpsterInvNr=13-T-000245", "13-T-000245")</f>
        <v>13-T-000245</v>
      </c>
      <c r="C8224">
        <v>2.5</v>
      </c>
      <c r="D8224" t="s">
        <v>11288</v>
      </c>
      <c r="E8224" t="s">
        <v>11</v>
      </c>
      <c r="F8224" t="s">
        <v>13</v>
      </c>
      <c r="G8224" t="s">
        <v>1899</v>
      </c>
      <c r="H8224" t="s">
        <v>432</v>
      </c>
    </row>
    <row r="8225" spans="1:8" hidden="1" x14ac:dyDescent="0.25">
      <c r="A8225" t="s">
        <v>11290</v>
      </c>
      <c r="B8225" s="1" t="str">
        <f>HYPERLINK("https://asmlis.vasa.lt/Dashboard/Served?ServiceDateFrom=2025-11-24&amp;ServiceDateTo=2025-11-24&amp;DumpsterInvNr=13-L-415135", "13-L-415135")</f>
        <v>13-L-415135</v>
      </c>
      <c r="C8225">
        <v>0.24</v>
      </c>
      <c r="D8225" t="s">
        <v>11291</v>
      </c>
      <c r="E8225" t="s">
        <v>11</v>
      </c>
      <c r="F8225" t="s">
        <v>1209</v>
      </c>
      <c r="G8225" t="s">
        <v>74</v>
      </c>
      <c r="H8225" t="s">
        <v>14</v>
      </c>
    </row>
    <row r="8226" spans="1:8" hidden="1" x14ac:dyDescent="0.25">
      <c r="A8226" t="s">
        <v>11290</v>
      </c>
      <c r="B8226" s="1" t="str">
        <f>HYPERLINK("https://asmlis.vasa.lt/Dashboard/Served?ServiceDateFrom=2025-11-24&amp;ServiceDateTo=2025-11-24&amp;DumpsterInvNr=13-L-313880", "13-L-313880")</f>
        <v>13-L-313880</v>
      </c>
      <c r="C8226">
        <v>1.1000000000000001</v>
      </c>
      <c r="D8226" t="s">
        <v>11293</v>
      </c>
      <c r="E8226" t="s">
        <v>11</v>
      </c>
      <c r="G8226" t="s">
        <v>9</v>
      </c>
      <c r="H8226" t="s">
        <v>14</v>
      </c>
    </row>
    <row r="8227" spans="1:8" hidden="1" x14ac:dyDescent="0.25">
      <c r="A8227" t="s">
        <v>11290</v>
      </c>
      <c r="B8227" s="1" t="str">
        <f>HYPERLINK("https://asmlis.vasa.lt/Dashboard/Served?ServiceDateFrom=2025-11-24&amp;ServiceDateTo=2025-11-24&amp;DumpsterInvNr=13-L-417386", "13-L-417386")</f>
        <v>13-L-417386</v>
      </c>
      <c r="C8227">
        <v>0.24</v>
      </c>
      <c r="D8227" t="s">
        <v>11294</v>
      </c>
      <c r="E8227" t="s">
        <v>11</v>
      </c>
      <c r="G8227" t="s">
        <v>74</v>
      </c>
      <c r="H8227" t="s">
        <v>14</v>
      </c>
    </row>
    <row r="8228" spans="1:8" hidden="1" x14ac:dyDescent="0.25">
      <c r="A8228" t="s">
        <v>11295</v>
      </c>
      <c r="B8228" s="1" t="str">
        <f>HYPERLINK("https://asmlis.vasa.lt/Dashboard/Served?ServiceDateFrom=2025-11-24&amp;ServiceDateTo=2025-11-24&amp;DumpsterInvNr=13-P-300715", "13-P-300715")</f>
        <v>13-P-300715</v>
      </c>
      <c r="C8228">
        <v>1.1000000000000001</v>
      </c>
      <c r="D8228" t="s">
        <v>8220</v>
      </c>
      <c r="E8228" t="s">
        <v>11</v>
      </c>
      <c r="F8228" t="s">
        <v>13</v>
      </c>
      <c r="G8228" t="s">
        <v>412</v>
      </c>
      <c r="H8228" t="s">
        <v>14</v>
      </c>
    </row>
    <row r="8229" spans="1:8" hidden="1" x14ac:dyDescent="0.25">
      <c r="A8229" t="s">
        <v>11296</v>
      </c>
      <c r="B8229" s="1" t="str">
        <f>HYPERLINK("https://asmlis.vasa.lt/Dashboard/Served?ServiceDateFrom=2025-11-24&amp;ServiceDateTo=2025-11-24&amp;DumpsterInvNr=13-L-102624", "13-L-102624")</f>
        <v>13-L-102624</v>
      </c>
      <c r="C8229">
        <v>0.12</v>
      </c>
      <c r="D8229" t="s">
        <v>11262</v>
      </c>
      <c r="E8229" t="s">
        <v>11</v>
      </c>
      <c r="G8229" t="s">
        <v>1912</v>
      </c>
      <c r="H8229" t="s">
        <v>432</v>
      </c>
    </row>
    <row r="8230" spans="1:8" hidden="1" x14ac:dyDescent="0.25">
      <c r="A8230" t="s">
        <v>11298</v>
      </c>
      <c r="B8230" s="1" t="str">
        <f>HYPERLINK("https://asmlis.vasa.lt/Dashboard/Served?ServiceDateFrom=2025-11-24&amp;ServiceDateTo=2025-11-24&amp;DumpsterInvNr=13-P-101176", "13-P-101176")</f>
        <v>13-P-101176</v>
      </c>
      <c r="C8230">
        <v>0.24</v>
      </c>
      <c r="D8230" t="s">
        <v>11262</v>
      </c>
      <c r="E8230" t="s">
        <v>11</v>
      </c>
      <c r="G8230" t="s">
        <v>1917</v>
      </c>
      <c r="H8230" t="s">
        <v>432</v>
      </c>
    </row>
    <row r="8231" spans="1:8" hidden="1" x14ac:dyDescent="0.25">
      <c r="A8231" t="s">
        <v>11299</v>
      </c>
      <c r="B8231" s="1" t="str">
        <f>HYPERLINK("https://asmlis.vasa.lt/Dashboard/Served?ServiceDateFrom=2025-11-24&amp;ServiceDateTo=2025-11-24&amp;DumpsterInvNr=13-P-415238", "13-P-415238")</f>
        <v>13-P-415238</v>
      </c>
      <c r="C8231">
        <v>0.24</v>
      </c>
      <c r="D8231" t="s">
        <v>2175</v>
      </c>
      <c r="E8231" t="s">
        <v>11</v>
      </c>
      <c r="G8231" t="s">
        <v>264</v>
      </c>
      <c r="H8231" t="s">
        <v>14</v>
      </c>
    </row>
    <row r="8232" spans="1:8" hidden="1" x14ac:dyDescent="0.25">
      <c r="A8232" t="s">
        <v>11300</v>
      </c>
      <c r="B8232" s="1" t="str">
        <f>HYPERLINK("https://asmlis.vasa.lt/Dashboard/Served?ServiceDateFrom=2025-11-24&amp;ServiceDateTo=2025-11-24&amp;DumpsterInvNr=13-L-317141", "13-L-317141")</f>
        <v>13-L-317141</v>
      </c>
      <c r="C8232">
        <v>1.1000000000000001</v>
      </c>
      <c r="D8232" t="s">
        <v>11284</v>
      </c>
      <c r="E8232" t="s">
        <v>11</v>
      </c>
      <c r="F8232" t="s">
        <v>13</v>
      </c>
      <c r="G8232" t="s">
        <v>9</v>
      </c>
      <c r="H8232" t="s">
        <v>14</v>
      </c>
    </row>
    <row r="8233" spans="1:8" hidden="1" x14ac:dyDescent="0.25">
      <c r="A8233" t="s">
        <v>11301</v>
      </c>
      <c r="B8233" s="1" t="str">
        <f>HYPERLINK("https://asmlis.vasa.lt/Dashboard/Served?ServiceDateFrom=2025-11-24&amp;ServiceDateTo=2025-11-24&amp;DumpsterInvNr=13-P-415314", "13-P-415314")</f>
        <v>13-P-415314</v>
      </c>
      <c r="C8233">
        <v>0.24</v>
      </c>
      <c r="D8233" t="s">
        <v>11303</v>
      </c>
      <c r="E8233" t="s">
        <v>11</v>
      </c>
      <c r="F8233" t="s">
        <v>1209</v>
      </c>
      <c r="G8233" t="s">
        <v>264</v>
      </c>
      <c r="H8233" t="s">
        <v>14</v>
      </c>
    </row>
    <row r="8234" spans="1:8" hidden="1" x14ac:dyDescent="0.25">
      <c r="A8234" t="s">
        <v>11304</v>
      </c>
      <c r="B8234" s="1" t="str">
        <f>HYPERLINK("https://asmlis.vasa.lt/Dashboard/Served?ServiceDateFrom=2025-11-24&amp;ServiceDateTo=2025-11-24&amp;DumpsterInvNr=13-L-317604", "13-L-317604")</f>
        <v>13-L-317604</v>
      </c>
      <c r="C8234">
        <v>1.1000000000000001</v>
      </c>
      <c r="D8234" t="s">
        <v>11284</v>
      </c>
      <c r="E8234" t="s">
        <v>11</v>
      </c>
      <c r="F8234" t="s">
        <v>13</v>
      </c>
      <c r="G8234" t="s">
        <v>9</v>
      </c>
      <c r="H8234" t="s">
        <v>14</v>
      </c>
    </row>
    <row r="8235" spans="1:8" hidden="1" x14ac:dyDescent="0.25">
      <c r="A8235" t="s">
        <v>11305</v>
      </c>
      <c r="B8235" s="1" t="str">
        <f>HYPERLINK("https://asmlis.vasa.lt/Dashboard/Served?ServiceDateFrom=2025-11-24&amp;ServiceDateTo=2025-11-24&amp;DumpsterInvNr=13-L-215669", "13-L-215669")</f>
        <v>13-L-215669</v>
      </c>
      <c r="C8235">
        <v>0.24</v>
      </c>
      <c r="D8235" t="s">
        <v>7613</v>
      </c>
      <c r="E8235" t="s">
        <v>11</v>
      </c>
      <c r="G8235" t="s">
        <v>936</v>
      </c>
      <c r="H8235" t="s">
        <v>938</v>
      </c>
    </row>
    <row r="8236" spans="1:8" hidden="1" x14ac:dyDescent="0.25">
      <c r="A8236" t="s">
        <v>11306</v>
      </c>
      <c r="B8236" s="1" t="str">
        <f>HYPERLINK("https://asmlis.vasa.lt/Dashboard/Served?ServiceDateFrom=2025-11-24&amp;ServiceDateTo=2025-11-24&amp;DumpsterInvNr=13-S-407241", "13-S-407241")</f>
        <v>13-S-407241</v>
      </c>
      <c r="C8236">
        <v>0.12</v>
      </c>
      <c r="D8236" t="s">
        <v>2171</v>
      </c>
      <c r="E8236" t="s">
        <v>11</v>
      </c>
      <c r="F8236" t="s">
        <v>1209</v>
      </c>
      <c r="G8236" t="s">
        <v>264</v>
      </c>
      <c r="H8236" t="s">
        <v>14</v>
      </c>
    </row>
    <row r="8237" spans="1:8" hidden="1" x14ac:dyDescent="0.25">
      <c r="A8237" t="s">
        <v>11307</v>
      </c>
      <c r="B8237" s="1" t="str">
        <f>HYPERLINK("https://asmlis.vasa.lt/Dashboard/Served?ServiceDateFrom=2025-11-24&amp;ServiceDateTo=2025-11-24&amp;DumpsterInvNr=13-P-413744", "13-P-413744")</f>
        <v>13-P-413744</v>
      </c>
      <c r="C8237">
        <v>0.24</v>
      </c>
      <c r="D8237" t="s">
        <v>2171</v>
      </c>
      <c r="E8237" t="s">
        <v>11</v>
      </c>
      <c r="F8237" t="s">
        <v>1209</v>
      </c>
      <c r="G8237" t="s">
        <v>264</v>
      </c>
      <c r="H8237" t="s">
        <v>14</v>
      </c>
    </row>
    <row r="8238" spans="1:8" hidden="1" x14ac:dyDescent="0.25">
      <c r="A8238" t="s">
        <v>11310</v>
      </c>
      <c r="B8238" s="1" t="str">
        <f>HYPERLINK("https://asmlis.vasa.lt/Dashboard/Served?ServiceDateFrom=2025-11-24&amp;ServiceDateTo=2025-11-24&amp;DumpsterInvNr=13-L-314182", "13-L-314182")</f>
        <v>13-L-314182</v>
      </c>
      <c r="C8238">
        <v>5</v>
      </c>
      <c r="D8238" t="s">
        <v>11311</v>
      </c>
      <c r="E8238" t="s">
        <v>11</v>
      </c>
      <c r="F8238" t="s">
        <v>13</v>
      </c>
      <c r="G8238" t="s">
        <v>9</v>
      </c>
      <c r="H8238" t="s">
        <v>14</v>
      </c>
    </row>
    <row r="8239" spans="1:8" hidden="1" x14ac:dyDescent="0.25">
      <c r="A8239" t="s">
        <v>11312</v>
      </c>
      <c r="B8239" s="1" t="str">
        <f>HYPERLINK("https://asmlis.vasa.lt/Dashboard/Served?ServiceDateFrom=2025-11-24&amp;ServiceDateTo=2025-11-24&amp;DumpsterInvNr=13-L-220793", "13-L-220793")</f>
        <v>13-L-220793</v>
      </c>
      <c r="C8239">
        <v>0.12</v>
      </c>
      <c r="D8239" t="s">
        <v>7618</v>
      </c>
      <c r="E8239" t="s">
        <v>11</v>
      </c>
      <c r="G8239" t="s">
        <v>936</v>
      </c>
      <c r="H8239" t="s">
        <v>938</v>
      </c>
    </row>
    <row r="8240" spans="1:8" hidden="1" x14ac:dyDescent="0.25">
      <c r="A8240" t="s">
        <v>11312</v>
      </c>
      <c r="B8240" s="1" t="str">
        <f>HYPERLINK("https://asmlis.vasa.lt/Dashboard/Served?ServiceDateFrom=2025-11-24&amp;ServiceDateTo=2025-11-24&amp;DumpsterInvNr=13-S-403420", "13-S-403420")</f>
        <v>13-S-403420</v>
      </c>
      <c r="C8240">
        <v>0.12</v>
      </c>
      <c r="D8240" t="s">
        <v>11108</v>
      </c>
      <c r="E8240" t="s">
        <v>11</v>
      </c>
      <c r="F8240" t="s">
        <v>1209</v>
      </c>
      <c r="G8240" t="s">
        <v>264</v>
      </c>
      <c r="H8240" t="s">
        <v>14</v>
      </c>
    </row>
    <row r="8241" spans="1:8" hidden="1" x14ac:dyDescent="0.25">
      <c r="A8241" t="s">
        <v>11312</v>
      </c>
      <c r="B8241" s="1" t="str">
        <f>HYPERLINK("https://asmlis.vasa.lt/Dashboard/Served?ServiceDateFrom=2025-11-24&amp;ServiceDateTo=2025-11-24&amp;DumpsterInvNr=13-P-411478", "13-P-411478")</f>
        <v>13-P-411478</v>
      </c>
      <c r="C8241">
        <v>0.24</v>
      </c>
      <c r="D8241" t="s">
        <v>11108</v>
      </c>
      <c r="E8241" t="s">
        <v>11</v>
      </c>
      <c r="F8241" t="s">
        <v>1209</v>
      </c>
      <c r="G8241" t="s">
        <v>264</v>
      </c>
      <c r="H8241" t="s">
        <v>14</v>
      </c>
    </row>
    <row r="8242" spans="1:8" hidden="1" x14ac:dyDescent="0.25">
      <c r="A8242" t="s">
        <v>11313</v>
      </c>
      <c r="B8242" s="1" t="str">
        <f>HYPERLINK("https://asmlis.vasa.lt/Dashboard/Served?ServiceDateFrom=2025-11-24&amp;ServiceDateTo=2025-11-24&amp;DumpsterInvNr=13-P-211317", "13-P-211317")</f>
        <v>13-P-211317</v>
      </c>
      <c r="C8242">
        <v>0.24</v>
      </c>
      <c r="D8242" t="s">
        <v>11314</v>
      </c>
      <c r="E8242" t="s">
        <v>11</v>
      </c>
      <c r="G8242" t="s">
        <v>234</v>
      </c>
      <c r="H8242" t="s">
        <v>14</v>
      </c>
    </row>
    <row r="8243" spans="1:8" hidden="1" x14ac:dyDescent="0.25">
      <c r="A8243" t="s">
        <v>11315</v>
      </c>
      <c r="B8243" s="1" t="str">
        <f>HYPERLINK("https://asmlis.vasa.lt/Dashboard/Served?ServiceDateFrom=2025-11-24&amp;ServiceDateTo=2025-11-24&amp;DumpsterInvNr=13-M-202150", "13-M-202150")</f>
        <v>13-M-202150</v>
      </c>
      <c r="C8243">
        <v>0.12</v>
      </c>
      <c r="D8243" t="s">
        <v>11316</v>
      </c>
      <c r="E8243" t="s">
        <v>11</v>
      </c>
      <c r="G8243" t="s">
        <v>4876</v>
      </c>
      <c r="H8243" t="s">
        <v>938</v>
      </c>
    </row>
    <row r="8244" spans="1:8" hidden="1" x14ac:dyDescent="0.25">
      <c r="A8244" t="s">
        <v>11317</v>
      </c>
      <c r="B8244" s="1" t="str">
        <f>HYPERLINK("https://asmlis.vasa.lt/Dashboard/Served?ServiceDateFrom=2025-11-24&amp;ServiceDateTo=2025-11-24&amp;DumpsterInvNr=13-L-147634", "13-L-147634")</f>
        <v>13-L-147634</v>
      </c>
      <c r="C8244">
        <v>1.1000000000000001</v>
      </c>
      <c r="D8244" t="s">
        <v>3943</v>
      </c>
      <c r="E8244" t="s">
        <v>11</v>
      </c>
      <c r="G8244" t="s">
        <v>430</v>
      </c>
      <c r="H8244" t="s">
        <v>432</v>
      </c>
    </row>
    <row r="8245" spans="1:8" hidden="1" x14ac:dyDescent="0.25">
      <c r="A8245" t="s">
        <v>11317</v>
      </c>
      <c r="B8245" s="1" t="str">
        <f>HYPERLINK("https://asmlis.vasa.lt/Dashboard/Served?ServiceDateFrom=2025-11-24&amp;ServiceDateTo=2025-11-24&amp;DumpsterInvNr=13-L-148723", "13-L-148723")</f>
        <v>13-L-148723</v>
      </c>
      <c r="C8245">
        <v>1.1000000000000001</v>
      </c>
      <c r="D8245" t="s">
        <v>3943</v>
      </c>
      <c r="E8245" t="s">
        <v>11</v>
      </c>
      <c r="G8245" t="s">
        <v>430</v>
      </c>
      <c r="H8245" t="s">
        <v>432</v>
      </c>
    </row>
    <row r="8246" spans="1:8" hidden="1" x14ac:dyDescent="0.25">
      <c r="A8246" t="s">
        <v>11317</v>
      </c>
      <c r="B8246" s="1" t="str">
        <f>HYPERLINK("https://asmlis.vasa.lt/Dashboard/Served?ServiceDateFrom=2025-11-24&amp;ServiceDateTo=2025-11-24&amp;DumpsterInvNr=13-L-102623", "13-L-102623")</f>
        <v>13-L-102623</v>
      </c>
      <c r="C8246">
        <v>0.12</v>
      </c>
      <c r="D8246" t="s">
        <v>11318</v>
      </c>
      <c r="E8246" t="s">
        <v>11</v>
      </c>
      <c r="G8246" t="s">
        <v>1912</v>
      </c>
      <c r="H8246" t="s">
        <v>432</v>
      </c>
    </row>
    <row r="8247" spans="1:8" hidden="1" x14ac:dyDescent="0.25">
      <c r="A8247" t="s">
        <v>11320</v>
      </c>
      <c r="B8247" s="1" t="str">
        <f>HYPERLINK("https://asmlis.vasa.lt/Dashboard/Served?ServiceDateFrom=2025-11-24&amp;ServiceDateTo=2025-11-24&amp;DumpsterInvNr=13-L-317199", "13-L-317199")</f>
        <v>13-L-317199</v>
      </c>
      <c r="C8247">
        <v>1.1000000000000001</v>
      </c>
      <c r="D8247" t="s">
        <v>11293</v>
      </c>
      <c r="E8247" t="s">
        <v>11</v>
      </c>
      <c r="G8247" t="s">
        <v>9</v>
      </c>
      <c r="H8247" t="s">
        <v>14</v>
      </c>
    </row>
    <row r="8248" spans="1:8" hidden="1" x14ac:dyDescent="0.25">
      <c r="A8248" t="s">
        <v>11320</v>
      </c>
      <c r="B8248" s="1" t="str">
        <f>HYPERLINK("https://asmlis.vasa.lt/Dashboard/Served?ServiceDateFrom=2025-11-24&amp;ServiceDateTo=2025-11-24&amp;DumpsterInvNr=13-P-109923", "13-P-109923")</f>
        <v>13-P-109923</v>
      </c>
      <c r="C8248">
        <v>0.12</v>
      </c>
      <c r="D8248" t="s">
        <v>11318</v>
      </c>
      <c r="E8248" t="s">
        <v>11</v>
      </c>
      <c r="G8248" t="s">
        <v>1917</v>
      </c>
      <c r="H8248" t="s">
        <v>432</v>
      </c>
    </row>
    <row r="8249" spans="1:8" hidden="1" x14ac:dyDescent="0.25">
      <c r="A8249" t="s">
        <v>11059</v>
      </c>
      <c r="B8249" s="1" t="str">
        <f>HYPERLINK("https://asmlis.vasa.lt/Dashboard/Served?ServiceDateFrom=2025-11-24&amp;ServiceDateTo=2025-11-24&amp;DumpsterInvNr=13-P-400627", "13-P-400627")</f>
        <v>13-P-400627</v>
      </c>
      <c r="C8249">
        <v>5</v>
      </c>
      <c r="D8249" t="s">
        <v>8750</v>
      </c>
      <c r="E8249" t="s">
        <v>11</v>
      </c>
      <c r="F8249" t="s">
        <v>13</v>
      </c>
      <c r="G8249" t="s">
        <v>264</v>
      </c>
      <c r="H8249" t="s">
        <v>14</v>
      </c>
    </row>
    <row r="8250" spans="1:8" hidden="1" x14ac:dyDescent="0.25">
      <c r="A8250" t="s">
        <v>11321</v>
      </c>
      <c r="B8250" s="1" t="str">
        <f>HYPERLINK("https://asmlis.vasa.lt/Dashboard/Served?ServiceDateFrom=2025-11-24&amp;ServiceDateTo=2025-11-24&amp;DumpsterInvNr=13-L-416876", "13-L-416876")</f>
        <v>13-L-416876</v>
      </c>
      <c r="C8250">
        <v>0.24</v>
      </c>
      <c r="D8250" t="s">
        <v>11322</v>
      </c>
      <c r="E8250" t="s">
        <v>11</v>
      </c>
      <c r="G8250" t="s">
        <v>74</v>
      </c>
      <c r="H8250" t="s">
        <v>14</v>
      </c>
    </row>
    <row r="8251" spans="1:8" hidden="1" x14ac:dyDescent="0.25">
      <c r="A8251" t="s">
        <v>11323</v>
      </c>
      <c r="B8251" s="1" t="str">
        <f>HYPERLINK("https://asmlis.vasa.lt/Dashboard/Served?ServiceDateFrom=2025-11-24&amp;ServiceDateTo=2025-11-24&amp;DumpsterInvNr=13-M-207965", "13-M-207965")</f>
        <v>13-M-207965</v>
      </c>
      <c r="C8251">
        <v>0.12</v>
      </c>
      <c r="D8251" t="s">
        <v>11324</v>
      </c>
      <c r="E8251" t="s">
        <v>11</v>
      </c>
      <c r="F8251" t="s">
        <v>1209</v>
      </c>
      <c r="G8251" t="s">
        <v>4876</v>
      </c>
      <c r="H8251" t="s">
        <v>938</v>
      </c>
    </row>
    <row r="8252" spans="1:8" hidden="1" x14ac:dyDescent="0.25">
      <c r="A8252" t="s">
        <v>11326</v>
      </c>
      <c r="B8252" s="1" t="str">
        <f>HYPERLINK("https://asmlis.vasa.lt/Dashboard/Served?ServiceDateFrom=2025-11-24&amp;ServiceDateTo=2025-11-24&amp;DumpsterInvNr=13-L-415304", "13-L-415304")</f>
        <v>13-L-415304</v>
      </c>
      <c r="C8252">
        <v>5</v>
      </c>
      <c r="D8252" t="s">
        <v>11327</v>
      </c>
      <c r="E8252" t="s">
        <v>11</v>
      </c>
      <c r="F8252" t="s">
        <v>13</v>
      </c>
      <c r="G8252" t="s">
        <v>74</v>
      </c>
      <c r="H8252" t="s">
        <v>14</v>
      </c>
    </row>
    <row r="8253" spans="1:8" hidden="1" x14ac:dyDescent="0.25">
      <c r="A8253" t="s">
        <v>11328</v>
      </c>
      <c r="B8253" s="1" t="str">
        <f>HYPERLINK("https://asmlis.vasa.lt/Dashboard/Served?ServiceDateFrom=2025-11-24&amp;ServiceDateTo=2025-11-24&amp;DumpsterInvNr=13-L-221567", "13-L-221567")</f>
        <v>13-L-221567</v>
      </c>
      <c r="C8253">
        <v>1.1000000000000001</v>
      </c>
      <c r="D8253" t="s">
        <v>11329</v>
      </c>
      <c r="E8253" t="s">
        <v>11</v>
      </c>
      <c r="G8253" t="s">
        <v>936</v>
      </c>
      <c r="H8253" t="s">
        <v>938</v>
      </c>
    </row>
    <row r="8254" spans="1:8" hidden="1" x14ac:dyDescent="0.25">
      <c r="A8254" t="s">
        <v>11328</v>
      </c>
      <c r="B8254" s="1" t="str">
        <f>HYPERLINK("https://asmlis.vasa.lt/Dashboard/Served?ServiceDateFrom=2025-11-24&amp;ServiceDateTo=2025-11-24&amp;DumpsterInvNr=13-L-209560", "13-L-209560")</f>
        <v>13-L-209560</v>
      </c>
      <c r="C8254">
        <v>0.12</v>
      </c>
      <c r="D8254" t="s">
        <v>11330</v>
      </c>
      <c r="E8254" t="s">
        <v>11</v>
      </c>
      <c r="F8254" t="s">
        <v>1209</v>
      </c>
      <c r="G8254" t="s">
        <v>936</v>
      </c>
      <c r="H8254" t="s">
        <v>938</v>
      </c>
    </row>
    <row r="8255" spans="1:8" hidden="1" x14ac:dyDescent="0.25">
      <c r="A8255" t="s">
        <v>11332</v>
      </c>
      <c r="B8255" s="1" t="str">
        <f>HYPERLINK("https://asmlis.vasa.lt/Dashboard/Served?ServiceDateFrom=2025-11-24&amp;ServiceDateTo=2025-11-24&amp;DumpsterInvNr=13-P-500426", "13-P-500426")</f>
        <v>13-P-500426</v>
      </c>
      <c r="C8255">
        <v>5</v>
      </c>
      <c r="D8255" t="s">
        <v>4808</v>
      </c>
      <c r="E8255" t="s">
        <v>11</v>
      </c>
      <c r="F8255" t="s">
        <v>13</v>
      </c>
      <c r="G8255" t="s">
        <v>2178</v>
      </c>
      <c r="H8255" t="s">
        <v>432</v>
      </c>
    </row>
    <row r="8256" spans="1:8" hidden="1" x14ac:dyDescent="0.25">
      <c r="A8256" t="s">
        <v>11334</v>
      </c>
      <c r="B8256" s="1" t="str">
        <f>HYPERLINK("https://asmlis.vasa.lt/Dashboard/Served?ServiceDateFrom=2025-11-24&amp;ServiceDateTo=2025-11-24&amp;DumpsterInvNr=13-P-206920", "13-P-206920")</f>
        <v>13-P-206920</v>
      </c>
      <c r="C8256">
        <v>0.24</v>
      </c>
      <c r="D8256" t="s">
        <v>11335</v>
      </c>
      <c r="E8256" t="s">
        <v>11</v>
      </c>
      <c r="G8256" t="s">
        <v>234</v>
      </c>
      <c r="H8256" t="s">
        <v>14</v>
      </c>
    </row>
    <row r="8257" spans="1:8" hidden="1" x14ac:dyDescent="0.25">
      <c r="A8257" t="s">
        <v>11336</v>
      </c>
      <c r="B8257" s="1" t="str">
        <f>HYPERLINK("https://asmlis.vasa.lt/Dashboard/Served?ServiceDateFrom=2025-11-24&amp;ServiceDateTo=2025-11-24&amp;DumpsterInvNr=13-S-103165", "13-S-103165")</f>
        <v>13-S-103165</v>
      </c>
      <c r="C8257">
        <v>0.12</v>
      </c>
      <c r="D8257" t="s">
        <v>11318</v>
      </c>
      <c r="E8257" t="s">
        <v>11</v>
      </c>
      <c r="G8257" t="s">
        <v>1917</v>
      </c>
      <c r="H8257" t="s">
        <v>432</v>
      </c>
    </row>
    <row r="8258" spans="1:8" hidden="1" x14ac:dyDescent="0.25">
      <c r="A8258" t="s">
        <v>11339</v>
      </c>
      <c r="B8258" s="1" t="str">
        <f>HYPERLINK("https://asmlis.vasa.lt/Dashboard/Served?ServiceDateFrom=2025-11-24&amp;ServiceDateTo=2025-11-24&amp;DumpsterInvNr=13-P-415213", "13-P-415213")</f>
        <v>13-P-415213</v>
      </c>
      <c r="C8258">
        <v>0.24</v>
      </c>
      <c r="D8258" t="s">
        <v>11340</v>
      </c>
      <c r="E8258" t="s">
        <v>11</v>
      </c>
      <c r="G8258" t="s">
        <v>264</v>
      </c>
      <c r="H8258" t="s">
        <v>14</v>
      </c>
    </row>
    <row r="8259" spans="1:8" hidden="1" x14ac:dyDescent="0.25">
      <c r="A8259" t="s">
        <v>11341</v>
      </c>
      <c r="B8259" s="1" t="str">
        <f>HYPERLINK("https://asmlis.vasa.lt/Dashboard/Served?ServiceDateFrom=2025-11-24&amp;ServiceDateTo=2025-11-24&amp;DumpsterInvNr=13-P-304055", "13-P-304055")</f>
        <v>13-P-304055</v>
      </c>
      <c r="C8259">
        <v>5</v>
      </c>
      <c r="D8259" t="s">
        <v>2076</v>
      </c>
      <c r="E8259" t="s">
        <v>11</v>
      </c>
      <c r="G8259" t="s">
        <v>412</v>
      </c>
      <c r="H8259" t="s">
        <v>14</v>
      </c>
    </row>
    <row r="8260" spans="1:8" hidden="1" x14ac:dyDescent="0.25">
      <c r="A8260" t="s">
        <v>11342</v>
      </c>
      <c r="B8260" s="1" t="str">
        <f>HYPERLINK("https://asmlis.vasa.lt/Dashboard/Served?ServiceDateFrom=2025-11-24&amp;ServiceDateTo=2025-11-24&amp;DumpsterInvNr=13-L-134777", "13-L-134777")</f>
        <v>13-L-134777</v>
      </c>
      <c r="C8260">
        <v>5</v>
      </c>
      <c r="D8260" t="s">
        <v>11343</v>
      </c>
      <c r="E8260" t="s">
        <v>11</v>
      </c>
      <c r="F8260" t="s">
        <v>13</v>
      </c>
      <c r="G8260" t="s">
        <v>430</v>
      </c>
      <c r="H8260" t="s">
        <v>432</v>
      </c>
    </row>
    <row r="8261" spans="1:8" hidden="1" x14ac:dyDescent="0.25">
      <c r="A8261" t="s">
        <v>11344</v>
      </c>
      <c r="B8261" s="1" t="str">
        <f>HYPERLINK("https://asmlis.vasa.lt/Dashboard/Served?ServiceDateFrom=2025-11-24&amp;ServiceDateTo=2025-11-24&amp;DumpsterInvNr=13-M-206074", "13-M-206074")</f>
        <v>13-M-206074</v>
      </c>
      <c r="C8261">
        <v>0.12</v>
      </c>
      <c r="D8261" t="s">
        <v>11345</v>
      </c>
      <c r="E8261" t="s">
        <v>11</v>
      </c>
      <c r="G8261" t="s">
        <v>4876</v>
      </c>
      <c r="H8261" t="s">
        <v>938</v>
      </c>
    </row>
    <row r="8262" spans="1:8" hidden="1" x14ac:dyDescent="0.25">
      <c r="A8262" t="s">
        <v>11346</v>
      </c>
      <c r="B8262" s="1" t="str">
        <f>HYPERLINK("https://asmlis.vasa.lt/Dashboard/Served?ServiceDateFrom=2025-11-24&amp;ServiceDateTo=2025-11-24&amp;DumpsterInvNr=13-L-208913", "13-L-208913")</f>
        <v>13-L-208913</v>
      </c>
      <c r="C8262">
        <v>5</v>
      </c>
      <c r="D8262" t="s">
        <v>2819</v>
      </c>
      <c r="E8262" t="s">
        <v>11</v>
      </c>
      <c r="G8262" t="s">
        <v>936</v>
      </c>
      <c r="H8262" t="s">
        <v>938</v>
      </c>
    </row>
    <row r="8263" spans="1:8" hidden="1" x14ac:dyDescent="0.25">
      <c r="A8263" t="s">
        <v>11346</v>
      </c>
      <c r="B8263" s="1" t="str">
        <f>HYPERLINK("https://asmlis.vasa.lt/Dashboard/Served?ServiceDateFrom=2025-11-24&amp;ServiceDateTo=2025-11-24&amp;DumpsterInvNr=13-L-114504", "13-L-114504")</f>
        <v>13-L-114504</v>
      </c>
      <c r="C8263">
        <v>0.24</v>
      </c>
      <c r="D8263" t="s">
        <v>11318</v>
      </c>
      <c r="E8263" t="s">
        <v>11</v>
      </c>
      <c r="G8263" t="s">
        <v>1912</v>
      </c>
      <c r="H8263" t="s">
        <v>432</v>
      </c>
    </row>
    <row r="8264" spans="1:8" hidden="1" x14ac:dyDescent="0.25">
      <c r="A8264" t="s">
        <v>11347</v>
      </c>
      <c r="B8264" s="1" t="str">
        <f>HYPERLINK("https://asmlis.vasa.lt/Dashboard/Served?ServiceDateFrom=2025-11-24&amp;ServiceDateTo=2025-11-24&amp;DumpsterInvNr=13-L-416878", "13-L-416878")</f>
        <v>13-L-416878</v>
      </c>
      <c r="C8264">
        <v>0.24</v>
      </c>
      <c r="D8264" t="s">
        <v>11349</v>
      </c>
      <c r="E8264" t="s">
        <v>11</v>
      </c>
      <c r="G8264" t="s">
        <v>74</v>
      </c>
      <c r="H8264" t="s">
        <v>14</v>
      </c>
    </row>
    <row r="8265" spans="1:8" hidden="1" x14ac:dyDescent="0.25">
      <c r="A8265" t="s">
        <v>11347</v>
      </c>
      <c r="B8265" s="1" t="str">
        <f>HYPERLINK("https://asmlis.vasa.lt/Dashboard/Served?ServiceDateFrom=2025-11-24&amp;ServiceDateTo=2025-11-24&amp;DumpsterInvNr=13-P-103126", "13-P-103126")</f>
        <v>13-P-103126</v>
      </c>
      <c r="C8265">
        <v>0.24</v>
      </c>
      <c r="D8265" t="s">
        <v>11318</v>
      </c>
      <c r="E8265" t="s">
        <v>11</v>
      </c>
      <c r="G8265" t="s">
        <v>1917</v>
      </c>
      <c r="H8265" t="s">
        <v>432</v>
      </c>
    </row>
    <row r="8266" spans="1:8" hidden="1" x14ac:dyDescent="0.25">
      <c r="A8266" t="s">
        <v>11351</v>
      </c>
      <c r="B8266" s="1" t="str">
        <f>HYPERLINK("https://asmlis.vasa.lt/Dashboard/Served?ServiceDateFrom=2025-11-24&amp;ServiceDateTo=2025-11-24&amp;DumpsterInvNr=13-L-308932", "13-L-308932")</f>
        <v>13-L-308932</v>
      </c>
      <c r="C8266">
        <v>0.66</v>
      </c>
      <c r="D8266" t="s">
        <v>11352</v>
      </c>
      <c r="E8266" t="s">
        <v>11</v>
      </c>
      <c r="G8266" t="s">
        <v>9</v>
      </c>
      <c r="H8266" t="s">
        <v>14</v>
      </c>
    </row>
    <row r="8267" spans="1:8" hidden="1" x14ac:dyDescent="0.25">
      <c r="A8267" t="s">
        <v>11351</v>
      </c>
      <c r="B8267" s="1" t="str">
        <f>HYPERLINK("https://asmlis.vasa.lt/Dashboard/Served?ServiceDateFrom=2025-11-24&amp;ServiceDateTo=2025-11-24&amp;DumpsterInvNr=13-L-120449", "13-L-120449")</f>
        <v>13-L-120449</v>
      </c>
      <c r="C8267">
        <v>1.1000000000000001</v>
      </c>
      <c r="D8267" t="s">
        <v>11353</v>
      </c>
      <c r="E8267" t="s">
        <v>11</v>
      </c>
      <c r="G8267" t="s">
        <v>1912</v>
      </c>
      <c r="H8267" t="s">
        <v>432</v>
      </c>
    </row>
    <row r="8268" spans="1:8" hidden="1" x14ac:dyDescent="0.25">
      <c r="A8268" t="s">
        <v>11354</v>
      </c>
      <c r="B8268" s="1" t="str">
        <f>HYPERLINK("https://asmlis.vasa.lt/Dashboard/Served?ServiceDateFrom=2025-11-24&amp;ServiceDateTo=2025-11-24&amp;DumpsterInvNr=13-P-415320", "13-P-415320")</f>
        <v>13-P-415320</v>
      </c>
      <c r="C8268">
        <v>0.24</v>
      </c>
      <c r="D8268" t="s">
        <v>11355</v>
      </c>
      <c r="E8268" t="s">
        <v>11</v>
      </c>
      <c r="G8268" t="s">
        <v>264</v>
      </c>
      <c r="H8268" t="s">
        <v>14</v>
      </c>
    </row>
    <row r="8269" spans="1:8" hidden="1" x14ac:dyDescent="0.25">
      <c r="A8269" t="s">
        <v>11354</v>
      </c>
      <c r="B8269" s="1" t="str">
        <f>HYPERLINK("https://asmlis.vasa.lt/Dashboard/Served?ServiceDateFrom=2025-11-24&amp;ServiceDateTo=2025-11-24&amp;DumpsterInvNr=13-P-413654", "13-P-413654")</f>
        <v>13-P-413654</v>
      </c>
      <c r="C8269">
        <v>0.24</v>
      </c>
      <c r="D8269" t="s">
        <v>11356</v>
      </c>
      <c r="E8269" t="s">
        <v>11</v>
      </c>
      <c r="G8269" t="s">
        <v>264</v>
      </c>
      <c r="H8269" t="s">
        <v>14</v>
      </c>
    </row>
    <row r="8270" spans="1:8" hidden="1" x14ac:dyDescent="0.25">
      <c r="A8270" t="s">
        <v>11357</v>
      </c>
      <c r="B8270" s="1" t="str">
        <f>HYPERLINK("https://asmlis.vasa.lt/Dashboard/Served?ServiceDateFrom=2025-11-24&amp;ServiceDateTo=2025-11-24&amp;DumpsterInvNr=13-L-212999", "13-L-212999")</f>
        <v>13-L-212999</v>
      </c>
      <c r="C8270">
        <v>0.77</v>
      </c>
      <c r="D8270" t="s">
        <v>11329</v>
      </c>
      <c r="E8270" t="s">
        <v>11</v>
      </c>
      <c r="G8270" t="s">
        <v>936</v>
      </c>
      <c r="H8270" t="s">
        <v>938</v>
      </c>
    </row>
    <row r="8271" spans="1:8" hidden="1" x14ac:dyDescent="0.25">
      <c r="A8271" t="s">
        <v>11357</v>
      </c>
      <c r="B8271" s="1" t="str">
        <f>HYPERLINK("https://asmlis.vasa.lt/Dashboard/Served?ServiceDateFrom=2025-11-24&amp;ServiceDateTo=2025-11-24&amp;DumpsterInvNr=13-L-416881", "13-L-416881")</f>
        <v>13-L-416881</v>
      </c>
      <c r="C8271">
        <v>1.1000000000000001</v>
      </c>
      <c r="D8271" t="s">
        <v>11358</v>
      </c>
      <c r="E8271" t="s">
        <v>11</v>
      </c>
      <c r="G8271" t="s">
        <v>74</v>
      </c>
      <c r="H8271" t="s">
        <v>14</v>
      </c>
    </row>
    <row r="8272" spans="1:8" hidden="1" x14ac:dyDescent="0.25">
      <c r="A8272" t="s">
        <v>11359</v>
      </c>
      <c r="B8272" s="1" t="str">
        <f>HYPERLINK("https://asmlis.vasa.lt/Dashboard/Served?ServiceDateFrom=2025-11-24&amp;ServiceDateTo=2025-11-24&amp;DumpsterInvNr=13-P-415274", "13-P-415274")</f>
        <v>13-P-415274</v>
      </c>
      <c r="C8272">
        <v>0.12</v>
      </c>
      <c r="D8272" t="s">
        <v>2110</v>
      </c>
      <c r="E8272" t="s">
        <v>11</v>
      </c>
      <c r="G8272" t="s">
        <v>264</v>
      </c>
      <c r="H8272" t="s">
        <v>14</v>
      </c>
    </row>
    <row r="8273" spans="1:8" hidden="1" x14ac:dyDescent="0.25">
      <c r="A8273" t="s">
        <v>11360</v>
      </c>
      <c r="B8273" s="1" t="str">
        <f>HYPERLINK("https://asmlis.vasa.lt/Dashboard/Served?ServiceDateFrom=2025-11-24&amp;ServiceDateTo=2025-11-24&amp;DumpsterInvNr=13-L-148722", "13-L-148722")</f>
        <v>13-L-148722</v>
      </c>
      <c r="C8273">
        <v>1.1000000000000001</v>
      </c>
      <c r="D8273" t="s">
        <v>3943</v>
      </c>
      <c r="E8273" t="s">
        <v>11</v>
      </c>
      <c r="G8273" t="s">
        <v>430</v>
      </c>
      <c r="H8273" t="s">
        <v>432</v>
      </c>
    </row>
    <row r="8274" spans="1:8" hidden="1" x14ac:dyDescent="0.25">
      <c r="A8274" t="s">
        <v>11361</v>
      </c>
      <c r="B8274" s="1" t="str">
        <f>HYPERLINK("https://asmlis.vasa.lt/Dashboard/Served?ServiceDateFrom=2025-11-24&amp;ServiceDateTo=2025-11-24&amp;DumpsterInvNr=13-P-103404", "13-P-103404")</f>
        <v>13-P-103404</v>
      </c>
      <c r="C8274">
        <v>0.24</v>
      </c>
      <c r="D8274" t="s">
        <v>11318</v>
      </c>
      <c r="E8274" t="s">
        <v>11</v>
      </c>
      <c r="G8274" t="s">
        <v>1917</v>
      </c>
      <c r="H8274" t="s">
        <v>432</v>
      </c>
    </row>
    <row r="8275" spans="1:8" hidden="1" x14ac:dyDescent="0.25">
      <c r="A8275" t="s">
        <v>11362</v>
      </c>
      <c r="B8275" s="1" t="str">
        <f>HYPERLINK("https://asmlis.vasa.lt/Dashboard/Served?ServiceDateFrom=2025-11-24&amp;ServiceDateTo=2025-11-24&amp;DumpsterInvNr=13-L-128094", "13-L-128094")</f>
        <v>13-L-128094</v>
      </c>
      <c r="C8275">
        <v>0.12</v>
      </c>
      <c r="D8275" t="s">
        <v>11318</v>
      </c>
      <c r="E8275" t="s">
        <v>11</v>
      </c>
      <c r="G8275" t="s">
        <v>1912</v>
      </c>
      <c r="H8275" t="s">
        <v>432</v>
      </c>
    </row>
    <row r="8276" spans="1:8" hidden="1" x14ac:dyDescent="0.25">
      <c r="A8276" t="s">
        <v>11363</v>
      </c>
      <c r="B8276" s="1" t="str">
        <f>HYPERLINK("https://asmlis.vasa.lt/Dashboard/Served?ServiceDateFrom=2025-11-24&amp;ServiceDateTo=2025-11-24&amp;DumpsterInvNr=13-L-212998", "13-L-212998")</f>
        <v>13-L-212998</v>
      </c>
      <c r="C8276">
        <v>0.77</v>
      </c>
      <c r="D8276" t="s">
        <v>11329</v>
      </c>
      <c r="E8276" t="s">
        <v>11</v>
      </c>
      <c r="G8276" t="s">
        <v>936</v>
      </c>
      <c r="H8276" t="s">
        <v>938</v>
      </c>
    </row>
    <row r="8277" spans="1:8" hidden="1" x14ac:dyDescent="0.25">
      <c r="A8277" t="s">
        <v>11363</v>
      </c>
      <c r="B8277" s="1" t="str">
        <f>HYPERLINK("https://asmlis.vasa.lt/Dashboard/Served?ServiceDateFrom=2025-11-24&amp;ServiceDateTo=2025-11-24&amp;DumpsterInvNr=13-L-215591", "13-L-215591")</f>
        <v>13-L-215591</v>
      </c>
      <c r="C8277">
        <v>0.24</v>
      </c>
      <c r="D8277" t="s">
        <v>8650</v>
      </c>
      <c r="E8277" t="s">
        <v>11</v>
      </c>
      <c r="G8277" t="s">
        <v>936</v>
      </c>
      <c r="H8277" t="s">
        <v>938</v>
      </c>
    </row>
    <row r="8278" spans="1:8" hidden="1" x14ac:dyDescent="0.25">
      <c r="A8278" t="s">
        <v>11363</v>
      </c>
      <c r="B8278" s="1" t="str">
        <f>HYPERLINK("https://asmlis.vasa.lt/Dashboard/Served?ServiceDateFrom=2025-11-24&amp;ServiceDateTo=2025-11-24&amp;DumpsterInvNr=13-S-102428", "13-S-102428")</f>
        <v>13-S-102428</v>
      </c>
      <c r="C8278">
        <v>0.12</v>
      </c>
      <c r="D8278" t="s">
        <v>11263</v>
      </c>
      <c r="E8278" t="s">
        <v>11</v>
      </c>
      <c r="F8278" t="s">
        <v>1209</v>
      </c>
      <c r="G8278" t="s">
        <v>1917</v>
      </c>
      <c r="H8278" t="s">
        <v>432</v>
      </c>
    </row>
    <row r="8279" spans="1:8" hidden="1" x14ac:dyDescent="0.25">
      <c r="A8279" t="s">
        <v>11363</v>
      </c>
      <c r="B8279" s="1" t="str">
        <f>HYPERLINK("https://asmlis.vasa.lt/Dashboard/Served?ServiceDateFrom=2025-11-24&amp;ServiceDateTo=2025-11-24&amp;DumpsterInvNr=13-L-224954", "13-L-224954")</f>
        <v>13-L-224954</v>
      </c>
      <c r="C8279">
        <v>0.24</v>
      </c>
      <c r="D8279" t="s">
        <v>8657</v>
      </c>
      <c r="E8279" t="s">
        <v>11</v>
      </c>
      <c r="G8279" t="s">
        <v>936</v>
      </c>
      <c r="H8279" t="s">
        <v>938</v>
      </c>
    </row>
    <row r="8280" spans="1:8" hidden="1" x14ac:dyDescent="0.25">
      <c r="A8280" t="s">
        <v>11363</v>
      </c>
      <c r="B8280" s="1" t="str">
        <f>HYPERLINK("https://asmlis.vasa.lt/Dashboard/Served?ServiceDateFrom=2025-11-24&amp;ServiceDateTo=2025-11-24&amp;DumpsterInvNr=13-M-202141", "13-M-202141")</f>
        <v>13-M-202141</v>
      </c>
      <c r="C8280">
        <v>0.12</v>
      </c>
      <c r="D8280" t="s">
        <v>11364</v>
      </c>
      <c r="E8280" t="s">
        <v>11</v>
      </c>
      <c r="G8280" t="s">
        <v>4876</v>
      </c>
      <c r="H8280" t="s">
        <v>938</v>
      </c>
    </row>
    <row r="8281" spans="1:8" hidden="1" x14ac:dyDescent="0.25">
      <c r="A8281" t="s">
        <v>11365</v>
      </c>
      <c r="B8281" s="1" t="str">
        <f>HYPERLINK("https://asmlis.vasa.lt/Dashboard/Served?ServiceDateFrom=2025-11-24&amp;ServiceDateTo=2025-11-24&amp;DumpsterInvNr=13-P-116460", "13-P-116460")</f>
        <v>13-P-116460</v>
      </c>
      <c r="C8281">
        <v>1.1000000000000001</v>
      </c>
      <c r="D8281" t="s">
        <v>11366</v>
      </c>
      <c r="E8281" t="s">
        <v>11</v>
      </c>
      <c r="G8281" t="s">
        <v>1917</v>
      </c>
      <c r="H8281" t="s">
        <v>432</v>
      </c>
    </row>
    <row r="8282" spans="1:8" hidden="1" x14ac:dyDescent="0.25">
      <c r="A8282" t="s">
        <v>11367</v>
      </c>
      <c r="B8282" s="1" t="str">
        <f>HYPERLINK("https://asmlis.vasa.lt/Dashboard/Served?ServiceDateFrom=2025-11-24&amp;ServiceDateTo=2025-11-24&amp;DumpsterInvNr=13-L-422503", "13-L-422503")</f>
        <v>13-L-422503</v>
      </c>
      <c r="C8282">
        <v>0.12</v>
      </c>
      <c r="D8282" t="s">
        <v>11368</v>
      </c>
      <c r="E8282" t="s">
        <v>11</v>
      </c>
      <c r="G8282" t="s">
        <v>74</v>
      </c>
      <c r="H8282" t="s">
        <v>14</v>
      </c>
    </row>
    <row r="8283" spans="1:8" hidden="1" x14ac:dyDescent="0.25">
      <c r="A8283" t="s">
        <v>11367</v>
      </c>
      <c r="B8283" s="1" t="str">
        <f>HYPERLINK("https://asmlis.vasa.lt/Dashboard/Served?ServiceDateFrom=2025-11-24&amp;ServiceDateTo=2025-11-24&amp;DumpsterInvNr=13-P-101177", "13-P-101177")</f>
        <v>13-P-101177</v>
      </c>
      <c r="C8283">
        <v>0.24</v>
      </c>
      <c r="D8283" t="s">
        <v>11318</v>
      </c>
      <c r="E8283" t="s">
        <v>11</v>
      </c>
      <c r="F8283" t="s">
        <v>1209</v>
      </c>
      <c r="G8283" t="s">
        <v>1917</v>
      </c>
      <c r="H8283" t="s">
        <v>432</v>
      </c>
    </row>
    <row r="8284" spans="1:8" hidden="1" x14ac:dyDescent="0.25">
      <c r="A8284" t="s">
        <v>11370</v>
      </c>
      <c r="B8284" s="1" t="str">
        <f>HYPERLINK("https://asmlis.vasa.lt/Dashboard/Served?ServiceDateFrom=2025-11-24&amp;ServiceDateTo=2025-11-24&amp;DumpsterInvNr=13-P-304056", "13-P-304056")</f>
        <v>13-P-304056</v>
      </c>
      <c r="C8284">
        <v>5</v>
      </c>
      <c r="D8284" t="s">
        <v>2076</v>
      </c>
      <c r="E8284" t="s">
        <v>11</v>
      </c>
      <c r="G8284" t="s">
        <v>412</v>
      </c>
      <c r="H8284" t="s">
        <v>14</v>
      </c>
    </row>
    <row r="8285" spans="1:8" hidden="1" x14ac:dyDescent="0.25">
      <c r="A8285" t="s">
        <v>11370</v>
      </c>
      <c r="B8285" s="1" t="str">
        <f>HYPERLINK("https://asmlis.vasa.lt/Dashboard/Served?ServiceDateFrom=2025-11-24&amp;ServiceDateTo=2025-11-24&amp;DumpsterInvNr=13-P-212094", "13-P-212094")</f>
        <v>13-P-212094</v>
      </c>
      <c r="C8285">
        <v>0.24</v>
      </c>
      <c r="D8285" t="s">
        <v>11371</v>
      </c>
      <c r="E8285" t="s">
        <v>11</v>
      </c>
      <c r="G8285" t="s">
        <v>234</v>
      </c>
      <c r="H8285" t="s">
        <v>14</v>
      </c>
    </row>
    <row r="8286" spans="1:8" hidden="1" x14ac:dyDescent="0.25">
      <c r="A8286" t="s">
        <v>11372</v>
      </c>
      <c r="B8286" s="1" t="str">
        <f>HYPERLINK("https://asmlis.vasa.lt/Dashboard/Served?ServiceDateFrom=2025-11-24&amp;ServiceDateTo=2025-11-24&amp;DumpsterInvNr=13-P-302463", "13-P-302463")</f>
        <v>13-P-302463</v>
      </c>
      <c r="C8286">
        <v>5</v>
      </c>
      <c r="D8286" t="s">
        <v>11373</v>
      </c>
      <c r="E8286" t="s">
        <v>11</v>
      </c>
      <c r="G8286" t="s">
        <v>412</v>
      </c>
      <c r="H8286" t="s">
        <v>14</v>
      </c>
    </row>
    <row r="8287" spans="1:8" hidden="1" x14ac:dyDescent="0.25">
      <c r="A8287" t="s">
        <v>11374</v>
      </c>
      <c r="B8287" s="1" t="str">
        <f>HYPERLINK("https://asmlis.vasa.lt/Dashboard/Served?ServiceDateFrom=2025-11-24&amp;ServiceDateTo=2025-11-24&amp;DumpsterInvNr=13-S-211831", "13-S-211831")</f>
        <v>13-S-211831</v>
      </c>
      <c r="C8287">
        <v>1.8</v>
      </c>
      <c r="D8287" t="s">
        <v>8274</v>
      </c>
      <c r="E8287" t="s">
        <v>11</v>
      </c>
      <c r="G8287" t="s">
        <v>234</v>
      </c>
      <c r="H8287" t="s">
        <v>14</v>
      </c>
    </row>
    <row r="8288" spans="1:8" hidden="1" x14ac:dyDescent="0.25">
      <c r="A8288" t="s">
        <v>11375</v>
      </c>
      <c r="B8288" s="1" t="str">
        <f>HYPERLINK("https://asmlis.vasa.lt/Dashboard/Served?ServiceDateFrom=2025-11-24&amp;ServiceDateTo=2025-11-24&amp;DumpsterInvNr=13-L-127556", "13-L-127556")</f>
        <v>13-L-127556</v>
      </c>
      <c r="C8288">
        <v>0.12</v>
      </c>
      <c r="D8288" t="s">
        <v>11376</v>
      </c>
      <c r="E8288" t="s">
        <v>11</v>
      </c>
      <c r="G8288" t="s">
        <v>1912</v>
      </c>
      <c r="H8288" t="s">
        <v>432</v>
      </c>
    </row>
    <row r="8289" spans="1:8" hidden="1" x14ac:dyDescent="0.25">
      <c r="A8289" t="s">
        <v>11375</v>
      </c>
      <c r="B8289" s="1" t="str">
        <f>HYPERLINK("https://asmlis.vasa.lt/Dashboard/Served?ServiceDateFrom=2025-11-24&amp;ServiceDateTo=2025-11-24&amp;DumpsterInvNr=13-L-102622", "13-L-102622")</f>
        <v>13-L-102622</v>
      </c>
      <c r="C8289">
        <v>0.12</v>
      </c>
      <c r="D8289" t="s">
        <v>11376</v>
      </c>
      <c r="E8289" t="s">
        <v>11</v>
      </c>
      <c r="G8289" t="s">
        <v>1912</v>
      </c>
      <c r="H8289" t="s">
        <v>432</v>
      </c>
    </row>
    <row r="8290" spans="1:8" hidden="1" x14ac:dyDescent="0.25">
      <c r="A8290" t="s">
        <v>11377</v>
      </c>
      <c r="B8290" s="1" t="str">
        <f>HYPERLINK("https://asmlis.vasa.lt/Dashboard/Served?ServiceDateFrom=2025-11-24&amp;ServiceDateTo=2025-11-24&amp;DumpsterInvNr=13-L-142293", "13-L-142293")</f>
        <v>13-L-142293</v>
      </c>
      <c r="C8290">
        <v>1.1000000000000001</v>
      </c>
      <c r="D8290" t="s">
        <v>3943</v>
      </c>
      <c r="E8290" t="s">
        <v>11</v>
      </c>
      <c r="G8290" t="s">
        <v>430</v>
      </c>
      <c r="H8290" t="s">
        <v>432</v>
      </c>
    </row>
    <row r="8291" spans="1:8" hidden="1" x14ac:dyDescent="0.25">
      <c r="A8291" t="s">
        <v>11378</v>
      </c>
      <c r="B8291" s="1" t="str">
        <f>HYPERLINK("https://asmlis.vasa.lt/Dashboard/Served?ServiceDateFrom=2025-11-24&amp;ServiceDateTo=2025-11-24&amp;DumpsterInvNr=13-M-201693", "13-M-201693")</f>
        <v>13-M-201693</v>
      </c>
      <c r="C8291">
        <v>0.12</v>
      </c>
      <c r="D8291" t="s">
        <v>11379</v>
      </c>
      <c r="E8291" t="s">
        <v>11</v>
      </c>
      <c r="G8291" t="s">
        <v>4876</v>
      </c>
      <c r="H8291" t="s">
        <v>938</v>
      </c>
    </row>
    <row r="8292" spans="1:8" hidden="1" x14ac:dyDescent="0.25">
      <c r="A8292" t="s">
        <v>11380</v>
      </c>
      <c r="B8292" s="1" t="str">
        <f>HYPERLINK("https://asmlis.vasa.lt/Dashboard/Served?ServiceDateFrom=2025-11-24&amp;ServiceDateTo=2025-11-24&amp;DumpsterInvNr=13-P-409020", "13-P-409020")</f>
        <v>13-P-409020</v>
      </c>
      <c r="C8292">
        <v>1.1000000000000001</v>
      </c>
      <c r="D8292" t="s">
        <v>11381</v>
      </c>
      <c r="E8292" t="s">
        <v>11</v>
      </c>
      <c r="G8292" t="s">
        <v>264</v>
      </c>
      <c r="H8292" t="s">
        <v>14</v>
      </c>
    </row>
    <row r="8293" spans="1:8" hidden="1" x14ac:dyDescent="0.25">
      <c r="A8293" t="s">
        <v>11380</v>
      </c>
      <c r="B8293" s="1" t="str">
        <f>HYPERLINK("https://asmlis.vasa.lt/Dashboard/Served?ServiceDateFrom=2025-11-24&amp;ServiceDateTo=2025-11-24&amp;DumpsterInvNr=13-P-400544", "13-P-400544")</f>
        <v>13-P-400544</v>
      </c>
      <c r="C8293">
        <v>5</v>
      </c>
      <c r="D8293" t="s">
        <v>8671</v>
      </c>
      <c r="E8293" t="s">
        <v>11</v>
      </c>
      <c r="F8293" t="s">
        <v>13</v>
      </c>
      <c r="G8293" t="s">
        <v>264</v>
      </c>
      <c r="H8293" t="s">
        <v>14</v>
      </c>
    </row>
    <row r="8294" spans="1:8" hidden="1" x14ac:dyDescent="0.25">
      <c r="A8294" t="s">
        <v>11383</v>
      </c>
      <c r="B8294" s="1" t="str">
        <f>HYPERLINK("https://asmlis.vasa.lt/Dashboard/Served?ServiceDateFrom=2025-11-24&amp;ServiceDateTo=2025-11-24&amp;DumpsterInvNr=13-L-422190", "13-L-422190")</f>
        <v>13-L-422190</v>
      </c>
      <c r="C8294">
        <v>0.24</v>
      </c>
      <c r="D8294" t="s">
        <v>6623</v>
      </c>
      <c r="E8294" t="s">
        <v>11</v>
      </c>
      <c r="G8294" t="s">
        <v>74</v>
      </c>
      <c r="H8294" t="s">
        <v>14</v>
      </c>
    </row>
    <row r="8295" spans="1:8" hidden="1" x14ac:dyDescent="0.25">
      <c r="A8295" t="s">
        <v>11383</v>
      </c>
      <c r="B8295" s="1" t="str">
        <f>HYPERLINK("https://asmlis.vasa.lt/Dashboard/Served?ServiceDateFrom=2025-11-24&amp;ServiceDateTo=2025-11-24&amp;DumpsterInvNr=13-P-302395", "13-P-302395")</f>
        <v>13-P-302395</v>
      </c>
      <c r="C8295">
        <v>1.1000000000000001</v>
      </c>
      <c r="D8295" t="s">
        <v>8384</v>
      </c>
      <c r="E8295" t="s">
        <v>11</v>
      </c>
      <c r="F8295" t="s">
        <v>13</v>
      </c>
      <c r="G8295" t="s">
        <v>412</v>
      </c>
      <c r="H8295" t="s">
        <v>14</v>
      </c>
    </row>
    <row r="8296" spans="1:8" hidden="1" x14ac:dyDescent="0.25">
      <c r="A8296" t="s">
        <v>11384</v>
      </c>
      <c r="B8296" s="1" t="str">
        <f>HYPERLINK("https://asmlis.vasa.lt/Dashboard/Served?ServiceDateFrom=2025-11-24&amp;ServiceDateTo=2025-11-24&amp;DumpsterInvNr=13-P-302321", "13-P-302321")</f>
        <v>13-P-302321</v>
      </c>
      <c r="C8296">
        <v>1.1000000000000001</v>
      </c>
      <c r="D8296" t="s">
        <v>8384</v>
      </c>
      <c r="E8296" t="s">
        <v>11</v>
      </c>
      <c r="F8296" t="s">
        <v>13</v>
      </c>
      <c r="G8296" t="s">
        <v>412</v>
      </c>
      <c r="H8296" t="s">
        <v>14</v>
      </c>
    </row>
    <row r="8297" spans="1:8" hidden="1" x14ac:dyDescent="0.25">
      <c r="A8297" t="s">
        <v>11385</v>
      </c>
      <c r="B8297" s="1" t="str">
        <f>HYPERLINK("https://asmlis.vasa.lt/Dashboard/Served?ServiceDateFrom=2025-11-24&amp;ServiceDateTo=2025-11-24&amp;DumpsterInvNr=13-P-209490", "13-P-209490")</f>
        <v>13-P-209490</v>
      </c>
      <c r="C8297">
        <v>0.24</v>
      </c>
      <c r="D8297" t="s">
        <v>11386</v>
      </c>
      <c r="E8297" t="s">
        <v>11</v>
      </c>
      <c r="G8297" t="s">
        <v>234</v>
      </c>
      <c r="H8297" t="s">
        <v>14</v>
      </c>
    </row>
    <row r="8298" spans="1:8" hidden="1" x14ac:dyDescent="0.25">
      <c r="A8298" t="s">
        <v>11387</v>
      </c>
      <c r="B8298" s="1" t="str">
        <f>HYPERLINK("https://asmlis.vasa.lt/Dashboard/Served?ServiceDateFrom=2025-11-24&amp;ServiceDateTo=2025-11-24&amp;DumpsterInvNr=13-P-302269", "13-P-302269")</f>
        <v>13-P-302269</v>
      </c>
      <c r="C8298">
        <v>1.1000000000000001</v>
      </c>
      <c r="D8298" t="s">
        <v>8384</v>
      </c>
      <c r="E8298" t="s">
        <v>11</v>
      </c>
      <c r="F8298" t="s">
        <v>13</v>
      </c>
      <c r="G8298" t="s">
        <v>412</v>
      </c>
      <c r="H8298" t="s">
        <v>14</v>
      </c>
    </row>
    <row r="8299" spans="1:8" hidden="1" x14ac:dyDescent="0.25">
      <c r="A8299" t="s">
        <v>11388</v>
      </c>
      <c r="B8299" s="1" t="str">
        <f>HYPERLINK("https://asmlis.vasa.lt/Dashboard/Served?ServiceDateFrom=2025-11-24&amp;ServiceDateTo=2025-11-24&amp;DumpsterInvNr=13-L-142295", "13-L-142295")</f>
        <v>13-L-142295</v>
      </c>
      <c r="C8299">
        <v>1.1000000000000001</v>
      </c>
      <c r="D8299" t="s">
        <v>3943</v>
      </c>
      <c r="E8299" t="s">
        <v>11</v>
      </c>
      <c r="G8299" t="s">
        <v>430</v>
      </c>
      <c r="H8299" t="s">
        <v>432</v>
      </c>
    </row>
    <row r="8300" spans="1:8" hidden="1" x14ac:dyDescent="0.25">
      <c r="A8300" t="s">
        <v>11389</v>
      </c>
      <c r="B8300" s="1" t="str">
        <f>HYPERLINK("https://asmlis.vasa.lt/Dashboard/Served?ServiceDateFrom=2025-11-24&amp;ServiceDateTo=2025-11-24&amp;DumpsterInvNr=13-P-304054", "13-P-304054")</f>
        <v>13-P-304054</v>
      </c>
      <c r="C8300">
        <v>3</v>
      </c>
      <c r="D8300" t="s">
        <v>2076</v>
      </c>
      <c r="E8300" t="s">
        <v>11</v>
      </c>
      <c r="G8300" t="s">
        <v>412</v>
      </c>
      <c r="H8300" t="s">
        <v>14</v>
      </c>
    </row>
    <row r="8301" spans="1:8" hidden="1" x14ac:dyDescent="0.25">
      <c r="A8301" t="s">
        <v>11390</v>
      </c>
      <c r="B8301" s="1" t="str">
        <f>HYPERLINK("https://asmlis.vasa.lt/Dashboard/Served?ServiceDateFrom=2025-11-24&amp;ServiceDateTo=2025-11-24&amp;DumpsterInvNr=13-M-202129", "13-M-202129")</f>
        <v>13-M-202129</v>
      </c>
      <c r="C8301">
        <v>0.12</v>
      </c>
      <c r="D8301" t="s">
        <v>11391</v>
      </c>
      <c r="E8301" t="s">
        <v>11</v>
      </c>
      <c r="F8301" t="s">
        <v>1209</v>
      </c>
      <c r="G8301" t="s">
        <v>4876</v>
      </c>
      <c r="H8301" t="s">
        <v>938</v>
      </c>
    </row>
    <row r="8302" spans="1:8" hidden="1" x14ac:dyDescent="0.25">
      <c r="A8302" t="s">
        <v>11392</v>
      </c>
      <c r="B8302" s="1" t="str">
        <f>HYPERLINK("https://asmlis.vasa.lt/Dashboard/Served?ServiceDateFrom=2025-11-24&amp;ServiceDateTo=2025-11-24&amp;DumpsterInvNr=13-L-123902", "13-L-123902")</f>
        <v>13-L-123902</v>
      </c>
      <c r="C8302">
        <v>0.12</v>
      </c>
      <c r="D8302" t="s">
        <v>11376</v>
      </c>
      <c r="E8302" t="s">
        <v>11</v>
      </c>
      <c r="G8302" t="s">
        <v>1912</v>
      </c>
      <c r="H8302" t="s">
        <v>432</v>
      </c>
    </row>
    <row r="8303" spans="1:8" hidden="1" x14ac:dyDescent="0.25">
      <c r="A8303" t="s">
        <v>11393</v>
      </c>
      <c r="B8303" s="1" t="str">
        <f>HYPERLINK("https://asmlis.vasa.lt/Dashboard/Served?ServiceDateFrom=2025-11-24&amp;ServiceDateTo=2025-11-24&amp;DumpsterInvNr=13-P-105375", "13-P-105375")</f>
        <v>13-P-105375</v>
      </c>
      <c r="C8303">
        <v>0.12</v>
      </c>
      <c r="D8303" t="s">
        <v>11376</v>
      </c>
      <c r="E8303" t="s">
        <v>11</v>
      </c>
      <c r="G8303" t="s">
        <v>1917</v>
      </c>
      <c r="H8303" t="s">
        <v>432</v>
      </c>
    </row>
    <row r="8304" spans="1:8" hidden="1" x14ac:dyDescent="0.25">
      <c r="A8304" t="s">
        <v>11394</v>
      </c>
      <c r="B8304" s="1" t="str">
        <f>HYPERLINK("https://asmlis.vasa.lt/Dashboard/Served?ServiceDateFrom=2025-11-24&amp;ServiceDateTo=2025-11-24&amp;DumpsterInvNr=13-P-403869", "13-P-403869")</f>
        <v>13-P-403869</v>
      </c>
      <c r="C8304">
        <v>0.12</v>
      </c>
      <c r="D8304" t="s">
        <v>2059</v>
      </c>
      <c r="E8304" t="s">
        <v>11</v>
      </c>
      <c r="G8304" t="s">
        <v>264</v>
      </c>
      <c r="H8304" t="s">
        <v>14</v>
      </c>
    </row>
    <row r="8305" spans="1:8" hidden="1" x14ac:dyDescent="0.25">
      <c r="A8305" t="s">
        <v>11395</v>
      </c>
      <c r="B8305" s="1" t="str">
        <f>HYPERLINK("https://asmlis.vasa.lt/Dashboard/Served?ServiceDateFrom=2025-11-24&amp;ServiceDateTo=2025-11-24&amp;DumpsterInvNr=13-M-206053", "13-M-206053")</f>
        <v>13-M-206053</v>
      </c>
      <c r="C8305">
        <v>0.12</v>
      </c>
      <c r="D8305" t="s">
        <v>11396</v>
      </c>
      <c r="E8305" t="s">
        <v>11</v>
      </c>
      <c r="G8305" t="s">
        <v>4876</v>
      </c>
      <c r="H8305" t="s">
        <v>938</v>
      </c>
    </row>
    <row r="8306" spans="1:8" hidden="1" x14ac:dyDescent="0.25">
      <c r="A8306" t="s">
        <v>11395</v>
      </c>
      <c r="B8306" s="1" t="str">
        <f>HYPERLINK("https://asmlis.vasa.lt/Dashboard/Served?ServiceDateFrom=2025-11-24&amp;ServiceDateTo=2025-11-24&amp;DumpsterInvNr=13-L-142325", "13-L-142325")</f>
        <v>13-L-142325</v>
      </c>
      <c r="C8306">
        <v>1.1000000000000001</v>
      </c>
      <c r="D8306" t="s">
        <v>3943</v>
      </c>
      <c r="E8306" t="s">
        <v>11</v>
      </c>
      <c r="G8306" t="s">
        <v>430</v>
      </c>
      <c r="H8306" t="s">
        <v>432</v>
      </c>
    </row>
    <row r="8307" spans="1:8" hidden="1" x14ac:dyDescent="0.25">
      <c r="A8307" t="s">
        <v>11398</v>
      </c>
      <c r="B8307" s="1" t="str">
        <f>HYPERLINK("https://asmlis.vasa.lt/Dashboard/Served?ServiceDateFrom=2025-11-24&amp;ServiceDateTo=2025-11-24&amp;DumpsterInvNr=13-L-120450", "13-L-120450")</f>
        <v>13-L-120450</v>
      </c>
      <c r="C8307">
        <v>1.1000000000000001</v>
      </c>
      <c r="D8307" t="s">
        <v>11399</v>
      </c>
      <c r="E8307" t="s">
        <v>11</v>
      </c>
      <c r="G8307" t="s">
        <v>1912</v>
      </c>
      <c r="H8307" t="s">
        <v>432</v>
      </c>
    </row>
    <row r="8308" spans="1:8" hidden="1" x14ac:dyDescent="0.25">
      <c r="A8308" t="s">
        <v>11400</v>
      </c>
      <c r="B8308" s="1" t="str">
        <f>HYPERLINK("https://asmlis.vasa.lt/Dashboard/Served?ServiceDateFrom=2025-11-24&amp;ServiceDateTo=2025-11-24&amp;DumpsterInvNr=13-L-424349", "13-L-424349")</f>
        <v>13-L-424349</v>
      </c>
      <c r="C8308">
        <v>0.24</v>
      </c>
      <c r="D8308" t="s">
        <v>11401</v>
      </c>
      <c r="E8308" t="s">
        <v>11</v>
      </c>
      <c r="G8308" t="s">
        <v>74</v>
      </c>
      <c r="H8308" t="s">
        <v>14</v>
      </c>
    </row>
    <row r="8309" spans="1:8" hidden="1" x14ac:dyDescent="0.25">
      <c r="A8309" t="s">
        <v>11402</v>
      </c>
      <c r="B8309" s="1" t="str">
        <f>HYPERLINK("https://asmlis.vasa.lt/Dashboard/Served?ServiceDateFrom=2025-11-24&amp;ServiceDateTo=2025-11-24&amp;DumpsterInvNr=13-S-400461", "13-S-400461")</f>
        <v>13-S-400461</v>
      </c>
      <c r="C8309">
        <v>0.12</v>
      </c>
      <c r="D8309" t="s">
        <v>2059</v>
      </c>
      <c r="E8309" t="s">
        <v>11</v>
      </c>
      <c r="G8309" t="s">
        <v>264</v>
      </c>
      <c r="H8309" t="s">
        <v>14</v>
      </c>
    </row>
    <row r="8310" spans="1:8" hidden="1" x14ac:dyDescent="0.25">
      <c r="A8310" t="s">
        <v>11402</v>
      </c>
      <c r="B8310" s="1" t="str">
        <f>HYPERLINK("https://asmlis.vasa.lt/Dashboard/Served?ServiceDateFrom=2025-11-24&amp;ServiceDateTo=2025-11-24&amp;DumpsterInvNr=13-M-202384", "13-M-202384")</f>
        <v>13-M-202384</v>
      </c>
      <c r="C8310">
        <v>0.12</v>
      </c>
      <c r="D8310" t="s">
        <v>11403</v>
      </c>
      <c r="E8310" t="s">
        <v>11</v>
      </c>
      <c r="F8310" t="s">
        <v>1209</v>
      </c>
      <c r="G8310" t="s">
        <v>4876</v>
      </c>
      <c r="H8310" t="s">
        <v>938</v>
      </c>
    </row>
    <row r="8311" spans="1:8" hidden="1" x14ac:dyDescent="0.25">
      <c r="A8311" t="s">
        <v>11404</v>
      </c>
      <c r="B8311" s="1" t="str">
        <f>HYPERLINK("https://asmlis.vasa.lt/Dashboard/Served?ServiceDateFrom=2025-11-24&amp;ServiceDateTo=2025-11-24&amp;DumpsterInvNr=13-P-208655", "13-P-208655")</f>
        <v>13-P-208655</v>
      </c>
      <c r="C8311">
        <v>0.24</v>
      </c>
      <c r="D8311" t="s">
        <v>11405</v>
      </c>
      <c r="E8311" t="s">
        <v>11</v>
      </c>
      <c r="G8311" t="s">
        <v>234</v>
      </c>
      <c r="H8311" t="s">
        <v>14</v>
      </c>
    </row>
    <row r="8312" spans="1:8" hidden="1" x14ac:dyDescent="0.25">
      <c r="A8312" t="s">
        <v>11406</v>
      </c>
      <c r="B8312" s="1" t="str">
        <f>HYPERLINK("https://asmlis.vasa.lt/Dashboard/Served?ServiceDateFrom=2025-11-24&amp;ServiceDateTo=2025-11-24&amp;DumpsterInvNr=13-P-209475", "13-P-209475")</f>
        <v>13-P-209475</v>
      </c>
      <c r="C8312">
        <v>0.24</v>
      </c>
      <c r="D8312" t="s">
        <v>11407</v>
      </c>
      <c r="E8312" t="s">
        <v>11</v>
      </c>
      <c r="F8312" t="s">
        <v>1209</v>
      </c>
      <c r="G8312" t="s">
        <v>234</v>
      </c>
      <c r="H8312" t="s">
        <v>14</v>
      </c>
    </row>
    <row r="8313" spans="1:8" hidden="1" x14ac:dyDescent="0.25">
      <c r="A8313" t="s">
        <v>11408</v>
      </c>
      <c r="B8313" s="1" t="str">
        <f>HYPERLINK("https://asmlis.vasa.lt/Dashboard/Served?ServiceDateFrom=2025-11-24&amp;ServiceDateTo=2025-11-24&amp;DumpsterInvNr=13-L-421655", "13-L-421655")</f>
        <v>13-L-421655</v>
      </c>
      <c r="C8313">
        <v>0.24</v>
      </c>
      <c r="D8313" t="s">
        <v>11409</v>
      </c>
      <c r="E8313" t="s">
        <v>11</v>
      </c>
      <c r="F8313" t="s">
        <v>1209</v>
      </c>
      <c r="G8313" t="s">
        <v>74</v>
      </c>
      <c r="H8313" t="s">
        <v>14</v>
      </c>
    </row>
    <row r="8314" spans="1:8" hidden="1" x14ac:dyDescent="0.25">
      <c r="A8314" t="s">
        <v>11410</v>
      </c>
      <c r="B8314" s="1" t="str">
        <f>HYPERLINK("https://asmlis.vasa.lt/Dashboard/Served?ServiceDateFrom=2025-11-24&amp;ServiceDateTo=2025-11-24&amp;DumpsterInvNr=13-L-223649", "13-L-223649")</f>
        <v>13-L-223649</v>
      </c>
      <c r="C8314">
        <v>1.1000000000000001</v>
      </c>
      <c r="D8314" t="s">
        <v>11411</v>
      </c>
      <c r="E8314" t="s">
        <v>11</v>
      </c>
      <c r="G8314" t="s">
        <v>936</v>
      </c>
      <c r="H8314" t="s">
        <v>938</v>
      </c>
    </row>
    <row r="8315" spans="1:8" hidden="1" x14ac:dyDescent="0.25">
      <c r="A8315" t="s">
        <v>11412</v>
      </c>
      <c r="B8315" s="1" t="str">
        <f>HYPERLINK("https://asmlis.vasa.lt/Dashboard/Served?ServiceDateFrom=2025-11-24&amp;ServiceDateTo=2025-11-24&amp;DumpsterInvNr=13-P-413908", "13-P-413908")</f>
        <v>13-P-413908</v>
      </c>
      <c r="C8315">
        <v>5</v>
      </c>
      <c r="D8315" t="s">
        <v>11413</v>
      </c>
      <c r="E8315" t="s">
        <v>11</v>
      </c>
      <c r="G8315" t="s">
        <v>264</v>
      </c>
      <c r="H8315" t="s">
        <v>14</v>
      </c>
    </row>
    <row r="8316" spans="1:8" hidden="1" x14ac:dyDescent="0.25">
      <c r="A8316" t="s">
        <v>11414</v>
      </c>
      <c r="B8316" s="1" t="str">
        <f>HYPERLINK("https://asmlis.vasa.lt/Dashboard/Served?ServiceDateFrom=2025-11-24&amp;ServiceDateTo=2025-11-24&amp;DumpsterInvNr=13-P-203800", "13-P-203800")</f>
        <v>13-P-203800</v>
      </c>
      <c r="C8316">
        <v>0.24</v>
      </c>
      <c r="D8316" t="s">
        <v>11415</v>
      </c>
      <c r="E8316" t="s">
        <v>11</v>
      </c>
      <c r="F8316" t="s">
        <v>1209</v>
      </c>
      <c r="G8316" t="s">
        <v>234</v>
      </c>
      <c r="H8316" t="s">
        <v>14</v>
      </c>
    </row>
    <row r="8317" spans="1:8" hidden="1" x14ac:dyDescent="0.25">
      <c r="A8317" t="s">
        <v>11416</v>
      </c>
      <c r="B8317" s="1" t="str">
        <f>HYPERLINK("https://asmlis.vasa.lt/Dashboard/Served?ServiceDateFrom=2025-11-24&amp;ServiceDateTo=2025-11-24&amp;DumpsterInvNr=13-P-413721", "13-P-413721")</f>
        <v>13-P-413721</v>
      </c>
      <c r="C8317">
        <v>0.24</v>
      </c>
      <c r="D8317" t="s">
        <v>2083</v>
      </c>
      <c r="E8317" t="s">
        <v>11</v>
      </c>
      <c r="F8317" t="s">
        <v>1209</v>
      </c>
      <c r="G8317" t="s">
        <v>264</v>
      </c>
      <c r="H8317" t="s">
        <v>14</v>
      </c>
    </row>
    <row r="8318" spans="1:8" hidden="1" x14ac:dyDescent="0.25">
      <c r="A8318" t="s">
        <v>11417</v>
      </c>
      <c r="B8318" s="1" t="str">
        <f>HYPERLINK("https://asmlis.vasa.lt/Dashboard/Served?ServiceDateFrom=2025-11-24&amp;ServiceDateTo=2025-11-24&amp;DumpsterInvNr=13-P-403325", "13-P-403325")</f>
        <v>13-P-403325</v>
      </c>
      <c r="C8318">
        <v>0.24</v>
      </c>
      <c r="D8318" t="s">
        <v>2047</v>
      </c>
      <c r="E8318" t="s">
        <v>11</v>
      </c>
      <c r="F8318" t="s">
        <v>1209</v>
      </c>
      <c r="G8318" t="s">
        <v>264</v>
      </c>
      <c r="H8318" t="s">
        <v>14</v>
      </c>
    </row>
    <row r="8319" spans="1:8" hidden="1" x14ac:dyDescent="0.25">
      <c r="A8319" t="s">
        <v>11418</v>
      </c>
      <c r="B8319" s="1" t="str">
        <f>HYPERLINK("https://asmlis.vasa.lt/Dashboard/Served?ServiceDateFrom=2025-11-24&amp;ServiceDateTo=2025-11-24&amp;DumpsterInvNr=13-P-212809", "13-P-212809")</f>
        <v>13-P-212809</v>
      </c>
      <c r="C8319">
        <v>0.12</v>
      </c>
      <c r="D8319" t="s">
        <v>11419</v>
      </c>
      <c r="E8319" t="s">
        <v>11</v>
      </c>
      <c r="F8319" t="s">
        <v>1209</v>
      </c>
      <c r="G8319" t="s">
        <v>234</v>
      </c>
      <c r="H8319" t="s">
        <v>14</v>
      </c>
    </row>
    <row r="8320" spans="1:8" hidden="1" x14ac:dyDescent="0.25">
      <c r="A8320" t="s">
        <v>11421</v>
      </c>
      <c r="B8320" s="1" t="str">
        <f>HYPERLINK("https://asmlis.vasa.lt/Dashboard/Served?ServiceDateFrom=2025-11-24&amp;ServiceDateTo=2025-11-24&amp;DumpsterInvNr=13-L-120110", "13-L-120110")</f>
        <v>13-L-120110</v>
      </c>
      <c r="C8320">
        <v>0.12</v>
      </c>
      <c r="D8320" t="s">
        <v>11423</v>
      </c>
      <c r="E8320" t="s">
        <v>11</v>
      </c>
      <c r="G8320" t="s">
        <v>1912</v>
      </c>
      <c r="H8320" t="s">
        <v>432</v>
      </c>
    </row>
    <row r="8321" spans="1:8" hidden="1" x14ac:dyDescent="0.25">
      <c r="A8321" t="s">
        <v>11424</v>
      </c>
      <c r="B8321" s="1" t="str">
        <f>HYPERLINK("https://asmlis.vasa.lt/Dashboard/Served?ServiceDateFrom=2025-11-24&amp;ServiceDateTo=2025-11-24&amp;DumpsterInvNr=13-L-139758", "13-L-139758")</f>
        <v>13-L-139758</v>
      </c>
      <c r="C8321">
        <v>0.24</v>
      </c>
      <c r="D8321" t="s">
        <v>11425</v>
      </c>
      <c r="E8321" t="s">
        <v>11</v>
      </c>
      <c r="G8321" t="s">
        <v>1912</v>
      </c>
      <c r="H8321" t="s">
        <v>432</v>
      </c>
    </row>
    <row r="8322" spans="1:8" hidden="1" x14ac:dyDescent="0.25">
      <c r="A8322" t="s">
        <v>11427</v>
      </c>
      <c r="B8322" s="1" t="str">
        <f>HYPERLINK("https://asmlis.vasa.lt/Dashboard/Served?ServiceDateFrom=2025-11-24&amp;ServiceDateTo=2025-11-24&amp;DumpsterInvNr=13-L-206101", "13-L-206101")</f>
        <v>13-L-206101</v>
      </c>
      <c r="C8322">
        <v>0.12</v>
      </c>
      <c r="D8322" t="s">
        <v>8805</v>
      </c>
      <c r="E8322" t="s">
        <v>11</v>
      </c>
      <c r="G8322" t="s">
        <v>936</v>
      </c>
      <c r="H8322" t="s">
        <v>938</v>
      </c>
    </row>
    <row r="8323" spans="1:8" hidden="1" x14ac:dyDescent="0.25">
      <c r="A8323" t="s">
        <v>11428</v>
      </c>
      <c r="B8323" s="1" t="str">
        <f>HYPERLINK("https://asmlis.vasa.lt/Dashboard/Served?ServiceDateFrom=2025-11-24&amp;ServiceDateTo=2025-11-24&amp;DumpsterInvNr=13-L-119413", "13-L-119413")</f>
        <v>13-L-119413</v>
      </c>
      <c r="C8323">
        <v>1.1000000000000001</v>
      </c>
      <c r="D8323" t="s">
        <v>11429</v>
      </c>
      <c r="E8323" t="s">
        <v>11</v>
      </c>
      <c r="G8323" t="s">
        <v>430</v>
      </c>
      <c r="H8323" t="s">
        <v>432</v>
      </c>
    </row>
    <row r="8324" spans="1:8" hidden="1" x14ac:dyDescent="0.25">
      <c r="A8324" t="s">
        <v>11430</v>
      </c>
      <c r="B8324" s="1" t="str">
        <f>HYPERLINK("https://asmlis.vasa.lt/Dashboard/Served?ServiceDateFrom=2025-11-24&amp;ServiceDateTo=2025-11-24&amp;DumpsterInvNr=13-L-139804", "13-L-139804")</f>
        <v>13-L-139804</v>
      </c>
      <c r="C8324">
        <v>0.24</v>
      </c>
      <c r="D8324" t="s">
        <v>11431</v>
      </c>
      <c r="E8324" t="s">
        <v>11</v>
      </c>
      <c r="G8324" t="s">
        <v>430</v>
      </c>
      <c r="H8324" t="s">
        <v>432</v>
      </c>
    </row>
    <row r="8325" spans="1:8" hidden="1" x14ac:dyDescent="0.25">
      <c r="A8325" t="s">
        <v>11430</v>
      </c>
      <c r="B8325" s="1" t="str">
        <f>HYPERLINK("https://asmlis.vasa.lt/Dashboard/Served?ServiceDateFrom=2025-11-24&amp;ServiceDateTo=2025-11-24&amp;DumpsterInvNr=13-L-136684", "13-L-136684")</f>
        <v>13-L-136684</v>
      </c>
      <c r="C8325">
        <v>5</v>
      </c>
      <c r="D8325" t="s">
        <v>11433</v>
      </c>
      <c r="E8325" t="s">
        <v>11</v>
      </c>
      <c r="F8325" t="s">
        <v>13</v>
      </c>
      <c r="G8325" t="s">
        <v>430</v>
      </c>
      <c r="H8325" t="s">
        <v>432</v>
      </c>
    </row>
    <row r="8326" spans="1:8" hidden="1" x14ac:dyDescent="0.25">
      <c r="A8326" t="s">
        <v>11430</v>
      </c>
      <c r="B8326" s="1" t="str">
        <f>HYPERLINK("https://asmlis.vasa.lt/Dashboard/Served?ServiceDateFrom=2025-11-24&amp;ServiceDateTo=2025-11-24&amp;DumpsterInvNr=13-L-143120", "13-L-143120")</f>
        <v>13-L-143120</v>
      </c>
      <c r="C8326">
        <v>0.24</v>
      </c>
      <c r="D8326" t="s">
        <v>11434</v>
      </c>
      <c r="E8326" t="s">
        <v>11</v>
      </c>
      <c r="G8326" t="s">
        <v>430</v>
      </c>
      <c r="H8326" t="s">
        <v>432</v>
      </c>
    </row>
    <row r="8327" spans="1:8" hidden="1" x14ac:dyDescent="0.25">
      <c r="A8327" t="s">
        <v>11430</v>
      </c>
      <c r="B8327" s="1" t="str">
        <f>HYPERLINK("https://asmlis.vasa.lt/Dashboard/Served?ServiceDateFrom=2025-11-24&amp;ServiceDateTo=2025-11-24&amp;DumpsterInvNr=13-P-506529", "13-P-506529")</f>
        <v>13-P-506529</v>
      </c>
      <c r="C8327">
        <v>0.24</v>
      </c>
      <c r="D8327" t="s">
        <v>11431</v>
      </c>
      <c r="E8327" t="s">
        <v>11</v>
      </c>
      <c r="G8327" t="s">
        <v>2178</v>
      </c>
      <c r="H8327" t="s">
        <v>432</v>
      </c>
    </row>
    <row r="8328" spans="1:8" hidden="1" x14ac:dyDescent="0.25">
      <c r="A8328" t="s">
        <v>11430</v>
      </c>
      <c r="B8328" s="1" t="str">
        <f>HYPERLINK("https://asmlis.vasa.lt/Dashboard/Served?ServiceDateFrom=2025-11-24&amp;ServiceDateTo=2025-11-24&amp;DumpsterInvNr=13-P-506484", "13-P-506484")</f>
        <v>13-P-506484</v>
      </c>
      <c r="C8328">
        <v>0.24</v>
      </c>
      <c r="D8328" t="s">
        <v>11434</v>
      </c>
      <c r="E8328" t="s">
        <v>11</v>
      </c>
      <c r="G8328" t="s">
        <v>2178</v>
      </c>
      <c r="H8328" t="s">
        <v>432</v>
      </c>
    </row>
    <row r="8329" spans="1:8" hidden="1" x14ac:dyDescent="0.25">
      <c r="A8329" t="s">
        <v>11430</v>
      </c>
      <c r="B8329" s="1" t="str">
        <f>HYPERLINK("https://asmlis.vasa.lt/Dashboard/Served?ServiceDateFrom=2025-11-24&amp;ServiceDateTo=2025-11-24&amp;DumpsterInvNr=13-L-149469", "13-L-149469")</f>
        <v>13-L-149469</v>
      </c>
      <c r="C8329">
        <v>0.24</v>
      </c>
      <c r="D8329" t="s">
        <v>11435</v>
      </c>
      <c r="E8329" t="s">
        <v>11</v>
      </c>
      <c r="G8329" t="s">
        <v>430</v>
      </c>
      <c r="H8329" t="s">
        <v>432</v>
      </c>
    </row>
    <row r="8330" spans="1:8" hidden="1" x14ac:dyDescent="0.25">
      <c r="A8330" t="s">
        <v>11430</v>
      </c>
      <c r="B8330" s="1" t="str">
        <f>HYPERLINK("https://asmlis.vasa.lt/Dashboard/Served?ServiceDateFrom=2025-11-24&amp;ServiceDateTo=2025-11-24&amp;DumpsterInvNr=13-P-509503", "13-P-509503")</f>
        <v>13-P-509503</v>
      </c>
      <c r="C8330">
        <v>0.24</v>
      </c>
      <c r="D8330" t="s">
        <v>11435</v>
      </c>
      <c r="E8330" t="s">
        <v>11</v>
      </c>
      <c r="G8330" t="s">
        <v>2178</v>
      </c>
      <c r="H8330" t="s">
        <v>432</v>
      </c>
    </row>
    <row r="8331" spans="1:8" hidden="1" x14ac:dyDescent="0.25">
      <c r="A8331" t="s">
        <v>11430</v>
      </c>
      <c r="B8331" s="1" t="str">
        <f>HYPERLINK("https://asmlis.vasa.lt/Dashboard/Served?ServiceDateFrom=2025-11-24&amp;ServiceDateTo=2025-11-24&amp;DumpsterInvNr=13-S-506500", "13-S-506500")</f>
        <v>13-S-506500</v>
      </c>
      <c r="C8331">
        <v>0.12</v>
      </c>
      <c r="D8331" t="s">
        <v>11435</v>
      </c>
      <c r="E8331" t="s">
        <v>11</v>
      </c>
      <c r="G8331" t="s">
        <v>2178</v>
      </c>
      <c r="H8331" t="s">
        <v>432</v>
      </c>
    </row>
    <row r="8332" spans="1:8" hidden="1" x14ac:dyDescent="0.25">
      <c r="A8332" t="s">
        <v>10478</v>
      </c>
      <c r="B8332" s="1" t="str">
        <f>HYPERLINK("https://asmlis.vasa.lt/Dashboard/Served?ServiceDateFrom=2025-11-24&amp;ServiceDateTo=2025-11-24&amp;DumpsterInvNr=13-L-423319", "13-L-423319")</f>
        <v>13-L-423319</v>
      </c>
      <c r="C8332">
        <v>0.24</v>
      </c>
      <c r="D8332" t="s">
        <v>11437</v>
      </c>
      <c r="E8332" t="s">
        <v>11</v>
      </c>
      <c r="G8332" t="s">
        <v>74</v>
      </c>
      <c r="H8332" t="s">
        <v>14</v>
      </c>
    </row>
    <row r="8333" spans="1:8" hidden="1" x14ac:dyDescent="0.25">
      <c r="A8333" t="s">
        <v>11227</v>
      </c>
      <c r="B8333" s="1" t="str">
        <f>HYPERLINK("https://asmlis.vasa.lt/Dashboard/Served?ServiceDateFrom=2025-11-24&amp;ServiceDateTo=2025-11-24&amp;DumpsterInvNr=13-L-206100", "13-L-206100")</f>
        <v>13-L-206100</v>
      </c>
      <c r="C8333">
        <v>0.12</v>
      </c>
      <c r="D8333" t="s">
        <v>8805</v>
      </c>
      <c r="E8333" t="s">
        <v>11</v>
      </c>
      <c r="G8333" t="s">
        <v>936</v>
      </c>
      <c r="H8333" t="s">
        <v>938</v>
      </c>
    </row>
    <row r="8334" spans="1:8" hidden="1" x14ac:dyDescent="0.25">
      <c r="A8334" t="s">
        <v>11227</v>
      </c>
      <c r="B8334" s="1" t="str">
        <f>HYPERLINK("https://asmlis.vasa.lt/Dashboard/Served?ServiceDateFrom=2025-11-24&amp;ServiceDateTo=2025-11-24&amp;DumpsterInvNr=13-L-223648", "13-L-223648")</f>
        <v>13-L-223648</v>
      </c>
      <c r="C8334">
        <v>1.1000000000000001</v>
      </c>
      <c r="D8334" t="s">
        <v>11411</v>
      </c>
      <c r="E8334" t="s">
        <v>11</v>
      </c>
      <c r="G8334" t="s">
        <v>936</v>
      </c>
      <c r="H8334" t="s">
        <v>938</v>
      </c>
    </row>
    <row r="8335" spans="1:8" hidden="1" x14ac:dyDescent="0.25">
      <c r="A8335" t="s">
        <v>11438</v>
      </c>
      <c r="B8335" s="1" t="str">
        <f>HYPERLINK("https://asmlis.vasa.lt/Dashboard/Served?ServiceDateFrom=2025-11-24&amp;ServiceDateTo=2025-11-24&amp;DumpsterInvNr=13-P-209573", "13-P-209573")</f>
        <v>13-P-209573</v>
      </c>
      <c r="C8335">
        <v>0.24</v>
      </c>
      <c r="D8335" t="s">
        <v>11439</v>
      </c>
      <c r="E8335" t="s">
        <v>11</v>
      </c>
      <c r="G8335" t="s">
        <v>234</v>
      </c>
      <c r="H8335" t="s">
        <v>14</v>
      </c>
    </row>
    <row r="8336" spans="1:8" hidden="1" x14ac:dyDescent="0.25">
      <c r="A8336" t="s">
        <v>11440</v>
      </c>
      <c r="B8336" s="1" t="str">
        <f>HYPERLINK("https://asmlis.vasa.lt/Dashboard/Served?ServiceDateFrom=2025-11-24&amp;ServiceDateTo=2025-11-24&amp;DumpsterInvNr=13-M-206071", "13-M-206071")</f>
        <v>13-M-206071</v>
      </c>
      <c r="C8336">
        <v>0.12</v>
      </c>
      <c r="D8336" t="s">
        <v>11441</v>
      </c>
      <c r="E8336" t="s">
        <v>11</v>
      </c>
      <c r="G8336" t="s">
        <v>4876</v>
      </c>
      <c r="H8336" t="s">
        <v>938</v>
      </c>
    </row>
    <row r="8337" spans="1:8" hidden="1" x14ac:dyDescent="0.25">
      <c r="A8337" t="s">
        <v>11440</v>
      </c>
      <c r="B8337" s="1" t="str">
        <f>HYPERLINK("https://asmlis.vasa.lt/Dashboard/Served?ServiceDateFrom=2025-11-24&amp;ServiceDateTo=2025-11-24&amp;DumpsterInvNr=13-L-426539", "13-L-426539")</f>
        <v>13-L-426539</v>
      </c>
      <c r="C8337">
        <v>0.24</v>
      </c>
      <c r="D8337" t="s">
        <v>6672</v>
      </c>
      <c r="E8337" t="s">
        <v>11</v>
      </c>
      <c r="G8337" t="s">
        <v>74</v>
      </c>
      <c r="H8337" t="s">
        <v>14</v>
      </c>
    </row>
    <row r="8338" spans="1:8" hidden="1" x14ac:dyDescent="0.25">
      <c r="A8338" t="s">
        <v>11442</v>
      </c>
      <c r="B8338" s="1" t="str">
        <f>HYPERLINK("https://asmlis.vasa.lt/Dashboard/Served?ServiceDateFrom=2025-11-24&amp;ServiceDateTo=2025-11-24&amp;DumpsterInvNr=13-L-316688", "13-L-316688")</f>
        <v>13-L-316688</v>
      </c>
      <c r="C8338">
        <v>0.77</v>
      </c>
      <c r="D8338" t="s">
        <v>11443</v>
      </c>
      <c r="E8338" t="s">
        <v>11</v>
      </c>
      <c r="G8338" t="s">
        <v>9</v>
      </c>
      <c r="H8338" t="s">
        <v>14</v>
      </c>
    </row>
    <row r="8339" spans="1:8" hidden="1" x14ac:dyDescent="0.25">
      <c r="A8339" t="s">
        <v>11444</v>
      </c>
      <c r="B8339" s="1" t="str">
        <f>HYPERLINK("https://asmlis.vasa.lt/Dashboard/Served?ServiceDateFrom=2025-11-24&amp;ServiceDateTo=2025-11-24&amp;DumpsterInvNr=13-L-416726", "13-L-416726")</f>
        <v>13-L-416726</v>
      </c>
      <c r="C8339">
        <v>1.1000000000000001</v>
      </c>
      <c r="D8339" t="s">
        <v>11446</v>
      </c>
      <c r="E8339" t="s">
        <v>11</v>
      </c>
      <c r="G8339" t="s">
        <v>74</v>
      </c>
      <c r="H8339" t="s">
        <v>14</v>
      </c>
    </row>
    <row r="8340" spans="1:8" hidden="1" x14ac:dyDescent="0.25">
      <c r="A8340" t="s">
        <v>11444</v>
      </c>
      <c r="B8340" s="1" t="str">
        <f>HYPERLINK("https://asmlis.vasa.lt/Dashboard/Served?ServiceDateFrom=2025-11-24&amp;ServiceDateTo=2025-11-24&amp;DumpsterInvNr=13-P-408725", "13-P-408725")</f>
        <v>13-P-408725</v>
      </c>
      <c r="C8340">
        <v>1.1000000000000001</v>
      </c>
      <c r="D8340" t="s">
        <v>11381</v>
      </c>
      <c r="E8340" t="s">
        <v>11</v>
      </c>
      <c r="F8340" t="s">
        <v>13</v>
      </c>
      <c r="G8340" t="s">
        <v>264</v>
      </c>
      <c r="H8340" t="s">
        <v>14</v>
      </c>
    </row>
    <row r="8341" spans="1:8" hidden="1" x14ac:dyDescent="0.25">
      <c r="A8341" t="s">
        <v>11209</v>
      </c>
      <c r="B8341" s="1" t="str">
        <f>HYPERLINK("https://asmlis.vasa.lt/Dashboard/Served?ServiceDateFrom=2025-11-24&amp;ServiceDateTo=2025-11-24&amp;DumpsterInvNr=13-S-505028", "13-S-505028")</f>
        <v>13-S-505028</v>
      </c>
      <c r="C8341">
        <v>0.12</v>
      </c>
      <c r="D8341" t="s">
        <v>11431</v>
      </c>
      <c r="E8341" t="s">
        <v>11</v>
      </c>
      <c r="F8341" t="s">
        <v>1209</v>
      </c>
      <c r="G8341" t="s">
        <v>2178</v>
      </c>
      <c r="H8341" t="s">
        <v>432</v>
      </c>
    </row>
    <row r="8342" spans="1:8" hidden="1" x14ac:dyDescent="0.25">
      <c r="A8342" t="s">
        <v>11447</v>
      </c>
      <c r="B8342" s="1" t="str">
        <f>HYPERLINK("https://asmlis.vasa.lt/Dashboard/Served?ServiceDateFrom=2025-11-24&amp;ServiceDateTo=2025-11-24&amp;DumpsterInvNr=13-L-140380", "13-L-140380")</f>
        <v>13-L-140380</v>
      </c>
      <c r="C8342">
        <v>0.24</v>
      </c>
      <c r="D8342" t="s">
        <v>11448</v>
      </c>
      <c r="E8342" t="s">
        <v>11</v>
      </c>
      <c r="G8342" t="s">
        <v>1912</v>
      </c>
      <c r="H8342" t="s">
        <v>432</v>
      </c>
    </row>
    <row r="8343" spans="1:8" hidden="1" x14ac:dyDescent="0.25">
      <c r="A8343" t="s">
        <v>11450</v>
      </c>
      <c r="B8343" s="1" t="str">
        <f>HYPERLINK("https://asmlis.vasa.lt/Dashboard/Served?ServiceDateFrom=2025-11-24&amp;ServiceDateTo=2025-11-24&amp;DumpsterInvNr=13-L-142294", "13-L-142294")</f>
        <v>13-L-142294</v>
      </c>
      <c r="C8343">
        <v>1.1000000000000001</v>
      </c>
      <c r="D8343" t="s">
        <v>3943</v>
      </c>
      <c r="E8343" t="s">
        <v>11</v>
      </c>
      <c r="F8343" t="s">
        <v>13</v>
      </c>
      <c r="G8343" t="s">
        <v>430</v>
      </c>
      <c r="H8343" t="s">
        <v>432</v>
      </c>
    </row>
    <row r="8344" spans="1:8" hidden="1" x14ac:dyDescent="0.25">
      <c r="A8344" t="s">
        <v>11451</v>
      </c>
      <c r="B8344" s="1" t="str">
        <f>HYPERLINK("https://asmlis.vasa.lt/Dashboard/Served?ServiceDateFrom=2025-11-24&amp;ServiceDateTo=2025-11-24&amp;DumpsterInvNr=13-L-134683", "13-L-134683")</f>
        <v>13-L-134683</v>
      </c>
      <c r="C8344">
        <v>0.24</v>
      </c>
      <c r="D8344" t="s">
        <v>11452</v>
      </c>
      <c r="E8344" t="s">
        <v>11</v>
      </c>
      <c r="G8344" t="s">
        <v>430</v>
      </c>
      <c r="H8344" t="s">
        <v>432</v>
      </c>
    </row>
    <row r="8345" spans="1:8" hidden="1" x14ac:dyDescent="0.25">
      <c r="A8345" t="s">
        <v>11453</v>
      </c>
      <c r="B8345" s="1" t="str">
        <f>HYPERLINK("https://asmlis.vasa.lt/Dashboard/Served?ServiceDateFrom=2025-11-24&amp;ServiceDateTo=2025-11-24&amp;DumpsterInvNr=13-P-508546", "13-P-508546")</f>
        <v>13-P-508546</v>
      </c>
      <c r="C8345">
        <v>0.24</v>
      </c>
      <c r="D8345" t="s">
        <v>11452</v>
      </c>
      <c r="E8345" t="s">
        <v>11</v>
      </c>
      <c r="G8345" t="s">
        <v>2178</v>
      </c>
      <c r="H8345" t="s">
        <v>432</v>
      </c>
    </row>
    <row r="8346" spans="1:8" hidden="1" x14ac:dyDescent="0.25">
      <c r="A8346" t="s">
        <v>11453</v>
      </c>
      <c r="B8346" s="1" t="str">
        <f>HYPERLINK("https://asmlis.vasa.lt/Dashboard/Served?ServiceDateFrom=2025-11-24&amp;ServiceDateTo=2025-11-24&amp;DumpsterInvNr=13-S-502557", "13-S-502557")</f>
        <v>13-S-502557</v>
      </c>
      <c r="C8346">
        <v>0.12</v>
      </c>
      <c r="D8346" t="s">
        <v>11452</v>
      </c>
      <c r="E8346" t="s">
        <v>11</v>
      </c>
      <c r="G8346" t="s">
        <v>2178</v>
      </c>
      <c r="H8346" t="s">
        <v>432</v>
      </c>
    </row>
    <row r="8347" spans="1:8" hidden="1" x14ac:dyDescent="0.25">
      <c r="A8347" t="s">
        <v>11455</v>
      </c>
      <c r="B8347" s="1" t="str">
        <f>HYPERLINK("https://asmlis.vasa.lt/Dashboard/Served?ServiceDateFrom=2025-11-24&amp;ServiceDateTo=2025-11-24&amp;DumpsterInvNr=13-M-202179", "13-M-202179")</f>
        <v>13-M-202179</v>
      </c>
      <c r="C8347">
        <v>0.12</v>
      </c>
      <c r="D8347" t="s">
        <v>11456</v>
      </c>
      <c r="E8347" t="s">
        <v>11</v>
      </c>
      <c r="F8347" t="s">
        <v>1209</v>
      </c>
      <c r="G8347" t="s">
        <v>4876</v>
      </c>
      <c r="H8347" t="s">
        <v>938</v>
      </c>
    </row>
    <row r="8348" spans="1:8" hidden="1" x14ac:dyDescent="0.25">
      <c r="A8348" t="s">
        <v>11457</v>
      </c>
      <c r="B8348" s="1" t="str">
        <f>HYPERLINK("https://asmlis.vasa.lt/Dashboard/Served?ServiceDateFrom=2025-11-24&amp;ServiceDateTo=2025-11-24&amp;DumpsterInvNr=13-P-103182", "13-P-103182")</f>
        <v>13-P-103182</v>
      </c>
      <c r="C8348">
        <v>0.24</v>
      </c>
      <c r="D8348" t="s">
        <v>11423</v>
      </c>
      <c r="E8348" t="s">
        <v>11</v>
      </c>
      <c r="G8348" t="s">
        <v>1917</v>
      </c>
      <c r="H8348" t="s">
        <v>432</v>
      </c>
    </row>
    <row r="8349" spans="1:8" hidden="1" x14ac:dyDescent="0.25">
      <c r="A8349" t="s">
        <v>11459</v>
      </c>
      <c r="B8349" s="1" t="str">
        <f>HYPERLINK("https://asmlis.vasa.lt/Dashboard/Served?ServiceDateFrom=2025-11-24&amp;ServiceDateTo=2025-11-24&amp;DumpsterInvNr=13-L-426511", "13-L-426511")</f>
        <v>13-L-426511</v>
      </c>
      <c r="C8349">
        <v>1.1000000000000001</v>
      </c>
      <c r="D8349" t="s">
        <v>11446</v>
      </c>
      <c r="E8349" t="s">
        <v>11</v>
      </c>
      <c r="G8349" t="s">
        <v>74</v>
      </c>
      <c r="H8349" t="s">
        <v>14</v>
      </c>
    </row>
    <row r="8350" spans="1:8" hidden="1" x14ac:dyDescent="0.25">
      <c r="A8350" t="s">
        <v>11459</v>
      </c>
      <c r="B8350" s="1" t="str">
        <f>HYPERLINK("https://asmlis.vasa.lt/Dashboard/Served?ServiceDateFrom=2025-11-24&amp;ServiceDateTo=2025-11-24&amp;DumpsterInvNr=13-M-202125", "13-M-202125")</f>
        <v>13-M-202125</v>
      </c>
      <c r="C8350">
        <v>0.12</v>
      </c>
      <c r="D8350" t="s">
        <v>11460</v>
      </c>
      <c r="E8350" t="s">
        <v>11</v>
      </c>
      <c r="F8350" t="s">
        <v>1209</v>
      </c>
      <c r="G8350" t="s">
        <v>4876</v>
      </c>
      <c r="H8350" t="s">
        <v>938</v>
      </c>
    </row>
    <row r="8351" spans="1:8" hidden="1" x14ac:dyDescent="0.25">
      <c r="A8351" t="s">
        <v>11461</v>
      </c>
      <c r="B8351" s="1" t="str">
        <f>HYPERLINK("https://asmlis.vasa.lt/Dashboard/Served?ServiceDateFrom=2025-11-24&amp;ServiceDateTo=2025-11-24&amp;DumpsterInvNr=13-P-208736", "13-P-208736")</f>
        <v>13-P-208736</v>
      </c>
      <c r="C8351">
        <v>0.24</v>
      </c>
      <c r="D8351" t="s">
        <v>11462</v>
      </c>
      <c r="E8351" t="s">
        <v>11</v>
      </c>
      <c r="G8351" t="s">
        <v>234</v>
      </c>
      <c r="H8351" t="s">
        <v>14</v>
      </c>
    </row>
    <row r="8352" spans="1:8" hidden="1" x14ac:dyDescent="0.25">
      <c r="A8352" t="s">
        <v>11463</v>
      </c>
      <c r="B8352" s="1" t="str">
        <f>HYPERLINK("https://asmlis.vasa.lt/Dashboard/Served?ServiceDateFrom=2025-11-24&amp;ServiceDateTo=2025-11-24&amp;DumpsterInvNr=13-L-424348", "13-L-424348")</f>
        <v>13-L-424348</v>
      </c>
      <c r="C8352">
        <v>0.24</v>
      </c>
      <c r="D8352" t="s">
        <v>6687</v>
      </c>
      <c r="E8352" t="s">
        <v>11</v>
      </c>
      <c r="G8352" t="s">
        <v>74</v>
      </c>
      <c r="H8352" t="s">
        <v>14</v>
      </c>
    </row>
    <row r="8353" spans="1:8" hidden="1" x14ac:dyDescent="0.25">
      <c r="A8353" t="s">
        <v>11464</v>
      </c>
      <c r="B8353" s="1" t="str">
        <f>HYPERLINK("https://asmlis.vasa.lt/Dashboard/Served?ServiceDateFrom=2025-11-24&amp;ServiceDateTo=2025-11-24&amp;DumpsterInvNr=13-P-103198", "13-P-103198")</f>
        <v>13-P-103198</v>
      </c>
      <c r="C8353">
        <v>0.24</v>
      </c>
      <c r="D8353" t="s">
        <v>11423</v>
      </c>
      <c r="E8353" t="s">
        <v>11</v>
      </c>
      <c r="F8353" t="s">
        <v>1209</v>
      </c>
      <c r="G8353" t="s">
        <v>1917</v>
      </c>
      <c r="H8353" t="s">
        <v>432</v>
      </c>
    </row>
    <row r="8354" spans="1:8" hidden="1" x14ac:dyDescent="0.25">
      <c r="A8354" t="s">
        <v>11465</v>
      </c>
      <c r="B8354" s="1" t="str">
        <f>HYPERLINK("https://asmlis.vasa.lt/Dashboard/Served?ServiceDateFrom=2025-11-24&amp;ServiceDateTo=2025-11-24&amp;DumpsterInvNr=13-S-103212", "13-S-103212")</f>
        <v>13-S-103212</v>
      </c>
      <c r="C8354">
        <v>0.12</v>
      </c>
      <c r="D8354" t="s">
        <v>11423</v>
      </c>
      <c r="E8354" t="s">
        <v>11</v>
      </c>
      <c r="F8354" t="s">
        <v>1209</v>
      </c>
      <c r="G8354" t="s">
        <v>1917</v>
      </c>
      <c r="H8354" t="s">
        <v>432</v>
      </c>
    </row>
    <row r="8355" spans="1:8" hidden="1" x14ac:dyDescent="0.25">
      <c r="A8355" t="s">
        <v>11466</v>
      </c>
      <c r="B8355" s="1" t="str">
        <f>HYPERLINK("https://asmlis.vasa.lt/Dashboard/Served?ServiceDateFrom=2025-11-24&amp;ServiceDateTo=2025-11-24&amp;DumpsterInvNr=13-L-206102", "13-L-206102")</f>
        <v>13-L-206102</v>
      </c>
      <c r="C8355">
        <v>0.24</v>
      </c>
      <c r="D8355" t="s">
        <v>8730</v>
      </c>
      <c r="E8355" t="s">
        <v>11</v>
      </c>
      <c r="G8355" t="s">
        <v>936</v>
      </c>
      <c r="H8355" t="s">
        <v>938</v>
      </c>
    </row>
    <row r="8356" spans="1:8" hidden="1" x14ac:dyDescent="0.25">
      <c r="A8356" t="s">
        <v>11466</v>
      </c>
      <c r="B8356" s="1" t="str">
        <f>HYPERLINK("https://asmlis.vasa.lt/Dashboard/Served?ServiceDateFrom=2025-11-24&amp;ServiceDateTo=2025-11-24&amp;DumpsterInvNr=13-M-202037", "13-M-202037")</f>
        <v>13-M-202037</v>
      </c>
      <c r="C8356">
        <v>0.12</v>
      </c>
      <c r="D8356" t="s">
        <v>11467</v>
      </c>
      <c r="E8356" t="s">
        <v>11</v>
      </c>
      <c r="F8356" t="s">
        <v>1209</v>
      </c>
      <c r="G8356" t="s">
        <v>4876</v>
      </c>
      <c r="H8356" t="s">
        <v>938</v>
      </c>
    </row>
    <row r="8357" spans="1:8" hidden="1" x14ac:dyDescent="0.25">
      <c r="A8357" t="s">
        <v>11469</v>
      </c>
      <c r="B8357" s="1" t="str">
        <f>HYPERLINK("https://asmlis.vasa.lt/Dashboard/Served?ServiceDateFrom=2025-11-24&amp;ServiceDateTo=2025-11-24&amp;DumpsterInvNr=13-S-103164", "13-S-103164")</f>
        <v>13-S-103164</v>
      </c>
      <c r="C8357">
        <v>0.12</v>
      </c>
      <c r="D8357" t="s">
        <v>11262</v>
      </c>
      <c r="E8357" t="s">
        <v>11</v>
      </c>
      <c r="F8357" t="s">
        <v>1209</v>
      </c>
      <c r="G8357" t="s">
        <v>1917</v>
      </c>
      <c r="H8357" t="s">
        <v>432</v>
      </c>
    </row>
    <row r="8358" spans="1:8" hidden="1" x14ac:dyDescent="0.25">
      <c r="A8358" t="s">
        <v>11471</v>
      </c>
      <c r="B8358" s="1" t="str">
        <f>HYPERLINK("https://asmlis.vasa.lt/Dashboard/Served?ServiceDateFrom=2025-11-24&amp;ServiceDateTo=2025-11-24&amp;DumpsterInvNr=13-S-103264", "13-S-103264")</f>
        <v>13-S-103264</v>
      </c>
      <c r="C8358">
        <v>0.12</v>
      </c>
      <c r="D8358" t="s">
        <v>11423</v>
      </c>
      <c r="E8358" t="s">
        <v>11</v>
      </c>
      <c r="F8358" t="s">
        <v>1209</v>
      </c>
      <c r="G8358" t="s">
        <v>1917</v>
      </c>
      <c r="H8358" t="s">
        <v>432</v>
      </c>
    </row>
    <row r="8359" spans="1:8" hidden="1" x14ac:dyDescent="0.25">
      <c r="A8359" t="s">
        <v>11472</v>
      </c>
      <c r="B8359" s="1" t="str">
        <f>HYPERLINK("https://asmlis.vasa.lt/Dashboard/Served?ServiceDateFrom=2025-11-24&amp;ServiceDateTo=2025-11-24&amp;DumpsterInvNr=13-P-103196", "13-P-103196")</f>
        <v>13-P-103196</v>
      </c>
      <c r="C8359">
        <v>0.24</v>
      </c>
      <c r="D8359" t="s">
        <v>11425</v>
      </c>
      <c r="E8359" t="s">
        <v>11</v>
      </c>
      <c r="F8359" t="s">
        <v>1209</v>
      </c>
      <c r="G8359" t="s">
        <v>1917</v>
      </c>
      <c r="H8359" t="s">
        <v>432</v>
      </c>
    </row>
    <row r="8360" spans="1:8" hidden="1" x14ac:dyDescent="0.25">
      <c r="A8360" t="s">
        <v>11473</v>
      </c>
      <c r="B8360" s="1" t="str">
        <f>HYPERLINK("https://asmlis.vasa.lt/Dashboard/Served?ServiceDateFrom=2025-11-24&amp;ServiceDateTo=2025-11-24&amp;DumpsterInvNr=13-L-208187", "13-L-208187")</f>
        <v>13-L-208187</v>
      </c>
      <c r="C8360">
        <v>0.24</v>
      </c>
      <c r="D8360" t="s">
        <v>8818</v>
      </c>
      <c r="E8360" t="s">
        <v>11</v>
      </c>
      <c r="F8360" t="s">
        <v>13</v>
      </c>
      <c r="G8360" t="s">
        <v>936</v>
      </c>
      <c r="H8360" t="s">
        <v>938</v>
      </c>
    </row>
    <row r="8361" spans="1:8" hidden="1" x14ac:dyDescent="0.25">
      <c r="A8361" t="s">
        <v>11474</v>
      </c>
      <c r="B8361" s="1" t="str">
        <f>HYPERLINK("https://asmlis.vasa.lt/Dashboard/Served?ServiceDateFrom=2025-11-24&amp;ServiceDateTo=2025-11-24&amp;DumpsterInvNr=13-S-102433", "13-S-102433")</f>
        <v>13-S-102433</v>
      </c>
      <c r="C8361">
        <v>0.12</v>
      </c>
      <c r="D8361" t="s">
        <v>11376</v>
      </c>
      <c r="E8361" t="s">
        <v>11</v>
      </c>
      <c r="F8361" t="s">
        <v>1209</v>
      </c>
      <c r="G8361" t="s">
        <v>1917</v>
      </c>
      <c r="H8361" t="s">
        <v>432</v>
      </c>
    </row>
    <row r="8362" spans="1:8" hidden="1" x14ac:dyDescent="0.25">
      <c r="A8362" t="s">
        <v>11476</v>
      </c>
      <c r="B8362" s="1" t="str">
        <f>HYPERLINK("https://asmlis.vasa.lt/Dashboard/Served?ServiceDateFrom=2025-11-24&amp;ServiceDateTo=2025-11-24&amp;DumpsterInvNr=13-P-101178", "13-P-101178")</f>
        <v>13-P-101178</v>
      </c>
      <c r="C8362">
        <v>0.12</v>
      </c>
      <c r="D8362" t="s">
        <v>11376</v>
      </c>
      <c r="E8362" t="s">
        <v>11</v>
      </c>
      <c r="F8362" t="s">
        <v>1209</v>
      </c>
      <c r="G8362" t="s">
        <v>1917</v>
      </c>
      <c r="H8362" t="s">
        <v>432</v>
      </c>
    </row>
    <row r="8363" spans="1:8" hidden="1" x14ac:dyDescent="0.25">
      <c r="A8363" t="s">
        <v>11477</v>
      </c>
      <c r="B8363" s="1" t="str">
        <f>HYPERLINK("https://asmlis.vasa.lt/Dashboard/Served?ServiceDateFrom=2025-11-24&amp;ServiceDateTo=2025-11-24&amp;DumpsterInvNr=13-S-103160", "13-S-103160")</f>
        <v>13-S-103160</v>
      </c>
      <c r="C8363">
        <v>0.12</v>
      </c>
      <c r="D8363" t="s">
        <v>11376</v>
      </c>
      <c r="E8363" t="s">
        <v>11</v>
      </c>
      <c r="F8363" t="s">
        <v>1209</v>
      </c>
      <c r="G8363" t="s">
        <v>1917</v>
      </c>
      <c r="H8363" t="s">
        <v>432</v>
      </c>
    </row>
    <row r="8364" spans="1:8" hidden="1" x14ac:dyDescent="0.25">
      <c r="A8364" t="s">
        <v>11479</v>
      </c>
      <c r="B8364" s="1" t="str">
        <f>HYPERLINK("https://asmlis.vasa.lt/Dashboard/Served?ServiceDateFrom=2025-11-24&amp;ServiceDateTo=2025-11-24&amp;DumpsterInvNr=13-L-143924", "13-L-143924")</f>
        <v>13-L-143924</v>
      </c>
      <c r="C8364">
        <v>0.24</v>
      </c>
      <c r="D8364" t="s">
        <v>11480</v>
      </c>
      <c r="E8364" t="s">
        <v>11</v>
      </c>
      <c r="G8364" t="s">
        <v>430</v>
      </c>
      <c r="H8364" t="s">
        <v>432</v>
      </c>
    </row>
    <row r="8365" spans="1:8" hidden="1" x14ac:dyDescent="0.25">
      <c r="A8365" t="s">
        <v>11479</v>
      </c>
      <c r="B8365" s="1" t="str">
        <f>HYPERLINK("https://asmlis.vasa.lt/Dashboard/Served?ServiceDateFrom=2025-11-24&amp;ServiceDateTo=2025-11-24&amp;DumpsterInvNr=13-S-103265", "13-S-103265")</f>
        <v>13-S-103265</v>
      </c>
      <c r="C8365">
        <v>0.12</v>
      </c>
      <c r="D8365" t="s">
        <v>11376</v>
      </c>
      <c r="E8365" t="s">
        <v>11</v>
      </c>
      <c r="F8365" t="s">
        <v>1209</v>
      </c>
      <c r="G8365" t="s">
        <v>1917</v>
      </c>
      <c r="H8365" t="s">
        <v>432</v>
      </c>
    </row>
    <row r="8366" spans="1:8" hidden="1" x14ac:dyDescent="0.25">
      <c r="A8366" t="s">
        <v>11479</v>
      </c>
      <c r="B8366" s="1" t="str">
        <f>HYPERLINK("https://asmlis.vasa.lt/Dashboard/Served?ServiceDateFrom=2025-11-24&amp;ServiceDateTo=2025-11-24&amp;DumpsterInvNr=13-P-506487", "13-P-506487")</f>
        <v>13-P-506487</v>
      </c>
      <c r="C8366">
        <v>0.24</v>
      </c>
      <c r="D8366" t="s">
        <v>11480</v>
      </c>
      <c r="E8366" t="s">
        <v>11</v>
      </c>
      <c r="G8366" t="s">
        <v>2178</v>
      </c>
      <c r="H8366" t="s">
        <v>432</v>
      </c>
    </row>
    <row r="8367" spans="1:8" hidden="1" x14ac:dyDescent="0.25">
      <c r="A8367" t="s">
        <v>11479</v>
      </c>
      <c r="B8367" s="1" t="str">
        <f>HYPERLINK("https://asmlis.vasa.lt/Dashboard/Served?ServiceDateFrom=2025-11-24&amp;ServiceDateTo=2025-11-24&amp;DumpsterInvNr=13-M-202302", "13-M-202302")</f>
        <v>13-M-202302</v>
      </c>
      <c r="C8367">
        <v>0.12</v>
      </c>
      <c r="D8367" t="s">
        <v>11482</v>
      </c>
      <c r="E8367" t="s">
        <v>11</v>
      </c>
      <c r="F8367" t="s">
        <v>1209</v>
      </c>
      <c r="G8367" t="s">
        <v>4876</v>
      </c>
      <c r="H8367" t="s">
        <v>938</v>
      </c>
    </row>
    <row r="8368" spans="1:8" hidden="1" x14ac:dyDescent="0.25">
      <c r="A8368" t="s">
        <v>11483</v>
      </c>
      <c r="B8368" s="1" t="str">
        <f>HYPERLINK("https://asmlis.vasa.lt/Dashboard/Served?ServiceDateFrom=2025-11-24&amp;ServiceDateTo=2025-11-24&amp;DumpsterInvNr=13-L-123903", "13-L-123903")</f>
        <v>13-L-123903</v>
      </c>
      <c r="C8368">
        <v>0.12</v>
      </c>
      <c r="D8368" t="s">
        <v>11376</v>
      </c>
      <c r="E8368" t="s">
        <v>11</v>
      </c>
      <c r="F8368" t="s">
        <v>1209</v>
      </c>
      <c r="G8368" t="s">
        <v>1912</v>
      </c>
      <c r="H8368" t="s">
        <v>432</v>
      </c>
    </row>
    <row r="8369" spans="1:8" hidden="1" x14ac:dyDescent="0.25">
      <c r="A8369" t="s">
        <v>11484</v>
      </c>
      <c r="B8369" s="1" t="str">
        <f>HYPERLINK("https://asmlis.vasa.lt/Dashboard/Served?ServiceDateFrom=2025-11-24&amp;ServiceDateTo=2025-11-24&amp;DumpsterInvNr=13-P-103199", "13-P-103199")</f>
        <v>13-P-103199</v>
      </c>
      <c r="C8369">
        <v>0.24</v>
      </c>
      <c r="D8369" t="s">
        <v>11376</v>
      </c>
      <c r="E8369" t="s">
        <v>11</v>
      </c>
      <c r="F8369" t="s">
        <v>1209</v>
      </c>
      <c r="G8369" t="s">
        <v>1917</v>
      </c>
      <c r="H8369" t="s">
        <v>432</v>
      </c>
    </row>
    <row r="8370" spans="1:8" hidden="1" x14ac:dyDescent="0.25">
      <c r="A8370" t="s">
        <v>11485</v>
      </c>
      <c r="B8370" s="1" t="str">
        <f>HYPERLINK("https://asmlis.vasa.lt/Dashboard/Served?ServiceDateFrom=2025-11-24&amp;ServiceDateTo=2025-11-24&amp;DumpsterInvNr=13-P-100921", "13-P-100921")</f>
        <v>13-P-100921</v>
      </c>
      <c r="C8370">
        <v>0.12</v>
      </c>
      <c r="D8370" t="s">
        <v>11376</v>
      </c>
      <c r="E8370" t="s">
        <v>11</v>
      </c>
      <c r="F8370" t="s">
        <v>1209</v>
      </c>
      <c r="G8370" t="s">
        <v>1917</v>
      </c>
      <c r="H8370" t="s">
        <v>432</v>
      </c>
    </row>
    <row r="8371" spans="1:8" hidden="1" x14ac:dyDescent="0.25">
      <c r="A8371" t="s">
        <v>11487</v>
      </c>
      <c r="B8371" s="1" t="str">
        <f>HYPERLINK("https://asmlis.vasa.lt/Dashboard/Served?ServiceDateFrom=2025-11-24&amp;ServiceDateTo=2025-11-24&amp;DumpsterInvNr=13-L-317168", "13-L-317168")</f>
        <v>13-L-317168</v>
      </c>
      <c r="C8371">
        <v>1.1000000000000001</v>
      </c>
      <c r="D8371" t="s">
        <v>11488</v>
      </c>
      <c r="E8371" t="s">
        <v>11</v>
      </c>
      <c r="G8371" t="s">
        <v>9</v>
      </c>
      <c r="H8371" t="s">
        <v>14</v>
      </c>
    </row>
    <row r="8372" spans="1:8" hidden="1" x14ac:dyDescent="0.25">
      <c r="A8372" t="s">
        <v>11487</v>
      </c>
      <c r="B8372" s="1" t="str">
        <f>HYPERLINK("https://asmlis.vasa.lt/Dashboard/Served?ServiceDateFrom=2025-11-24&amp;ServiceDateTo=2025-11-24&amp;DumpsterInvNr=13-S-103213", "13-S-103213")</f>
        <v>13-S-103213</v>
      </c>
      <c r="C8372">
        <v>0.12</v>
      </c>
      <c r="D8372" t="s">
        <v>11376</v>
      </c>
      <c r="E8372" t="s">
        <v>11</v>
      </c>
      <c r="F8372" t="s">
        <v>1209</v>
      </c>
      <c r="G8372" t="s">
        <v>1917</v>
      </c>
      <c r="H8372" t="s">
        <v>432</v>
      </c>
    </row>
    <row r="8373" spans="1:8" hidden="1" x14ac:dyDescent="0.25">
      <c r="A8373" t="s">
        <v>11490</v>
      </c>
      <c r="B8373" s="1" t="str">
        <f>HYPERLINK("https://asmlis.vasa.lt/Dashboard/Served?ServiceDateFrom=2025-11-24&amp;ServiceDateTo=2025-11-24&amp;DumpsterInvNr=13-S-103214", "13-S-103214")</f>
        <v>13-S-103214</v>
      </c>
      <c r="C8373">
        <v>0.12</v>
      </c>
      <c r="D8373" t="s">
        <v>11425</v>
      </c>
      <c r="E8373" t="s">
        <v>11</v>
      </c>
      <c r="F8373" t="s">
        <v>1209</v>
      </c>
      <c r="G8373" t="s">
        <v>1917</v>
      </c>
      <c r="H8373" t="s">
        <v>432</v>
      </c>
    </row>
    <row r="8374" spans="1:8" hidden="1" x14ac:dyDescent="0.25">
      <c r="A8374" t="s">
        <v>11490</v>
      </c>
      <c r="B8374" s="1" t="str">
        <f>HYPERLINK("https://asmlis.vasa.lt/Dashboard/Served?ServiceDateFrom=2025-11-24&amp;ServiceDateTo=2025-11-24&amp;DumpsterInvNr=13-M-206012", "13-M-206012")</f>
        <v>13-M-206012</v>
      </c>
      <c r="C8374">
        <v>0.12</v>
      </c>
      <c r="D8374" t="s">
        <v>11492</v>
      </c>
      <c r="E8374" t="s">
        <v>11</v>
      </c>
      <c r="F8374" t="s">
        <v>1209</v>
      </c>
      <c r="G8374" t="s">
        <v>4876</v>
      </c>
      <c r="H8374" t="s">
        <v>938</v>
      </c>
    </row>
    <row r="8375" spans="1:8" hidden="1" x14ac:dyDescent="0.25">
      <c r="A8375" t="s">
        <v>11493</v>
      </c>
      <c r="B8375" s="1" t="str">
        <f>HYPERLINK("https://asmlis.vasa.lt/Dashboard/Served?ServiceDateFrom=2025-11-24&amp;ServiceDateTo=2025-11-24&amp;DumpsterInvNr=13-L-222819", "13-L-222819")</f>
        <v>13-L-222819</v>
      </c>
      <c r="C8375">
        <v>0.12</v>
      </c>
      <c r="D8375" t="s">
        <v>8863</v>
      </c>
      <c r="E8375" t="s">
        <v>11</v>
      </c>
      <c r="G8375" t="s">
        <v>936</v>
      </c>
      <c r="H8375" t="s">
        <v>938</v>
      </c>
    </row>
    <row r="8376" spans="1:8" hidden="1" x14ac:dyDescent="0.25">
      <c r="A8376" t="s">
        <v>11494</v>
      </c>
      <c r="B8376" s="1" t="str">
        <f>HYPERLINK("https://asmlis.vasa.lt/Dashboard/Served?ServiceDateFrom=2025-11-24&amp;ServiceDateTo=2025-11-24&amp;DumpsterInvNr=13-L-136113", "13-L-136113")</f>
        <v>13-L-136113</v>
      </c>
      <c r="C8376">
        <v>1.1000000000000001</v>
      </c>
      <c r="D8376" t="s">
        <v>11495</v>
      </c>
      <c r="E8376" t="s">
        <v>11</v>
      </c>
      <c r="G8376" t="s">
        <v>1912</v>
      </c>
      <c r="H8376" t="s">
        <v>432</v>
      </c>
    </row>
    <row r="8377" spans="1:8" hidden="1" x14ac:dyDescent="0.25">
      <c r="A8377" t="s">
        <v>11496</v>
      </c>
      <c r="B8377" s="1" t="str">
        <f>HYPERLINK("https://asmlis.vasa.lt/Dashboard/Served?ServiceDateFrom=2025-11-24&amp;ServiceDateTo=2025-11-24&amp;DumpsterInvNr=13-P-204277", "13-P-204277")</f>
        <v>13-P-204277</v>
      </c>
      <c r="C8377">
        <v>0.24</v>
      </c>
      <c r="D8377" t="s">
        <v>11497</v>
      </c>
      <c r="E8377" t="s">
        <v>11</v>
      </c>
      <c r="G8377" t="s">
        <v>234</v>
      </c>
      <c r="H8377" t="s">
        <v>14</v>
      </c>
    </row>
    <row r="8378" spans="1:8" hidden="1" x14ac:dyDescent="0.25">
      <c r="A8378" t="s">
        <v>11498</v>
      </c>
      <c r="B8378" s="1" t="str">
        <f>HYPERLINK("https://asmlis.vasa.lt/Dashboard/Served?ServiceDateFrom=2025-11-24&amp;ServiceDateTo=2025-11-24&amp;DumpsterInvNr=13-L-304370", "13-L-304370")</f>
        <v>13-L-304370</v>
      </c>
      <c r="C8378">
        <v>5</v>
      </c>
      <c r="D8378" t="s">
        <v>9781</v>
      </c>
      <c r="E8378" t="s">
        <v>11</v>
      </c>
      <c r="F8378" t="s">
        <v>13</v>
      </c>
      <c r="G8378" t="s">
        <v>9</v>
      </c>
      <c r="H8378" t="s">
        <v>14</v>
      </c>
    </row>
    <row r="8379" spans="1:8" hidden="1" x14ac:dyDescent="0.25">
      <c r="A8379" t="s">
        <v>11498</v>
      </c>
      <c r="B8379" s="1" t="str">
        <f>HYPERLINK("https://asmlis.vasa.lt/Dashboard/Served?ServiceDateFrom=2025-11-24&amp;ServiceDateTo=2025-11-24&amp;DumpsterInvNr=13-L-304369", "13-L-304369")</f>
        <v>13-L-304369</v>
      </c>
      <c r="C8379">
        <v>5</v>
      </c>
      <c r="D8379" t="s">
        <v>9781</v>
      </c>
      <c r="E8379" t="s">
        <v>11</v>
      </c>
      <c r="F8379" t="s">
        <v>13</v>
      </c>
      <c r="G8379" t="s">
        <v>9</v>
      </c>
      <c r="H8379" t="s">
        <v>14</v>
      </c>
    </row>
    <row r="8380" spans="1:8" hidden="1" x14ac:dyDescent="0.25">
      <c r="A8380" t="s">
        <v>11499</v>
      </c>
      <c r="B8380" s="1" t="str">
        <f>HYPERLINK("https://asmlis.vasa.lt/Dashboard/Served?ServiceDateFrom=2025-11-24&amp;ServiceDateTo=2025-11-24&amp;DumpsterInvNr=13-P-500147", "13-P-500147")</f>
        <v>13-P-500147</v>
      </c>
      <c r="C8380">
        <v>5</v>
      </c>
      <c r="D8380" t="s">
        <v>7849</v>
      </c>
      <c r="E8380" t="s">
        <v>11</v>
      </c>
      <c r="F8380" t="s">
        <v>13</v>
      </c>
      <c r="G8380" t="s">
        <v>2178</v>
      </c>
      <c r="H8380" t="s">
        <v>432</v>
      </c>
    </row>
    <row r="8381" spans="1:8" hidden="1" x14ac:dyDescent="0.25">
      <c r="A8381" t="s">
        <v>10319</v>
      </c>
      <c r="B8381" s="1" t="str">
        <f>HYPERLINK("https://asmlis.vasa.lt/Dashboard/Served?ServiceDateFrom=2025-11-24&amp;ServiceDateTo=2025-11-24&amp;DumpsterInvNr=13-L-425937", "13-L-425937")</f>
        <v>13-L-425937</v>
      </c>
      <c r="C8381">
        <v>0.24</v>
      </c>
      <c r="D8381" t="s">
        <v>6723</v>
      </c>
      <c r="E8381" t="s">
        <v>11</v>
      </c>
      <c r="G8381" t="s">
        <v>74</v>
      </c>
      <c r="H8381" t="s">
        <v>14</v>
      </c>
    </row>
    <row r="8382" spans="1:8" hidden="1" x14ac:dyDescent="0.25">
      <c r="A8382" t="s">
        <v>10319</v>
      </c>
      <c r="B8382" s="1" t="str">
        <f>HYPERLINK("https://asmlis.vasa.lt/Dashboard/Served?ServiceDateFrom=2025-11-24&amp;ServiceDateTo=2025-11-24&amp;DumpsterInvNr=13-L-425624", "13-L-425624")</f>
        <v>13-L-425624</v>
      </c>
      <c r="C8382">
        <v>0.24</v>
      </c>
      <c r="D8382" t="s">
        <v>6716</v>
      </c>
      <c r="E8382" t="s">
        <v>11</v>
      </c>
      <c r="G8382" t="s">
        <v>74</v>
      </c>
      <c r="H8382" t="s">
        <v>14</v>
      </c>
    </row>
    <row r="8383" spans="1:8" hidden="1" x14ac:dyDescent="0.25">
      <c r="A8383" t="s">
        <v>10281</v>
      </c>
      <c r="B8383" s="1" t="str">
        <f>HYPERLINK("https://asmlis.vasa.lt/Dashboard/Served?ServiceDateFrom=2025-11-24&amp;ServiceDateTo=2025-11-24&amp;DumpsterInvNr=13-L-146718", "13-L-146718")</f>
        <v>13-L-146718</v>
      </c>
      <c r="C8383">
        <v>0.24</v>
      </c>
      <c r="D8383" t="s">
        <v>11500</v>
      </c>
      <c r="E8383" t="s">
        <v>11</v>
      </c>
      <c r="G8383" t="s">
        <v>1912</v>
      </c>
      <c r="H8383" t="s">
        <v>432</v>
      </c>
    </row>
    <row r="8384" spans="1:8" hidden="1" x14ac:dyDescent="0.25">
      <c r="A8384" t="s">
        <v>11302</v>
      </c>
      <c r="B8384" s="1" t="str">
        <f>HYPERLINK("https://asmlis.vasa.lt/Dashboard/Served?ServiceDateFrom=2025-11-24&amp;ServiceDateTo=2025-11-24&amp;DumpsterInvNr=13-L-148106", "13-L-148106")</f>
        <v>13-L-148106</v>
      </c>
      <c r="C8384">
        <v>5</v>
      </c>
      <c r="D8384" t="s">
        <v>11502</v>
      </c>
      <c r="E8384" t="s">
        <v>11</v>
      </c>
      <c r="F8384" t="s">
        <v>13</v>
      </c>
      <c r="G8384" t="s">
        <v>430</v>
      </c>
      <c r="H8384" t="s">
        <v>432</v>
      </c>
    </row>
    <row r="8385" spans="1:8" hidden="1" x14ac:dyDescent="0.25">
      <c r="A8385" t="s">
        <v>11302</v>
      </c>
      <c r="B8385" s="1" t="str">
        <f>HYPERLINK("https://asmlis.vasa.lt/Dashboard/Served?ServiceDateFrom=2025-11-24&amp;ServiceDateTo=2025-11-24&amp;DumpsterInvNr=13-M-202123", "13-M-202123")</f>
        <v>13-M-202123</v>
      </c>
      <c r="C8385">
        <v>0.12</v>
      </c>
      <c r="D8385" t="s">
        <v>11504</v>
      </c>
      <c r="E8385" t="s">
        <v>11</v>
      </c>
      <c r="G8385" t="s">
        <v>4876</v>
      </c>
      <c r="H8385" t="s">
        <v>938</v>
      </c>
    </row>
    <row r="8386" spans="1:8" hidden="1" x14ac:dyDescent="0.25">
      <c r="A8386" t="s">
        <v>11308</v>
      </c>
      <c r="B8386" s="1" t="str">
        <f>HYPERLINK("https://asmlis.vasa.lt/Dashboard/Served?ServiceDateFrom=2025-11-24&amp;ServiceDateTo=2025-11-24&amp;DumpsterInvNr=13-P-104088", "13-P-104088")</f>
        <v>13-P-104088</v>
      </c>
      <c r="C8386">
        <v>0.24</v>
      </c>
      <c r="D8386" t="s">
        <v>11500</v>
      </c>
      <c r="E8386" t="s">
        <v>11</v>
      </c>
      <c r="G8386" t="s">
        <v>1917</v>
      </c>
      <c r="H8386" t="s">
        <v>432</v>
      </c>
    </row>
    <row r="8387" spans="1:8" hidden="1" x14ac:dyDescent="0.25">
      <c r="A8387" t="s">
        <v>11505</v>
      </c>
      <c r="B8387" s="1" t="str">
        <f>HYPERLINK("https://asmlis.vasa.lt/Dashboard/Served?ServiceDateFrom=2025-11-24&amp;ServiceDateTo=2025-11-24&amp;DumpsterInvNr=13-L-142965", "13-L-142965")</f>
        <v>13-L-142965</v>
      </c>
      <c r="C8387">
        <v>0.24</v>
      </c>
      <c r="D8387" t="s">
        <v>11506</v>
      </c>
      <c r="E8387" t="s">
        <v>11</v>
      </c>
      <c r="G8387" t="s">
        <v>430</v>
      </c>
      <c r="H8387" t="s">
        <v>432</v>
      </c>
    </row>
    <row r="8388" spans="1:8" hidden="1" x14ac:dyDescent="0.25">
      <c r="A8388" t="s">
        <v>11505</v>
      </c>
      <c r="B8388" s="1" t="str">
        <f>HYPERLINK("https://asmlis.vasa.lt/Dashboard/Served?ServiceDateFrom=2025-11-24&amp;ServiceDateTo=2025-11-24&amp;DumpsterInvNr=13-P-506546", "13-P-506546")</f>
        <v>13-P-506546</v>
      </c>
      <c r="C8388">
        <v>0.24</v>
      </c>
      <c r="D8388" t="s">
        <v>11506</v>
      </c>
      <c r="E8388" t="s">
        <v>11</v>
      </c>
      <c r="G8388" t="s">
        <v>2178</v>
      </c>
      <c r="H8388" t="s">
        <v>432</v>
      </c>
    </row>
    <row r="8389" spans="1:8" hidden="1" x14ac:dyDescent="0.25">
      <c r="A8389" t="s">
        <v>11507</v>
      </c>
      <c r="B8389" s="1" t="str">
        <f>HYPERLINK("https://asmlis.vasa.lt/Dashboard/Served?ServiceDateFrom=2025-11-24&amp;ServiceDateTo=2025-11-24&amp;DumpsterInvNr=13-L-214800", "13-L-214800")</f>
        <v>13-L-214800</v>
      </c>
      <c r="C8389">
        <v>0.77</v>
      </c>
      <c r="D8389" t="s">
        <v>11508</v>
      </c>
      <c r="E8389" t="s">
        <v>11</v>
      </c>
      <c r="G8389" t="s">
        <v>936</v>
      </c>
      <c r="H8389" t="s">
        <v>938</v>
      </c>
    </row>
    <row r="8390" spans="1:8" hidden="1" x14ac:dyDescent="0.25">
      <c r="A8390" t="s">
        <v>11509</v>
      </c>
      <c r="B8390" s="1" t="str">
        <f>HYPERLINK("https://asmlis.vasa.lt/Dashboard/Served?ServiceDateFrom=2025-11-24&amp;ServiceDateTo=2025-11-24&amp;DumpsterInvNr=13-L-210682", "13-L-210682")</f>
        <v>13-L-210682</v>
      </c>
      <c r="C8390">
        <v>5</v>
      </c>
      <c r="D8390" t="s">
        <v>2959</v>
      </c>
      <c r="E8390" t="s">
        <v>11</v>
      </c>
      <c r="G8390" t="s">
        <v>936</v>
      </c>
      <c r="H8390" t="s">
        <v>938</v>
      </c>
    </row>
    <row r="8391" spans="1:8" hidden="1" x14ac:dyDescent="0.25">
      <c r="A8391" t="s">
        <v>11510</v>
      </c>
      <c r="B8391" s="1" t="str">
        <f>HYPERLINK("https://asmlis.vasa.lt/Dashboard/Served?ServiceDateFrom=2025-11-24&amp;ServiceDateTo=2025-11-24&amp;DumpsterInvNr=13-L-139499", "13-L-139499")</f>
        <v>13-L-139499</v>
      </c>
      <c r="C8391">
        <v>5</v>
      </c>
      <c r="D8391" t="s">
        <v>11511</v>
      </c>
      <c r="E8391" t="s">
        <v>11</v>
      </c>
      <c r="F8391" t="s">
        <v>13</v>
      </c>
      <c r="G8391" t="s">
        <v>430</v>
      </c>
      <c r="H8391" t="s">
        <v>432</v>
      </c>
    </row>
    <row r="8392" spans="1:8" hidden="1" x14ac:dyDescent="0.25">
      <c r="A8392" t="s">
        <v>11510</v>
      </c>
      <c r="B8392" s="1" t="str">
        <f>HYPERLINK("https://asmlis.vasa.lt/Dashboard/Served?ServiceDateFrom=2025-11-24&amp;ServiceDateTo=2025-11-24&amp;DumpsterInvNr=13-L-224326", "13-L-224326")</f>
        <v>13-L-224326</v>
      </c>
      <c r="C8392">
        <v>0.24</v>
      </c>
      <c r="D8392" t="s">
        <v>8870</v>
      </c>
      <c r="E8392" t="s">
        <v>11</v>
      </c>
      <c r="G8392" t="s">
        <v>936</v>
      </c>
      <c r="H8392" t="s">
        <v>938</v>
      </c>
    </row>
    <row r="8393" spans="1:8" hidden="1" x14ac:dyDescent="0.25">
      <c r="A8393" t="s">
        <v>11512</v>
      </c>
      <c r="B8393" s="1" t="str">
        <f>HYPERLINK("https://asmlis.vasa.lt/Dashboard/Served?ServiceDateFrom=2025-11-24&amp;ServiceDateTo=2025-11-24&amp;DumpsterInvNr=13-P-302554", "13-P-302554")</f>
        <v>13-P-302554</v>
      </c>
      <c r="C8393">
        <v>3</v>
      </c>
      <c r="D8393" t="s">
        <v>11513</v>
      </c>
      <c r="E8393" t="s">
        <v>11</v>
      </c>
      <c r="G8393" t="s">
        <v>412</v>
      </c>
      <c r="H8393" t="s">
        <v>14</v>
      </c>
    </row>
    <row r="8394" spans="1:8" hidden="1" x14ac:dyDescent="0.25">
      <c r="A8394" t="s">
        <v>11514</v>
      </c>
      <c r="B8394" s="1" t="str">
        <f>HYPERLINK("https://asmlis.vasa.lt/Dashboard/Served?ServiceDateFrom=2025-11-24&amp;ServiceDateTo=2025-11-24&amp;DumpsterInvNr=13-L-227689", "13-L-227689")</f>
        <v>13-L-227689</v>
      </c>
      <c r="C8394">
        <v>0.24</v>
      </c>
      <c r="D8394" t="s">
        <v>8869</v>
      </c>
      <c r="E8394" t="s">
        <v>11</v>
      </c>
      <c r="F8394" t="s">
        <v>1209</v>
      </c>
      <c r="G8394" t="s">
        <v>936</v>
      </c>
      <c r="H8394" t="s">
        <v>938</v>
      </c>
    </row>
    <row r="8395" spans="1:8" hidden="1" x14ac:dyDescent="0.25">
      <c r="A8395" t="s">
        <v>11516</v>
      </c>
      <c r="B8395" s="1" t="str">
        <f>HYPERLINK("https://asmlis.vasa.lt/Dashboard/Served?ServiceDateFrom=2025-11-24&amp;ServiceDateTo=2025-11-24&amp;DumpsterInvNr=13-T-000124", "13-T-000124")</f>
        <v>13-T-000124</v>
      </c>
      <c r="C8395">
        <v>2.5</v>
      </c>
      <c r="D8395" t="s">
        <v>11517</v>
      </c>
      <c r="E8395" t="s">
        <v>11</v>
      </c>
      <c r="F8395" t="s">
        <v>13</v>
      </c>
      <c r="G8395" t="s">
        <v>1899</v>
      </c>
      <c r="H8395" t="s">
        <v>432</v>
      </c>
    </row>
    <row r="8396" spans="1:8" hidden="1" x14ac:dyDescent="0.25">
      <c r="A8396" t="s">
        <v>11518</v>
      </c>
      <c r="B8396" s="1" t="str">
        <f>HYPERLINK("https://asmlis.vasa.lt/Dashboard/Served?ServiceDateFrom=2025-11-24&amp;ServiceDateTo=2025-11-24&amp;DumpsterInvNr=13-L-422576", "13-L-422576")</f>
        <v>13-L-422576</v>
      </c>
      <c r="C8396">
        <v>1.1000000000000001</v>
      </c>
      <c r="D8396" t="s">
        <v>11358</v>
      </c>
      <c r="E8396" t="s">
        <v>11</v>
      </c>
      <c r="G8396" t="s">
        <v>74</v>
      </c>
      <c r="H8396" t="s">
        <v>14</v>
      </c>
    </row>
    <row r="8397" spans="1:8" hidden="1" x14ac:dyDescent="0.25">
      <c r="A8397" t="s">
        <v>11519</v>
      </c>
      <c r="B8397" s="1" t="str">
        <f>HYPERLINK("https://asmlis.vasa.lt/Dashboard/Served?ServiceDateFrom=2025-11-24&amp;ServiceDateTo=2025-11-24&amp;DumpsterInvNr=13-P-302154", "13-P-302154")</f>
        <v>13-P-302154</v>
      </c>
      <c r="C8397">
        <v>1.1000000000000001</v>
      </c>
      <c r="D8397" t="s">
        <v>8514</v>
      </c>
      <c r="E8397" t="s">
        <v>11</v>
      </c>
      <c r="G8397" t="s">
        <v>412</v>
      </c>
      <c r="H8397" t="s">
        <v>14</v>
      </c>
    </row>
    <row r="8398" spans="1:8" hidden="1" x14ac:dyDescent="0.25">
      <c r="A8398" t="s">
        <v>11520</v>
      </c>
      <c r="B8398" s="1" t="str">
        <f>HYPERLINK("https://asmlis.vasa.lt/Dashboard/Served?ServiceDateFrom=2025-11-24&amp;ServiceDateTo=2025-11-24&amp;DumpsterInvNr=13-T-000147", "13-T-000147")</f>
        <v>13-T-000147</v>
      </c>
      <c r="C8398">
        <v>2.5</v>
      </c>
      <c r="D8398" t="s">
        <v>11517</v>
      </c>
      <c r="E8398" t="s">
        <v>11</v>
      </c>
      <c r="F8398" t="s">
        <v>13</v>
      </c>
      <c r="G8398" t="s">
        <v>1899</v>
      </c>
      <c r="H8398" t="s">
        <v>432</v>
      </c>
    </row>
    <row r="8399" spans="1:8" hidden="1" x14ac:dyDescent="0.25">
      <c r="A8399" t="s">
        <v>11521</v>
      </c>
      <c r="B8399" s="1" t="str">
        <f>HYPERLINK("https://asmlis.vasa.lt/Dashboard/Served?ServiceDateFrom=2025-11-24&amp;ServiceDateTo=2025-11-24&amp;DumpsterInvNr=13-L-419090", "13-L-419090")</f>
        <v>13-L-419090</v>
      </c>
      <c r="C8399">
        <v>1.1000000000000001</v>
      </c>
      <c r="D8399" t="s">
        <v>11446</v>
      </c>
      <c r="E8399" t="s">
        <v>11</v>
      </c>
      <c r="F8399" t="s">
        <v>13</v>
      </c>
      <c r="G8399" t="s">
        <v>74</v>
      </c>
      <c r="H8399" t="s">
        <v>14</v>
      </c>
    </row>
    <row r="8400" spans="1:8" hidden="1" x14ac:dyDescent="0.25">
      <c r="A8400" t="s">
        <v>11522</v>
      </c>
      <c r="B8400" s="1" t="str">
        <f>HYPERLINK("https://asmlis.vasa.lt/Dashboard/Served?ServiceDateFrom=2025-11-24&amp;ServiceDateTo=2025-11-24&amp;DumpsterInvNr=13-P-103184", "13-P-103184")</f>
        <v>13-P-103184</v>
      </c>
      <c r="C8400">
        <v>0.24</v>
      </c>
      <c r="D8400" t="s">
        <v>11500</v>
      </c>
      <c r="E8400" t="s">
        <v>11</v>
      </c>
      <c r="G8400" t="s">
        <v>1917</v>
      </c>
      <c r="H8400" t="s">
        <v>432</v>
      </c>
    </row>
    <row r="8401" spans="1:8" hidden="1" x14ac:dyDescent="0.25">
      <c r="A8401" t="s">
        <v>11524</v>
      </c>
      <c r="B8401" s="1" t="str">
        <f>HYPERLINK("https://asmlis.vasa.lt/Dashboard/Served?ServiceDateFrom=2025-11-24&amp;ServiceDateTo=2025-11-24&amp;DumpsterInvNr=13-P-303026", "13-P-303026")</f>
        <v>13-P-303026</v>
      </c>
      <c r="C8401">
        <v>1.1000000000000001</v>
      </c>
      <c r="D8401" t="s">
        <v>8514</v>
      </c>
      <c r="E8401" t="s">
        <v>11</v>
      </c>
      <c r="F8401" t="s">
        <v>13</v>
      </c>
      <c r="G8401" t="s">
        <v>412</v>
      </c>
      <c r="H8401" t="s">
        <v>14</v>
      </c>
    </row>
    <row r="8402" spans="1:8" hidden="1" x14ac:dyDescent="0.25">
      <c r="A8402" t="s">
        <v>11525</v>
      </c>
      <c r="B8402" s="1" t="str">
        <f>HYPERLINK("https://asmlis.vasa.lt/Dashboard/Served?ServiceDateFrom=2025-11-24&amp;ServiceDateTo=2025-11-24&amp;DumpsterInvNr=13-L-303361", "13-L-303361")</f>
        <v>13-L-303361</v>
      </c>
      <c r="C8402">
        <v>1.1000000000000001</v>
      </c>
      <c r="D8402" t="s">
        <v>11526</v>
      </c>
      <c r="E8402" t="s">
        <v>11</v>
      </c>
      <c r="G8402" t="s">
        <v>9</v>
      </c>
      <c r="H8402" t="s">
        <v>14</v>
      </c>
    </row>
    <row r="8403" spans="1:8" hidden="1" x14ac:dyDescent="0.25">
      <c r="A8403" t="s">
        <v>11527</v>
      </c>
      <c r="B8403" s="1" t="str">
        <f>HYPERLINK("https://asmlis.vasa.lt/Dashboard/Served?ServiceDateFrom=2025-11-24&amp;ServiceDateTo=2025-11-24&amp;DumpsterInvNr=13-P-303024", "13-P-303024")</f>
        <v>13-P-303024</v>
      </c>
      <c r="C8403">
        <v>1.1000000000000001</v>
      </c>
      <c r="D8403" t="s">
        <v>8514</v>
      </c>
      <c r="E8403" t="s">
        <v>11</v>
      </c>
      <c r="F8403" t="s">
        <v>13</v>
      </c>
      <c r="G8403" t="s">
        <v>412</v>
      </c>
      <c r="H8403" t="s">
        <v>14</v>
      </c>
    </row>
    <row r="8404" spans="1:8" hidden="1" x14ac:dyDescent="0.25">
      <c r="A8404" t="s">
        <v>11528</v>
      </c>
      <c r="B8404" s="1" t="str">
        <f>HYPERLINK("https://asmlis.vasa.lt/Dashboard/Served?ServiceDateFrom=2025-11-24&amp;ServiceDateTo=2025-11-24&amp;DumpsterInvNr=13-P-303025", "13-P-303025")</f>
        <v>13-P-303025</v>
      </c>
      <c r="C8404">
        <v>1.1000000000000001</v>
      </c>
      <c r="D8404" t="s">
        <v>8514</v>
      </c>
      <c r="E8404" t="s">
        <v>11</v>
      </c>
      <c r="F8404" t="s">
        <v>13</v>
      </c>
      <c r="G8404" t="s">
        <v>412</v>
      </c>
      <c r="H8404" t="s">
        <v>14</v>
      </c>
    </row>
    <row r="8405" spans="1:8" hidden="1" x14ac:dyDescent="0.25">
      <c r="A8405" t="s">
        <v>11529</v>
      </c>
      <c r="B8405" s="1" t="str">
        <f>HYPERLINK("https://asmlis.vasa.lt/Dashboard/Served?ServiceDateFrom=2025-11-24&amp;ServiceDateTo=2025-11-24&amp;DumpsterInvNr=13-M-202351", "13-M-202351")</f>
        <v>13-M-202351</v>
      </c>
      <c r="C8405">
        <v>0.12</v>
      </c>
      <c r="D8405" t="s">
        <v>11530</v>
      </c>
      <c r="E8405" t="s">
        <v>11</v>
      </c>
      <c r="F8405" t="s">
        <v>1209</v>
      </c>
      <c r="G8405" t="s">
        <v>4876</v>
      </c>
      <c r="H8405" t="s">
        <v>938</v>
      </c>
    </row>
    <row r="8406" spans="1:8" hidden="1" x14ac:dyDescent="0.25">
      <c r="A8406" t="s">
        <v>11532</v>
      </c>
      <c r="B8406" s="1" t="str">
        <f>HYPERLINK("https://asmlis.vasa.lt/Dashboard/Served?ServiceDateFrom=2025-11-24&amp;ServiceDateTo=2025-11-24&amp;DumpsterInvNr=13-P-300874", "13-P-300874")</f>
        <v>13-P-300874</v>
      </c>
      <c r="C8406">
        <v>1.1000000000000001</v>
      </c>
      <c r="D8406" t="s">
        <v>8514</v>
      </c>
      <c r="E8406" t="s">
        <v>11</v>
      </c>
      <c r="F8406" t="s">
        <v>13</v>
      </c>
      <c r="G8406" t="s">
        <v>412</v>
      </c>
      <c r="H8406" t="s">
        <v>14</v>
      </c>
    </row>
    <row r="8407" spans="1:8" hidden="1" x14ac:dyDescent="0.25">
      <c r="A8407" t="s">
        <v>11532</v>
      </c>
      <c r="B8407" s="1" t="str">
        <f>HYPERLINK("https://asmlis.vasa.lt/Dashboard/Served?ServiceDateFrom=2025-11-24&amp;ServiceDateTo=2025-11-24&amp;DumpsterInvNr=13-L-148445", "13-L-148445")</f>
        <v>13-L-148445</v>
      </c>
      <c r="C8407">
        <v>0.24</v>
      </c>
      <c r="D8407" t="s">
        <v>11533</v>
      </c>
      <c r="E8407" t="s">
        <v>11</v>
      </c>
      <c r="G8407" t="s">
        <v>430</v>
      </c>
      <c r="H8407" t="s">
        <v>432</v>
      </c>
    </row>
    <row r="8408" spans="1:8" hidden="1" x14ac:dyDescent="0.25">
      <c r="A8408" t="s">
        <v>11532</v>
      </c>
      <c r="B8408" s="1" t="str">
        <f>HYPERLINK("https://asmlis.vasa.lt/Dashboard/Served?ServiceDateFrom=2025-11-24&amp;ServiceDateTo=2025-11-24&amp;DumpsterInvNr=13-P-509094", "13-P-509094")</f>
        <v>13-P-509094</v>
      </c>
      <c r="C8408">
        <v>0.24</v>
      </c>
      <c r="D8408" t="s">
        <v>11533</v>
      </c>
      <c r="E8408" t="s">
        <v>11</v>
      </c>
      <c r="G8408" t="s">
        <v>2178</v>
      </c>
      <c r="H8408" t="s">
        <v>432</v>
      </c>
    </row>
    <row r="8409" spans="1:8" hidden="1" x14ac:dyDescent="0.25">
      <c r="A8409" t="s">
        <v>11532</v>
      </c>
      <c r="B8409" s="1" t="str">
        <f>HYPERLINK("https://asmlis.vasa.lt/Dashboard/Served?ServiceDateFrom=2025-11-24&amp;ServiceDateTo=2025-11-24&amp;DumpsterInvNr=13-S-507053", "13-S-507053")</f>
        <v>13-S-507053</v>
      </c>
      <c r="C8409">
        <v>0.12</v>
      </c>
      <c r="D8409" t="s">
        <v>11533</v>
      </c>
      <c r="E8409" t="s">
        <v>11</v>
      </c>
      <c r="G8409" t="s">
        <v>2178</v>
      </c>
      <c r="H8409" t="s">
        <v>432</v>
      </c>
    </row>
    <row r="8410" spans="1:8" hidden="1" x14ac:dyDescent="0.25">
      <c r="A8410" t="s">
        <v>11537</v>
      </c>
      <c r="B8410" s="1" t="str">
        <f>HYPERLINK("https://asmlis.vasa.lt/Dashboard/Served?ServiceDateFrom=2025-11-24&amp;ServiceDateTo=2025-11-24&amp;DumpsterInvNr=13-P-203702", "13-P-203702")</f>
        <v>13-P-203702</v>
      </c>
      <c r="C8410">
        <v>0.24</v>
      </c>
      <c r="D8410" t="s">
        <v>11538</v>
      </c>
      <c r="E8410" t="s">
        <v>11</v>
      </c>
      <c r="G8410" t="s">
        <v>234</v>
      </c>
      <c r="H8410" t="s">
        <v>14</v>
      </c>
    </row>
    <row r="8411" spans="1:8" hidden="1" x14ac:dyDescent="0.25">
      <c r="A8411" t="s">
        <v>11537</v>
      </c>
      <c r="B8411" s="1" t="str">
        <f>HYPERLINK("https://asmlis.vasa.lt/Dashboard/Served?ServiceDateFrom=2025-11-24&amp;ServiceDateTo=2025-11-24&amp;DumpsterInvNr=13-P-211314", "13-P-211314")</f>
        <v>13-P-211314</v>
      </c>
      <c r="C8411">
        <v>0.24</v>
      </c>
      <c r="D8411" t="s">
        <v>11539</v>
      </c>
      <c r="E8411" t="s">
        <v>11</v>
      </c>
      <c r="G8411" t="s">
        <v>234</v>
      </c>
      <c r="H8411" t="s">
        <v>14</v>
      </c>
    </row>
    <row r="8412" spans="1:8" hidden="1" x14ac:dyDescent="0.25">
      <c r="A8412" t="s">
        <v>11540</v>
      </c>
      <c r="B8412" s="1" t="str">
        <f>HYPERLINK("https://asmlis.vasa.lt/Dashboard/Served?ServiceDateFrom=2025-11-24&amp;ServiceDateTo=2025-11-24&amp;DumpsterInvNr=13-P-300875", "13-P-300875")</f>
        <v>13-P-300875</v>
      </c>
      <c r="C8412">
        <v>1.1000000000000001</v>
      </c>
      <c r="D8412" t="s">
        <v>8514</v>
      </c>
      <c r="E8412" t="s">
        <v>11</v>
      </c>
      <c r="F8412" t="s">
        <v>13</v>
      </c>
      <c r="G8412" t="s">
        <v>412</v>
      </c>
      <c r="H8412" t="s">
        <v>14</v>
      </c>
    </row>
    <row r="8413" spans="1:8" hidden="1" x14ac:dyDescent="0.25">
      <c r="A8413" t="s">
        <v>11540</v>
      </c>
      <c r="B8413" s="1" t="str">
        <f>HYPERLINK("https://asmlis.vasa.lt/Dashboard/Served?ServiceDateFrom=2025-11-24&amp;ServiceDateTo=2025-11-24&amp;DumpsterInvNr=13-P-413878", "13-P-413878")</f>
        <v>13-P-413878</v>
      </c>
      <c r="C8413">
        <v>5</v>
      </c>
      <c r="D8413" t="s">
        <v>11541</v>
      </c>
      <c r="E8413" t="s">
        <v>11</v>
      </c>
      <c r="G8413" t="s">
        <v>264</v>
      </c>
      <c r="H8413" t="s">
        <v>14</v>
      </c>
    </row>
    <row r="8414" spans="1:8" hidden="1" x14ac:dyDescent="0.25">
      <c r="A8414" t="s">
        <v>11542</v>
      </c>
      <c r="B8414" s="1" t="str">
        <f>HYPERLINK("https://asmlis.vasa.lt/Dashboard/Served?ServiceDateFrom=2025-11-24&amp;ServiceDateTo=2025-11-24&amp;DumpsterInvNr=13-S-210204", "13-S-210204")</f>
        <v>13-S-210204</v>
      </c>
      <c r="C8414">
        <v>1.8</v>
      </c>
      <c r="D8414" t="s">
        <v>2680</v>
      </c>
      <c r="E8414" t="s">
        <v>11</v>
      </c>
      <c r="F8414" t="s">
        <v>13</v>
      </c>
      <c r="G8414" t="s">
        <v>234</v>
      </c>
      <c r="H8414" t="s">
        <v>14</v>
      </c>
    </row>
    <row r="8415" spans="1:8" hidden="1" x14ac:dyDescent="0.25">
      <c r="A8415" t="s">
        <v>11543</v>
      </c>
      <c r="B8415" s="1" t="str">
        <f>HYPERLINK("https://asmlis.vasa.lt/Dashboard/Served?ServiceDateFrom=2025-11-24&amp;ServiceDateTo=2025-11-24&amp;DumpsterInvNr=13-P-300873", "13-P-300873")</f>
        <v>13-P-300873</v>
      </c>
      <c r="C8415">
        <v>1.1000000000000001</v>
      </c>
      <c r="D8415" t="s">
        <v>8514</v>
      </c>
      <c r="E8415" t="s">
        <v>11</v>
      </c>
      <c r="F8415" t="s">
        <v>13</v>
      </c>
      <c r="G8415" t="s">
        <v>412</v>
      </c>
      <c r="H8415" t="s">
        <v>14</v>
      </c>
    </row>
    <row r="8416" spans="1:8" hidden="1" x14ac:dyDescent="0.25">
      <c r="A8416" t="s">
        <v>11544</v>
      </c>
      <c r="B8416" s="1" t="str">
        <f>HYPERLINK("https://asmlis.vasa.lt/Dashboard/Served?ServiceDateFrom=2025-11-24&amp;ServiceDateTo=2025-11-24&amp;DumpsterInvNr=13-L-315334", "13-L-315334")</f>
        <v>13-L-315334</v>
      </c>
      <c r="C8416">
        <v>1.1000000000000001</v>
      </c>
      <c r="D8416" t="s">
        <v>11526</v>
      </c>
      <c r="E8416" t="s">
        <v>11</v>
      </c>
      <c r="G8416" t="s">
        <v>9</v>
      </c>
      <c r="H8416" t="s">
        <v>14</v>
      </c>
    </row>
    <row r="8417" spans="1:8" hidden="1" x14ac:dyDescent="0.25">
      <c r="A8417" t="s">
        <v>11544</v>
      </c>
      <c r="B8417" s="1" t="str">
        <f>HYPERLINK("https://asmlis.vasa.lt/Dashboard/Served?ServiceDateFrom=2025-11-24&amp;ServiceDateTo=2025-11-24&amp;DumpsterInvNr=13-L-147581", "13-L-147581")</f>
        <v>13-L-147581</v>
      </c>
      <c r="C8417">
        <v>1.1000000000000001</v>
      </c>
      <c r="D8417" t="s">
        <v>11546</v>
      </c>
      <c r="E8417" t="s">
        <v>11</v>
      </c>
      <c r="G8417" t="s">
        <v>430</v>
      </c>
      <c r="H8417" t="s">
        <v>432</v>
      </c>
    </row>
    <row r="8418" spans="1:8" hidden="1" x14ac:dyDescent="0.25">
      <c r="A8418" t="s">
        <v>11547</v>
      </c>
      <c r="B8418" s="1" t="str">
        <f>HYPERLINK("https://asmlis.vasa.lt/Dashboard/Served?ServiceDateFrom=2025-11-24&amp;ServiceDateTo=2025-11-24&amp;DumpsterInvNr=13-L-222398", "13-L-222398")</f>
        <v>13-L-222398</v>
      </c>
      <c r="C8418">
        <v>0.12</v>
      </c>
      <c r="D8418" t="s">
        <v>8710</v>
      </c>
      <c r="E8418" t="s">
        <v>11</v>
      </c>
      <c r="G8418" t="s">
        <v>936</v>
      </c>
      <c r="H8418" t="s">
        <v>938</v>
      </c>
    </row>
    <row r="8419" spans="1:8" hidden="1" x14ac:dyDescent="0.25">
      <c r="A8419" t="s">
        <v>11547</v>
      </c>
      <c r="B8419" s="1" t="str">
        <f>HYPERLINK("https://asmlis.vasa.lt/Dashboard/Served?ServiceDateFrom=2025-11-24&amp;ServiceDateTo=2025-11-24&amp;DumpsterInvNr=13-P-212612", "13-P-212612")</f>
        <v>13-P-212612</v>
      </c>
      <c r="C8419">
        <v>1.1000000000000001</v>
      </c>
      <c r="D8419" t="s">
        <v>11548</v>
      </c>
      <c r="E8419" t="s">
        <v>11</v>
      </c>
      <c r="G8419" t="s">
        <v>234</v>
      </c>
      <c r="H8419" t="s">
        <v>14</v>
      </c>
    </row>
    <row r="8420" spans="1:8" hidden="1" x14ac:dyDescent="0.25">
      <c r="A8420" t="s">
        <v>11549</v>
      </c>
      <c r="B8420" s="1" t="str">
        <f>HYPERLINK("https://asmlis.vasa.lt/Dashboard/Served?ServiceDateFrom=2025-11-24&amp;ServiceDateTo=2025-11-24&amp;DumpsterInvNr=13-S-505110", "13-S-505110")</f>
        <v>13-S-505110</v>
      </c>
      <c r="C8420">
        <v>0.12</v>
      </c>
      <c r="D8420" t="s">
        <v>11506</v>
      </c>
      <c r="E8420" t="s">
        <v>11</v>
      </c>
      <c r="F8420" t="s">
        <v>1209</v>
      </c>
      <c r="G8420" t="s">
        <v>2178</v>
      </c>
      <c r="H8420" t="s">
        <v>432</v>
      </c>
    </row>
    <row r="8421" spans="1:8" hidden="1" x14ac:dyDescent="0.25">
      <c r="A8421" t="s">
        <v>11550</v>
      </c>
      <c r="B8421" s="1" t="str">
        <f>HYPERLINK("https://asmlis.vasa.lt/Dashboard/Served?ServiceDateFrom=2025-11-24&amp;ServiceDateTo=2025-11-24&amp;DumpsterInvNr=13-P-500427", "13-P-500427")</f>
        <v>13-P-500427</v>
      </c>
      <c r="C8421">
        <v>5</v>
      </c>
      <c r="D8421" t="s">
        <v>6903</v>
      </c>
      <c r="E8421" t="s">
        <v>11</v>
      </c>
      <c r="F8421" t="s">
        <v>13</v>
      </c>
      <c r="G8421" t="s">
        <v>2178</v>
      </c>
      <c r="H8421" t="s">
        <v>432</v>
      </c>
    </row>
    <row r="8422" spans="1:8" hidden="1" x14ac:dyDescent="0.25">
      <c r="A8422" t="s">
        <v>11551</v>
      </c>
      <c r="B8422" s="1" t="str">
        <f>HYPERLINK("https://asmlis.vasa.lt/Dashboard/Served?ServiceDateFrom=2025-11-24&amp;ServiceDateTo=2025-11-24&amp;DumpsterInvNr=13-L-219925", "13-L-219925")</f>
        <v>13-L-219925</v>
      </c>
      <c r="C8422">
        <v>1.1000000000000001</v>
      </c>
      <c r="D8422" t="s">
        <v>11552</v>
      </c>
      <c r="E8422" t="s">
        <v>11</v>
      </c>
      <c r="G8422" t="s">
        <v>936</v>
      </c>
      <c r="H8422" t="s">
        <v>938</v>
      </c>
    </row>
    <row r="8423" spans="1:8" hidden="1" x14ac:dyDescent="0.25">
      <c r="A8423" t="s">
        <v>11553</v>
      </c>
      <c r="B8423" s="1" t="str">
        <f>HYPERLINK("https://asmlis.vasa.lt/Dashboard/Served?ServiceDateFrom=2025-11-24&amp;ServiceDateTo=2025-11-24&amp;DumpsterInvNr=13-P-302303", "13-P-302303")</f>
        <v>13-P-302303</v>
      </c>
      <c r="C8423">
        <v>5</v>
      </c>
      <c r="D8423" t="s">
        <v>11513</v>
      </c>
      <c r="E8423" t="s">
        <v>11</v>
      </c>
      <c r="G8423" t="s">
        <v>412</v>
      </c>
      <c r="H8423" t="s">
        <v>14</v>
      </c>
    </row>
    <row r="8424" spans="1:8" hidden="1" x14ac:dyDescent="0.25">
      <c r="A8424" t="s">
        <v>11554</v>
      </c>
      <c r="B8424" s="1" t="str">
        <f>HYPERLINK("https://asmlis.vasa.lt/Dashboard/Served?ServiceDateFrom=2025-11-24&amp;ServiceDateTo=2025-11-24&amp;DumpsterInvNr=13-L-425223", "13-L-425223")</f>
        <v>13-L-425223</v>
      </c>
      <c r="C8424">
        <v>0.24</v>
      </c>
      <c r="D8424" t="s">
        <v>6750</v>
      </c>
      <c r="E8424" t="s">
        <v>11</v>
      </c>
      <c r="G8424" t="s">
        <v>74</v>
      </c>
      <c r="H8424" t="s">
        <v>14</v>
      </c>
    </row>
    <row r="8425" spans="1:8" hidden="1" x14ac:dyDescent="0.25">
      <c r="A8425" t="s">
        <v>11554</v>
      </c>
      <c r="B8425" s="1" t="str">
        <f>HYPERLINK("https://asmlis.vasa.lt/Dashboard/Served?ServiceDateFrom=2025-11-24&amp;ServiceDateTo=2025-11-24&amp;DumpsterInvNr=13-L-425232", "13-L-425232")</f>
        <v>13-L-425232</v>
      </c>
      <c r="C8425">
        <v>0.24</v>
      </c>
      <c r="D8425" t="s">
        <v>6783</v>
      </c>
      <c r="E8425" t="s">
        <v>11</v>
      </c>
      <c r="G8425" t="s">
        <v>74</v>
      </c>
      <c r="H8425" t="s">
        <v>14</v>
      </c>
    </row>
    <row r="8426" spans="1:8" hidden="1" x14ac:dyDescent="0.25">
      <c r="A8426" t="s">
        <v>11555</v>
      </c>
      <c r="B8426" s="1" t="str">
        <f>HYPERLINK("https://asmlis.vasa.lt/Dashboard/Served?ServiceDateFrom=2025-11-24&amp;ServiceDateTo=2025-11-24&amp;DumpsterInvNr=13-L-147580", "13-L-147580")</f>
        <v>13-L-147580</v>
      </c>
      <c r="C8426">
        <v>1.1000000000000001</v>
      </c>
      <c r="D8426" t="s">
        <v>11546</v>
      </c>
      <c r="E8426" t="s">
        <v>11</v>
      </c>
      <c r="G8426" t="s">
        <v>430</v>
      </c>
      <c r="H8426" t="s">
        <v>432</v>
      </c>
    </row>
    <row r="8427" spans="1:8" hidden="1" x14ac:dyDescent="0.25">
      <c r="A8427" t="s">
        <v>11556</v>
      </c>
      <c r="B8427" s="1" t="str">
        <f>HYPERLINK("https://asmlis.vasa.lt/Dashboard/Served?ServiceDateFrom=2025-11-24&amp;ServiceDateTo=2025-11-24&amp;DumpsterInvNr=13-P-111163", "13-P-111163")</f>
        <v>13-P-111163</v>
      </c>
      <c r="C8427">
        <v>1.1000000000000001</v>
      </c>
      <c r="D8427" t="s">
        <v>11557</v>
      </c>
      <c r="E8427" t="s">
        <v>11</v>
      </c>
      <c r="F8427" t="s">
        <v>1209</v>
      </c>
      <c r="G8427" t="s">
        <v>1917</v>
      </c>
      <c r="H8427" t="s">
        <v>432</v>
      </c>
    </row>
    <row r="8428" spans="1:8" hidden="1" x14ac:dyDescent="0.25">
      <c r="A8428" t="s">
        <v>11558</v>
      </c>
      <c r="B8428" s="1" t="str">
        <f>HYPERLINK("https://asmlis.vasa.lt/Dashboard/Served?ServiceDateFrom=2025-11-24&amp;ServiceDateTo=2025-11-24&amp;DumpsterInvNr=13-T-000307", "13-T-000307")</f>
        <v>13-T-000307</v>
      </c>
      <c r="C8428">
        <v>2.5</v>
      </c>
      <c r="D8428" t="s">
        <v>11559</v>
      </c>
      <c r="E8428" t="s">
        <v>11</v>
      </c>
      <c r="F8428" t="s">
        <v>13</v>
      </c>
      <c r="G8428" t="s">
        <v>1899</v>
      </c>
      <c r="H8428" t="s">
        <v>432</v>
      </c>
    </row>
    <row r="8429" spans="1:8" hidden="1" x14ac:dyDescent="0.25">
      <c r="A8429" t="s">
        <v>11558</v>
      </c>
      <c r="B8429" s="1" t="str">
        <f>HYPERLINK("https://asmlis.vasa.lt/Dashboard/Served?ServiceDateFrom=2025-11-24&amp;ServiceDateTo=2025-11-24&amp;DumpsterInvNr=13-P-111213", "13-P-111213")</f>
        <v>13-P-111213</v>
      </c>
      <c r="C8429">
        <v>1.1000000000000001</v>
      </c>
      <c r="D8429" t="s">
        <v>11557</v>
      </c>
      <c r="E8429" t="s">
        <v>11</v>
      </c>
      <c r="F8429" t="s">
        <v>1209</v>
      </c>
      <c r="G8429" t="s">
        <v>1917</v>
      </c>
      <c r="H8429" t="s">
        <v>432</v>
      </c>
    </row>
    <row r="8430" spans="1:8" hidden="1" x14ac:dyDescent="0.25">
      <c r="A8430" t="s">
        <v>11560</v>
      </c>
      <c r="B8430" s="1" t="str">
        <f>HYPERLINK("https://asmlis.vasa.lt/Dashboard/Served?ServiceDateFrom=2025-11-24&amp;ServiceDateTo=2025-11-24&amp;DumpsterInvNr=13-T-000301", "13-T-000301")</f>
        <v>13-T-000301</v>
      </c>
      <c r="C8430">
        <v>2.5</v>
      </c>
      <c r="D8430" t="s">
        <v>11559</v>
      </c>
      <c r="E8430" t="s">
        <v>11</v>
      </c>
      <c r="F8430" t="s">
        <v>13</v>
      </c>
      <c r="G8430" t="s">
        <v>1899</v>
      </c>
      <c r="H8430" t="s">
        <v>432</v>
      </c>
    </row>
    <row r="8431" spans="1:8" hidden="1" x14ac:dyDescent="0.25">
      <c r="A8431" t="s">
        <v>11561</v>
      </c>
      <c r="B8431" s="1" t="str">
        <f>HYPERLINK("https://asmlis.vasa.lt/Dashboard/Served?ServiceDateFrom=2025-11-24&amp;ServiceDateTo=2025-11-24&amp;DumpsterInvNr=13-L-317596", "13-L-317596")</f>
        <v>13-L-317596</v>
      </c>
      <c r="C8431">
        <v>1.1000000000000001</v>
      </c>
      <c r="D8431" t="s">
        <v>11526</v>
      </c>
      <c r="E8431" t="s">
        <v>11</v>
      </c>
      <c r="G8431" t="s">
        <v>9</v>
      </c>
      <c r="H8431" t="s">
        <v>14</v>
      </c>
    </row>
    <row r="8432" spans="1:8" hidden="1" x14ac:dyDescent="0.25">
      <c r="A8432" t="s">
        <v>11562</v>
      </c>
      <c r="B8432" s="1" t="str">
        <f>HYPERLINK("https://asmlis.vasa.lt/Dashboard/Served?ServiceDateFrom=2025-11-24&amp;ServiceDateTo=2025-11-24&amp;DumpsterInvNr=13-L-422038", "13-L-422038")</f>
        <v>13-L-422038</v>
      </c>
      <c r="C8432">
        <v>5</v>
      </c>
      <c r="D8432" t="s">
        <v>11563</v>
      </c>
      <c r="E8432" t="s">
        <v>11</v>
      </c>
      <c r="G8432" t="s">
        <v>74</v>
      </c>
      <c r="H8432" t="s">
        <v>14</v>
      </c>
    </row>
    <row r="8433" spans="1:8" hidden="1" x14ac:dyDescent="0.25">
      <c r="A8433" t="s">
        <v>11564</v>
      </c>
      <c r="B8433" s="1" t="str">
        <f>HYPERLINK("https://asmlis.vasa.lt/Dashboard/Served?ServiceDateFrom=2025-11-24&amp;ServiceDateTo=2025-11-24&amp;DumpsterInvNr=13-L-216910", "13-L-216910")</f>
        <v>13-L-216910</v>
      </c>
      <c r="C8433">
        <v>0.24</v>
      </c>
      <c r="D8433" t="s">
        <v>8716</v>
      </c>
      <c r="E8433" t="s">
        <v>11</v>
      </c>
      <c r="F8433" t="s">
        <v>1209</v>
      </c>
      <c r="G8433" t="s">
        <v>936</v>
      </c>
      <c r="H8433" t="s">
        <v>938</v>
      </c>
    </row>
    <row r="8434" spans="1:8" hidden="1" x14ac:dyDescent="0.25">
      <c r="A8434" t="s">
        <v>11565</v>
      </c>
      <c r="B8434" s="1" t="str">
        <f>HYPERLINK("https://asmlis.vasa.lt/Dashboard/Served?ServiceDateFrom=2025-11-24&amp;ServiceDateTo=2025-11-24&amp;DumpsterInvNr=13-L-206103", "13-L-206103")</f>
        <v>13-L-206103</v>
      </c>
      <c r="C8434">
        <v>0.12</v>
      </c>
      <c r="D8434" t="s">
        <v>8949</v>
      </c>
      <c r="E8434" t="s">
        <v>11</v>
      </c>
      <c r="G8434" t="s">
        <v>936</v>
      </c>
      <c r="H8434" t="s">
        <v>938</v>
      </c>
    </row>
    <row r="8435" spans="1:8" hidden="1" x14ac:dyDescent="0.25">
      <c r="A8435" t="s">
        <v>11566</v>
      </c>
      <c r="B8435" s="1" t="str">
        <f>HYPERLINK("https://asmlis.vasa.lt/Dashboard/Served?ServiceDateFrom=2025-11-24&amp;ServiceDateTo=2025-11-24&amp;DumpsterInvNr=13-P-504980", "13-P-504980")</f>
        <v>13-P-504980</v>
      </c>
      <c r="C8435">
        <v>5</v>
      </c>
      <c r="D8435" t="s">
        <v>7911</v>
      </c>
      <c r="E8435" t="s">
        <v>11</v>
      </c>
      <c r="F8435" t="s">
        <v>13</v>
      </c>
      <c r="G8435" t="s">
        <v>2178</v>
      </c>
      <c r="H8435" t="s">
        <v>432</v>
      </c>
    </row>
    <row r="8436" spans="1:8" hidden="1" x14ac:dyDescent="0.25">
      <c r="A8436" t="s">
        <v>11567</v>
      </c>
      <c r="B8436" s="1" t="str">
        <f>HYPERLINK("https://asmlis.vasa.lt/Dashboard/Served?ServiceDateFrom=2025-11-24&amp;ServiceDateTo=2025-11-24&amp;DumpsterInvNr=13-L-136577", "13-L-136577")</f>
        <v>13-L-136577</v>
      </c>
      <c r="C8436">
        <v>1.1000000000000001</v>
      </c>
      <c r="D8436" t="s">
        <v>11546</v>
      </c>
      <c r="E8436" t="s">
        <v>11</v>
      </c>
      <c r="F8436" t="s">
        <v>13</v>
      </c>
      <c r="G8436" t="s">
        <v>430</v>
      </c>
      <c r="H8436" t="s">
        <v>432</v>
      </c>
    </row>
    <row r="8437" spans="1:8" hidden="1" x14ac:dyDescent="0.25">
      <c r="A8437" t="s">
        <v>11568</v>
      </c>
      <c r="B8437" s="1" t="str">
        <f>HYPERLINK("https://asmlis.vasa.lt/Dashboard/Served?ServiceDateFrom=2025-11-24&amp;ServiceDateTo=2025-11-24&amp;DumpsterInvNr=13-L-147579", "13-L-147579")</f>
        <v>13-L-147579</v>
      </c>
      <c r="C8437">
        <v>1.1000000000000001</v>
      </c>
      <c r="D8437" t="s">
        <v>11546</v>
      </c>
      <c r="E8437" t="s">
        <v>11</v>
      </c>
      <c r="F8437" t="s">
        <v>13</v>
      </c>
      <c r="G8437" t="s">
        <v>430</v>
      </c>
      <c r="H8437" t="s">
        <v>432</v>
      </c>
    </row>
    <row r="8438" spans="1:8" hidden="1" x14ac:dyDescent="0.25">
      <c r="A8438" t="s">
        <v>11569</v>
      </c>
      <c r="B8438" s="1" t="str">
        <f>HYPERLINK("https://asmlis.vasa.lt/Dashboard/Served?ServiceDateFrom=2025-11-24&amp;ServiceDateTo=2025-11-24&amp;DumpsterInvNr=13-M-202132", "13-M-202132")</f>
        <v>13-M-202132</v>
      </c>
      <c r="C8438">
        <v>0.12</v>
      </c>
      <c r="D8438" t="s">
        <v>11570</v>
      </c>
      <c r="E8438" t="s">
        <v>11</v>
      </c>
      <c r="F8438" t="s">
        <v>1209</v>
      </c>
      <c r="G8438" t="s">
        <v>4876</v>
      </c>
      <c r="H8438" t="s">
        <v>938</v>
      </c>
    </row>
    <row r="8439" spans="1:8" hidden="1" x14ac:dyDescent="0.25">
      <c r="A8439" t="s">
        <v>11571</v>
      </c>
      <c r="B8439" s="1" t="str">
        <f>HYPERLINK("https://asmlis.vasa.lt/Dashboard/Served?ServiceDateFrom=2025-11-24&amp;ServiceDateTo=2025-11-24&amp;DumpsterInvNr=13-P-207815", "13-P-207815")</f>
        <v>13-P-207815</v>
      </c>
      <c r="C8439">
        <v>0.24</v>
      </c>
      <c r="D8439" t="s">
        <v>11530</v>
      </c>
      <c r="E8439" t="s">
        <v>11</v>
      </c>
      <c r="G8439" t="s">
        <v>234</v>
      </c>
      <c r="H8439" t="s">
        <v>14</v>
      </c>
    </row>
    <row r="8440" spans="1:8" hidden="1" x14ac:dyDescent="0.25">
      <c r="A8440" t="s">
        <v>11572</v>
      </c>
      <c r="B8440" s="1" t="str">
        <f>HYPERLINK("https://asmlis.vasa.lt/Dashboard/Served?ServiceDateFrom=2025-11-24&amp;ServiceDateTo=2025-11-24&amp;DumpsterInvNr=13-L-300007", "13-L-300007")</f>
        <v>13-L-300007</v>
      </c>
      <c r="C8440">
        <v>5</v>
      </c>
      <c r="D8440" t="s">
        <v>9973</v>
      </c>
      <c r="E8440" t="s">
        <v>11</v>
      </c>
      <c r="F8440" t="s">
        <v>13</v>
      </c>
      <c r="G8440" t="s">
        <v>9</v>
      </c>
      <c r="H8440" t="s">
        <v>14</v>
      </c>
    </row>
    <row r="8441" spans="1:8" hidden="1" x14ac:dyDescent="0.25">
      <c r="A8441" t="s">
        <v>11573</v>
      </c>
      <c r="B8441" s="1" t="str">
        <f>HYPERLINK("https://asmlis.vasa.lt/Dashboard/Served?ServiceDateFrom=2025-11-24&amp;ServiceDateTo=2025-11-24&amp;DumpsterInvNr=13-M-206008", "13-M-206008")</f>
        <v>13-M-206008</v>
      </c>
      <c r="C8441">
        <v>0.12</v>
      </c>
      <c r="D8441" t="s">
        <v>11574</v>
      </c>
      <c r="E8441" t="s">
        <v>11</v>
      </c>
      <c r="F8441" t="s">
        <v>1209</v>
      </c>
      <c r="G8441" t="s">
        <v>4876</v>
      </c>
      <c r="H8441" t="s">
        <v>938</v>
      </c>
    </row>
    <row r="8442" spans="1:8" hidden="1" x14ac:dyDescent="0.25">
      <c r="A8442" t="s">
        <v>11575</v>
      </c>
      <c r="B8442" s="1" t="str">
        <f>HYPERLINK("https://asmlis.vasa.lt/Dashboard/Served?ServiceDateFrom=2025-11-24&amp;ServiceDateTo=2025-11-24&amp;DumpsterInvNr=13-S-206684", "13-S-206684")</f>
        <v>13-S-206684</v>
      </c>
      <c r="C8442">
        <v>0.12</v>
      </c>
      <c r="D8442" t="s">
        <v>11530</v>
      </c>
      <c r="E8442" t="s">
        <v>11</v>
      </c>
      <c r="F8442" t="s">
        <v>1209</v>
      </c>
      <c r="G8442" t="s">
        <v>234</v>
      </c>
      <c r="H8442" t="s">
        <v>14</v>
      </c>
    </row>
    <row r="8443" spans="1:8" hidden="1" x14ac:dyDescent="0.25">
      <c r="A8443" t="s">
        <v>11576</v>
      </c>
      <c r="B8443" s="1" t="str">
        <f>HYPERLINK("https://asmlis.vasa.lt/Dashboard/Served?ServiceDateFrom=2025-11-24&amp;ServiceDateTo=2025-11-24&amp;DumpsterInvNr=13-P-400543", "13-P-400543")</f>
        <v>13-P-400543</v>
      </c>
      <c r="C8443">
        <v>5</v>
      </c>
      <c r="D8443" t="s">
        <v>8846</v>
      </c>
      <c r="E8443" t="s">
        <v>11</v>
      </c>
      <c r="F8443" t="s">
        <v>13</v>
      </c>
      <c r="G8443" t="s">
        <v>264</v>
      </c>
      <c r="H8443" t="s">
        <v>14</v>
      </c>
    </row>
    <row r="8444" spans="1:8" hidden="1" x14ac:dyDescent="0.25">
      <c r="A8444" t="s">
        <v>11577</v>
      </c>
      <c r="B8444" s="1" t="str">
        <f>HYPERLINK("https://asmlis.vasa.lt/Dashboard/Served?ServiceDateFrom=2025-11-24&amp;ServiceDateTo=2025-11-24&amp;DumpsterInvNr=13-L-318309", "13-L-318309")</f>
        <v>13-L-318309</v>
      </c>
      <c r="C8444">
        <v>0.24</v>
      </c>
      <c r="D8444" t="s">
        <v>11578</v>
      </c>
      <c r="E8444" t="s">
        <v>11</v>
      </c>
      <c r="G8444" t="s">
        <v>9</v>
      </c>
      <c r="H8444" t="s">
        <v>14</v>
      </c>
    </row>
    <row r="8445" spans="1:8" hidden="1" x14ac:dyDescent="0.25">
      <c r="A8445" t="s">
        <v>11577</v>
      </c>
      <c r="B8445" s="1" t="str">
        <f>HYPERLINK("https://asmlis.vasa.lt/Dashboard/Served?ServiceDateFrom=2025-11-24&amp;ServiceDateTo=2025-11-24&amp;DumpsterInvNr=13-M-202341", "13-M-202341")</f>
        <v>13-M-202341</v>
      </c>
      <c r="C8445">
        <v>0.12</v>
      </c>
      <c r="D8445" t="s">
        <v>11570</v>
      </c>
      <c r="E8445" t="s">
        <v>11</v>
      </c>
      <c r="F8445" t="s">
        <v>1209</v>
      </c>
      <c r="G8445" t="s">
        <v>4876</v>
      </c>
      <c r="H8445" t="s">
        <v>938</v>
      </c>
    </row>
    <row r="8446" spans="1:8" hidden="1" x14ac:dyDescent="0.25">
      <c r="A8446" t="s">
        <v>11579</v>
      </c>
      <c r="B8446" s="1" t="str">
        <f>HYPERLINK("https://asmlis.vasa.lt/Dashboard/Served?ServiceDateFrom=2025-11-24&amp;ServiceDateTo=2025-11-24&amp;DumpsterInvNr=13-L-138584", "13-L-138584")</f>
        <v>13-L-138584</v>
      </c>
      <c r="C8446">
        <v>0.66</v>
      </c>
      <c r="D8446" t="s">
        <v>11580</v>
      </c>
      <c r="E8446" t="s">
        <v>11</v>
      </c>
      <c r="G8446" t="s">
        <v>1912</v>
      </c>
      <c r="H8446" t="s">
        <v>432</v>
      </c>
    </row>
    <row r="8447" spans="1:8" hidden="1" x14ac:dyDescent="0.25">
      <c r="A8447" t="s">
        <v>11581</v>
      </c>
      <c r="B8447" s="1" t="str">
        <f>HYPERLINK("https://asmlis.vasa.lt/Dashboard/Served?ServiceDateFrom=2025-11-24&amp;ServiceDateTo=2025-11-24&amp;DumpsterInvNr=13-L-424347", "13-L-424347")</f>
        <v>13-L-424347</v>
      </c>
      <c r="C8447">
        <v>0.24</v>
      </c>
      <c r="D8447" t="s">
        <v>6822</v>
      </c>
      <c r="E8447" t="s">
        <v>11</v>
      </c>
      <c r="G8447" t="s">
        <v>74</v>
      </c>
      <c r="H8447" t="s">
        <v>14</v>
      </c>
    </row>
    <row r="8448" spans="1:8" hidden="1" x14ac:dyDescent="0.25">
      <c r="A8448" t="s">
        <v>11582</v>
      </c>
      <c r="B8448" s="1" t="str">
        <f>HYPERLINK("https://asmlis.vasa.lt/Dashboard/Served?ServiceDateFrom=2025-11-24&amp;ServiceDateTo=2025-11-24&amp;DumpsterInvNr=13-L-318308", "13-L-318308")</f>
        <v>13-L-318308</v>
      </c>
      <c r="C8448">
        <v>0.24</v>
      </c>
      <c r="D8448" t="s">
        <v>11578</v>
      </c>
      <c r="E8448" t="s">
        <v>11</v>
      </c>
      <c r="G8448" t="s">
        <v>9</v>
      </c>
      <c r="H8448" t="s">
        <v>14</v>
      </c>
    </row>
    <row r="8449" spans="1:8" hidden="1" x14ac:dyDescent="0.25">
      <c r="A8449" t="s">
        <v>11582</v>
      </c>
      <c r="B8449" s="1" t="str">
        <f>HYPERLINK("https://asmlis.vasa.lt/Dashboard/Served?ServiceDateFrom=2025-11-24&amp;ServiceDateTo=2025-11-24&amp;DumpsterInvNr=13-P-414279", "13-P-414279")</f>
        <v>13-P-414279</v>
      </c>
      <c r="C8449">
        <v>0.24</v>
      </c>
      <c r="D8449" t="s">
        <v>1362</v>
      </c>
      <c r="E8449" t="s">
        <v>11</v>
      </c>
      <c r="G8449" t="s">
        <v>264</v>
      </c>
      <c r="H8449" t="s">
        <v>14</v>
      </c>
    </row>
    <row r="8450" spans="1:8" hidden="1" x14ac:dyDescent="0.25">
      <c r="A8450" t="s">
        <v>11582</v>
      </c>
      <c r="B8450" s="1" t="str">
        <f>HYPERLINK("https://asmlis.vasa.lt/Dashboard/Served?ServiceDateFrom=2025-11-24&amp;ServiceDateTo=2025-11-24&amp;DumpsterInvNr=13-L-426161", "13-L-426161")</f>
        <v>13-L-426161</v>
      </c>
      <c r="C8450">
        <v>0.24</v>
      </c>
      <c r="D8450" t="s">
        <v>6820</v>
      </c>
      <c r="E8450" t="s">
        <v>11</v>
      </c>
      <c r="G8450" t="s">
        <v>74</v>
      </c>
      <c r="H8450" t="s">
        <v>14</v>
      </c>
    </row>
    <row r="8451" spans="1:8" hidden="1" x14ac:dyDescent="0.25">
      <c r="A8451" t="s">
        <v>11583</v>
      </c>
      <c r="B8451" s="1" t="str">
        <f>HYPERLINK("https://asmlis.vasa.lt/Dashboard/Served?ServiceDateFrom=2025-11-24&amp;ServiceDateTo=2025-11-24&amp;DumpsterInvNr=13-M-204357", "13-M-204357")</f>
        <v>13-M-204357</v>
      </c>
      <c r="C8451">
        <v>0.12</v>
      </c>
      <c r="D8451" t="s">
        <v>11584</v>
      </c>
      <c r="E8451" t="s">
        <v>11</v>
      </c>
      <c r="F8451" t="s">
        <v>1209</v>
      </c>
      <c r="G8451" t="s">
        <v>4876</v>
      </c>
      <c r="H8451" t="s">
        <v>938</v>
      </c>
    </row>
    <row r="8452" spans="1:8" hidden="1" x14ac:dyDescent="0.25">
      <c r="A8452" t="s">
        <v>11585</v>
      </c>
      <c r="B8452" s="1" t="str">
        <f>HYPERLINK("https://asmlis.vasa.lt/Dashboard/Served?ServiceDateFrom=2025-11-24&amp;ServiceDateTo=2025-11-24&amp;DumpsterInvNr=13-P-414073", "13-P-414073")</f>
        <v>13-P-414073</v>
      </c>
      <c r="C8452">
        <v>0.24</v>
      </c>
      <c r="D8452" t="s">
        <v>11586</v>
      </c>
      <c r="E8452" t="s">
        <v>11</v>
      </c>
      <c r="G8452" t="s">
        <v>264</v>
      </c>
      <c r="H8452" t="s">
        <v>14</v>
      </c>
    </row>
    <row r="8453" spans="1:8" hidden="1" x14ac:dyDescent="0.25">
      <c r="A8453" t="s">
        <v>11587</v>
      </c>
      <c r="B8453" s="1" t="str">
        <f>HYPERLINK("https://asmlis.vasa.lt/Dashboard/Served?ServiceDateFrom=2025-11-24&amp;ServiceDateTo=2025-11-24&amp;DumpsterInvNr=13-P-211648", "13-P-211648")</f>
        <v>13-P-211648</v>
      </c>
      <c r="C8453">
        <v>0.24</v>
      </c>
      <c r="D8453" t="s">
        <v>11504</v>
      </c>
      <c r="E8453" t="s">
        <v>11</v>
      </c>
      <c r="G8453" t="s">
        <v>234</v>
      </c>
      <c r="H8453" t="s">
        <v>14</v>
      </c>
    </row>
    <row r="8454" spans="1:8" hidden="1" x14ac:dyDescent="0.25">
      <c r="A8454" t="s">
        <v>11588</v>
      </c>
      <c r="B8454" s="1" t="str">
        <f>HYPERLINK("https://asmlis.vasa.lt/Dashboard/Served?ServiceDateFrom=2025-11-24&amp;ServiceDateTo=2025-11-24&amp;DumpsterInvNr=13-S-201415", "13-S-201415")</f>
        <v>13-S-201415</v>
      </c>
      <c r="C8454">
        <v>1.8</v>
      </c>
      <c r="D8454" t="s">
        <v>8443</v>
      </c>
      <c r="E8454" t="s">
        <v>11</v>
      </c>
      <c r="F8454" t="s">
        <v>13</v>
      </c>
      <c r="G8454" t="s">
        <v>234</v>
      </c>
      <c r="H8454" t="s">
        <v>14</v>
      </c>
    </row>
    <row r="8455" spans="1:8" hidden="1" x14ac:dyDescent="0.25">
      <c r="A8455" t="s">
        <v>11588</v>
      </c>
      <c r="B8455" s="1" t="str">
        <f>HYPERLINK("https://asmlis.vasa.lt/Dashboard/Served?ServiceDateFrom=2025-11-24&amp;ServiceDateTo=2025-11-24&amp;DumpsterInvNr=13-L-421664", "13-L-421664")</f>
        <v>13-L-421664</v>
      </c>
      <c r="C8455">
        <v>0.24</v>
      </c>
      <c r="D8455" t="s">
        <v>6839</v>
      </c>
      <c r="E8455" t="s">
        <v>11</v>
      </c>
      <c r="F8455" t="s">
        <v>1209</v>
      </c>
      <c r="G8455" t="s">
        <v>74</v>
      </c>
      <c r="H8455" t="s">
        <v>14</v>
      </c>
    </row>
    <row r="8456" spans="1:8" hidden="1" x14ac:dyDescent="0.25">
      <c r="A8456" t="s">
        <v>11591</v>
      </c>
      <c r="B8456" s="1" t="str">
        <f>HYPERLINK("https://asmlis.vasa.lt/Dashboard/Served?ServiceDateFrom=2025-11-24&amp;ServiceDateTo=2025-11-24&amp;DumpsterInvNr=13-L-222013", "13-L-222013")</f>
        <v>13-L-222013</v>
      </c>
      <c r="C8456">
        <v>0.24</v>
      </c>
      <c r="D8456" t="s">
        <v>11592</v>
      </c>
      <c r="E8456" t="s">
        <v>11</v>
      </c>
      <c r="G8456" t="s">
        <v>936</v>
      </c>
      <c r="H8456" t="s">
        <v>938</v>
      </c>
    </row>
    <row r="8457" spans="1:8" hidden="1" x14ac:dyDescent="0.25">
      <c r="A8457" t="s">
        <v>11593</v>
      </c>
      <c r="B8457" s="1" t="str">
        <f>HYPERLINK("https://asmlis.vasa.lt/Dashboard/Served?ServiceDateFrom=2025-11-24&amp;ServiceDateTo=2025-11-24&amp;DumpsterInvNr=13-M-204692", "13-M-204692")</f>
        <v>13-M-204692</v>
      </c>
      <c r="C8457">
        <v>0.12</v>
      </c>
      <c r="D8457" t="s">
        <v>11594</v>
      </c>
      <c r="E8457" t="s">
        <v>11</v>
      </c>
      <c r="G8457" t="s">
        <v>4876</v>
      </c>
      <c r="H8457" t="s">
        <v>938</v>
      </c>
    </row>
    <row r="8458" spans="1:8" hidden="1" x14ac:dyDescent="0.25">
      <c r="A8458" t="s">
        <v>11595</v>
      </c>
      <c r="B8458" s="1" t="str">
        <f>HYPERLINK("https://asmlis.vasa.lt/Dashboard/Served?ServiceDateFrom=2025-11-24&amp;ServiceDateTo=2025-11-24&amp;DumpsterInvNr=13-L-317037", "13-L-317037")</f>
        <v>13-L-317037</v>
      </c>
      <c r="C8458">
        <v>1.1000000000000001</v>
      </c>
      <c r="D8458" t="s">
        <v>11526</v>
      </c>
      <c r="E8458" t="s">
        <v>11</v>
      </c>
      <c r="F8458" t="s">
        <v>13</v>
      </c>
      <c r="G8458" t="s">
        <v>9</v>
      </c>
      <c r="H8458" t="s">
        <v>14</v>
      </c>
    </row>
    <row r="8459" spans="1:8" hidden="1" x14ac:dyDescent="0.25">
      <c r="A8459" t="s">
        <v>11596</v>
      </c>
      <c r="B8459" s="1" t="str">
        <f>HYPERLINK("https://asmlis.vasa.lt/Dashboard/Served?ServiceDateFrom=2025-11-24&amp;ServiceDateTo=2025-11-24&amp;DumpsterInvNr=13-M-204312", "13-M-204312")</f>
        <v>13-M-204312</v>
      </c>
      <c r="C8459">
        <v>0.12</v>
      </c>
      <c r="D8459" t="s">
        <v>11597</v>
      </c>
      <c r="E8459" t="s">
        <v>11</v>
      </c>
      <c r="F8459" t="s">
        <v>1209</v>
      </c>
      <c r="G8459" t="s">
        <v>4876</v>
      </c>
      <c r="H8459" t="s">
        <v>938</v>
      </c>
    </row>
    <row r="8460" spans="1:8" hidden="1" x14ac:dyDescent="0.25">
      <c r="A8460" t="s">
        <v>11598</v>
      </c>
      <c r="B8460" s="1" t="str">
        <f>HYPERLINK("https://asmlis.vasa.lt/Dashboard/Served?ServiceDateFrom=2025-11-24&amp;ServiceDateTo=2025-11-24&amp;DumpsterInvNr=13-L-318307", "13-L-318307")</f>
        <v>13-L-318307</v>
      </c>
      <c r="C8460">
        <v>0.24</v>
      </c>
      <c r="D8460" t="s">
        <v>11578</v>
      </c>
      <c r="E8460" t="s">
        <v>11</v>
      </c>
      <c r="G8460" t="s">
        <v>9</v>
      </c>
      <c r="H8460" t="s">
        <v>14</v>
      </c>
    </row>
    <row r="8461" spans="1:8" hidden="1" x14ac:dyDescent="0.25">
      <c r="A8461" t="s">
        <v>11598</v>
      </c>
      <c r="B8461" s="1" t="str">
        <f>HYPERLINK("https://asmlis.vasa.lt/Dashboard/Served?ServiceDateFrom=2025-11-24&amp;ServiceDateTo=2025-11-24&amp;DumpsterInvNr=13-L-427303", "13-L-427303")</f>
        <v>13-L-427303</v>
      </c>
      <c r="C8461">
        <v>0.24</v>
      </c>
      <c r="D8461" t="s">
        <v>6842</v>
      </c>
      <c r="E8461" t="s">
        <v>11</v>
      </c>
      <c r="F8461" t="s">
        <v>1209</v>
      </c>
      <c r="G8461" t="s">
        <v>74</v>
      </c>
      <c r="H8461" t="s">
        <v>14</v>
      </c>
    </row>
    <row r="8462" spans="1:8" hidden="1" x14ac:dyDescent="0.25">
      <c r="A8462" t="s">
        <v>11599</v>
      </c>
      <c r="B8462" s="1" t="str">
        <f>HYPERLINK("https://asmlis.vasa.lt/Dashboard/Served?ServiceDateFrom=2025-11-24&amp;ServiceDateTo=2025-11-24&amp;DumpsterInvNr=13-L-316807", "13-L-316807")</f>
        <v>13-L-316807</v>
      </c>
      <c r="C8462">
        <v>1.1000000000000001</v>
      </c>
      <c r="D8462" t="s">
        <v>11526</v>
      </c>
      <c r="E8462" t="s">
        <v>11</v>
      </c>
      <c r="F8462" t="s">
        <v>13</v>
      </c>
      <c r="G8462" t="s">
        <v>9</v>
      </c>
      <c r="H8462" t="s">
        <v>14</v>
      </c>
    </row>
    <row r="8463" spans="1:8" hidden="1" x14ac:dyDescent="0.25">
      <c r="A8463" t="s">
        <v>11599</v>
      </c>
      <c r="B8463" s="1" t="str">
        <f>HYPERLINK("https://asmlis.vasa.lt/Dashboard/Served?ServiceDateFrom=2025-11-24&amp;ServiceDateTo=2025-11-24&amp;DumpsterInvNr=13-L-134821", "13-L-134821")</f>
        <v>13-L-134821</v>
      </c>
      <c r="C8463">
        <v>1.1000000000000001</v>
      </c>
      <c r="D8463" t="s">
        <v>11600</v>
      </c>
      <c r="E8463" t="s">
        <v>11</v>
      </c>
      <c r="G8463" t="s">
        <v>1912</v>
      </c>
      <c r="H8463" t="s">
        <v>432</v>
      </c>
    </row>
    <row r="8464" spans="1:8" hidden="1" x14ac:dyDescent="0.25">
      <c r="A8464" t="s">
        <v>11601</v>
      </c>
      <c r="B8464" s="1" t="str">
        <f>HYPERLINK("https://asmlis.vasa.lt/Dashboard/Served?ServiceDateFrom=2025-11-24&amp;ServiceDateTo=2025-11-24&amp;DumpsterInvNr=13-P-211741", "13-P-211741")</f>
        <v>13-P-211741</v>
      </c>
      <c r="C8464">
        <v>0.24</v>
      </c>
      <c r="D8464" t="s">
        <v>11482</v>
      </c>
      <c r="E8464" t="s">
        <v>11</v>
      </c>
      <c r="G8464" t="s">
        <v>234</v>
      </c>
      <c r="H8464" t="s">
        <v>14</v>
      </c>
    </row>
    <row r="8465" spans="1:10" hidden="1" x14ac:dyDescent="0.25">
      <c r="A8465" t="s">
        <v>11325</v>
      </c>
      <c r="B8465" s="1" t="str">
        <f>HYPERLINK("https://asmlis.vasa.lt/Dashboard/Served?ServiceDateFrom=2025-11-24&amp;ServiceDateTo=2025-11-24&amp;DumpsterInvNr=13-L-208769", "13-L-208769")</f>
        <v>13-L-208769</v>
      </c>
      <c r="C8465">
        <v>1.1000000000000001</v>
      </c>
      <c r="D8465" t="s">
        <v>11602</v>
      </c>
      <c r="E8465" t="s">
        <v>11</v>
      </c>
      <c r="G8465" t="s">
        <v>936</v>
      </c>
      <c r="H8465" t="s">
        <v>938</v>
      </c>
    </row>
    <row r="8466" spans="1:10" x14ac:dyDescent="0.25">
      <c r="A8466" t="s">
        <v>11603</v>
      </c>
      <c r="B8466" s="1" t="str">
        <f>HYPERLINK("https://asmlis.vasa.lt/Dashboard/Served?ServiceDateFrom=2025-11-24&amp;ServiceDateTo=2025-11-24&amp;DumpsterInvNr=13-P-108921", "13-P-108921")</f>
        <v>13-P-108921</v>
      </c>
      <c r="C8466">
        <v>0.24</v>
      </c>
      <c r="D8466" t="s">
        <v>11604</v>
      </c>
      <c r="E8466" t="s">
        <v>11</v>
      </c>
      <c r="F8466" t="s">
        <v>2556</v>
      </c>
      <c r="G8466" t="s">
        <v>1917</v>
      </c>
      <c r="H8466" t="s">
        <v>432</v>
      </c>
      <c r="J8466" t="s">
        <v>17511</v>
      </c>
    </row>
    <row r="8467" spans="1:10" hidden="1" x14ac:dyDescent="0.25">
      <c r="A8467" t="s">
        <v>11331</v>
      </c>
      <c r="B8467" s="1" t="str">
        <f>HYPERLINK("https://asmlis.vasa.lt/Dashboard/Served?ServiceDateFrom=2025-11-24&amp;ServiceDateTo=2025-11-24&amp;DumpsterInvNr=13-L-318310", "13-L-318310")</f>
        <v>13-L-318310</v>
      </c>
      <c r="C8467">
        <v>0.24</v>
      </c>
      <c r="D8467" t="s">
        <v>11578</v>
      </c>
      <c r="E8467" t="s">
        <v>11</v>
      </c>
      <c r="G8467" t="s">
        <v>9</v>
      </c>
      <c r="H8467" t="s">
        <v>14</v>
      </c>
    </row>
    <row r="8468" spans="1:10" hidden="1" x14ac:dyDescent="0.25">
      <c r="A8468" t="s">
        <v>11515</v>
      </c>
      <c r="B8468" s="1" t="str">
        <f>HYPERLINK("https://asmlis.vasa.lt/Dashboard/Served?ServiceDateFrom=2025-11-24&amp;ServiceDateTo=2025-11-24&amp;DumpsterInvNr=13-M-204752", "13-M-204752")</f>
        <v>13-M-204752</v>
      </c>
      <c r="C8468">
        <v>0.12</v>
      </c>
      <c r="D8468" t="s">
        <v>11605</v>
      </c>
      <c r="E8468" t="s">
        <v>11</v>
      </c>
      <c r="F8468" t="s">
        <v>1209</v>
      </c>
      <c r="G8468" t="s">
        <v>4876</v>
      </c>
      <c r="H8468" t="s">
        <v>938</v>
      </c>
    </row>
    <row r="8469" spans="1:10" hidden="1" x14ac:dyDescent="0.25">
      <c r="A8469" t="s">
        <v>11468</v>
      </c>
      <c r="B8469" s="1" t="str">
        <f>HYPERLINK("https://asmlis.vasa.lt/Dashboard/Served?ServiceDateFrom=2025-11-24&amp;ServiceDateTo=2025-11-24&amp;DumpsterInvNr=13-L-141239", "13-L-141239")</f>
        <v>13-L-141239</v>
      </c>
      <c r="C8469">
        <v>0.24</v>
      </c>
      <c r="D8469" t="s">
        <v>11607</v>
      </c>
      <c r="E8469" t="s">
        <v>11</v>
      </c>
      <c r="G8469" t="s">
        <v>430</v>
      </c>
      <c r="H8469" t="s">
        <v>432</v>
      </c>
    </row>
    <row r="8470" spans="1:10" hidden="1" x14ac:dyDescent="0.25">
      <c r="A8470" t="s">
        <v>11468</v>
      </c>
      <c r="B8470" s="1" t="str">
        <f>HYPERLINK("https://asmlis.vasa.lt/Dashboard/Served?ServiceDateFrom=2025-11-24&amp;ServiceDateTo=2025-11-24&amp;DumpsterInvNr=13-P-505946", "13-P-505946")</f>
        <v>13-P-505946</v>
      </c>
      <c r="C8470">
        <v>0.24</v>
      </c>
      <c r="D8470" t="s">
        <v>11607</v>
      </c>
      <c r="E8470" t="s">
        <v>11</v>
      </c>
      <c r="G8470" t="s">
        <v>2178</v>
      </c>
      <c r="H8470" t="s">
        <v>432</v>
      </c>
    </row>
    <row r="8471" spans="1:10" hidden="1" x14ac:dyDescent="0.25">
      <c r="A8471" t="s">
        <v>11531</v>
      </c>
      <c r="B8471" s="1" t="str">
        <f>HYPERLINK("https://asmlis.vasa.lt/Dashboard/Served?ServiceDateFrom=2025-11-24&amp;ServiceDateTo=2025-11-24&amp;DumpsterInvNr=13-S-211632", "13-S-211632")</f>
        <v>13-S-211632</v>
      </c>
      <c r="C8471">
        <v>0.12</v>
      </c>
      <c r="D8471" t="s">
        <v>11492</v>
      </c>
      <c r="E8471" t="s">
        <v>11</v>
      </c>
      <c r="F8471" t="s">
        <v>1209</v>
      </c>
      <c r="G8471" t="s">
        <v>234</v>
      </c>
      <c r="H8471" t="s">
        <v>14</v>
      </c>
    </row>
    <row r="8472" spans="1:10" x14ac:dyDescent="0.25">
      <c r="A8472" t="s">
        <v>11608</v>
      </c>
      <c r="B8472" s="1" t="str">
        <f>HYPERLINK("https://asmlis.vasa.lt/Dashboard/Served?ServiceDateFrom=2025-11-24&amp;ServiceDateTo=2025-11-24&amp;DumpsterInvNr=13-P-105353", "13-P-105353")</f>
        <v>13-P-105353</v>
      </c>
      <c r="C8472">
        <v>0.24</v>
      </c>
      <c r="D8472" t="s">
        <v>11609</v>
      </c>
      <c r="E8472" t="s">
        <v>11</v>
      </c>
      <c r="F8472" t="s">
        <v>2556</v>
      </c>
      <c r="G8472" t="s">
        <v>1917</v>
      </c>
      <c r="H8472" t="s">
        <v>432</v>
      </c>
      <c r="J8472" t="s">
        <v>17511</v>
      </c>
    </row>
    <row r="8473" spans="1:10" hidden="1" x14ac:dyDescent="0.25">
      <c r="A8473" t="s">
        <v>11610</v>
      </c>
      <c r="B8473" s="1" t="str">
        <f>HYPERLINK("https://asmlis.vasa.lt/Dashboard/Served?ServiceDateFrom=2025-11-24&amp;ServiceDateTo=2025-11-24&amp;DumpsterInvNr=13-L-223208", "13-L-223208")</f>
        <v>13-L-223208</v>
      </c>
      <c r="C8473">
        <v>5</v>
      </c>
      <c r="D8473" t="s">
        <v>2606</v>
      </c>
      <c r="E8473" t="s">
        <v>11</v>
      </c>
      <c r="G8473" t="s">
        <v>936</v>
      </c>
      <c r="H8473" t="s">
        <v>938</v>
      </c>
    </row>
    <row r="8474" spans="1:10" hidden="1" x14ac:dyDescent="0.25">
      <c r="A8474" t="s">
        <v>11611</v>
      </c>
      <c r="B8474" s="1" t="str">
        <f>HYPERLINK("https://asmlis.vasa.lt/Dashboard/Served?ServiceDateFrom=2025-11-24&amp;ServiceDateTo=2025-11-24&amp;DumpsterInvNr=13-M-205161", "13-M-205161")</f>
        <v>13-M-205161</v>
      </c>
      <c r="C8474">
        <v>0.12</v>
      </c>
      <c r="D8474" t="s">
        <v>11612</v>
      </c>
      <c r="E8474" t="s">
        <v>11</v>
      </c>
      <c r="G8474" t="s">
        <v>4876</v>
      </c>
      <c r="H8474" t="s">
        <v>938</v>
      </c>
    </row>
    <row r="8475" spans="1:10" x14ac:dyDescent="0.25">
      <c r="A8475" t="s">
        <v>11613</v>
      </c>
      <c r="B8475" s="1" t="str">
        <f>HYPERLINK("https://asmlis.vasa.lt/Dashboard/Served?ServiceDateFrom=2025-11-24&amp;ServiceDateTo=2025-11-24&amp;DumpsterInvNr=13-L-134495", "13-L-134495")</f>
        <v>13-L-134495</v>
      </c>
      <c r="C8475">
        <v>0.12</v>
      </c>
      <c r="D8475" t="s">
        <v>11609</v>
      </c>
      <c r="E8475" t="s">
        <v>11</v>
      </c>
      <c r="F8475" t="s">
        <v>2556</v>
      </c>
      <c r="G8475" t="s">
        <v>1912</v>
      </c>
      <c r="H8475" t="s">
        <v>432</v>
      </c>
      <c r="J8475" t="s">
        <v>17511</v>
      </c>
    </row>
    <row r="8476" spans="1:10" hidden="1" x14ac:dyDescent="0.25">
      <c r="A8476" t="s">
        <v>11615</v>
      </c>
      <c r="B8476" s="1" t="str">
        <f>HYPERLINK("https://asmlis.vasa.lt/Dashboard/Served?ServiceDateFrom=2025-11-24&amp;ServiceDateTo=2025-11-24&amp;DumpsterInvNr=13-M-204869", "13-M-204869")</f>
        <v>13-M-204869</v>
      </c>
      <c r="C8476">
        <v>0.12</v>
      </c>
      <c r="D8476" t="s">
        <v>11497</v>
      </c>
      <c r="E8476" t="s">
        <v>11</v>
      </c>
      <c r="F8476" t="s">
        <v>1209</v>
      </c>
      <c r="G8476" t="s">
        <v>4876</v>
      </c>
      <c r="H8476" t="s">
        <v>938</v>
      </c>
    </row>
    <row r="8477" spans="1:10" hidden="1" x14ac:dyDescent="0.25">
      <c r="A8477" t="s">
        <v>11614</v>
      </c>
      <c r="B8477" s="1" t="str">
        <f>HYPERLINK("https://asmlis.vasa.lt/Dashboard/Served?ServiceDateFrom=2025-11-24&amp;ServiceDateTo=2025-11-24&amp;DumpsterInvNr=13-P-211610", "13-P-211610")</f>
        <v>13-P-211610</v>
      </c>
      <c r="C8477">
        <v>0.24</v>
      </c>
      <c r="D8477" t="s">
        <v>11492</v>
      </c>
      <c r="E8477" t="s">
        <v>11</v>
      </c>
      <c r="F8477" t="s">
        <v>1209</v>
      </c>
      <c r="G8477" t="s">
        <v>234</v>
      </c>
      <c r="H8477" t="s">
        <v>14</v>
      </c>
    </row>
    <row r="8478" spans="1:10" hidden="1" x14ac:dyDescent="0.25">
      <c r="A8478" t="s">
        <v>11614</v>
      </c>
      <c r="B8478" s="1" t="str">
        <f>HYPERLINK("https://asmlis.vasa.lt/Dashboard/Served?ServiceDateFrom=2025-11-24&amp;ServiceDateTo=2025-11-24&amp;DumpsterInvNr=13-P-211656", "13-P-211656")</f>
        <v>13-P-211656</v>
      </c>
      <c r="C8478">
        <v>0.24</v>
      </c>
      <c r="D8478" t="s">
        <v>11467</v>
      </c>
      <c r="E8478" t="s">
        <v>11</v>
      </c>
      <c r="G8478" t="s">
        <v>234</v>
      </c>
      <c r="H8478" t="s">
        <v>14</v>
      </c>
    </row>
    <row r="8479" spans="1:10" hidden="1" x14ac:dyDescent="0.25">
      <c r="A8479" t="s">
        <v>11616</v>
      </c>
      <c r="B8479" s="1" t="str">
        <f>HYPERLINK("https://asmlis.vasa.lt/Dashboard/Served?ServiceDateFrom=2025-11-24&amp;ServiceDateTo=2025-11-24&amp;DumpsterInvNr=13-P-403939", "13-P-403939")</f>
        <v>13-P-403939</v>
      </c>
      <c r="C8479">
        <v>5</v>
      </c>
      <c r="D8479" t="s">
        <v>11617</v>
      </c>
      <c r="E8479" t="s">
        <v>11</v>
      </c>
      <c r="F8479" t="s">
        <v>13</v>
      </c>
      <c r="G8479" t="s">
        <v>264</v>
      </c>
      <c r="H8479" t="s">
        <v>14</v>
      </c>
    </row>
    <row r="8480" spans="1:10" hidden="1" x14ac:dyDescent="0.25">
      <c r="A8480" t="s">
        <v>11265</v>
      </c>
      <c r="B8480" s="1" t="str">
        <f>HYPERLINK("https://asmlis.vasa.lt/Dashboard/Served?ServiceDateFrom=2025-11-24&amp;ServiceDateTo=2025-11-24&amp;DumpsterInvNr=13-S-211630", "13-S-211630")</f>
        <v>13-S-211630</v>
      </c>
      <c r="C8480">
        <v>0.12</v>
      </c>
      <c r="D8480" t="s">
        <v>11467</v>
      </c>
      <c r="E8480" t="s">
        <v>11</v>
      </c>
      <c r="F8480" t="s">
        <v>1209</v>
      </c>
      <c r="G8480" t="s">
        <v>234</v>
      </c>
      <c r="H8480" t="s">
        <v>14</v>
      </c>
    </row>
    <row r="8481" spans="1:10" hidden="1" x14ac:dyDescent="0.25">
      <c r="A8481" t="s">
        <v>11265</v>
      </c>
      <c r="B8481" s="1" t="str">
        <f>HYPERLINK("https://asmlis.vasa.lt/Dashboard/Served?ServiceDateFrom=2025-11-24&amp;ServiceDateTo=2025-11-24&amp;DumpsterInvNr=13-M-206001", "13-M-206001")</f>
        <v>13-M-206001</v>
      </c>
      <c r="C8481">
        <v>0.12</v>
      </c>
      <c r="D8481" t="s">
        <v>11439</v>
      </c>
      <c r="E8481" t="s">
        <v>11</v>
      </c>
      <c r="F8481" t="s">
        <v>1209</v>
      </c>
      <c r="G8481" t="s">
        <v>4876</v>
      </c>
      <c r="H8481" t="s">
        <v>938</v>
      </c>
    </row>
    <row r="8482" spans="1:10" hidden="1" x14ac:dyDescent="0.25">
      <c r="A8482" t="s">
        <v>11590</v>
      </c>
      <c r="B8482" s="1" t="str">
        <f>HYPERLINK("https://asmlis.vasa.lt/Dashboard/Served?ServiceDateFrom=2025-11-24&amp;ServiceDateTo=2025-11-24&amp;DumpsterInvNr=13-L-148647", "13-L-148647")</f>
        <v>13-L-148647</v>
      </c>
      <c r="C8482">
        <v>3</v>
      </c>
      <c r="D8482" t="s">
        <v>11619</v>
      </c>
      <c r="E8482" t="s">
        <v>11</v>
      </c>
      <c r="F8482" t="s">
        <v>13</v>
      </c>
      <c r="G8482" t="s">
        <v>430</v>
      </c>
      <c r="H8482" t="s">
        <v>432</v>
      </c>
    </row>
    <row r="8483" spans="1:10" x14ac:dyDescent="0.25">
      <c r="A8483" t="s">
        <v>11258</v>
      </c>
      <c r="B8483" s="1" t="str">
        <f>HYPERLINK("https://asmlis.vasa.lt/Dashboard/Served?ServiceDateFrom=2025-11-24&amp;ServiceDateTo=2025-11-24&amp;DumpsterInvNr=13-L-142561", "13-L-142561")</f>
        <v>13-L-142561</v>
      </c>
      <c r="C8483">
        <v>0.24</v>
      </c>
      <c r="D8483" t="s">
        <v>11604</v>
      </c>
      <c r="E8483" t="s">
        <v>11</v>
      </c>
      <c r="F8483" t="s">
        <v>2556</v>
      </c>
      <c r="G8483" t="s">
        <v>1912</v>
      </c>
      <c r="H8483" t="s">
        <v>432</v>
      </c>
      <c r="J8483" t="s">
        <v>17511</v>
      </c>
    </row>
    <row r="8484" spans="1:10" hidden="1" x14ac:dyDescent="0.25">
      <c r="A8484" t="s">
        <v>11292</v>
      </c>
      <c r="B8484" s="1" t="str">
        <f>HYPERLINK("https://asmlis.vasa.lt/Dashboard/Served?ServiceDateFrom=2025-11-24&amp;ServiceDateTo=2025-11-24&amp;DumpsterInvNr=13-M-202662", "13-M-202662")</f>
        <v>13-M-202662</v>
      </c>
      <c r="C8484">
        <v>0.12</v>
      </c>
      <c r="D8484" t="s">
        <v>11462</v>
      </c>
      <c r="E8484" t="s">
        <v>11</v>
      </c>
      <c r="F8484" t="s">
        <v>1209</v>
      </c>
      <c r="G8484" t="s">
        <v>4876</v>
      </c>
      <c r="H8484" t="s">
        <v>938</v>
      </c>
    </row>
    <row r="8485" spans="1:10" hidden="1" x14ac:dyDescent="0.25">
      <c r="A8485" t="s">
        <v>11620</v>
      </c>
      <c r="B8485" s="1" t="str">
        <f>HYPERLINK("https://asmlis.vasa.lt/Dashboard/Served?ServiceDateFrom=2025-11-24&amp;ServiceDateTo=2025-11-24&amp;DumpsterInvNr=13-L-312858", "13-L-312858")</f>
        <v>13-L-312858</v>
      </c>
      <c r="C8485">
        <v>0.24</v>
      </c>
      <c r="D8485" t="s">
        <v>11622</v>
      </c>
      <c r="E8485" t="s">
        <v>11</v>
      </c>
      <c r="F8485" t="s">
        <v>13</v>
      </c>
      <c r="G8485" t="s">
        <v>9</v>
      </c>
      <c r="H8485" t="s">
        <v>14</v>
      </c>
    </row>
    <row r="8486" spans="1:10" hidden="1" x14ac:dyDescent="0.25">
      <c r="A8486" t="s">
        <v>11620</v>
      </c>
      <c r="B8486" s="1" t="str">
        <f>HYPERLINK("https://asmlis.vasa.lt/Dashboard/Served?ServiceDateFrom=2025-11-24&amp;ServiceDateTo=2025-11-24&amp;DumpsterInvNr=13-P-414196", "13-P-414196")</f>
        <v>13-P-414196</v>
      </c>
      <c r="C8486">
        <v>0.24</v>
      </c>
      <c r="D8486" t="s">
        <v>11623</v>
      </c>
      <c r="E8486" t="s">
        <v>11</v>
      </c>
      <c r="G8486" t="s">
        <v>264</v>
      </c>
      <c r="H8486" t="s">
        <v>14</v>
      </c>
    </row>
    <row r="8487" spans="1:10" hidden="1" x14ac:dyDescent="0.25">
      <c r="A8487" t="s">
        <v>11624</v>
      </c>
      <c r="B8487" s="1" t="str">
        <f>HYPERLINK("https://asmlis.vasa.lt/Dashboard/Served?ServiceDateFrom=2025-11-24&amp;ServiceDateTo=2025-11-24&amp;DumpsterInvNr=13-L-124143", "13-L-124143")</f>
        <v>13-L-124143</v>
      </c>
      <c r="C8487">
        <v>1.1000000000000001</v>
      </c>
      <c r="D8487" t="s">
        <v>11625</v>
      </c>
      <c r="E8487" t="s">
        <v>11</v>
      </c>
      <c r="G8487" t="s">
        <v>430</v>
      </c>
      <c r="H8487" t="s">
        <v>432</v>
      </c>
    </row>
    <row r="8488" spans="1:10" hidden="1" x14ac:dyDescent="0.25">
      <c r="A8488" t="s">
        <v>11626</v>
      </c>
      <c r="B8488" s="1" t="str">
        <f>HYPERLINK("https://asmlis.vasa.lt/Dashboard/Served?ServiceDateFrom=2025-11-24&amp;ServiceDateTo=2025-11-24&amp;DumpsterInvNr=13-P-290025", "13-P-290025")</f>
        <v>13-P-290025</v>
      </c>
      <c r="C8488">
        <v>1.1000000000000001</v>
      </c>
      <c r="D8488" t="s">
        <v>11627</v>
      </c>
      <c r="E8488" t="s">
        <v>11</v>
      </c>
      <c r="G8488" t="s">
        <v>234</v>
      </c>
      <c r="H8488" t="s">
        <v>14</v>
      </c>
    </row>
    <row r="8489" spans="1:10" hidden="1" x14ac:dyDescent="0.25">
      <c r="A8489" t="s">
        <v>11628</v>
      </c>
      <c r="B8489" s="1" t="str">
        <f>HYPERLINK("https://asmlis.vasa.lt/Dashboard/Served?ServiceDateFrom=2025-11-24&amp;ServiceDateTo=2025-11-24&amp;DumpsterInvNr=13-S-400265", "13-S-400265")</f>
        <v>13-S-400265</v>
      </c>
      <c r="C8489">
        <v>0.12</v>
      </c>
      <c r="D8489" t="s">
        <v>1390</v>
      </c>
      <c r="E8489" t="s">
        <v>11</v>
      </c>
      <c r="G8489" t="s">
        <v>264</v>
      </c>
      <c r="H8489" t="s">
        <v>14</v>
      </c>
    </row>
    <row r="8490" spans="1:10" hidden="1" x14ac:dyDescent="0.25">
      <c r="A8490" t="s">
        <v>11628</v>
      </c>
      <c r="B8490" s="1" t="str">
        <f>HYPERLINK("https://asmlis.vasa.lt/Dashboard/Served?ServiceDateFrom=2025-11-24&amp;ServiceDateTo=2025-11-24&amp;DumpsterInvNr=13-P-414228", "13-P-414228")</f>
        <v>13-P-414228</v>
      </c>
      <c r="C8490">
        <v>0.24</v>
      </c>
      <c r="D8490" t="s">
        <v>1390</v>
      </c>
      <c r="E8490" t="s">
        <v>11</v>
      </c>
      <c r="G8490" t="s">
        <v>264</v>
      </c>
      <c r="H8490" t="s">
        <v>14</v>
      </c>
    </row>
    <row r="8491" spans="1:10" hidden="1" x14ac:dyDescent="0.25">
      <c r="A8491" t="s">
        <v>11629</v>
      </c>
      <c r="B8491" s="1" t="str">
        <f>HYPERLINK("https://asmlis.vasa.lt/Dashboard/Served?ServiceDateFrom=2025-11-24&amp;ServiceDateTo=2025-11-24&amp;DumpsterInvNr=13-L-425904", "13-L-425904")</f>
        <v>13-L-425904</v>
      </c>
      <c r="C8491">
        <v>0.24</v>
      </c>
      <c r="D8491" t="s">
        <v>6906</v>
      </c>
      <c r="E8491" t="s">
        <v>11</v>
      </c>
      <c r="F8491" t="s">
        <v>1209</v>
      </c>
      <c r="G8491" t="s">
        <v>74</v>
      </c>
      <c r="H8491" t="s">
        <v>14</v>
      </c>
    </row>
    <row r="8492" spans="1:10" hidden="1" x14ac:dyDescent="0.25">
      <c r="A8492" t="s">
        <v>11631</v>
      </c>
      <c r="B8492" s="1" t="str">
        <f>HYPERLINK("https://asmlis.vasa.lt/Dashboard/Served?ServiceDateFrom=2025-11-24&amp;ServiceDateTo=2025-11-24&amp;DumpsterInvNr=13-L-304001", "13-L-304001")</f>
        <v>13-L-304001</v>
      </c>
      <c r="C8492">
        <v>1.1000000000000001</v>
      </c>
      <c r="D8492" t="s">
        <v>11632</v>
      </c>
      <c r="E8492" t="s">
        <v>11</v>
      </c>
      <c r="G8492" t="s">
        <v>9</v>
      </c>
      <c r="H8492" t="s">
        <v>14</v>
      </c>
    </row>
    <row r="8493" spans="1:10" hidden="1" x14ac:dyDescent="0.25">
      <c r="A8493" t="s">
        <v>11631</v>
      </c>
      <c r="B8493" s="1" t="str">
        <f>HYPERLINK("https://asmlis.vasa.lt/Dashboard/Served?ServiceDateFrom=2025-11-24&amp;ServiceDateTo=2025-11-24&amp;DumpsterInvNr=13-M-206043", "13-M-206043")</f>
        <v>13-M-206043</v>
      </c>
      <c r="C8493">
        <v>0.12</v>
      </c>
      <c r="D8493" t="s">
        <v>11633</v>
      </c>
      <c r="E8493" t="s">
        <v>11</v>
      </c>
      <c r="F8493" t="s">
        <v>1209</v>
      </c>
      <c r="G8493" t="s">
        <v>4876</v>
      </c>
      <c r="H8493" t="s">
        <v>938</v>
      </c>
    </row>
    <row r="8494" spans="1:10" hidden="1" x14ac:dyDescent="0.25">
      <c r="A8494" t="s">
        <v>11634</v>
      </c>
      <c r="B8494" s="1" t="str">
        <f>HYPERLINK("https://asmlis.vasa.lt/Dashboard/Served?ServiceDateFrom=2025-11-24&amp;ServiceDateTo=2025-11-24&amp;DumpsterInvNr=13-M-202005", "13-M-202005")</f>
        <v>13-M-202005</v>
      </c>
      <c r="C8494">
        <v>0.12</v>
      </c>
      <c r="D8494" t="s">
        <v>11635</v>
      </c>
      <c r="E8494" t="s">
        <v>11</v>
      </c>
      <c r="F8494" t="s">
        <v>1209</v>
      </c>
      <c r="G8494" t="s">
        <v>4876</v>
      </c>
      <c r="H8494" t="s">
        <v>938</v>
      </c>
    </row>
    <row r="8495" spans="1:10" hidden="1" x14ac:dyDescent="0.25">
      <c r="A8495" t="s">
        <v>11636</v>
      </c>
      <c r="B8495" s="1" t="str">
        <f>HYPERLINK("https://asmlis.vasa.lt/Dashboard/Served?ServiceDateFrom=2025-11-24&amp;ServiceDateTo=2025-11-24&amp;DumpsterInvNr=13-S-203105", "13-S-203105")</f>
        <v>13-S-203105</v>
      </c>
      <c r="C8495">
        <v>0.12</v>
      </c>
      <c r="D8495" t="s">
        <v>11460</v>
      </c>
      <c r="E8495" t="s">
        <v>11</v>
      </c>
      <c r="G8495" t="s">
        <v>234</v>
      </c>
      <c r="H8495" t="s">
        <v>14</v>
      </c>
    </row>
    <row r="8496" spans="1:10" hidden="1" x14ac:dyDescent="0.25">
      <c r="A8496" t="s">
        <v>11637</v>
      </c>
      <c r="B8496" s="1" t="str">
        <f>HYPERLINK("https://asmlis.vasa.lt/Dashboard/Served?ServiceDateFrom=2025-11-24&amp;ServiceDateTo=2025-11-24&amp;DumpsterInvNr=13-L-425905", "13-L-425905")</f>
        <v>13-L-425905</v>
      </c>
      <c r="C8496">
        <v>0.24</v>
      </c>
      <c r="D8496" t="s">
        <v>6905</v>
      </c>
      <c r="E8496" t="s">
        <v>11</v>
      </c>
      <c r="F8496" t="s">
        <v>1209</v>
      </c>
      <c r="G8496" t="s">
        <v>74</v>
      </c>
      <c r="H8496" t="s">
        <v>14</v>
      </c>
    </row>
    <row r="8497" spans="1:8" hidden="1" x14ac:dyDescent="0.25">
      <c r="A8497" t="s">
        <v>11638</v>
      </c>
      <c r="B8497" s="1" t="str">
        <f>HYPERLINK("https://asmlis.vasa.lt/Dashboard/Served?ServiceDateFrom=2025-11-24&amp;ServiceDateTo=2025-11-24&amp;DumpsterInvNr=13-M-204330", "13-M-204330")</f>
        <v>13-M-204330</v>
      </c>
      <c r="C8497">
        <v>0.12</v>
      </c>
      <c r="D8497" t="s">
        <v>11633</v>
      </c>
      <c r="E8497" t="s">
        <v>11</v>
      </c>
      <c r="F8497" t="s">
        <v>1209</v>
      </c>
      <c r="G8497" t="s">
        <v>4876</v>
      </c>
      <c r="H8497" t="s">
        <v>938</v>
      </c>
    </row>
    <row r="8498" spans="1:8" hidden="1" x14ac:dyDescent="0.25">
      <c r="A8498" t="s">
        <v>11639</v>
      </c>
      <c r="B8498" s="1" t="str">
        <f>HYPERLINK("https://asmlis.vasa.lt/Dashboard/Served?ServiceDateFrom=2025-11-24&amp;ServiceDateTo=2025-11-24&amp;DumpsterInvNr=13-L-422046", "13-L-422046")</f>
        <v>13-L-422046</v>
      </c>
      <c r="C8498">
        <v>5</v>
      </c>
      <c r="D8498" t="s">
        <v>11640</v>
      </c>
      <c r="E8498" t="s">
        <v>11</v>
      </c>
      <c r="G8498" t="s">
        <v>74</v>
      </c>
      <c r="H8498" t="s">
        <v>14</v>
      </c>
    </row>
    <row r="8499" spans="1:8" hidden="1" x14ac:dyDescent="0.25">
      <c r="A8499" t="s">
        <v>11641</v>
      </c>
      <c r="B8499" s="1" t="str">
        <f>HYPERLINK("https://asmlis.vasa.lt/Dashboard/Served?ServiceDateFrom=2025-11-24&amp;ServiceDateTo=2025-11-24&amp;DumpsterInvNr=13-L-420502", "13-L-420502")</f>
        <v>13-L-420502</v>
      </c>
      <c r="C8499">
        <v>1.1000000000000001</v>
      </c>
      <c r="D8499" t="s">
        <v>10521</v>
      </c>
      <c r="E8499" t="s">
        <v>11</v>
      </c>
      <c r="G8499" t="s">
        <v>74</v>
      </c>
      <c r="H8499" t="s">
        <v>14</v>
      </c>
    </row>
    <row r="8500" spans="1:8" hidden="1" x14ac:dyDescent="0.25">
      <c r="A8500" t="s">
        <v>11641</v>
      </c>
      <c r="B8500" s="1" t="str">
        <f>HYPERLINK("https://asmlis.vasa.lt/Dashboard/Served?ServiceDateFrom=2025-11-24&amp;ServiceDateTo=2025-11-24&amp;DumpsterInvNr=13-M-204677", "13-M-204677")</f>
        <v>13-M-204677</v>
      </c>
      <c r="C8500">
        <v>0.12</v>
      </c>
      <c r="D8500" t="s">
        <v>11633</v>
      </c>
      <c r="E8500" t="s">
        <v>11</v>
      </c>
      <c r="F8500" t="s">
        <v>1209</v>
      </c>
      <c r="G8500" t="s">
        <v>4876</v>
      </c>
      <c r="H8500" t="s">
        <v>938</v>
      </c>
    </row>
    <row r="8501" spans="1:8" hidden="1" x14ac:dyDescent="0.25">
      <c r="A8501" t="s">
        <v>11642</v>
      </c>
      <c r="B8501" s="1" t="str">
        <f>HYPERLINK("https://asmlis.vasa.lt/Dashboard/Served?ServiceDateFrom=2025-11-24&amp;ServiceDateTo=2025-11-24&amp;DumpsterInvNr=13-M-205152", "13-M-205152")</f>
        <v>13-M-205152</v>
      </c>
      <c r="C8501">
        <v>0.12</v>
      </c>
      <c r="D8501" t="s">
        <v>11643</v>
      </c>
      <c r="E8501" t="s">
        <v>11</v>
      </c>
      <c r="F8501" t="s">
        <v>1209</v>
      </c>
      <c r="G8501" t="s">
        <v>4876</v>
      </c>
      <c r="H8501" t="s">
        <v>938</v>
      </c>
    </row>
    <row r="8502" spans="1:8" hidden="1" x14ac:dyDescent="0.25">
      <c r="A8502" t="s">
        <v>11645</v>
      </c>
      <c r="B8502" s="1" t="str">
        <f>HYPERLINK("https://asmlis.vasa.lt/Dashboard/Served?ServiceDateFrom=2025-11-24&amp;ServiceDateTo=2025-11-24&amp;DumpsterInvNr=13-L-409481", "13-L-409481")</f>
        <v>13-L-409481</v>
      </c>
      <c r="C8502">
        <v>1.1000000000000001</v>
      </c>
      <c r="D8502" t="s">
        <v>10521</v>
      </c>
      <c r="E8502" t="s">
        <v>11</v>
      </c>
      <c r="G8502" t="s">
        <v>74</v>
      </c>
      <c r="H8502" t="s">
        <v>14</v>
      </c>
    </row>
    <row r="8503" spans="1:8" hidden="1" x14ac:dyDescent="0.25">
      <c r="A8503" t="s">
        <v>11646</v>
      </c>
      <c r="B8503" s="1" t="str">
        <f>HYPERLINK("https://asmlis.vasa.lt/Dashboard/Served?ServiceDateFrom=2025-11-24&amp;ServiceDateTo=2025-11-24&amp;DumpsterInvNr=13-M-205162", "13-M-205162")</f>
        <v>13-M-205162</v>
      </c>
      <c r="C8503">
        <v>0.12</v>
      </c>
      <c r="D8503" t="s">
        <v>11647</v>
      </c>
      <c r="E8503" t="s">
        <v>11</v>
      </c>
      <c r="F8503" t="s">
        <v>1209</v>
      </c>
      <c r="G8503" t="s">
        <v>4876</v>
      </c>
      <c r="H8503" t="s">
        <v>938</v>
      </c>
    </row>
    <row r="8504" spans="1:8" hidden="1" x14ac:dyDescent="0.25">
      <c r="A8504" t="s">
        <v>11649</v>
      </c>
      <c r="B8504" s="1" t="str">
        <f>HYPERLINK("https://asmlis.vasa.lt/Dashboard/Served?ServiceDateFrom=2025-11-24&amp;ServiceDateTo=2025-11-24&amp;DumpsterInvNr=13-P-501772", "13-P-501772")</f>
        <v>13-P-501772</v>
      </c>
      <c r="C8504">
        <v>5</v>
      </c>
      <c r="D8504" t="s">
        <v>3353</v>
      </c>
      <c r="E8504" t="s">
        <v>11</v>
      </c>
      <c r="F8504" t="s">
        <v>13</v>
      </c>
      <c r="G8504" t="s">
        <v>2178</v>
      </c>
      <c r="H8504" t="s">
        <v>432</v>
      </c>
    </row>
    <row r="8505" spans="1:8" hidden="1" x14ac:dyDescent="0.25">
      <c r="A8505" t="s">
        <v>11650</v>
      </c>
      <c r="B8505" s="1" t="str">
        <f>HYPERLINK("https://asmlis.vasa.lt/Dashboard/Served?ServiceDateFrom=2025-11-24&amp;ServiceDateTo=2025-11-24&amp;DumpsterInvNr=13-P-203706", "13-P-203706")</f>
        <v>13-P-203706</v>
      </c>
      <c r="C8505">
        <v>0.24</v>
      </c>
      <c r="D8505" t="s">
        <v>11460</v>
      </c>
      <c r="E8505" t="s">
        <v>11</v>
      </c>
      <c r="G8505" t="s">
        <v>234</v>
      </c>
      <c r="H8505" t="s">
        <v>14</v>
      </c>
    </row>
    <row r="8506" spans="1:8" hidden="1" x14ac:dyDescent="0.25">
      <c r="A8506" t="s">
        <v>11650</v>
      </c>
      <c r="B8506" s="1" t="str">
        <f>HYPERLINK("https://asmlis.vasa.lt/Dashboard/Served?ServiceDateFrom=2025-11-24&amp;ServiceDateTo=2025-11-24&amp;DumpsterInvNr=13-L-144941", "13-L-144941")</f>
        <v>13-L-144941</v>
      </c>
      <c r="C8506">
        <v>1.1000000000000001</v>
      </c>
      <c r="D8506" t="s">
        <v>11651</v>
      </c>
      <c r="E8506" t="s">
        <v>11</v>
      </c>
      <c r="G8506" t="s">
        <v>430</v>
      </c>
      <c r="H8506" t="s">
        <v>432</v>
      </c>
    </row>
    <row r="8507" spans="1:8" hidden="1" x14ac:dyDescent="0.25">
      <c r="A8507" t="s">
        <v>11652</v>
      </c>
      <c r="B8507" s="1" t="str">
        <f>HYPERLINK("https://asmlis.vasa.lt/Dashboard/Served?ServiceDateFrom=2025-11-24&amp;ServiceDateTo=2025-11-24&amp;DumpsterInvNr=13-M-205158", "13-M-205158")</f>
        <v>13-M-205158</v>
      </c>
      <c r="C8507">
        <v>0.12</v>
      </c>
      <c r="D8507" t="s">
        <v>11653</v>
      </c>
      <c r="E8507" t="s">
        <v>11</v>
      </c>
      <c r="F8507" t="s">
        <v>1209</v>
      </c>
      <c r="G8507" t="s">
        <v>4876</v>
      </c>
      <c r="H8507" t="s">
        <v>938</v>
      </c>
    </row>
    <row r="8508" spans="1:8" hidden="1" x14ac:dyDescent="0.25">
      <c r="A8508" t="s">
        <v>11654</v>
      </c>
      <c r="B8508" s="1" t="str">
        <f>HYPERLINK("https://asmlis.vasa.lt/Dashboard/Served?ServiceDateFrom=2025-11-24&amp;ServiceDateTo=2025-11-24&amp;DumpsterInvNr=13-M-205160", "13-M-205160")</f>
        <v>13-M-205160</v>
      </c>
      <c r="C8508">
        <v>0.12</v>
      </c>
      <c r="D8508" t="s">
        <v>11655</v>
      </c>
      <c r="E8508" t="s">
        <v>11</v>
      </c>
      <c r="F8508" t="s">
        <v>1209</v>
      </c>
      <c r="G8508" t="s">
        <v>4876</v>
      </c>
      <c r="H8508" t="s">
        <v>938</v>
      </c>
    </row>
    <row r="8509" spans="1:8" hidden="1" x14ac:dyDescent="0.25">
      <c r="A8509" t="s">
        <v>11657</v>
      </c>
      <c r="B8509" s="1" t="str">
        <f>HYPERLINK("https://asmlis.vasa.lt/Dashboard/Served?ServiceDateFrom=2025-11-24&amp;ServiceDateTo=2025-11-24&amp;DumpsterInvNr=13-M-205163", "13-M-205163")</f>
        <v>13-M-205163</v>
      </c>
      <c r="C8509">
        <v>0.12</v>
      </c>
      <c r="D8509" t="s">
        <v>11419</v>
      </c>
      <c r="E8509" t="s">
        <v>11</v>
      </c>
      <c r="F8509" t="s">
        <v>1209</v>
      </c>
      <c r="G8509" t="s">
        <v>4876</v>
      </c>
      <c r="H8509" t="s">
        <v>938</v>
      </c>
    </row>
    <row r="8510" spans="1:8" hidden="1" x14ac:dyDescent="0.25">
      <c r="A8510" t="s">
        <v>11420</v>
      </c>
      <c r="B8510" s="1" t="str">
        <f>HYPERLINK("https://asmlis.vasa.lt/Dashboard/Served?ServiceDateFrom=2025-11-24&amp;ServiceDateTo=2025-11-24&amp;DumpsterInvNr=13-L-419940", "13-L-419940")</f>
        <v>13-L-419940</v>
      </c>
      <c r="C8510">
        <v>1.1000000000000001</v>
      </c>
      <c r="D8510" t="s">
        <v>10521</v>
      </c>
      <c r="E8510" t="s">
        <v>11</v>
      </c>
      <c r="G8510" t="s">
        <v>74</v>
      </c>
      <c r="H8510" t="s">
        <v>14</v>
      </c>
    </row>
    <row r="8511" spans="1:8" hidden="1" x14ac:dyDescent="0.25">
      <c r="A8511" t="s">
        <v>11659</v>
      </c>
      <c r="B8511" s="1" t="str">
        <f>HYPERLINK("https://asmlis.vasa.lt/Dashboard/Served?ServiceDateFrom=2025-11-24&amp;ServiceDateTo=2025-11-24&amp;DumpsterInvNr=13-P-116378", "13-P-116378")</f>
        <v>13-P-116378</v>
      </c>
      <c r="C8511">
        <v>1.1000000000000001</v>
      </c>
      <c r="D8511" t="s">
        <v>11660</v>
      </c>
      <c r="E8511" t="s">
        <v>11</v>
      </c>
      <c r="G8511" t="s">
        <v>1917</v>
      </c>
      <c r="H8511" t="s">
        <v>432</v>
      </c>
    </row>
    <row r="8512" spans="1:8" hidden="1" x14ac:dyDescent="0.25">
      <c r="A8512" t="s">
        <v>11397</v>
      </c>
      <c r="B8512" s="1" t="str">
        <f>HYPERLINK("https://asmlis.vasa.lt/Dashboard/Served?ServiceDateFrom=2025-11-24&amp;ServiceDateTo=2025-11-24&amp;DumpsterInvNr=13-S-403531", "13-S-403531")</f>
        <v>13-S-403531</v>
      </c>
      <c r="C8512">
        <v>0.12</v>
      </c>
      <c r="D8512" t="s">
        <v>11586</v>
      </c>
      <c r="E8512" t="s">
        <v>11</v>
      </c>
      <c r="F8512" t="s">
        <v>1209</v>
      </c>
      <c r="G8512" t="s">
        <v>264</v>
      </c>
      <c r="H8512" t="s">
        <v>14</v>
      </c>
    </row>
    <row r="8513" spans="1:8" hidden="1" x14ac:dyDescent="0.25">
      <c r="A8513" t="s">
        <v>11397</v>
      </c>
      <c r="B8513" s="1" t="str">
        <f>HYPERLINK("https://asmlis.vasa.lt/Dashboard/Served?ServiceDateFrom=2025-11-24&amp;ServiceDateTo=2025-11-24&amp;DumpsterInvNr=13-S-403523", "13-S-403523")</f>
        <v>13-S-403523</v>
      </c>
      <c r="C8513">
        <v>0.12</v>
      </c>
      <c r="D8513" t="s">
        <v>11623</v>
      </c>
      <c r="E8513" t="s">
        <v>11</v>
      </c>
      <c r="F8513" t="s">
        <v>1209</v>
      </c>
      <c r="G8513" t="s">
        <v>264</v>
      </c>
      <c r="H8513" t="s">
        <v>14</v>
      </c>
    </row>
    <row r="8514" spans="1:8" hidden="1" x14ac:dyDescent="0.25">
      <c r="A8514" t="s">
        <v>11503</v>
      </c>
      <c r="B8514" s="1" t="str">
        <f>HYPERLINK("https://asmlis.vasa.lt/Dashboard/Served?ServiceDateFrom=2025-11-24&amp;ServiceDateTo=2025-11-24&amp;DumpsterInvNr=13-L-302421", "13-L-302421")</f>
        <v>13-L-302421</v>
      </c>
      <c r="C8514">
        <v>1.1000000000000001</v>
      </c>
      <c r="D8514" t="s">
        <v>11632</v>
      </c>
      <c r="E8514" t="s">
        <v>11</v>
      </c>
      <c r="G8514" t="s">
        <v>9</v>
      </c>
      <c r="H8514" t="s">
        <v>14</v>
      </c>
    </row>
    <row r="8515" spans="1:8" hidden="1" x14ac:dyDescent="0.25">
      <c r="A8515" t="s">
        <v>11264</v>
      </c>
      <c r="B8515" s="1" t="str">
        <f>HYPERLINK("https://asmlis.vasa.lt/Dashboard/Served?ServiceDateFrom=2025-11-24&amp;ServiceDateTo=2025-11-24&amp;DumpsterInvNr=13-S-403529", "13-S-403529")</f>
        <v>13-S-403529</v>
      </c>
      <c r="C8515">
        <v>0.12</v>
      </c>
      <c r="D8515" t="s">
        <v>11662</v>
      </c>
      <c r="E8515" t="s">
        <v>11</v>
      </c>
      <c r="F8515" t="s">
        <v>1209</v>
      </c>
      <c r="G8515" t="s">
        <v>264</v>
      </c>
      <c r="H8515" t="s">
        <v>14</v>
      </c>
    </row>
    <row r="8516" spans="1:8" hidden="1" x14ac:dyDescent="0.25">
      <c r="A8516" t="s">
        <v>11663</v>
      </c>
      <c r="B8516" s="1" t="str">
        <f>HYPERLINK("https://asmlis.vasa.lt/Dashboard/Served?ServiceDateFrom=2025-11-24&amp;ServiceDateTo=2025-11-24&amp;DumpsterInvNr=13-P-403853", "13-P-403853")</f>
        <v>13-P-403853</v>
      </c>
      <c r="C8516">
        <v>0.24</v>
      </c>
      <c r="D8516" t="s">
        <v>1323</v>
      </c>
      <c r="E8516" t="s">
        <v>11</v>
      </c>
      <c r="F8516" t="s">
        <v>1209</v>
      </c>
      <c r="G8516" t="s">
        <v>264</v>
      </c>
      <c r="H8516" t="s">
        <v>14</v>
      </c>
    </row>
    <row r="8517" spans="1:8" hidden="1" x14ac:dyDescent="0.25">
      <c r="A8517" t="s">
        <v>11663</v>
      </c>
      <c r="B8517" s="1" t="str">
        <f>HYPERLINK("https://asmlis.vasa.lt/Dashboard/Served?ServiceDateFrom=2025-11-24&amp;ServiceDateTo=2025-11-24&amp;DumpsterInvNr=13-P-414143", "13-P-414143")</f>
        <v>13-P-414143</v>
      </c>
      <c r="C8517">
        <v>0.24</v>
      </c>
      <c r="D8517" t="s">
        <v>11662</v>
      </c>
      <c r="E8517" t="s">
        <v>11</v>
      </c>
      <c r="F8517" t="s">
        <v>1209</v>
      </c>
      <c r="G8517" t="s">
        <v>264</v>
      </c>
      <c r="H8517" t="s">
        <v>14</v>
      </c>
    </row>
    <row r="8518" spans="1:8" hidden="1" x14ac:dyDescent="0.25">
      <c r="A8518" t="s">
        <v>11663</v>
      </c>
      <c r="B8518" s="1" t="str">
        <f>HYPERLINK("https://asmlis.vasa.lt/Dashboard/Served?ServiceDateFrom=2025-11-24&amp;ServiceDateTo=2025-11-24&amp;DumpsterInvNr=13-M-206006", "13-M-206006")</f>
        <v>13-M-206006</v>
      </c>
      <c r="C8518">
        <v>0.12</v>
      </c>
      <c r="D8518" t="s">
        <v>11415</v>
      </c>
      <c r="E8518" t="s">
        <v>11</v>
      </c>
      <c r="F8518" t="s">
        <v>1209</v>
      </c>
      <c r="G8518" t="s">
        <v>4876</v>
      </c>
      <c r="H8518" t="s">
        <v>938</v>
      </c>
    </row>
    <row r="8519" spans="1:8" hidden="1" x14ac:dyDescent="0.25">
      <c r="A8519" t="s">
        <v>11666</v>
      </c>
      <c r="B8519" s="1" t="str">
        <f>HYPERLINK("https://asmlis.vasa.lt/Dashboard/Served?ServiceDateFrom=2025-11-24&amp;ServiceDateTo=2025-11-24&amp;DumpsterInvNr=13-S-400270", "13-S-400270")</f>
        <v>13-S-400270</v>
      </c>
      <c r="C8519">
        <v>0.12</v>
      </c>
      <c r="D8519" t="s">
        <v>1362</v>
      </c>
      <c r="E8519" t="s">
        <v>11</v>
      </c>
      <c r="F8519" t="s">
        <v>1209</v>
      </c>
      <c r="G8519" t="s">
        <v>264</v>
      </c>
      <c r="H8519" t="s">
        <v>14</v>
      </c>
    </row>
    <row r="8520" spans="1:8" hidden="1" x14ac:dyDescent="0.25">
      <c r="A8520" t="s">
        <v>11666</v>
      </c>
      <c r="B8520" s="1" t="str">
        <f>HYPERLINK("https://asmlis.vasa.lt/Dashboard/Served?ServiceDateFrom=2025-11-24&amp;ServiceDateTo=2025-11-24&amp;DumpsterInvNr=13-P-414340", "13-P-414340")</f>
        <v>13-P-414340</v>
      </c>
      <c r="C8520">
        <v>0.24</v>
      </c>
      <c r="D8520" t="s">
        <v>1349</v>
      </c>
      <c r="E8520" t="s">
        <v>11</v>
      </c>
      <c r="F8520" t="s">
        <v>1209</v>
      </c>
      <c r="G8520" t="s">
        <v>264</v>
      </c>
      <c r="H8520" t="s">
        <v>14</v>
      </c>
    </row>
    <row r="8521" spans="1:8" hidden="1" x14ac:dyDescent="0.25">
      <c r="A8521" t="s">
        <v>11666</v>
      </c>
      <c r="B8521" s="1" t="str">
        <f>HYPERLINK("https://asmlis.vasa.lt/Dashboard/Served?ServiceDateFrom=2025-11-24&amp;ServiceDateTo=2025-11-24&amp;DumpsterInvNr=13-P-414258", "13-P-414258")</f>
        <v>13-P-414258</v>
      </c>
      <c r="C8521">
        <v>0.24</v>
      </c>
      <c r="D8521" t="s">
        <v>1348</v>
      </c>
      <c r="E8521" t="s">
        <v>11</v>
      </c>
      <c r="F8521" t="s">
        <v>1209</v>
      </c>
      <c r="G8521" t="s">
        <v>264</v>
      </c>
      <c r="H8521" t="s">
        <v>14</v>
      </c>
    </row>
    <row r="8522" spans="1:8" hidden="1" x14ac:dyDescent="0.25">
      <c r="A8522" t="s">
        <v>11266</v>
      </c>
      <c r="B8522" s="1" t="str">
        <f>HYPERLINK("https://asmlis.vasa.lt/Dashboard/Served?ServiceDateFrom=2025-11-24&amp;ServiceDateTo=2025-11-24&amp;DumpsterInvNr=13-P-500428", "13-P-500428")</f>
        <v>13-P-500428</v>
      </c>
      <c r="C8522">
        <v>5</v>
      </c>
      <c r="D8522" t="s">
        <v>6764</v>
      </c>
      <c r="E8522" t="s">
        <v>11</v>
      </c>
      <c r="F8522" t="s">
        <v>13</v>
      </c>
      <c r="G8522" t="s">
        <v>2178</v>
      </c>
      <c r="H8522" t="s">
        <v>432</v>
      </c>
    </row>
    <row r="8523" spans="1:8" hidden="1" x14ac:dyDescent="0.25">
      <c r="A8523" t="s">
        <v>11432</v>
      </c>
      <c r="B8523" s="1" t="str">
        <f>HYPERLINK("https://asmlis.vasa.lt/Dashboard/Served?ServiceDateFrom=2025-11-24&amp;ServiceDateTo=2025-11-24&amp;DumpsterInvNr=13-S-400061", "13-S-400061")</f>
        <v>13-S-400061</v>
      </c>
      <c r="C8523">
        <v>0.12</v>
      </c>
      <c r="D8523" t="s">
        <v>11668</v>
      </c>
      <c r="E8523" t="s">
        <v>11</v>
      </c>
      <c r="F8523" t="s">
        <v>1209</v>
      </c>
      <c r="G8523" t="s">
        <v>264</v>
      </c>
      <c r="H8523" t="s">
        <v>14</v>
      </c>
    </row>
    <row r="8524" spans="1:8" hidden="1" x14ac:dyDescent="0.25">
      <c r="A8524" t="s">
        <v>11432</v>
      </c>
      <c r="B8524" s="1" t="str">
        <f>HYPERLINK("https://asmlis.vasa.lt/Dashboard/Served?ServiceDateFrom=2025-11-24&amp;ServiceDateTo=2025-11-24&amp;DumpsterInvNr=13-S-404577", "13-S-404577")</f>
        <v>13-S-404577</v>
      </c>
      <c r="C8524">
        <v>0.12</v>
      </c>
      <c r="D8524" t="s">
        <v>1323</v>
      </c>
      <c r="E8524" t="s">
        <v>11</v>
      </c>
      <c r="F8524" t="s">
        <v>1209</v>
      </c>
      <c r="G8524" t="s">
        <v>264</v>
      </c>
      <c r="H8524" t="s">
        <v>14</v>
      </c>
    </row>
    <row r="8525" spans="1:8" hidden="1" x14ac:dyDescent="0.25">
      <c r="A8525" t="s">
        <v>11436</v>
      </c>
      <c r="B8525" s="1" t="str">
        <f>HYPERLINK("https://asmlis.vasa.lt/Dashboard/Served?ServiceDateFrom=2025-11-24&amp;ServiceDateTo=2025-11-24&amp;DumpsterInvNr=13-S-400267", "13-S-400267")</f>
        <v>13-S-400267</v>
      </c>
      <c r="C8525">
        <v>0.12</v>
      </c>
      <c r="D8525" t="s">
        <v>1341</v>
      </c>
      <c r="E8525" t="s">
        <v>11</v>
      </c>
      <c r="F8525" t="s">
        <v>1209</v>
      </c>
      <c r="G8525" t="s">
        <v>264</v>
      </c>
      <c r="H8525" t="s">
        <v>14</v>
      </c>
    </row>
    <row r="8526" spans="1:8" hidden="1" x14ac:dyDescent="0.25">
      <c r="A8526" t="s">
        <v>11436</v>
      </c>
      <c r="B8526" s="1" t="str">
        <f>HYPERLINK("https://asmlis.vasa.lt/Dashboard/Served?ServiceDateFrom=2025-11-24&amp;ServiceDateTo=2025-11-24&amp;DumpsterInvNr=13-S-400148", "13-S-400148")</f>
        <v>13-S-400148</v>
      </c>
      <c r="C8526">
        <v>0.12</v>
      </c>
      <c r="D8526" t="s">
        <v>1349</v>
      </c>
      <c r="E8526" t="s">
        <v>11</v>
      </c>
      <c r="F8526" t="s">
        <v>1209</v>
      </c>
      <c r="G8526" t="s">
        <v>264</v>
      </c>
      <c r="H8526" t="s">
        <v>14</v>
      </c>
    </row>
    <row r="8527" spans="1:8" hidden="1" x14ac:dyDescent="0.25">
      <c r="A8527" t="s">
        <v>11670</v>
      </c>
      <c r="B8527" s="1" t="str">
        <f>HYPERLINK("https://asmlis.vasa.lt/Dashboard/Served?ServiceDateFrom=2025-11-24&amp;ServiceDateTo=2025-11-24&amp;DumpsterInvNr=13-P-302426", "13-P-302426")</f>
        <v>13-P-302426</v>
      </c>
      <c r="C8527">
        <v>5</v>
      </c>
      <c r="D8527" t="s">
        <v>11671</v>
      </c>
      <c r="E8527" t="s">
        <v>11</v>
      </c>
      <c r="F8527" t="s">
        <v>13</v>
      </c>
      <c r="G8527" t="s">
        <v>412</v>
      </c>
      <c r="H8527" t="s">
        <v>14</v>
      </c>
    </row>
    <row r="8528" spans="1:8" hidden="1" x14ac:dyDescent="0.25">
      <c r="A8528" t="s">
        <v>11333</v>
      </c>
      <c r="B8528" s="1" t="str">
        <f>HYPERLINK("https://asmlis.vasa.lt/Dashboard/Served?ServiceDateFrom=2025-11-24&amp;ServiceDateTo=2025-11-24&amp;DumpsterInvNr=13-S-400214", "13-S-400214")</f>
        <v>13-S-400214</v>
      </c>
      <c r="C8528">
        <v>0.12</v>
      </c>
      <c r="D8528" t="s">
        <v>1348</v>
      </c>
      <c r="E8528" t="s">
        <v>11</v>
      </c>
      <c r="F8528" t="s">
        <v>1209</v>
      </c>
      <c r="G8528" t="s">
        <v>264</v>
      </c>
      <c r="H8528" t="s">
        <v>14</v>
      </c>
    </row>
    <row r="8529" spans="1:8" hidden="1" x14ac:dyDescent="0.25">
      <c r="A8529" t="s">
        <v>11333</v>
      </c>
      <c r="B8529" s="1" t="str">
        <f>HYPERLINK("https://asmlis.vasa.lt/Dashboard/Served?ServiceDateFrom=2025-11-24&amp;ServiceDateTo=2025-11-24&amp;DumpsterInvNr=13-P-414588", "13-P-414588")</f>
        <v>13-P-414588</v>
      </c>
      <c r="C8529">
        <v>0.24</v>
      </c>
      <c r="D8529" t="s">
        <v>1352</v>
      </c>
      <c r="E8529" t="s">
        <v>11</v>
      </c>
      <c r="F8529" t="s">
        <v>1209</v>
      </c>
      <c r="G8529" t="s">
        <v>264</v>
      </c>
      <c r="H8529" t="s">
        <v>14</v>
      </c>
    </row>
    <row r="8530" spans="1:8" hidden="1" x14ac:dyDescent="0.25">
      <c r="A8530" t="s">
        <v>11333</v>
      </c>
      <c r="B8530" s="1" t="str">
        <f>HYPERLINK("https://asmlis.vasa.lt/Dashboard/Served?ServiceDateFrom=2025-11-24&amp;ServiceDateTo=2025-11-24&amp;DumpsterInvNr=13-P-414374", "13-P-414374")</f>
        <v>13-P-414374</v>
      </c>
      <c r="C8530">
        <v>0.24</v>
      </c>
      <c r="D8530" t="s">
        <v>11672</v>
      </c>
      <c r="E8530" t="s">
        <v>11</v>
      </c>
      <c r="F8530" t="s">
        <v>1209</v>
      </c>
      <c r="G8530" t="s">
        <v>264</v>
      </c>
      <c r="H8530" t="s">
        <v>14</v>
      </c>
    </row>
    <row r="8531" spans="1:8" hidden="1" x14ac:dyDescent="0.25">
      <c r="A8531" t="s">
        <v>11673</v>
      </c>
      <c r="B8531" s="1" t="str">
        <f>HYPERLINK("https://asmlis.vasa.lt/Dashboard/Served?ServiceDateFrom=2025-11-24&amp;ServiceDateTo=2025-11-24&amp;DumpsterInvNr=13-P-411608", "13-P-411608")</f>
        <v>13-P-411608</v>
      </c>
      <c r="C8531">
        <v>0.24</v>
      </c>
      <c r="D8531" t="s">
        <v>11674</v>
      </c>
      <c r="E8531" t="s">
        <v>11</v>
      </c>
      <c r="F8531" t="s">
        <v>1209</v>
      </c>
      <c r="G8531" t="s">
        <v>264</v>
      </c>
      <c r="H8531" t="s">
        <v>14</v>
      </c>
    </row>
    <row r="8532" spans="1:8" hidden="1" x14ac:dyDescent="0.25">
      <c r="A8532" t="s">
        <v>11454</v>
      </c>
      <c r="B8532" s="1" t="str">
        <f>HYPERLINK("https://asmlis.vasa.lt/Dashboard/Served?ServiceDateFrom=2025-11-24&amp;ServiceDateTo=2025-11-24&amp;DumpsterInvNr=13-L-422347", "13-L-422347")</f>
        <v>13-L-422347</v>
      </c>
      <c r="C8532">
        <v>0.24</v>
      </c>
      <c r="D8532" t="s">
        <v>11675</v>
      </c>
      <c r="E8532" t="s">
        <v>11</v>
      </c>
      <c r="G8532" t="s">
        <v>74</v>
      </c>
      <c r="H8532" t="s">
        <v>14</v>
      </c>
    </row>
    <row r="8533" spans="1:8" hidden="1" x14ac:dyDescent="0.25">
      <c r="A8533" t="s">
        <v>11454</v>
      </c>
      <c r="B8533" s="1" t="str">
        <f>HYPERLINK("https://asmlis.vasa.lt/Dashboard/Served?ServiceDateFrom=2025-11-24&amp;ServiceDateTo=2025-11-24&amp;DumpsterInvNr=13-M-206009", "13-M-206009")</f>
        <v>13-M-206009</v>
      </c>
      <c r="C8533">
        <v>0.12</v>
      </c>
      <c r="D8533" t="s">
        <v>11407</v>
      </c>
      <c r="E8533" t="s">
        <v>11</v>
      </c>
      <c r="F8533" t="s">
        <v>1209</v>
      </c>
      <c r="G8533" t="s">
        <v>4876</v>
      </c>
      <c r="H8533" t="s">
        <v>938</v>
      </c>
    </row>
    <row r="8534" spans="1:8" hidden="1" x14ac:dyDescent="0.25">
      <c r="A8534" t="s">
        <v>11481</v>
      </c>
      <c r="B8534" s="1" t="str">
        <f>HYPERLINK("https://asmlis.vasa.lt/Dashboard/Served?ServiceDateFrom=2025-11-24&amp;ServiceDateTo=2025-11-24&amp;DumpsterInvNr=13-S-211631", "13-S-211631")</f>
        <v>13-S-211631</v>
      </c>
      <c r="C8534">
        <v>0.12</v>
      </c>
      <c r="D8534" t="s">
        <v>11441</v>
      </c>
      <c r="E8534" t="s">
        <v>11</v>
      </c>
      <c r="G8534" t="s">
        <v>234</v>
      </c>
      <c r="H8534" t="s">
        <v>14</v>
      </c>
    </row>
    <row r="8535" spans="1:8" hidden="1" x14ac:dyDescent="0.25">
      <c r="A8535" t="s">
        <v>11676</v>
      </c>
      <c r="B8535" s="1" t="str">
        <f>HYPERLINK("https://asmlis.vasa.lt/Dashboard/Served?ServiceDateFrom=2025-11-24&amp;ServiceDateTo=2025-11-24&amp;DumpsterInvNr=13-L-424721", "13-L-424721")</f>
        <v>13-L-424721</v>
      </c>
      <c r="C8535">
        <v>0.24</v>
      </c>
      <c r="D8535" t="s">
        <v>6923</v>
      </c>
      <c r="E8535" t="s">
        <v>11</v>
      </c>
      <c r="G8535" t="s">
        <v>74</v>
      </c>
      <c r="H8535" t="s">
        <v>14</v>
      </c>
    </row>
    <row r="8536" spans="1:8" hidden="1" x14ac:dyDescent="0.25">
      <c r="A8536" t="s">
        <v>11536</v>
      </c>
      <c r="B8536" s="1" t="str">
        <f>HYPERLINK("https://asmlis.vasa.lt/Dashboard/Served?ServiceDateFrom=2025-11-24&amp;ServiceDateTo=2025-11-24&amp;DumpsterInvNr=13-L-142298", "13-L-142298")</f>
        <v>13-L-142298</v>
      </c>
      <c r="C8536">
        <v>0.24</v>
      </c>
      <c r="D8536" t="s">
        <v>11677</v>
      </c>
      <c r="E8536" t="s">
        <v>11</v>
      </c>
      <c r="G8536" t="s">
        <v>430</v>
      </c>
      <c r="H8536" t="s">
        <v>432</v>
      </c>
    </row>
    <row r="8537" spans="1:8" hidden="1" x14ac:dyDescent="0.25">
      <c r="A8537" t="s">
        <v>11678</v>
      </c>
      <c r="B8537" s="1" t="str">
        <f>HYPERLINK("https://asmlis.vasa.lt/Dashboard/Served?ServiceDateFrom=2025-11-24&amp;ServiceDateTo=2025-11-24&amp;DumpsterInvNr=13-L-222345", "13-L-222345")</f>
        <v>13-L-222345</v>
      </c>
      <c r="C8537">
        <v>1.1000000000000001</v>
      </c>
      <c r="D8537" t="s">
        <v>11679</v>
      </c>
      <c r="E8537" t="s">
        <v>11</v>
      </c>
      <c r="G8537" t="s">
        <v>936</v>
      </c>
      <c r="H8537" t="s">
        <v>938</v>
      </c>
    </row>
    <row r="8538" spans="1:8" hidden="1" x14ac:dyDescent="0.25">
      <c r="A8538" t="s">
        <v>11534</v>
      </c>
      <c r="B8538" s="1" t="str">
        <f>HYPERLINK("https://asmlis.vasa.lt/Dashboard/Served?ServiceDateFrom=2025-11-24&amp;ServiceDateTo=2025-11-24&amp;DumpsterInvNr=13-L-305359", "13-L-305359")</f>
        <v>13-L-305359</v>
      </c>
      <c r="C8538">
        <v>0.77</v>
      </c>
      <c r="D8538" t="s">
        <v>11632</v>
      </c>
      <c r="E8538" t="s">
        <v>11</v>
      </c>
      <c r="G8538" t="s">
        <v>9</v>
      </c>
      <c r="H8538" t="s">
        <v>14</v>
      </c>
    </row>
    <row r="8539" spans="1:8" hidden="1" x14ac:dyDescent="0.25">
      <c r="A8539" t="s">
        <v>11534</v>
      </c>
      <c r="B8539" s="1" t="str">
        <f>HYPERLINK("https://asmlis.vasa.lt/Dashboard/Served?ServiceDateFrom=2025-11-24&amp;ServiceDateTo=2025-11-24&amp;DumpsterInvNr=13-P-506547", "13-P-506547")</f>
        <v>13-P-506547</v>
      </c>
      <c r="C8539">
        <v>0.24</v>
      </c>
      <c r="D8539" t="s">
        <v>11677</v>
      </c>
      <c r="E8539" t="s">
        <v>11</v>
      </c>
      <c r="G8539" t="s">
        <v>2178</v>
      </c>
      <c r="H8539" t="s">
        <v>432</v>
      </c>
    </row>
    <row r="8540" spans="1:8" hidden="1" x14ac:dyDescent="0.25">
      <c r="A8540" t="s">
        <v>11680</v>
      </c>
      <c r="B8540" s="1" t="str">
        <f>HYPERLINK("https://asmlis.vasa.lt/Dashboard/Served?ServiceDateFrom=2025-11-24&amp;ServiceDateTo=2025-11-24&amp;DumpsterInvNr=13-M-206025", "13-M-206025")</f>
        <v>13-M-206025</v>
      </c>
      <c r="C8540">
        <v>0.12</v>
      </c>
      <c r="D8540" t="s">
        <v>11405</v>
      </c>
      <c r="E8540" t="s">
        <v>11</v>
      </c>
      <c r="F8540" t="s">
        <v>1209</v>
      </c>
      <c r="G8540" t="s">
        <v>4876</v>
      </c>
      <c r="H8540" t="s">
        <v>938</v>
      </c>
    </row>
    <row r="8541" spans="1:8" hidden="1" x14ac:dyDescent="0.25">
      <c r="A8541" t="s">
        <v>11682</v>
      </c>
      <c r="B8541" s="1" t="str">
        <f>HYPERLINK("https://asmlis.vasa.lt/Dashboard/Served?ServiceDateFrom=2025-11-24&amp;ServiceDateTo=2025-11-24&amp;DumpsterInvNr=13-L-304403", "13-L-304403")</f>
        <v>13-L-304403</v>
      </c>
      <c r="C8541">
        <v>5</v>
      </c>
      <c r="D8541" t="s">
        <v>11683</v>
      </c>
      <c r="E8541" t="s">
        <v>11</v>
      </c>
      <c r="F8541" t="s">
        <v>13</v>
      </c>
      <c r="G8541" t="s">
        <v>9</v>
      </c>
      <c r="H8541" t="s">
        <v>14</v>
      </c>
    </row>
    <row r="8542" spans="1:8" hidden="1" x14ac:dyDescent="0.25">
      <c r="A8542" t="s">
        <v>11684</v>
      </c>
      <c r="B8542" s="1" t="str">
        <f>HYPERLINK("https://asmlis.vasa.lt/Dashboard/Served?ServiceDateFrom=2025-11-24&amp;ServiceDateTo=2025-11-24&amp;DumpsterInvNr=13-L-304404", "13-L-304404")</f>
        <v>13-L-304404</v>
      </c>
      <c r="C8542">
        <v>5</v>
      </c>
      <c r="D8542" t="s">
        <v>11683</v>
      </c>
      <c r="E8542" t="s">
        <v>11</v>
      </c>
      <c r="F8542" t="s">
        <v>13</v>
      </c>
      <c r="G8542" t="s">
        <v>9</v>
      </c>
      <c r="H8542" t="s">
        <v>14</v>
      </c>
    </row>
    <row r="8543" spans="1:8" hidden="1" x14ac:dyDescent="0.25">
      <c r="A8543" t="s">
        <v>11685</v>
      </c>
      <c r="B8543" s="1" t="str">
        <f>HYPERLINK("https://asmlis.vasa.lt/Dashboard/Served?ServiceDateFrom=2025-11-24&amp;ServiceDateTo=2025-11-24&amp;DumpsterInvNr=DGA-ZALVARIS", "DGA-ZALVARIS")</f>
        <v>DGA-ZALVARIS</v>
      </c>
      <c r="C8543">
        <v>1</v>
      </c>
      <c r="D8543" t="s">
        <v>11687</v>
      </c>
      <c r="E8543" t="s">
        <v>12</v>
      </c>
      <c r="F8543" t="s">
        <v>13</v>
      </c>
      <c r="G8543" t="s">
        <v>10915</v>
      </c>
      <c r="H8543" t="s">
        <v>6765</v>
      </c>
    </row>
    <row r="8544" spans="1:8" hidden="1" x14ac:dyDescent="0.25">
      <c r="A8544" t="s">
        <v>11688</v>
      </c>
      <c r="B8544" s="1" t="str">
        <f>HYPERLINK("https://asmlis.vasa.lt/Dashboard/Served?ServiceDateFrom=2025-11-24&amp;ServiceDateTo=2025-11-24&amp;DumpsterInvNr=13-L-133163", "13-L-133163")</f>
        <v>13-L-133163</v>
      </c>
      <c r="C8544">
        <v>0.24</v>
      </c>
      <c r="D8544" t="s">
        <v>11689</v>
      </c>
      <c r="E8544" t="s">
        <v>11</v>
      </c>
      <c r="G8544" t="s">
        <v>1912</v>
      </c>
      <c r="H8544" t="s">
        <v>432</v>
      </c>
    </row>
    <row r="8545" spans="1:8" hidden="1" x14ac:dyDescent="0.25">
      <c r="A8545" t="s">
        <v>11688</v>
      </c>
      <c r="B8545" s="1" t="str">
        <f>HYPERLINK("https://asmlis.vasa.lt/Dashboard/Served?ServiceDateFrom=2025-11-24&amp;ServiceDateTo=2025-11-24&amp;DumpsterInvNr=13-P-105376", "13-P-105376")</f>
        <v>13-P-105376</v>
      </c>
      <c r="C8545">
        <v>0.24</v>
      </c>
      <c r="D8545" t="s">
        <v>11689</v>
      </c>
      <c r="E8545" t="s">
        <v>11</v>
      </c>
      <c r="G8545" t="s">
        <v>1917</v>
      </c>
      <c r="H8545" t="s">
        <v>432</v>
      </c>
    </row>
    <row r="8546" spans="1:8" hidden="1" x14ac:dyDescent="0.25">
      <c r="A8546" t="s">
        <v>11688</v>
      </c>
      <c r="B8546" s="1" t="str">
        <f>HYPERLINK("https://asmlis.vasa.lt/Dashboard/Served?ServiceDateFrom=2025-11-24&amp;ServiceDateTo=2025-11-24&amp;DumpsterInvNr=13-P-416880", "13-P-416880")</f>
        <v>13-P-416880</v>
      </c>
      <c r="C8546">
        <v>5</v>
      </c>
      <c r="D8546" t="s">
        <v>11691</v>
      </c>
      <c r="E8546" t="s">
        <v>11</v>
      </c>
      <c r="F8546" t="s">
        <v>13</v>
      </c>
      <c r="G8546" t="s">
        <v>264</v>
      </c>
      <c r="H8546" t="s">
        <v>14</v>
      </c>
    </row>
    <row r="8547" spans="1:8" hidden="1" x14ac:dyDescent="0.25">
      <c r="A8547" t="s">
        <v>11692</v>
      </c>
      <c r="B8547" s="1" t="str">
        <f>HYPERLINK("https://asmlis.vasa.lt/Dashboard/Served?ServiceDateFrom=2025-11-24&amp;ServiceDateTo=2025-11-24&amp;DumpsterInvNr=13-P-416196", "13-P-416196")</f>
        <v>13-P-416196</v>
      </c>
      <c r="C8547">
        <v>1.1000000000000001</v>
      </c>
      <c r="D8547" t="s">
        <v>6648</v>
      </c>
      <c r="E8547" t="s">
        <v>11</v>
      </c>
      <c r="F8547" t="s">
        <v>13</v>
      </c>
      <c r="G8547" t="s">
        <v>264</v>
      </c>
      <c r="H8547" t="s">
        <v>14</v>
      </c>
    </row>
    <row r="8548" spans="1:8" hidden="1" x14ac:dyDescent="0.25">
      <c r="A8548" t="s">
        <v>11693</v>
      </c>
      <c r="B8548" s="1" t="str">
        <f>HYPERLINK("https://asmlis.vasa.lt/Dashboard/Served?ServiceDateFrom=2025-11-24&amp;ServiceDateTo=2025-11-24&amp;DumpsterInvNr=13-M-206190", "13-M-206190")</f>
        <v>13-M-206190</v>
      </c>
      <c r="C8548">
        <v>0.12</v>
      </c>
      <c r="D8548" t="s">
        <v>11694</v>
      </c>
      <c r="E8548" t="s">
        <v>11</v>
      </c>
      <c r="G8548" t="s">
        <v>4876</v>
      </c>
      <c r="H8548" t="s">
        <v>938</v>
      </c>
    </row>
    <row r="8549" spans="1:8" hidden="1" x14ac:dyDescent="0.25">
      <c r="A8549" t="s">
        <v>11695</v>
      </c>
      <c r="B8549" s="1" t="str">
        <f>HYPERLINK("https://asmlis.vasa.lt/Dashboard/Served?ServiceDateFrom=2025-11-24&amp;ServiceDateTo=2025-11-24&amp;DumpsterInvNr=13-L-305358", "13-L-305358")</f>
        <v>13-L-305358</v>
      </c>
      <c r="C8549">
        <v>0.77</v>
      </c>
      <c r="D8549" t="s">
        <v>11632</v>
      </c>
      <c r="E8549" t="s">
        <v>11</v>
      </c>
      <c r="G8549" t="s">
        <v>9</v>
      </c>
      <c r="H8549" t="s">
        <v>14</v>
      </c>
    </row>
    <row r="8550" spans="1:8" hidden="1" x14ac:dyDescent="0.25">
      <c r="A8550" t="s">
        <v>11696</v>
      </c>
      <c r="B8550" s="1" t="str">
        <f>HYPERLINK("https://asmlis.vasa.lt/Dashboard/Served?ServiceDateFrom=2025-11-24&amp;ServiceDateTo=2025-11-24&amp;DumpsterInvNr=13-P-211564", "13-P-211564")</f>
        <v>13-P-211564</v>
      </c>
      <c r="C8550">
        <v>0.24</v>
      </c>
      <c r="D8550" t="s">
        <v>11456</v>
      </c>
      <c r="E8550" t="s">
        <v>11</v>
      </c>
      <c r="G8550" t="s">
        <v>234</v>
      </c>
      <c r="H8550" t="s">
        <v>14</v>
      </c>
    </row>
    <row r="8551" spans="1:8" hidden="1" x14ac:dyDescent="0.25">
      <c r="A8551" t="s">
        <v>11696</v>
      </c>
      <c r="B8551" s="1" t="str">
        <f>HYPERLINK("https://asmlis.vasa.lt/Dashboard/Served?ServiceDateFrom=2025-11-24&amp;ServiceDateTo=2025-11-24&amp;DumpsterInvNr=13-M-206021", "13-M-206021")</f>
        <v>13-M-206021</v>
      </c>
      <c r="C8551">
        <v>0.12</v>
      </c>
      <c r="D8551" t="s">
        <v>11386</v>
      </c>
      <c r="E8551" t="s">
        <v>11</v>
      </c>
      <c r="F8551" t="s">
        <v>1209</v>
      </c>
      <c r="G8551" t="s">
        <v>4876</v>
      </c>
      <c r="H8551" t="s">
        <v>938</v>
      </c>
    </row>
    <row r="8552" spans="1:8" hidden="1" x14ac:dyDescent="0.25">
      <c r="A8552" t="s">
        <v>11697</v>
      </c>
      <c r="B8552" s="1" t="str">
        <f>HYPERLINK("https://asmlis.vasa.lt/Dashboard/Served?ServiceDateFrom=2025-11-24&amp;ServiceDateTo=2025-11-24&amp;DumpsterInvNr=13-L-210046", "13-L-210046")</f>
        <v>13-L-210046</v>
      </c>
      <c r="C8552">
        <v>0.24</v>
      </c>
      <c r="D8552" t="s">
        <v>9101</v>
      </c>
      <c r="E8552" t="s">
        <v>11</v>
      </c>
      <c r="G8552" t="s">
        <v>936</v>
      </c>
      <c r="H8552" t="s">
        <v>938</v>
      </c>
    </row>
    <row r="8553" spans="1:8" hidden="1" x14ac:dyDescent="0.25">
      <c r="A8553" t="s">
        <v>11698</v>
      </c>
      <c r="B8553" s="1" t="str">
        <f>HYPERLINK("https://asmlis.vasa.lt/Dashboard/Served?ServiceDateFrom=2025-11-24&amp;ServiceDateTo=2025-11-24&amp;DumpsterInvNr=13-T-000353", "13-T-000353")</f>
        <v>13-T-000353</v>
      </c>
      <c r="C8553">
        <v>2.5</v>
      </c>
      <c r="D8553" t="s">
        <v>11699</v>
      </c>
      <c r="E8553" t="s">
        <v>11</v>
      </c>
      <c r="F8553" t="s">
        <v>13</v>
      </c>
      <c r="G8553" t="s">
        <v>1899</v>
      </c>
      <c r="H8553" t="s">
        <v>432</v>
      </c>
    </row>
    <row r="8554" spans="1:8" hidden="1" x14ac:dyDescent="0.25">
      <c r="A8554" t="s">
        <v>11700</v>
      </c>
      <c r="B8554" s="1" t="str">
        <f>HYPERLINK("https://asmlis.vasa.lt/Dashboard/Served?ServiceDateFrom=2025-11-24&amp;ServiceDateTo=2025-11-24&amp;DumpsterInvNr=13-P-211609", "13-P-211609")</f>
        <v>13-P-211609</v>
      </c>
      <c r="C8554">
        <v>0.24</v>
      </c>
      <c r="D8554" t="s">
        <v>11441</v>
      </c>
      <c r="E8554" t="s">
        <v>11</v>
      </c>
      <c r="F8554" t="s">
        <v>4699</v>
      </c>
      <c r="G8554" t="s">
        <v>234</v>
      </c>
      <c r="H8554" t="s">
        <v>14</v>
      </c>
    </row>
    <row r="8555" spans="1:8" hidden="1" x14ac:dyDescent="0.25">
      <c r="A8555" t="s">
        <v>11700</v>
      </c>
      <c r="B8555" s="1" t="str">
        <f>HYPERLINK("https://asmlis.vasa.lt/Dashboard/Served?ServiceDateFrom=2025-11-24&amp;ServiceDateTo=2025-11-24&amp;DumpsterInvNr=13-M-206022", "13-M-206022")</f>
        <v>13-M-206022</v>
      </c>
      <c r="C8555">
        <v>0.12</v>
      </c>
      <c r="D8555" t="s">
        <v>11371</v>
      </c>
      <c r="E8555" t="s">
        <v>11</v>
      </c>
      <c r="F8555" t="s">
        <v>1209</v>
      </c>
      <c r="G8555" t="s">
        <v>4876</v>
      </c>
      <c r="H8555" t="s">
        <v>938</v>
      </c>
    </row>
    <row r="8556" spans="1:8" hidden="1" x14ac:dyDescent="0.25">
      <c r="A8556" t="s">
        <v>11701</v>
      </c>
      <c r="B8556" s="1" t="str">
        <f>HYPERLINK("https://asmlis.vasa.lt/Dashboard/Served?ServiceDateFrom=2025-11-24&amp;ServiceDateTo=2025-11-24&amp;DumpsterInvNr=13-T-000341", "13-T-000341")</f>
        <v>13-T-000341</v>
      </c>
      <c r="C8556">
        <v>2.5</v>
      </c>
      <c r="D8556" t="s">
        <v>11699</v>
      </c>
      <c r="E8556" t="s">
        <v>11</v>
      </c>
      <c r="F8556" t="s">
        <v>13</v>
      </c>
      <c r="G8556" t="s">
        <v>1899</v>
      </c>
      <c r="H8556" t="s">
        <v>432</v>
      </c>
    </row>
    <row r="8557" spans="1:8" hidden="1" x14ac:dyDescent="0.25">
      <c r="A8557" t="s">
        <v>11702</v>
      </c>
      <c r="B8557" s="1" t="str">
        <f>HYPERLINK("https://asmlis.vasa.lt/Dashboard/Served?ServiceDateFrom=2025-11-24&amp;ServiceDateTo=2025-11-24&amp;DumpsterInvNr=13-M-206189", "13-M-206189")</f>
        <v>13-M-206189</v>
      </c>
      <c r="C8557">
        <v>0.12</v>
      </c>
      <c r="D8557" t="s">
        <v>11386</v>
      </c>
      <c r="E8557" t="s">
        <v>11</v>
      </c>
      <c r="F8557" t="s">
        <v>1209</v>
      </c>
      <c r="G8557" t="s">
        <v>4876</v>
      </c>
      <c r="H8557" t="s">
        <v>938</v>
      </c>
    </row>
    <row r="8558" spans="1:8" hidden="1" x14ac:dyDescent="0.25">
      <c r="A8558" t="s">
        <v>11702</v>
      </c>
      <c r="B8558" s="1" t="str">
        <f>HYPERLINK("https://asmlis.vasa.lt/Dashboard/Served?ServiceDateFrom=2025-11-24&amp;ServiceDateTo=2025-11-24&amp;DumpsterInvNr=13-P-506474", "13-P-506474")</f>
        <v>13-P-506474</v>
      </c>
      <c r="C8558">
        <v>0.24</v>
      </c>
      <c r="D8558" t="s">
        <v>11704</v>
      </c>
      <c r="E8558" t="s">
        <v>11</v>
      </c>
      <c r="G8558" t="s">
        <v>2178</v>
      </c>
      <c r="H8558" t="s">
        <v>432</v>
      </c>
    </row>
    <row r="8559" spans="1:8" hidden="1" x14ac:dyDescent="0.25">
      <c r="A8559" t="s">
        <v>11702</v>
      </c>
      <c r="B8559" s="1" t="str">
        <f>HYPERLINK("https://asmlis.vasa.lt/Dashboard/Served?ServiceDateFrom=2025-11-24&amp;ServiceDateTo=2025-11-24&amp;DumpsterInvNr=13-L-141483", "13-L-141483")</f>
        <v>13-L-141483</v>
      </c>
      <c r="C8559">
        <v>0.24</v>
      </c>
      <c r="D8559" t="s">
        <v>11704</v>
      </c>
      <c r="E8559" t="s">
        <v>11</v>
      </c>
      <c r="G8559" t="s">
        <v>430</v>
      </c>
      <c r="H8559" t="s">
        <v>432</v>
      </c>
    </row>
    <row r="8560" spans="1:8" hidden="1" x14ac:dyDescent="0.25">
      <c r="A8560" t="s">
        <v>11705</v>
      </c>
      <c r="B8560" s="1" t="str">
        <f>HYPERLINK("https://asmlis.vasa.lt/Dashboard/Served?ServiceDateFrom=2025-11-24&amp;ServiceDateTo=2025-11-24&amp;DumpsterInvNr=13-L-216868", "13-L-216868")</f>
        <v>13-L-216868</v>
      </c>
      <c r="C8560">
        <v>0.12</v>
      </c>
      <c r="D8560" t="s">
        <v>9068</v>
      </c>
      <c r="E8560" t="s">
        <v>11</v>
      </c>
      <c r="F8560" t="s">
        <v>13</v>
      </c>
      <c r="G8560" t="s">
        <v>936</v>
      </c>
      <c r="H8560" t="s">
        <v>938</v>
      </c>
    </row>
    <row r="8561" spans="1:8" hidden="1" x14ac:dyDescent="0.25">
      <c r="A8561" t="s">
        <v>11706</v>
      </c>
      <c r="B8561" s="1" t="str">
        <f>HYPERLINK("https://asmlis.vasa.lt/Dashboard/Served?ServiceDateFrom=2025-11-24&amp;ServiceDateTo=2025-11-24&amp;DumpsterInvNr=13-S-211629", "13-S-211629")</f>
        <v>13-S-211629</v>
      </c>
      <c r="C8561">
        <v>0.12</v>
      </c>
      <c r="D8561" t="s">
        <v>11456</v>
      </c>
      <c r="E8561" t="s">
        <v>11</v>
      </c>
      <c r="F8561" t="s">
        <v>1209</v>
      </c>
      <c r="G8561" t="s">
        <v>234</v>
      </c>
      <c r="H8561" t="s">
        <v>14</v>
      </c>
    </row>
    <row r="8562" spans="1:8" hidden="1" x14ac:dyDescent="0.25">
      <c r="A8562" t="s">
        <v>11708</v>
      </c>
      <c r="B8562" s="1" t="str">
        <f>HYPERLINK("https://asmlis.vasa.lt/Dashboard/Served?ServiceDateFrom=2025-11-24&amp;ServiceDateTo=2025-11-24&amp;DumpsterInvNr=13-S-103161", "13-S-103161")</f>
        <v>13-S-103161</v>
      </c>
      <c r="C8562">
        <v>0.12</v>
      </c>
      <c r="D8562" t="s">
        <v>11709</v>
      </c>
      <c r="E8562" t="s">
        <v>11</v>
      </c>
      <c r="G8562" t="s">
        <v>1917</v>
      </c>
      <c r="H8562" t="s">
        <v>432</v>
      </c>
    </row>
    <row r="8563" spans="1:8" hidden="1" x14ac:dyDescent="0.25">
      <c r="A8563" t="s">
        <v>11710</v>
      </c>
      <c r="B8563" s="1" t="str">
        <f>HYPERLINK("https://asmlis.vasa.lt/Dashboard/Served?ServiceDateFrom=2025-11-24&amp;ServiceDateTo=2025-11-24&amp;DumpsterInvNr=13-S-505111", "13-S-505111")</f>
        <v>13-S-505111</v>
      </c>
      <c r="C8563">
        <v>0.12</v>
      </c>
      <c r="D8563" t="s">
        <v>11677</v>
      </c>
      <c r="E8563" t="s">
        <v>11</v>
      </c>
      <c r="G8563" t="s">
        <v>2178</v>
      </c>
      <c r="H8563" t="s">
        <v>432</v>
      </c>
    </row>
    <row r="8564" spans="1:8" hidden="1" x14ac:dyDescent="0.25">
      <c r="A8564" t="s">
        <v>11712</v>
      </c>
      <c r="B8564" s="1" t="str">
        <f>HYPERLINK("https://asmlis.vasa.lt/Dashboard/Served?ServiceDateFrom=2025-11-24&amp;ServiceDateTo=2025-11-24&amp;DumpsterInvNr=13-M-202385", "13-M-202385")</f>
        <v>13-M-202385</v>
      </c>
      <c r="C8564">
        <v>0.12</v>
      </c>
      <c r="D8564" t="s">
        <v>11713</v>
      </c>
      <c r="E8564" t="s">
        <v>11</v>
      </c>
      <c r="F8564" t="s">
        <v>1209</v>
      </c>
      <c r="G8564" t="s">
        <v>4876</v>
      </c>
      <c r="H8564" t="s">
        <v>938</v>
      </c>
    </row>
    <row r="8565" spans="1:8" hidden="1" x14ac:dyDescent="0.25">
      <c r="A8565" t="s">
        <v>11714</v>
      </c>
      <c r="B8565" s="1" t="str">
        <f>HYPERLINK("https://asmlis.vasa.lt/Dashboard/Served?ServiceDateFrom=2025-11-24&amp;ServiceDateTo=2025-11-24&amp;DumpsterInvNr=13-L-318818", "13-L-318818")</f>
        <v>13-L-318818</v>
      </c>
      <c r="C8565">
        <v>1.1000000000000001</v>
      </c>
      <c r="D8565" t="s">
        <v>11632</v>
      </c>
      <c r="E8565" t="s">
        <v>11</v>
      </c>
      <c r="G8565" t="s">
        <v>9</v>
      </c>
      <c r="H8565" t="s">
        <v>14</v>
      </c>
    </row>
    <row r="8566" spans="1:8" hidden="1" x14ac:dyDescent="0.25">
      <c r="A8566" t="s">
        <v>11714</v>
      </c>
      <c r="B8566" s="1" t="str">
        <f>HYPERLINK("https://asmlis.vasa.lt/Dashboard/Served?ServiceDateFrom=2025-11-24&amp;ServiceDateTo=2025-11-24&amp;DumpsterInvNr=13-P-405452", "13-P-405452")</f>
        <v>13-P-405452</v>
      </c>
      <c r="C8566">
        <v>3</v>
      </c>
      <c r="D8566" t="s">
        <v>11715</v>
      </c>
      <c r="E8566" t="s">
        <v>11</v>
      </c>
      <c r="F8566" t="s">
        <v>13</v>
      </c>
      <c r="G8566" t="s">
        <v>264</v>
      </c>
      <c r="H8566" t="s">
        <v>14</v>
      </c>
    </row>
    <row r="8567" spans="1:8" hidden="1" x14ac:dyDescent="0.25">
      <c r="A8567" t="s">
        <v>11716</v>
      </c>
      <c r="B8567" s="1" t="str">
        <f>HYPERLINK("https://asmlis.vasa.lt/Dashboard/Served?ServiceDateFrom=2025-11-24&amp;ServiceDateTo=2025-11-24&amp;DumpsterInvNr=13-M-204742", "13-M-204742")</f>
        <v>13-M-204742</v>
      </c>
      <c r="C8567">
        <v>0.12</v>
      </c>
      <c r="D8567" t="s">
        <v>11717</v>
      </c>
      <c r="E8567" t="s">
        <v>11</v>
      </c>
      <c r="F8567" t="s">
        <v>1209</v>
      </c>
      <c r="G8567" t="s">
        <v>4876</v>
      </c>
      <c r="H8567" t="s">
        <v>938</v>
      </c>
    </row>
    <row r="8568" spans="1:8" hidden="1" x14ac:dyDescent="0.25">
      <c r="A8568" t="s">
        <v>11719</v>
      </c>
      <c r="B8568" s="1" t="str">
        <f>HYPERLINK("https://asmlis.vasa.lt/Dashboard/Served?ServiceDateFrom=2025-11-24&amp;ServiceDateTo=2025-11-24&amp;DumpsterInvNr=13-L-309721", "13-L-309721")</f>
        <v>13-L-309721</v>
      </c>
      <c r="C8568">
        <v>0.24</v>
      </c>
      <c r="D8568" t="s">
        <v>11720</v>
      </c>
      <c r="E8568" t="s">
        <v>11</v>
      </c>
      <c r="G8568" t="s">
        <v>9</v>
      </c>
      <c r="H8568" t="s">
        <v>14</v>
      </c>
    </row>
    <row r="8569" spans="1:8" hidden="1" x14ac:dyDescent="0.25">
      <c r="A8569" t="s">
        <v>11721</v>
      </c>
      <c r="B8569" s="1" t="str">
        <f>HYPERLINK("https://asmlis.vasa.lt/Dashboard/Served?ServiceDateFrom=2025-11-24&amp;ServiceDateTo=2025-11-24&amp;DumpsterInvNr=13-L-423003", "13-L-423003")</f>
        <v>13-L-423003</v>
      </c>
      <c r="C8569">
        <v>0.24</v>
      </c>
      <c r="D8569" t="s">
        <v>11723</v>
      </c>
      <c r="E8569" t="s">
        <v>11</v>
      </c>
      <c r="G8569" t="s">
        <v>74</v>
      </c>
      <c r="H8569" t="s">
        <v>14</v>
      </c>
    </row>
    <row r="8570" spans="1:8" hidden="1" x14ac:dyDescent="0.25">
      <c r="A8570" t="s">
        <v>11724</v>
      </c>
      <c r="B8570" s="1" t="str">
        <f>HYPERLINK("https://asmlis.vasa.lt/Dashboard/Served?ServiceDateFrom=2025-11-24&amp;ServiceDateTo=2025-11-24&amp;DumpsterInvNr=13-M-202289", "13-M-202289")</f>
        <v>13-M-202289</v>
      </c>
      <c r="C8570">
        <v>0.12</v>
      </c>
      <c r="D8570" t="s">
        <v>11725</v>
      </c>
      <c r="E8570" t="s">
        <v>11</v>
      </c>
      <c r="F8570" t="s">
        <v>1209</v>
      </c>
      <c r="G8570" t="s">
        <v>4876</v>
      </c>
      <c r="H8570" t="s">
        <v>938</v>
      </c>
    </row>
    <row r="8571" spans="1:8" hidden="1" x14ac:dyDescent="0.25">
      <c r="A8571" t="s">
        <v>11726</v>
      </c>
      <c r="B8571" s="1" t="str">
        <f>HYPERLINK("https://asmlis.vasa.lt/Dashboard/Served?ServiceDateFrom=2025-11-24&amp;ServiceDateTo=2025-11-24&amp;DumpsterInvNr=13-L-224790", "13-L-224790")</f>
        <v>13-L-224790</v>
      </c>
      <c r="C8571">
        <v>0.12</v>
      </c>
      <c r="D8571" t="s">
        <v>11727</v>
      </c>
      <c r="E8571" t="s">
        <v>11</v>
      </c>
      <c r="G8571" t="s">
        <v>936</v>
      </c>
      <c r="H8571" t="s">
        <v>938</v>
      </c>
    </row>
    <row r="8572" spans="1:8" hidden="1" x14ac:dyDescent="0.25">
      <c r="A8572" t="s">
        <v>11728</v>
      </c>
      <c r="B8572" s="1" t="str">
        <f>HYPERLINK("https://asmlis.vasa.lt/Dashboard/Served?ServiceDateFrom=2025-11-24&amp;ServiceDateTo=2025-11-24&amp;DumpsterInvNr=13-S-400543", "13-S-400543")</f>
        <v>13-S-400543</v>
      </c>
      <c r="C8572">
        <v>0.12</v>
      </c>
      <c r="D8572" t="s">
        <v>1437</v>
      </c>
      <c r="E8572" t="s">
        <v>11</v>
      </c>
      <c r="F8572" t="s">
        <v>1209</v>
      </c>
      <c r="G8572" t="s">
        <v>264</v>
      </c>
      <c r="H8572" t="s">
        <v>14</v>
      </c>
    </row>
    <row r="8573" spans="1:8" hidden="1" x14ac:dyDescent="0.25">
      <c r="A8573" t="s">
        <v>11729</v>
      </c>
      <c r="B8573" s="1" t="str">
        <f>HYPERLINK("https://asmlis.vasa.lt/Dashboard/Served?ServiceDateFrom=2025-11-24&amp;ServiceDateTo=2025-11-24&amp;DumpsterInvNr=13-L-316041", "13-L-316041")</f>
        <v>13-L-316041</v>
      </c>
      <c r="C8573">
        <v>1.1000000000000001</v>
      </c>
      <c r="D8573" t="s">
        <v>11632</v>
      </c>
      <c r="E8573" t="s">
        <v>11</v>
      </c>
      <c r="G8573" t="s">
        <v>9</v>
      </c>
      <c r="H8573" t="s">
        <v>14</v>
      </c>
    </row>
    <row r="8574" spans="1:8" hidden="1" x14ac:dyDescent="0.25">
      <c r="A8574" t="s">
        <v>11730</v>
      </c>
      <c r="B8574" s="1" t="str">
        <f>HYPERLINK("https://asmlis.vasa.lt/Dashboard/Served?ServiceDateFrom=2025-11-24&amp;ServiceDateTo=2025-11-24&amp;DumpsterInvNr=13-L-106652", "13-L-106652")</f>
        <v>13-L-106652</v>
      </c>
      <c r="C8574">
        <v>1.1000000000000001</v>
      </c>
      <c r="D8574" t="s">
        <v>11731</v>
      </c>
      <c r="E8574" t="s">
        <v>11</v>
      </c>
      <c r="G8574" t="s">
        <v>1912</v>
      </c>
      <c r="H8574" t="s">
        <v>432</v>
      </c>
    </row>
    <row r="8575" spans="1:8" hidden="1" x14ac:dyDescent="0.25">
      <c r="A8575" t="s">
        <v>11730</v>
      </c>
      <c r="B8575" s="1" t="str">
        <f>HYPERLINK("https://asmlis.vasa.lt/Dashboard/Served?ServiceDateFrom=2025-11-24&amp;ServiceDateTo=2025-11-24&amp;DumpsterInvNr=13-S-400614", "13-S-400614")</f>
        <v>13-S-400614</v>
      </c>
      <c r="C8575">
        <v>0.12</v>
      </c>
      <c r="D8575" t="s">
        <v>1418</v>
      </c>
      <c r="E8575" t="s">
        <v>11</v>
      </c>
      <c r="F8575" t="s">
        <v>1209</v>
      </c>
      <c r="G8575" t="s">
        <v>264</v>
      </c>
      <c r="H8575" t="s">
        <v>14</v>
      </c>
    </row>
    <row r="8576" spans="1:8" hidden="1" x14ac:dyDescent="0.25">
      <c r="A8576" t="s">
        <v>11730</v>
      </c>
      <c r="B8576" s="1" t="str">
        <f>HYPERLINK("https://asmlis.vasa.lt/Dashboard/Served?ServiceDateFrom=2025-11-24&amp;ServiceDateTo=2025-11-24&amp;DumpsterInvNr=13-P-403387", "13-P-403387")</f>
        <v>13-P-403387</v>
      </c>
      <c r="C8576">
        <v>0.24</v>
      </c>
      <c r="D8576" t="s">
        <v>1437</v>
      </c>
      <c r="E8576" t="s">
        <v>11</v>
      </c>
      <c r="F8576" t="s">
        <v>1209</v>
      </c>
      <c r="G8576" t="s">
        <v>264</v>
      </c>
      <c r="H8576" t="s">
        <v>14</v>
      </c>
    </row>
    <row r="8577" spans="1:8" hidden="1" x14ac:dyDescent="0.25">
      <c r="A8577" t="s">
        <v>11734</v>
      </c>
      <c r="B8577" s="1" t="str">
        <f>HYPERLINK("https://asmlis.vasa.lt/Dashboard/Served?ServiceDateFrom=2025-11-24&amp;ServiceDateTo=2025-11-24&amp;DumpsterInvNr=13-L-227648", "13-L-227648")</f>
        <v>13-L-227648</v>
      </c>
      <c r="C8577">
        <v>1.1000000000000001</v>
      </c>
      <c r="D8577" t="s">
        <v>11602</v>
      </c>
      <c r="E8577" t="s">
        <v>11</v>
      </c>
      <c r="F8577" t="s">
        <v>13</v>
      </c>
      <c r="G8577" t="s">
        <v>936</v>
      </c>
      <c r="H8577" t="s">
        <v>938</v>
      </c>
    </row>
    <row r="8578" spans="1:8" hidden="1" x14ac:dyDescent="0.25">
      <c r="A8578" t="s">
        <v>11735</v>
      </c>
      <c r="B8578" s="1" t="str">
        <f>HYPERLINK("https://asmlis.vasa.lt/Dashboard/Served?ServiceDateFrom=2025-11-24&amp;ServiceDateTo=2025-11-24&amp;DumpsterInvNr=13-P-403385", "13-P-403385")</f>
        <v>13-P-403385</v>
      </c>
      <c r="C8578">
        <v>0.24</v>
      </c>
      <c r="D8578" t="s">
        <v>1418</v>
      </c>
      <c r="E8578" t="s">
        <v>11</v>
      </c>
      <c r="F8578" t="s">
        <v>1209</v>
      </c>
      <c r="G8578" t="s">
        <v>264</v>
      </c>
      <c r="H8578" t="s">
        <v>14</v>
      </c>
    </row>
    <row r="8579" spans="1:8" hidden="1" x14ac:dyDescent="0.25">
      <c r="A8579" t="s">
        <v>11736</v>
      </c>
      <c r="B8579" s="1" t="str">
        <f>HYPERLINK("https://asmlis.vasa.lt/Dashboard/Served?ServiceDateFrom=2025-11-24&amp;ServiceDateTo=2025-11-24&amp;DumpsterInvNr=13-S-400549", "13-S-400549")</f>
        <v>13-S-400549</v>
      </c>
      <c r="C8579">
        <v>0.12</v>
      </c>
      <c r="D8579" t="s">
        <v>1406</v>
      </c>
      <c r="E8579" t="s">
        <v>11</v>
      </c>
      <c r="F8579" t="s">
        <v>1209</v>
      </c>
      <c r="G8579" t="s">
        <v>264</v>
      </c>
      <c r="H8579" t="s">
        <v>14</v>
      </c>
    </row>
    <row r="8580" spans="1:8" hidden="1" x14ac:dyDescent="0.25">
      <c r="A8580" t="s">
        <v>11737</v>
      </c>
      <c r="B8580" s="1" t="str">
        <f>HYPERLINK("https://asmlis.vasa.lt/Dashboard/Served?ServiceDateFrom=2025-11-24&amp;ServiceDateTo=2025-11-24&amp;DumpsterInvNr=13-L-227647", "13-L-227647")</f>
        <v>13-L-227647</v>
      </c>
      <c r="C8580">
        <v>1.1000000000000001</v>
      </c>
      <c r="D8580" t="s">
        <v>11602</v>
      </c>
      <c r="E8580" t="s">
        <v>11</v>
      </c>
      <c r="F8580" t="s">
        <v>13</v>
      </c>
      <c r="G8580" t="s">
        <v>936</v>
      </c>
      <c r="H8580" t="s">
        <v>938</v>
      </c>
    </row>
    <row r="8581" spans="1:8" hidden="1" x14ac:dyDescent="0.25">
      <c r="A8581" t="s">
        <v>11738</v>
      </c>
      <c r="B8581" s="1" t="str">
        <f>HYPERLINK("https://asmlis.vasa.lt/Dashboard/Served?ServiceDateFrom=2025-11-24&amp;ServiceDateTo=2025-11-24&amp;DumpsterInvNr=13-P-403386", "13-P-403386")</f>
        <v>13-P-403386</v>
      </c>
      <c r="C8581">
        <v>0.24</v>
      </c>
      <c r="D8581" t="s">
        <v>1406</v>
      </c>
      <c r="E8581" t="s">
        <v>11</v>
      </c>
      <c r="F8581" t="s">
        <v>1209</v>
      </c>
      <c r="G8581" t="s">
        <v>264</v>
      </c>
      <c r="H8581" t="s">
        <v>14</v>
      </c>
    </row>
    <row r="8582" spans="1:8" hidden="1" x14ac:dyDescent="0.25">
      <c r="A8582" t="s">
        <v>11738</v>
      </c>
      <c r="B8582" s="1" t="str">
        <f>HYPERLINK("https://asmlis.vasa.lt/Dashboard/Served?ServiceDateFrom=2025-11-24&amp;ServiceDateTo=2025-11-24&amp;DumpsterInvNr=13-P-305435", "13-P-305435")</f>
        <v>13-P-305435</v>
      </c>
      <c r="C8582">
        <v>3</v>
      </c>
      <c r="D8582" t="s">
        <v>11683</v>
      </c>
      <c r="E8582" t="s">
        <v>11</v>
      </c>
      <c r="G8582" t="s">
        <v>412</v>
      </c>
      <c r="H8582" t="s">
        <v>14</v>
      </c>
    </row>
    <row r="8583" spans="1:8" hidden="1" x14ac:dyDescent="0.25">
      <c r="A8583" t="s">
        <v>11740</v>
      </c>
      <c r="B8583" s="1" t="str">
        <f>HYPERLINK("https://asmlis.vasa.lt/Dashboard/Served?ServiceDateFrom=2025-11-24&amp;ServiceDateTo=2025-11-24&amp;DumpsterInvNr=13-P-400511", "13-P-400511")</f>
        <v>13-P-400511</v>
      </c>
      <c r="C8583">
        <v>5</v>
      </c>
      <c r="D8583" t="s">
        <v>11741</v>
      </c>
      <c r="E8583" t="s">
        <v>11</v>
      </c>
      <c r="F8583" t="s">
        <v>13</v>
      </c>
      <c r="G8583" t="s">
        <v>264</v>
      </c>
      <c r="H8583" t="s">
        <v>14</v>
      </c>
    </row>
    <row r="8584" spans="1:8" hidden="1" x14ac:dyDescent="0.25">
      <c r="A8584" t="s">
        <v>11297</v>
      </c>
      <c r="B8584" s="1" t="str">
        <f>HYPERLINK("https://asmlis.vasa.lt/Dashboard/Served?ServiceDateFrom=2025-11-24&amp;ServiceDateTo=2025-11-24&amp;DumpsterInvNr=13-L-306266", "13-L-306266")</f>
        <v>13-L-306266</v>
      </c>
      <c r="C8584">
        <v>0.24</v>
      </c>
      <c r="D8584" t="s">
        <v>11742</v>
      </c>
      <c r="E8584" t="s">
        <v>11</v>
      </c>
      <c r="G8584" t="s">
        <v>9</v>
      </c>
      <c r="H8584" t="s">
        <v>14</v>
      </c>
    </row>
    <row r="8585" spans="1:8" hidden="1" x14ac:dyDescent="0.25">
      <c r="A8585" t="s">
        <v>11743</v>
      </c>
      <c r="B8585" s="1" t="str">
        <f>HYPERLINK("https://asmlis.vasa.lt/Dashboard/Served?ServiceDateFrom=2025-11-24&amp;ServiceDateTo=2025-11-24&amp;DumpsterInvNr=13-L-145807", "13-L-145807")</f>
        <v>13-L-145807</v>
      </c>
      <c r="C8585">
        <v>0.24</v>
      </c>
      <c r="D8585" t="s">
        <v>11744</v>
      </c>
      <c r="E8585" t="s">
        <v>11</v>
      </c>
      <c r="G8585" t="s">
        <v>430</v>
      </c>
      <c r="H8585" t="s">
        <v>432</v>
      </c>
    </row>
    <row r="8586" spans="1:8" hidden="1" x14ac:dyDescent="0.25">
      <c r="A8586" t="s">
        <v>11743</v>
      </c>
      <c r="B8586" s="1" t="str">
        <f>HYPERLINK("https://asmlis.vasa.lt/Dashboard/Served?ServiceDateFrom=2025-11-24&amp;ServiceDateTo=2025-11-24&amp;DumpsterInvNr=13-P-500149", "13-P-500149")</f>
        <v>13-P-500149</v>
      </c>
      <c r="C8586">
        <v>5</v>
      </c>
      <c r="D8586" t="s">
        <v>3003</v>
      </c>
      <c r="E8586" t="s">
        <v>11</v>
      </c>
      <c r="F8586" t="s">
        <v>13</v>
      </c>
      <c r="G8586" t="s">
        <v>2178</v>
      </c>
      <c r="H8586" t="s">
        <v>432</v>
      </c>
    </row>
    <row r="8587" spans="1:8" hidden="1" x14ac:dyDescent="0.25">
      <c r="A8587" t="s">
        <v>11319</v>
      </c>
      <c r="B8587" s="1" t="str">
        <f>HYPERLINK("https://asmlis.vasa.lt/Dashboard/Served?ServiceDateFrom=2025-11-24&amp;ServiceDateTo=2025-11-24&amp;DumpsterInvNr=13-L-137334", "13-L-137334")</f>
        <v>13-L-137334</v>
      </c>
      <c r="C8587">
        <v>3</v>
      </c>
      <c r="D8587" t="s">
        <v>11746</v>
      </c>
      <c r="E8587" t="s">
        <v>11</v>
      </c>
      <c r="F8587" t="s">
        <v>13</v>
      </c>
      <c r="G8587" t="s">
        <v>430</v>
      </c>
      <c r="H8587" t="s">
        <v>432</v>
      </c>
    </row>
    <row r="8588" spans="1:8" hidden="1" x14ac:dyDescent="0.25">
      <c r="A8588" t="s">
        <v>11319</v>
      </c>
      <c r="B8588" s="1" t="str">
        <f>HYPERLINK("https://asmlis.vasa.lt/Dashboard/Served?ServiceDateFrom=2025-11-24&amp;ServiceDateTo=2025-11-24&amp;DumpsterInvNr=13-L-313707", "13-L-313707")</f>
        <v>13-L-313707</v>
      </c>
      <c r="C8588">
        <v>1.1000000000000001</v>
      </c>
      <c r="D8588" t="s">
        <v>11632</v>
      </c>
      <c r="E8588" t="s">
        <v>11</v>
      </c>
      <c r="F8588" t="s">
        <v>1209</v>
      </c>
      <c r="G8588" t="s">
        <v>9</v>
      </c>
      <c r="H8588" t="s">
        <v>14</v>
      </c>
    </row>
    <row r="8589" spans="1:8" hidden="1" x14ac:dyDescent="0.25">
      <c r="A8589" t="s">
        <v>11319</v>
      </c>
      <c r="B8589" s="1" t="str">
        <f>HYPERLINK("https://asmlis.vasa.lt/Dashboard/Served?ServiceDateFrom=2025-11-24&amp;ServiceDateTo=2025-11-24&amp;DumpsterInvNr=13-M-202301", "13-M-202301")</f>
        <v>13-M-202301</v>
      </c>
      <c r="C8589">
        <v>0.12</v>
      </c>
      <c r="D8589" t="s">
        <v>11747</v>
      </c>
      <c r="E8589" t="s">
        <v>11</v>
      </c>
      <c r="G8589" t="s">
        <v>4876</v>
      </c>
      <c r="H8589" t="s">
        <v>938</v>
      </c>
    </row>
    <row r="8590" spans="1:8" hidden="1" x14ac:dyDescent="0.25">
      <c r="A8590" t="s">
        <v>11338</v>
      </c>
      <c r="B8590" s="1" t="str">
        <f>HYPERLINK("https://asmlis.vasa.lt/Dashboard/Served?ServiceDateFrom=2025-11-24&amp;ServiceDateTo=2025-11-24&amp;DumpsterInvNr=13-S-203104", "13-S-203104")</f>
        <v>13-S-203104</v>
      </c>
      <c r="C8590">
        <v>0.12</v>
      </c>
      <c r="D8590" t="s">
        <v>11396</v>
      </c>
      <c r="E8590" t="s">
        <v>11</v>
      </c>
      <c r="F8590" t="s">
        <v>1209</v>
      </c>
      <c r="G8590" t="s">
        <v>234</v>
      </c>
      <c r="H8590" t="s">
        <v>14</v>
      </c>
    </row>
    <row r="8591" spans="1:8" hidden="1" x14ac:dyDescent="0.25">
      <c r="A8591" t="s">
        <v>11350</v>
      </c>
      <c r="B8591" s="1" t="str">
        <f>HYPERLINK("https://asmlis.vasa.lt/Dashboard/Served?ServiceDateFrom=2025-11-24&amp;ServiceDateTo=2025-11-24&amp;DumpsterInvNr=13-L-302110", "13-L-302110")</f>
        <v>13-L-302110</v>
      </c>
      <c r="C8591">
        <v>0.77</v>
      </c>
      <c r="D8591" t="s">
        <v>11632</v>
      </c>
      <c r="E8591" t="s">
        <v>11</v>
      </c>
      <c r="F8591" t="s">
        <v>1209</v>
      </c>
      <c r="G8591" t="s">
        <v>9</v>
      </c>
      <c r="H8591" t="s">
        <v>14</v>
      </c>
    </row>
    <row r="8592" spans="1:8" hidden="1" x14ac:dyDescent="0.25">
      <c r="A8592" t="s">
        <v>11350</v>
      </c>
      <c r="B8592" s="1" t="str">
        <f>HYPERLINK("https://asmlis.vasa.lt/Dashboard/Served?ServiceDateFrom=2025-11-24&amp;ServiceDateTo=2025-11-24&amp;DumpsterInvNr=13-P-203705", "13-P-203705")</f>
        <v>13-P-203705</v>
      </c>
      <c r="C8592">
        <v>0.24</v>
      </c>
      <c r="D8592" t="s">
        <v>11396</v>
      </c>
      <c r="E8592" t="s">
        <v>11</v>
      </c>
      <c r="G8592" t="s">
        <v>234</v>
      </c>
      <c r="H8592" t="s">
        <v>14</v>
      </c>
    </row>
    <row r="8593" spans="1:8" hidden="1" x14ac:dyDescent="0.25">
      <c r="A8593" t="s">
        <v>11350</v>
      </c>
      <c r="B8593" s="1" t="str">
        <f>HYPERLINK("https://asmlis.vasa.lt/Dashboard/Served?ServiceDateFrom=2025-11-24&amp;ServiceDateTo=2025-11-24&amp;DumpsterInvNr=13-M-206010", "13-M-206010")</f>
        <v>13-M-206010</v>
      </c>
      <c r="C8593">
        <v>0.12</v>
      </c>
      <c r="D8593" t="s">
        <v>11749</v>
      </c>
      <c r="E8593" t="s">
        <v>11</v>
      </c>
      <c r="F8593" t="s">
        <v>1209</v>
      </c>
      <c r="G8593" t="s">
        <v>4876</v>
      </c>
      <c r="H8593" t="s">
        <v>938</v>
      </c>
    </row>
    <row r="8594" spans="1:8" hidden="1" x14ac:dyDescent="0.25">
      <c r="A8594" t="s">
        <v>11350</v>
      </c>
      <c r="B8594" s="1" t="str">
        <f>HYPERLINK("https://asmlis.vasa.lt/Dashboard/Served?ServiceDateFrom=2025-11-24&amp;ServiceDateTo=2025-11-24&amp;DumpsterInvNr=13-P-506530", "13-P-506530")</f>
        <v>13-P-506530</v>
      </c>
      <c r="C8594">
        <v>0.24</v>
      </c>
      <c r="D8594" t="s">
        <v>11744</v>
      </c>
      <c r="E8594" t="s">
        <v>11</v>
      </c>
      <c r="G8594" t="s">
        <v>2178</v>
      </c>
      <c r="H8594" t="s">
        <v>432</v>
      </c>
    </row>
    <row r="8595" spans="1:8" hidden="1" x14ac:dyDescent="0.25">
      <c r="A8595" t="s">
        <v>11369</v>
      </c>
      <c r="B8595" s="1" t="str">
        <f>HYPERLINK("https://asmlis.vasa.lt/Dashboard/Served?ServiceDateFrom=2025-11-24&amp;ServiceDateTo=2025-11-24&amp;DumpsterInvNr=13-P-416111", "13-P-416111")</f>
        <v>13-P-416111</v>
      </c>
      <c r="C8595">
        <v>1.1000000000000001</v>
      </c>
      <c r="D8595" t="s">
        <v>11750</v>
      </c>
      <c r="E8595" t="s">
        <v>11</v>
      </c>
      <c r="F8595" t="s">
        <v>13</v>
      </c>
      <c r="G8595" t="s">
        <v>264</v>
      </c>
      <c r="H8595" t="s">
        <v>14</v>
      </c>
    </row>
    <row r="8596" spans="1:8" hidden="1" x14ac:dyDescent="0.25">
      <c r="A8596" t="s">
        <v>11751</v>
      </c>
      <c r="B8596" s="1" t="str">
        <f>HYPERLINK("https://asmlis.vasa.lt/Dashboard/Served?ServiceDateFrom=2025-11-24&amp;ServiceDateTo=2025-11-24&amp;DumpsterInvNr=13-L-424300", "13-L-424300")</f>
        <v>13-L-424300</v>
      </c>
      <c r="C8596">
        <v>0.24</v>
      </c>
      <c r="D8596" t="s">
        <v>6898</v>
      </c>
      <c r="E8596" t="s">
        <v>11</v>
      </c>
      <c r="F8596" t="s">
        <v>1209</v>
      </c>
      <c r="G8596" t="s">
        <v>74</v>
      </c>
      <c r="H8596" t="s">
        <v>14</v>
      </c>
    </row>
    <row r="8597" spans="1:8" hidden="1" x14ac:dyDescent="0.25">
      <c r="A8597" t="s">
        <v>11752</v>
      </c>
      <c r="B8597" s="1" t="str">
        <f>HYPERLINK("https://asmlis.vasa.lt/Dashboard/Served?ServiceDateFrom=2025-11-24&amp;ServiceDateTo=2025-11-24&amp;DumpsterInvNr=13-P-206388", "13-P-206388")</f>
        <v>13-P-206388</v>
      </c>
      <c r="C8597">
        <v>0.24</v>
      </c>
      <c r="D8597" t="s">
        <v>11403</v>
      </c>
      <c r="E8597" t="s">
        <v>11</v>
      </c>
      <c r="F8597" t="s">
        <v>1209</v>
      </c>
      <c r="G8597" t="s">
        <v>234</v>
      </c>
      <c r="H8597" t="s">
        <v>14</v>
      </c>
    </row>
    <row r="8598" spans="1:8" hidden="1" x14ac:dyDescent="0.25">
      <c r="A8598" t="s">
        <v>11753</v>
      </c>
      <c r="B8598" s="1" t="str">
        <f>HYPERLINK("https://asmlis.vasa.lt/Dashboard/Served?ServiceDateFrom=2025-11-24&amp;ServiceDateTo=2025-11-24&amp;DumpsterInvNr=13-L-106651", "13-L-106651")</f>
        <v>13-L-106651</v>
      </c>
      <c r="C8598">
        <v>1.1000000000000001</v>
      </c>
      <c r="D8598" t="s">
        <v>11731</v>
      </c>
      <c r="E8598" t="s">
        <v>11</v>
      </c>
      <c r="G8598" t="s">
        <v>1912</v>
      </c>
      <c r="H8598" t="s">
        <v>432</v>
      </c>
    </row>
    <row r="8599" spans="1:8" hidden="1" x14ac:dyDescent="0.25">
      <c r="A8599" t="s">
        <v>11754</v>
      </c>
      <c r="B8599" s="1" t="str">
        <f>HYPERLINK("https://asmlis.vasa.lt/Dashboard/Served?ServiceDateFrom=2025-11-24&amp;ServiceDateTo=2025-11-24&amp;DumpsterInvNr=13-P-500429", "13-P-500429")</f>
        <v>13-P-500429</v>
      </c>
      <c r="C8599">
        <v>5</v>
      </c>
      <c r="D8599" t="s">
        <v>11755</v>
      </c>
      <c r="E8599" t="s">
        <v>11</v>
      </c>
      <c r="F8599" t="s">
        <v>13</v>
      </c>
      <c r="G8599" t="s">
        <v>2178</v>
      </c>
      <c r="H8599" t="s">
        <v>432</v>
      </c>
    </row>
    <row r="8600" spans="1:8" hidden="1" x14ac:dyDescent="0.25">
      <c r="A8600" t="s">
        <v>11757</v>
      </c>
      <c r="B8600" s="1" t="str">
        <f>HYPERLINK("https://asmlis.vasa.lt/Dashboard/Served?ServiceDateFrom=2025-11-24&amp;ServiceDateTo=2025-11-24&amp;DumpsterInvNr=13-L-139815", "13-L-139815")</f>
        <v>13-L-139815</v>
      </c>
      <c r="C8600">
        <v>0.24</v>
      </c>
      <c r="D8600" t="s">
        <v>11709</v>
      </c>
      <c r="E8600" t="s">
        <v>11</v>
      </c>
      <c r="G8600" t="s">
        <v>1912</v>
      </c>
      <c r="H8600" t="s">
        <v>432</v>
      </c>
    </row>
    <row r="8601" spans="1:8" hidden="1" x14ac:dyDescent="0.25">
      <c r="A8601" t="s">
        <v>11758</v>
      </c>
      <c r="B8601" s="1" t="str">
        <f>HYPERLINK("https://asmlis.vasa.lt/Dashboard/Served?ServiceDateFrom=2025-11-24&amp;ServiceDateTo=2025-11-24&amp;DumpsterInvNr=13-L-222491", "13-L-222491")</f>
        <v>13-L-222491</v>
      </c>
      <c r="C8601">
        <v>1.1000000000000001</v>
      </c>
      <c r="D8601" t="s">
        <v>11602</v>
      </c>
      <c r="E8601" t="s">
        <v>11</v>
      </c>
      <c r="F8601" t="s">
        <v>13</v>
      </c>
      <c r="G8601" t="s">
        <v>936</v>
      </c>
      <c r="H8601" t="s">
        <v>938</v>
      </c>
    </row>
    <row r="8602" spans="1:8" hidden="1" x14ac:dyDescent="0.25">
      <c r="A8602" t="s">
        <v>11759</v>
      </c>
      <c r="B8602" s="1" t="str">
        <f>HYPERLINK("https://asmlis.vasa.lt/Dashboard/Served?ServiceDateFrom=2025-11-24&amp;ServiceDateTo=2025-11-24&amp;DumpsterInvNr=13-L-317975", "13-L-317975")</f>
        <v>13-L-317975</v>
      </c>
      <c r="C8602">
        <v>0.24</v>
      </c>
      <c r="D8602" t="s">
        <v>11761</v>
      </c>
      <c r="E8602" t="s">
        <v>11</v>
      </c>
      <c r="G8602" t="s">
        <v>9</v>
      </c>
      <c r="H8602" t="s">
        <v>14</v>
      </c>
    </row>
    <row r="8603" spans="1:8" hidden="1" x14ac:dyDescent="0.25">
      <c r="A8603" t="s">
        <v>11759</v>
      </c>
      <c r="B8603" s="1" t="str">
        <f>HYPERLINK("https://asmlis.vasa.lt/Dashboard/Served?ServiceDateFrom=2025-11-24&amp;ServiceDateTo=2025-11-24&amp;DumpsterInvNr=13-L-425040", "13-L-425040")</f>
        <v>13-L-425040</v>
      </c>
      <c r="C8603">
        <v>0.24</v>
      </c>
      <c r="D8603" t="s">
        <v>11762</v>
      </c>
      <c r="E8603" t="s">
        <v>11</v>
      </c>
      <c r="G8603" t="s">
        <v>74</v>
      </c>
      <c r="H8603" t="s">
        <v>14</v>
      </c>
    </row>
    <row r="8604" spans="1:8" hidden="1" x14ac:dyDescent="0.25">
      <c r="A8604" t="s">
        <v>11763</v>
      </c>
      <c r="B8604" s="1" t="str">
        <f>HYPERLINK("https://asmlis.vasa.lt/Dashboard/Served?ServiceDateFrom=2025-11-24&amp;ServiceDateTo=2025-11-24&amp;DumpsterInvNr=13-P-302602", "13-P-302602")</f>
        <v>13-P-302602</v>
      </c>
      <c r="C8604">
        <v>3</v>
      </c>
      <c r="D8604" t="s">
        <v>11683</v>
      </c>
      <c r="E8604" t="s">
        <v>11</v>
      </c>
      <c r="G8604" t="s">
        <v>412</v>
      </c>
      <c r="H8604" t="s">
        <v>14</v>
      </c>
    </row>
    <row r="8605" spans="1:8" hidden="1" x14ac:dyDescent="0.25">
      <c r="A8605" t="s">
        <v>11763</v>
      </c>
      <c r="B8605" s="1" t="str">
        <f>HYPERLINK("https://asmlis.vasa.lt/Dashboard/Served?ServiceDateFrom=2025-11-24&amp;ServiceDateTo=2025-11-24&amp;DumpsterInvNr=13-P-103193", "13-P-103193")</f>
        <v>13-P-103193</v>
      </c>
      <c r="C8605">
        <v>0.24</v>
      </c>
      <c r="D8605" t="s">
        <v>11709</v>
      </c>
      <c r="E8605" t="s">
        <v>11</v>
      </c>
      <c r="G8605" t="s">
        <v>1917</v>
      </c>
      <c r="H8605" t="s">
        <v>432</v>
      </c>
    </row>
    <row r="8606" spans="1:8" hidden="1" x14ac:dyDescent="0.25">
      <c r="A8606" t="s">
        <v>11764</v>
      </c>
      <c r="B8606" s="1" t="str">
        <f>HYPERLINK("https://asmlis.vasa.lt/Dashboard/Served?ServiceDateFrom=2025-11-24&amp;ServiceDateTo=2025-11-24&amp;DumpsterInvNr=13-S-505029", "13-S-505029")</f>
        <v>13-S-505029</v>
      </c>
      <c r="C8606">
        <v>0.12</v>
      </c>
      <c r="D8606" t="s">
        <v>11744</v>
      </c>
      <c r="E8606" t="s">
        <v>11</v>
      </c>
      <c r="F8606" t="s">
        <v>1209</v>
      </c>
      <c r="G8606" t="s">
        <v>2178</v>
      </c>
      <c r="H8606" t="s">
        <v>432</v>
      </c>
    </row>
    <row r="8607" spans="1:8" hidden="1" x14ac:dyDescent="0.25">
      <c r="A8607" t="s">
        <v>11765</v>
      </c>
      <c r="B8607" s="1" t="str">
        <f>HYPERLINK("https://asmlis.vasa.lt/Dashboard/Served?ServiceDateFrom=2025-11-24&amp;ServiceDateTo=2025-11-24&amp;DumpsterInvNr=13-P-403389", "13-P-403389")</f>
        <v>13-P-403389</v>
      </c>
      <c r="C8607">
        <v>0.24</v>
      </c>
      <c r="D8607" t="s">
        <v>11766</v>
      </c>
      <c r="E8607" t="s">
        <v>11</v>
      </c>
      <c r="F8607" t="s">
        <v>1209</v>
      </c>
      <c r="G8607" t="s">
        <v>264</v>
      </c>
      <c r="H8607" t="s">
        <v>14</v>
      </c>
    </row>
    <row r="8608" spans="1:8" hidden="1" x14ac:dyDescent="0.25">
      <c r="A8608" t="s">
        <v>11765</v>
      </c>
      <c r="B8608" s="1" t="str">
        <f>HYPERLINK("https://asmlis.vasa.lt/Dashboard/Served?ServiceDateFrom=2025-11-24&amp;ServiceDateTo=2025-11-24&amp;DumpsterInvNr=13-P-413867", "13-P-413867")</f>
        <v>13-P-413867</v>
      </c>
      <c r="C8608">
        <v>1.1000000000000001</v>
      </c>
      <c r="D8608" t="s">
        <v>6428</v>
      </c>
      <c r="E8608" t="s">
        <v>11</v>
      </c>
      <c r="F8608" t="s">
        <v>13</v>
      </c>
      <c r="G8608" t="s">
        <v>264</v>
      </c>
      <c r="H8608" t="s">
        <v>14</v>
      </c>
    </row>
    <row r="8609" spans="1:8" hidden="1" x14ac:dyDescent="0.25">
      <c r="A8609" t="s">
        <v>11768</v>
      </c>
      <c r="B8609" s="1" t="str">
        <f>HYPERLINK("https://asmlis.vasa.lt/Dashboard/Served?ServiceDateFrom=2025-11-24&amp;ServiceDateTo=2025-11-24&amp;DumpsterInvNr=13-P-302006", "13-P-302006")</f>
        <v>13-P-302006</v>
      </c>
      <c r="C8609">
        <v>1.1000000000000001</v>
      </c>
      <c r="D8609" t="s">
        <v>11769</v>
      </c>
      <c r="E8609" t="s">
        <v>11</v>
      </c>
      <c r="F8609" t="s">
        <v>13</v>
      </c>
      <c r="G8609" t="s">
        <v>412</v>
      </c>
      <c r="H8609" t="s">
        <v>14</v>
      </c>
    </row>
    <row r="8610" spans="1:8" hidden="1" x14ac:dyDescent="0.25">
      <c r="A8610" t="s">
        <v>11770</v>
      </c>
      <c r="B8610" s="1" t="str">
        <f>HYPERLINK("https://asmlis.vasa.lt/Dashboard/Served?ServiceDateFrom=2025-11-24&amp;ServiceDateTo=2025-11-24&amp;DumpsterInvNr=13-P-206311", "13-P-206311")</f>
        <v>13-P-206311</v>
      </c>
      <c r="C8610">
        <v>0.24</v>
      </c>
      <c r="D8610" t="s">
        <v>11391</v>
      </c>
      <c r="E8610" t="s">
        <v>11</v>
      </c>
      <c r="G8610" t="s">
        <v>234</v>
      </c>
      <c r="H8610" t="s">
        <v>14</v>
      </c>
    </row>
    <row r="8611" spans="1:8" hidden="1" x14ac:dyDescent="0.25">
      <c r="A8611" t="s">
        <v>11771</v>
      </c>
      <c r="B8611" s="1" t="str">
        <f>HYPERLINK("https://asmlis.vasa.lt/Dashboard/Served?ServiceDateFrom=2025-11-24&amp;ServiceDateTo=2025-11-24&amp;DumpsterInvNr=13-P-502774", "13-P-502774")</f>
        <v>13-P-502774</v>
      </c>
      <c r="C8611">
        <v>0.24</v>
      </c>
      <c r="D8611" t="s">
        <v>11772</v>
      </c>
      <c r="E8611" t="s">
        <v>11</v>
      </c>
      <c r="G8611" t="s">
        <v>2178</v>
      </c>
      <c r="H8611" t="s">
        <v>432</v>
      </c>
    </row>
    <row r="8612" spans="1:8" hidden="1" x14ac:dyDescent="0.25">
      <c r="A8612" t="s">
        <v>11771</v>
      </c>
      <c r="B8612" s="1" t="str">
        <f>HYPERLINK("https://asmlis.vasa.lt/Dashboard/Served?ServiceDateFrom=2025-11-24&amp;ServiceDateTo=2025-11-24&amp;DumpsterInvNr=13-L-135140", "13-L-135140")</f>
        <v>13-L-135140</v>
      </c>
      <c r="C8612">
        <v>0.24</v>
      </c>
      <c r="D8612" t="s">
        <v>11772</v>
      </c>
      <c r="E8612" t="s">
        <v>11</v>
      </c>
      <c r="G8612" t="s">
        <v>430</v>
      </c>
      <c r="H8612" t="s">
        <v>432</v>
      </c>
    </row>
    <row r="8613" spans="1:8" hidden="1" x14ac:dyDescent="0.25">
      <c r="A8613" t="s">
        <v>11773</v>
      </c>
      <c r="B8613" s="1" t="str">
        <f>HYPERLINK("https://asmlis.vasa.lt/Dashboard/Served?ServiceDateFrom=2025-11-24&amp;ServiceDateTo=2025-11-24&amp;DumpsterInvNr=13-L-106649", "13-L-106649")</f>
        <v>13-L-106649</v>
      </c>
      <c r="C8613">
        <v>1.1000000000000001</v>
      </c>
      <c r="D8613" t="s">
        <v>11731</v>
      </c>
      <c r="E8613" t="s">
        <v>11</v>
      </c>
      <c r="G8613" t="s">
        <v>1912</v>
      </c>
      <c r="H8613" t="s">
        <v>432</v>
      </c>
    </row>
    <row r="8614" spans="1:8" hidden="1" x14ac:dyDescent="0.25">
      <c r="A8614" t="s">
        <v>11774</v>
      </c>
      <c r="B8614" s="1" t="str">
        <f>HYPERLINK("https://asmlis.vasa.lt/Dashboard/Served?ServiceDateFrom=2025-11-24&amp;ServiceDateTo=2025-11-24&amp;DumpsterInvNr=13-P-102340", "13-P-102340")</f>
        <v>13-P-102340</v>
      </c>
      <c r="C8614">
        <v>5</v>
      </c>
      <c r="D8614" t="s">
        <v>11775</v>
      </c>
      <c r="E8614" t="s">
        <v>11</v>
      </c>
      <c r="F8614" t="s">
        <v>13</v>
      </c>
      <c r="G8614" t="s">
        <v>1917</v>
      </c>
      <c r="H8614" t="s">
        <v>432</v>
      </c>
    </row>
    <row r="8615" spans="1:8" hidden="1" x14ac:dyDescent="0.25">
      <c r="A8615" t="s">
        <v>11777</v>
      </c>
      <c r="B8615" s="1" t="str">
        <f>HYPERLINK("https://asmlis.vasa.lt/Dashboard/Served?ServiceDateFrom=2025-11-24&amp;ServiceDateTo=2025-11-24&amp;DumpsterInvNr=13-L-424874", "13-L-424874")</f>
        <v>13-L-424874</v>
      </c>
      <c r="C8615">
        <v>0.77</v>
      </c>
      <c r="D8615" t="s">
        <v>11778</v>
      </c>
      <c r="E8615" t="s">
        <v>11</v>
      </c>
      <c r="G8615" t="s">
        <v>74</v>
      </c>
      <c r="H8615" t="s">
        <v>14</v>
      </c>
    </row>
    <row r="8616" spans="1:8" hidden="1" x14ac:dyDescent="0.25">
      <c r="A8616" t="s">
        <v>11779</v>
      </c>
      <c r="B8616" s="1" t="str">
        <f>HYPERLINK("https://asmlis.vasa.lt/Dashboard/Served?ServiceDateFrom=2025-11-24&amp;ServiceDateTo=2025-11-24&amp;DumpsterInvNr=13-L-207567", "13-L-207567")</f>
        <v>13-L-207567</v>
      </c>
      <c r="C8616">
        <v>1.1000000000000001</v>
      </c>
      <c r="D8616" t="s">
        <v>11780</v>
      </c>
      <c r="E8616" t="s">
        <v>11</v>
      </c>
      <c r="G8616" t="s">
        <v>936</v>
      </c>
      <c r="H8616" t="s">
        <v>938</v>
      </c>
    </row>
    <row r="8617" spans="1:8" hidden="1" x14ac:dyDescent="0.25">
      <c r="A8617" t="s">
        <v>11781</v>
      </c>
      <c r="B8617" s="1" t="str">
        <f>HYPERLINK("https://asmlis.vasa.lt/Dashboard/Served?ServiceDateFrom=2025-11-24&amp;ServiceDateTo=2025-11-24&amp;DumpsterInvNr=13-L-141401", "13-L-141401")</f>
        <v>13-L-141401</v>
      </c>
      <c r="C8617">
        <v>5</v>
      </c>
      <c r="D8617" t="s">
        <v>11782</v>
      </c>
      <c r="E8617" t="s">
        <v>11</v>
      </c>
      <c r="F8617" t="s">
        <v>13</v>
      </c>
      <c r="G8617" t="s">
        <v>430</v>
      </c>
      <c r="H8617" t="s">
        <v>432</v>
      </c>
    </row>
    <row r="8618" spans="1:8" hidden="1" x14ac:dyDescent="0.25">
      <c r="A8618" t="s">
        <v>11783</v>
      </c>
      <c r="B8618" s="1" t="str">
        <f>HYPERLINK("https://asmlis.vasa.lt/Dashboard/Served?ServiceDateFrom=2025-11-24&amp;ServiceDateTo=2025-11-24&amp;DumpsterInvNr=13-L-311328", "13-L-311328")</f>
        <v>13-L-311328</v>
      </c>
      <c r="C8618">
        <v>0.24</v>
      </c>
      <c r="D8618" t="s">
        <v>11761</v>
      </c>
      <c r="E8618" t="s">
        <v>11</v>
      </c>
      <c r="G8618" t="s">
        <v>9</v>
      </c>
      <c r="H8618" t="s">
        <v>14</v>
      </c>
    </row>
    <row r="8619" spans="1:8" hidden="1" x14ac:dyDescent="0.25">
      <c r="A8619" t="s">
        <v>11784</v>
      </c>
      <c r="B8619" s="1" t="str">
        <f>HYPERLINK("https://asmlis.vasa.lt/Dashboard/Served?ServiceDateFrom=2025-11-24&amp;ServiceDateTo=2025-11-24&amp;DumpsterInvNr=13-P-115069", "13-P-115069")</f>
        <v>13-P-115069</v>
      </c>
      <c r="C8619">
        <v>1.1000000000000001</v>
      </c>
      <c r="D8619" t="s">
        <v>11785</v>
      </c>
      <c r="E8619" t="s">
        <v>11</v>
      </c>
      <c r="G8619" t="s">
        <v>1917</v>
      </c>
      <c r="H8619" t="s">
        <v>432</v>
      </c>
    </row>
    <row r="8620" spans="1:8" hidden="1" x14ac:dyDescent="0.25">
      <c r="A8620" t="s">
        <v>11786</v>
      </c>
      <c r="B8620" s="1" t="str">
        <f>HYPERLINK("https://asmlis.vasa.lt/Dashboard/Served?ServiceDateFrom=2025-11-24&amp;ServiceDateTo=2025-11-24&amp;DumpsterInvNr=13-P-101179", "13-P-101179")</f>
        <v>13-P-101179</v>
      </c>
      <c r="C8620">
        <v>0.24</v>
      </c>
      <c r="D8620" t="s">
        <v>11787</v>
      </c>
      <c r="E8620" t="s">
        <v>11</v>
      </c>
      <c r="G8620" t="s">
        <v>1917</v>
      </c>
      <c r="H8620" t="s">
        <v>432</v>
      </c>
    </row>
    <row r="8621" spans="1:8" hidden="1" x14ac:dyDescent="0.25">
      <c r="A8621" t="s">
        <v>11789</v>
      </c>
      <c r="B8621" s="1" t="str">
        <f>HYPERLINK("https://asmlis.vasa.lt/Dashboard/Served?ServiceDateFrom=2025-11-24&amp;ServiceDateTo=2025-11-24&amp;DumpsterInvNr=13-L-106650", "13-L-106650")</f>
        <v>13-L-106650</v>
      </c>
      <c r="C8621">
        <v>1.1000000000000001</v>
      </c>
      <c r="D8621" t="s">
        <v>11731</v>
      </c>
      <c r="E8621" t="s">
        <v>11</v>
      </c>
      <c r="G8621" t="s">
        <v>1912</v>
      </c>
      <c r="H8621" t="s">
        <v>432</v>
      </c>
    </row>
    <row r="8622" spans="1:8" hidden="1" x14ac:dyDescent="0.25">
      <c r="A8622" t="s">
        <v>11791</v>
      </c>
      <c r="B8622" s="1" t="str">
        <f>HYPERLINK("https://asmlis.vasa.lt/Dashboard/Served?ServiceDateFrom=2025-11-24&amp;ServiceDateTo=2025-11-24&amp;DumpsterInvNr=13-L-120428", "13-L-120428")</f>
        <v>13-L-120428</v>
      </c>
      <c r="C8622">
        <v>0.24</v>
      </c>
      <c r="D8622" t="s">
        <v>11787</v>
      </c>
      <c r="E8622" t="s">
        <v>11</v>
      </c>
      <c r="G8622" t="s">
        <v>1912</v>
      </c>
      <c r="H8622" t="s">
        <v>432</v>
      </c>
    </row>
    <row r="8623" spans="1:8" hidden="1" x14ac:dyDescent="0.25">
      <c r="A8623" t="s">
        <v>11792</v>
      </c>
      <c r="B8623" s="1" t="str">
        <f>HYPERLINK("https://asmlis.vasa.lt/Dashboard/Served?ServiceDateFrom=2025-11-24&amp;ServiceDateTo=2025-11-24&amp;DumpsterInvNr=13-P-403834", "13-P-403834")</f>
        <v>13-P-403834</v>
      </c>
      <c r="C8623">
        <v>0.24</v>
      </c>
      <c r="D8623" t="s">
        <v>1673</v>
      </c>
      <c r="E8623" t="s">
        <v>11</v>
      </c>
      <c r="F8623" t="s">
        <v>1209</v>
      </c>
      <c r="G8623" t="s">
        <v>264</v>
      </c>
      <c r="H8623" t="s">
        <v>14</v>
      </c>
    </row>
    <row r="8624" spans="1:8" hidden="1" x14ac:dyDescent="0.25">
      <c r="A8624" t="s">
        <v>11794</v>
      </c>
      <c r="B8624" s="1" t="str">
        <f>HYPERLINK("https://asmlis.vasa.lt/Dashboard/Served?ServiceDateFrom=2025-11-24&amp;ServiceDateTo=2025-11-24&amp;DumpsterInvNr=13-S-400546", "13-S-400546")</f>
        <v>13-S-400546</v>
      </c>
      <c r="C8624">
        <v>0.12</v>
      </c>
      <c r="D8624" t="s">
        <v>1673</v>
      </c>
      <c r="E8624" t="s">
        <v>11</v>
      </c>
      <c r="F8624" t="s">
        <v>1209</v>
      </c>
      <c r="G8624" t="s">
        <v>264</v>
      </c>
      <c r="H8624" t="s">
        <v>14</v>
      </c>
    </row>
    <row r="8625" spans="1:8" hidden="1" x14ac:dyDescent="0.25">
      <c r="A8625" t="s">
        <v>11794</v>
      </c>
      <c r="B8625" s="1" t="str">
        <f>HYPERLINK("https://asmlis.vasa.lt/Dashboard/Served?ServiceDateFrom=2025-11-24&amp;ServiceDateTo=2025-11-24&amp;DumpsterInvNr=13-S-212026", "13-S-212026")</f>
        <v>13-S-212026</v>
      </c>
      <c r="C8625">
        <v>0.12</v>
      </c>
      <c r="D8625" t="s">
        <v>11379</v>
      </c>
      <c r="E8625" t="s">
        <v>11</v>
      </c>
      <c r="G8625" t="s">
        <v>234</v>
      </c>
      <c r="H8625" t="s">
        <v>14</v>
      </c>
    </row>
    <row r="8626" spans="1:8" hidden="1" x14ac:dyDescent="0.25">
      <c r="A8626" t="s">
        <v>11686</v>
      </c>
      <c r="B8626" s="1" t="str">
        <f>HYPERLINK("https://asmlis.vasa.lt/Dashboard/Served?ServiceDateFrom=2025-11-24&amp;ServiceDateTo=2025-11-24&amp;DumpsterInvNr=13-S-400613", "13-S-400613")</f>
        <v>13-S-400613</v>
      </c>
      <c r="C8626">
        <v>0.12</v>
      </c>
      <c r="D8626" t="s">
        <v>1667</v>
      </c>
      <c r="E8626" t="s">
        <v>11</v>
      </c>
      <c r="F8626" t="s">
        <v>1209</v>
      </c>
      <c r="G8626" t="s">
        <v>264</v>
      </c>
      <c r="H8626" t="s">
        <v>14</v>
      </c>
    </row>
    <row r="8627" spans="1:8" hidden="1" x14ac:dyDescent="0.25">
      <c r="A8627" t="s">
        <v>11796</v>
      </c>
      <c r="B8627" s="1" t="str">
        <f>HYPERLINK("https://asmlis.vasa.lt/Dashboard/Served?ServiceDateFrom=2025-11-24&amp;ServiceDateTo=2025-11-24&amp;DumpsterInvNr=13-L-129610", "13-L-129610")</f>
        <v>13-L-129610</v>
      </c>
      <c r="C8627">
        <v>1.1000000000000001</v>
      </c>
      <c r="D8627" t="s">
        <v>4199</v>
      </c>
      <c r="E8627" t="s">
        <v>11</v>
      </c>
      <c r="G8627" t="s">
        <v>430</v>
      </c>
      <c r="H8627" t="s">
        <v>432</v>
      </c>
    </row>
    <row r="8628" spans="1:8" hidden="1" x14ac:dyDescent="0.25">
      <c r="A8628" t="s">
        <v>11797</v>
      </c>
      <c r="B8628" s="1" t="str">
        <f>HYPERLINK("https://asmlis.vasa.lt/Dashboard/Served?ServiceDateFrom=2025-11-24&amp;ServiceDateTo=2025-11-24&amp;DumpsterInvNr=13-L-425304", "13-L-425304")</f>
        <v>13-L-425304</v>
      </c>
      <c r="C8628">
        <v>5</v>
      </c>
      <c r="D8628" t="s">
        <v>11798</v>
      </c>
      <c r="E8628" t="s">
        <v>11</v>
      </c>
      <c r="F8628" t="s">
        <v>13</v>
      </c>
      <c r="G8628" t="s">
        <v>74</v>
      </c>
      <c r="H8628" t="s">
        <v>14</v>
      </c>
    </row>
    <row r="8629" spans="1:8" hidden="1" x14ac:dyDescent="0.25">
      <c r="A8629" t="s">
        <v>11797</v>
      </c>
      <c r="B8629" s="1" t="str">
        <f>HYPERLINK("https://asmlis.vasa.lt/Dashboard/Served?ServiceDateFrom=2025-11-24&amp;ServiceDateTo=2025-11-24&amp;DumpsterInvNr=13-P-403843", "13-P-403843")</f>
        <v>13-P-403843</v>
      </c>
      <c r="C8629">
        <v>0.24</v>
      </c>
      <c r="D8629" t="s">
        <v>1667</v>
      </c>
      <c r="E8629" t="s">
        <v>11</v>
      </c>
      <c r="F8629" t="s">
        <v>1209</v>
      </c>
      <c r="G8629" t="s">
        <v>264</v>
      </c>
      <c r="H8629" t="s">
        <v>14</v>
      </c>
    </row>
    <row r="8630" spans="1:8" hidden="1" x14ac:dyDescent="0.25">
      <c r="A8630" t="s">
        <v>11445</v>
      </c>
      <c r="B8630" s="1" t="str">
        <f>HYPERLINK("https://asmlis.vasa.lt/Dashboard/Served?ServiceDateFrom=2025-11-24&amp;ServiceDateTo=2025-11-24&amp;DumpsterInvNr=13-L-137346", "13-L-137346")</f>
        <v>13-L-137346</v>
      </c>
      <c r="C8630">
        <v>0.24</v>
      </c>
      <c r="D8630" t="s">
        <v>11799</v>
      </c>
      <c r="E8630" t="s">
        <v>11</v>
      </c>
      <c r="G8630" t="s">
        <v>1912</v>
      </c>
      <c r="H8630" t="s">
        <v>432</v>
      </c>
    </row>
    <row r="8631" spans="1:8" hidden="1" x14ac:dyDescent="0.25">
      <c r="A8631" t="s">
        <v>11800</v>
      </c>
      <c r="B8631" s="1" t="str">
        <f>HYPERLINK("https://asmlis.vasa.lt/Dashboard/Served?ServiceDateFrom=2025-11-24&amp;ServiceDateTo=2025-11-24&amp;DumpsterInvNr=13-P-302449", "13-P-302449")</f>
        <v>13-P-302449</v>
      </c>
      <c r="C8631">
        <v>2.5</v>
      </c>
      <c r="D8631" t="s">
        <v>10902</v>
      </c>
      <c r="E8631" t="s">
        <v>11</v>
      </c>
      <c r="G8631" t="s">
        <v>412</v>
      </c>
      <c r="H8631" t="s">
        <v>14</v>
      </c>
    </row>
    <row r="8632" spans="1:8" hidden="1" x14ac:dyDescent="0.25">
      <c r="A8632" t="s">
        <v>11802</v>
      </c>
      <c r="B8632" s="1" t="str">
        <f>HYPERLINK("https://asmlis.vasa.lt/Dashboard/Served?ServiceDateFrom=2025-11-24&amp;ServiceDateTo=2025-11-24&amp;DumpsterInvNr=13-P-103181", "13-P-103181")</f>
        <v>13-P-103181</v>
      </c>
      <c r="C8632">
        <v>0.24</v>
      </c>
      <c r="D8632" t="s">
        <v>11799</v>
      </c>
      <c r="E8632" t="s">
        <v>11</v>
      </c>
      <c r="G8632" t="s">
        <v>1917</v>
      </c>
      <c r="H8632" t="s">
        <v>432</v>
      </c>
    </row>
    <row r="8633" spans="1:8" hidden="1" x14ac:dyDescent="0.25">
      <c r="A8633" t="s">
        <v>11802</v>
      </c>
      <c r="B8633" s="1" t="str">
        <f>HYPERLINK("https://asmlis.vasa.lt/Dashboard/Served?ServiceDateFrom=2025-11-24&amp;ServiceDateTo=2025-11-24&amp;DumpsterInvNr=13-P-212843", "13-P-212843")</f>
        <v>13-P-212843</v>
      </c>
      <c r="C8633">
        <v>0.24</v>
      </c>
      <c r="D8633" t="s">
        <v>11379</v>
      </c>
      <c r="E8633" t="s">
        <v>11</v>
      </c>
      <c r="G8633" t="s">
        <v>234</v>
      </c>
      <c r="H8633" t="s">
        <v>14</v>
      </c>
    </row>
    <row r="8634" spans="1:8" hidden="1" x14ac:dyDescent="0.25">
      <c r="A8634" t="s">
        <v>11805</v>
      </c>
      <c r="B8634" s="1" t="str">
        <f>HYPERLINK("https://asmlis.vasa.lt/Dashboard/Served?ServiceDateFrom=2025-11-24&amp;ServiceDateTo=2025-11-24&amp;DumpsterInvNr=13-L-116670", "13-L-116670")</f>
        <v>13-L-116670</v>
      </c>
      <c r="C8634">
        <v>0.77</v>
      </c>
      <c r="D8634" t="s">
        <v>4199</v>
      </c>
      <c r="E8634" t="s">
        <v>11</v>
      </c>
      <c r="G8634" t="s">
        <v>430</v>
      </c>
      <c r="H8634" t="s">
        <v>432</v>
      </c>
    </row>
    <row r="8635" spans="1:8" hidden="1" x14ac:dyDescent="0.25">
      <c r="A8635" t="s">
        <v>11806</v>
      </c>
      <c r="B8635" s="1" t="str">
        <f>HYPERLINK("https://asmlis.vasa.lt/Dashboard/Served?ServiceDateFrom=2025-11-24&amp;ServiceDateTo=2025-11-24&amp;DumpsterInvNr=13-L-420783", "13-L-420783")</f>
        <v>13-L-420783</v>
      </c>
      <c r="C8635">
        <v>0.24</v>
      </c>
      <c r="D8635" t="s">
        <v>11807</v>
      </c>
      <c r="E8635" t="s">
        <v>11</v>
      </c>
      <c r="G8635" t="s">
        <v>74</v>
      </c>
      <c r="H8635" t="s">
        <v>14</v>
      </c>
    </row>
    <row r="8636" spans="1:8" hidden="1" x14ac:dyDescent="0.25">
      <c r="A8636" t="s">
        <v>10555</v>
      </c>
      <c r="B8636" s="1" t="str">
        <f>HYPERLINK("https://asmlis.vasa.lt/Dashboard/Served?ServiceDateFrom=2025-11-24&amp;ServiceDateTo=2025-11-24&amp;DumpsterInvNr=13-P-413821", "13-P-413821")</f>
        <v>13-P-413821</v>
      </c>
      <c r="C8636">
        <v>5</v>
      </c>
      <c r="D8636" t="s">
        <v>11808</v>
      </c>
      <c r="E8636" t="s">
        <v>11</v>
      </c>
      <c r="F8636" t="s">
        <v>13</v>
      </c>
      <c r="G8636" t="s">
        <v>264</v>
      </c>
      <c r="H8636" t="s">
        <v>14</v>
      </c>
    </row>
    <row r="8637" spans="1:8" hidden="1" x14ac:dyDescent="0.25">
      <c r="A8637" t="s">
        <v>10648</v>
      </c>
      <c r="B8637" s="1" t="str">
        <f>HYPERLINK("https://asmlis.vasa.lt/Dashboard/Served?ServiceDateFrom=2025-11-24&amp;ServiceDateTo=2025-11-24&amp;DumpsterInvNr=13-L-417218", "13-L-417218")</f>
        <v>13-L-417218</v>
      </c>
      <c r="C8637">
        <v>0.12</v>
      </c>
      <c r="D8637" t="s">
        <v>11809</v>
      </c>
      <c r="E8637" t="s">
        <v>11</v>
      </c>
      <c r="F8637" t="s">
        <v>1209</v>
      </c>
      <c r="G8637" t="s">
        <v>74</v>
      </c>
      <c r="H8637" t="s">
        <v>14</v>
      </c>
    </row>
    <row r="8638" spans="1:8" hidden="1" x14ac:dyDescent="0.25">
      <c r="A8638" t="s">
        <v>10648</v>
      </c>
      <c r="B8638" s="1" t="str">
        <f>HYPERLINK("https://asmlis.vasa.lt/Dashboard/Served?ServiceDateFrom=2025-11-24&amp;ServiceDateTo=2025-11-24&amp;DumpsterInvNr=DGA-ZALVARIS", "DGA-ZALVARIS")</f>
        <v>DGA-ZALVARIS</v>
      </c>
      <c r="C8638">
        <v>1</v>
      </c>
      <c r="D8638" t="s">
        <v>11810</v>
      </c>
      <c r="E8638" t="s">
        <v>12</v>
      </c>
      <c r="F8638" t="s">
        <v>13</v>
      </c>
      <c r="G8638" t="s">
        <v>10915</v>
      </c>
      <c r="H8638" t="s">
        <v>6765</v>
      </c>
    </row>
    <row r="8639" spans="1:8" hidden="1" x14ac:dyDescent="0.25">
      <c r="A8639" t="s">
        <v>11545</v>
      </c>
      <c r="B8639" s="1" t="str">
        <f>HYPERLINK("https://asmlis.vasa.lt/Dashboard/Served?ServiceDateFrom=2025-11-24&amp;ServiceDateTo=2025-11-24&amp;DumpsterInvNr=13-L-211217", "13-L-211217")</f>
        <v>13-L-211217</v>
      </c>
      <c r="C8639">
        <v>1.1000000000000001</v>
      </c>
      <c r="D8639" t="s">
        <v>11811</v>
      </c>
      <c r="E8639" t="s">
        <v>11</v>
      </c>
      <c r="F8639" t="s">
        <v>13</v>
      </c>
      <c r="G8639" t="s">
        <v>936</v>
      </c>
      <c r="H8639" t="s">
        <v>938</v>
      </c>
    </row>
    <row r="8640" spans="1:8" hidden="1" x14ac:dyDescent="0.25">
      <c r="A8640" t="s">
        <v>11426</v>
      </c>
      <c r="B8640" s="1" t="str">
        <f>HYPERLINK("https://asmlis.vasa.lt/Dashboard/Served?ServiceDateFrom=2025-11-24&amp;ServiceDateTo=2025-11-24&amp;DumpsterInvNr=13-M-206019", "13-M-206019")</f>
        <v>13-M-206019</v>
      </c>
      <c r="C8640">
        <v>0.12</v>
      </c>
      <c r="D8640" t="s">
        <v>11314</v>
      </c>
      <c r="E8640" t="s">
        <v>11</v>
      </c>
      <c r="G8640" t="s">
        <v>4876</v>
      </c>
      <c r="H8640" t="s">
        <v>938</v>
      </c>
    </row>
    <row r="8641" spans="1:8" hidden="1" x14ac:dyDescent="0.25">
      <c r="A8641" t="s">
        <v>11449</v>
      </c>
      <c r="B8641" s="1" t="str">
        <f>HYPERLINK("https://asmlis.vasa.lt/Dashboard/Served?ServiceDateFrom=2025-11-24&amp;ServiceDateTo=2025-11-24&amp;DumpsterInvNr=13-S-103262", "13-S-103262")</f>
        <v>13-S-103262</v>
      </c>
      <c r="C8641">
        <v>0.12</v>
      </c>
      <c r="D8641" t="s">
        <v>11812</v>
      </c>
      <c r="E8641" t="s">
        <v>11</v>
      </c>
      <c r="F8641" t="s">
        <v>1209</v>
      </c>
      <c r="G8641" t="s">
        <v>1917</v>
      </c>
      <c r="H8641" t="s">
        <v>432</v>
      </c>
    </row>
    <row r="8642" spans="1:8" hidden="1" x14ac:dyDescent="0.25">
      <c r="A8642" t="s">
        <v>11458</v>
      </c>
      <c r="B8642" s="1" t="str">
        <f>HYPERLINK("https://asmlis.vasa.lt/Dashboard/Served?ServiceDateFrom=2025-11-24&amp;ServiceDateTo=2025-11-24&amp;DumpsterInvNr=13-L-129014", "13-L-129014")</f>
        <v>13-L-129014</v>
      </c>
      <c r="C8642">
        <v>1.1000000000000001</v>
      </c>
      <c r="D8642" t="s">
        <v>11813</v>
      </c>
      <c r="E8642" t="s">
        <v>12</v>
      </c>
      <c r="G8642" t="s">
        <v>430</v>
      </c>
      <c r="H8642" t="s">
        <v>432</v>
      </c>
    </row>
    <row r="8643" spans="1:8" hidden="1" x14ac:dyDescent="0.25">
      <c r="A8643" t="s">
        <v>11470</v>
      </c>
      <c r="B8643" s="1" t="str">
        <f>HYPERLINK("https://asmlis.vasa.lt/Dashboard/Served?ServiceDateFrom=2025-11-24&amp;ServiceDateTo=2025-11-24&amp;DumpsterInvNr=13-L-116671", "13-L-116671")</f>
        <v>13-L-116671</v>
      </c>
      <c r="C8643">
        <v>0.77</v>
      </c>
      <c r="D8643" t="s">
        <v>4199</v>
      </c>
      <c r="E8643" t="s">
        <v>11</v>
      </c>
      <c r="G8643" t="s">
        <v>430</v>
      </c>
      <c r="H8643" t="s">
        <v>432</v>
      </c>
    </row>
    <row r="8644" spans="1:8" hidden="1" x14ac:dyDescent="0.25">
      <c r="A8644" t="s">
        <v>11815</v>
      </c>
      <c r="B8644" s="1" t="str">
        <f>HYPERLINK("https://asmlis.vasa.lt/Dashboard/Served?ServiceDateFrom=2025-11-24&amp;ServiceDateTo=2025-11-24&amp;DumpsterInvNr=13-P-402990", "13-P-402990")</f>
        <v>13-P-402990</v>
      </c>
      <c r="C8644">
        <v>0.24</v>
      </c>
      <c r="D8644" t="s">
        <v>11816</v>
      </c>
      <c r="E8644" t="s">
        <v>11</v>
      </c>
      <c r="G8644" t="s">
        <v>264</v>
      </c>
      <c r="H8644" t="s">
        <v>14</v>
      </c>
    </row>
    <row r="8645" spans="1:8" hidden="1" x14ac:dyDescent="0.25">
      <c r="A8645" t="s">
        <v>11817</v>
      </c>
      <c r="B8645" s="1" t="str">
        <f>HYPERLINK("https://asmlis.vasa.lt/Dashboard/Served?ServiceDateFrom=2025-11-24&amp;ServiceDateTo=2025-11-24&amp;DumpsterInvNr=13-L-212141", "13-L-212141")</f>
        <v>13-L-212141</v>
      </c>
      <c r="C8645">
        <v>0.24</v>
      </c>
      <c r="D8645" t="s">
        <v>9202</v>
      </c>
      <c r="E8645" t="s">
        <v>11</v>
      </c>
      <c r="G8645" t="s">
        <v>936</v>
      </c>
      <c r="H8645" t="s">
        <v>938</v>
      </c>
    </row>
    <row r="8646" spans="1:8" hidden="1" x14ac:dyDescent="0.25">
      <c r="A8646" t="s">
        <v>11818</v>
      </c>
      <c r="B8646" s="1" t="str">
        <f>HYPERLINK("https://asmlis.vasa.lt/Dashboard/Served?ServiceDateFrom=2025-11-24&amp;ServiceDateTo=2025-11-24&amp;DumpsterInvNr=13-L-220522", "13-L-220522")</f>
        <v>13-L-220522</v>
      </c>
      <c r="C8646">
        <v>0.24</v>
      </c>
      <c r="D8646" t="s">
        <v>9195</v>
      </c>
      <c r="E8646" t="s">
        <v>11</v>
      </c>
      <c r="G8646" t="s">
        <v>936</v>
      </c>
      <c r="H8646" t="s">
        <v>938</v>
      </c>
    </row>
    <row r="8647" spans="1:8" hidden="1" x14ac:dyDescent="0.25">
      <c r="A8647" t="s">
        <v>11819</v>
      </c>
      <c r="B8647" s="1" t="str">
        <f>HYPERLINK("https://asmlis.vasa.lt/Dashboard/Served?ServiceDateFrom=2025-11-24&amp;ServiceDateTo=2025-11-24&amp;DumpsterInvNr=13-L-221223", "13-L-221223")</f>
        <v>13-L-221223</v>
      </c>
      <c r="C8647">
        <v>0.24</v>
      </c>
      <c r="D8647" t="s">
        <v>8814</v>
      </c>
      <c r="E8647" t="s">
        <v>11</v>
      </c>
      <c r="F8647" t="s">
        <v>1209</v>
      </c>
      <c r="G8647" t="s">
        <v>936</v>
      </c>
      <c r="H8647" t="s">
        <v>938</v>
      </c>
    </row>
    <row r="8648" spans="1:8" hidden="1" x14ac:dyDescent="0.25">
      <c r="A8648" t="s">
        <v>11821</v>
      </c>
      <c r="B8648" s="1" t="str">
        <f>HYPERLINK("https://asmlis.vasa.lt/Dashboard/Served?ServiceDateFrom=2025-11-24&amp;ServiceDateTo=2025-11-24&amp;DumpsterInvNr=13-P-211563", "13-P-211563")</f>
        <v>13-P-211563</v>
      </c>
      <c r="C8648">
        <v>0.12</v>
      </c>
      <c r="D8648" t="s">
        <v>11364</v>
      </c>
      <c r="E8648" t="s">
        <v>11</v>
      </c>
      <c r="G8648" t="s">
        <v>234</v>
      </c>
      <c r="H8648" t="s">
        <v>14</v>
      </c>
    </row>
    <row r="8649" spans="1:8" hidden="1" x14ac:dyDescent="0.25">
      <c r="A8649" t="s">
        <v>11822</v>
      </c>
      <c r="B8649" s="1" t="str">
        <f>HYPERLINK("https://asmlis.vasa.lt/Dashboard/Served?ServiceDateFrom=2025-11-24&amp;ServiceDateTo=2025-11-24&amp;DumpsterInvNr=13-L-227513", "13-L-227513")</f>
        <v>13-L-227513</v>
      </c>
      <c r="C8649">
        <v>0.24</v>
      </c>
      <c r="D8649" t="s">
        <v>8760</v>
      </c>
      <c r="E8649" t="s">
        <v>11</v>
      </c>
      <c r="F8649" t="s">
        <v>1209</v>
      </c>
      <c r="G8649" t="s">
        <v>936</v>
      </c>
      <c r="H8649" t="s">
        <v>938</v>
      </c>
    </row>
    <row r="8650" spans="1:8" hidden="1" x14ac:dyDescent="0.25">
      <c r="A8650" t="s">
        <v>11822</v>
      </c>
      <c r="B8650" s="1" t="str">
        <f>HYPERLINK("https://asmlis.vasa.lt/Dashboard/Served?ServiceDateFrom=2025-11-24&amp;ServiceDateTo=2025-11-24&amp;DumpsterInvNr=13-L-141402", "13-L-141402")</f>
        <v>13-L-141402</v>
      </c>
      <c r="C8650">
        <v>0.24</v>
      </c>
      <c r="D8650" t="s">
        <v>11812</v>
      </c>
      <c r="E8650" t="s">
        <v>11</v>
      </c>
      <c r="G8650" t="s">
        <v>1912</v>
      </c>
      <c r="H8650" t="s">
        <v>432</v>
      </c>
    </row>
    <row r="8651" spans="1:8" hidden="1" x14ac:dyDescent="0.25">
      <c r="A8651" t="s">
        <v>11823</v>
      </c>
      <c r="B8651" s="1" t="str">
        <f>HYPERLINK("https://asmlis.vasa.lt/Dashboard/Served?ServiceDateFrom=2025-11-24&amp;ServiceDateTo=2025-11-24&amp;DumpsterInvNr=13-L-126503", "13-L-126503")</f>
        <v>13-L-126503</v>
      </c>
      <c r="C8651">
        <v>0.24</v>
      </c>
      <c r="D8651" t="s">
        <v>11824</v>
      </c>
      <c r="E8651" t="s">
        <v>11</v>
      </c>
      <c r="G8651" t="s">
        <v>430</v>
      </c>
      <c r="H8651" t="s">
        <v>432</v>
      </c>
    </row>
    <row r="8652" spans="1:8" hidden="1" x14ac:dyDescent="0.25">
      <c r="A8652" t="s">
        <v>11825</v>
      </c>
      <c r="B8652" s="1" t="str">
        <f>HYPERLINK("https://asmlis.vasa.lt/Dashboard/Served?ServiceDateFrom=2025-11-24&amp;ServiceDateTo=2025-11-24&amp;DumpsterInvNr=13-L-129015", "13-L-129015")</f>
        <v>13-L-129015</v>
      </c>
      <c r="C8652">
        <v>1.1000000000000001</v>
      </c>
      <c r="D8652" t="s">
        <v>11813</v>
      </c>
      <c r="E8652" t="s">
        <v>12</v>
      </c>
      <c r="G8652" t="s">
        <v>430</v>
      </c>
      <c r="H8652" t="s">
        <v>432</v>
      </c>
    </row>
    <row r="8653" spans="1:8" hidden="1" x14ac:dyDescent="0.25">
      <c r="A8653" t="s">
        <v>11825</v>
      </c>
      <c r="B8653" s="1" t="str">
        <f>HYPERLINK("https://asmlis.vasa.lt/Dashboard/Served?ServiceDateFrom=2025-11-24&amp;ServiceDateTo=2025-11-24&amp;DumpsterInvNr=13-P-415629", "13-P-415629")</f>
        <v>13-P-415629</v>
      </c>
      <c r="C8653">
        <v>1.1000000000000001</v>
      </c>
      <c r="D8653" t="s">
        <v>6428</v>
      </c>
      <c r="E8653" t="s">
        <v>11</v>
      </c>
      <c r="G8653" t="s">
        <v>264</v>
      </c>
      <c r="H8653" t="s">
        <v>14</v>
      </c>
    </row>
    <row r="8654" spans="1:8" hidden="1" x14ac:dyDescent="0.25">
      <c r="A8654" t="s">
        <v>11827</v>
      </c>
      <c r="B8654" s="1" t="str">
        <f>HYPERLINK("https://asmlis.vasa.lt/Dashboard/Served?ServiceDateFrom=2025-11-24&amp;ServiceDateTo=2025-11-24&amp;DumpsterInvNr=13-P-413837", "13-P-413837")</f>
        <v>13-P-413837</v>
      </c>
      <c r="C8654">
        <v>5</v>
      </c>
      <c r="D8654" t="s">
        <v>11828</v>
      </c>
      <c r="E8654" t="s">
        <v>11</v>
      </c>
      <c r="F8654" t="s">
        <v>13</v>
      </c>
      <c r="G8654" t="s">
        <v>264</v>
      </c>
      <c r="H8654" t="s">
        <v>14</v>
      </c>
    </row>
    <row r="8655" spans="1:8" hidden="1" x14ac:dyDescent="0.25">
      <c r="A8655" t="s">
        <v>11827</v>
      </c>
      <c r="B8655" s="1" t="str">
        <f>HYPERLINK("https://asmlis.vasa.lt/Dashboard/Served?ServiceDateFrom=2025-11-24&amp;ServiceDateTo=2025-11-24&amp;DumpsterInvNr=13-P-103178", "13-P-103178")</f>
        <v>13-P-103178</v>
      </c>
      <c r="C8655">
        <v>0.24</v>
      </c>
      <c r="D8655" t="s">
        <v>11812</v>
      </c>
      <c r="E8655" t="s">
        <v>11</v>
      </c>
      <c r="G8655" t="s">
        <v>1917</v>
      </c>
      <c r="H8655" t="s">
        <v>432</v>
      </c>
    </row>
    <row r="8656" spans="1:8" hidden="1" x14ac:dyDescent="0.25">
      <c r="A8656" t="s">
        <v>11827</v>
      </c>
      <c r="B8656" s="1" t="str">
        <f>HYPERLINK("https://asmlis.vasa.lt/Dashboard/Served?ServiceDateFrom=2025-11-24&amp;ServiceDateTo=2025-11-24&amp;DumpsterInvNr=13-S-502518", "13-S-502518")</f>
        <v>13-S-502518</v>
      </c>
      <c r="C8656">
        <v>0.12</v>
      </c>
      <c r="D8656" t="s">
        <v>11824</v>
      </c>
      <c r="E8656" t="s">
        <v>11</v>
      </c>
      <c r="F8656" t="s">
        <v>1209</v>
      </c>
      <c r="G8656" t="s">
        <v>2178</v>
      </c>
      <c r="H8656" t="s">
        <v>432</v>
      </c>
    </row>
    <row r="8657" spans="1:8" hidden="1" x14ac:dyDescent="0.25">
      <c r="A8657" t="s">
        <v>11829</v>
      </c>
      <c r="B8657" s="1" t="str">
        <f>HYPERLINK("https://asmlis.vasa.lt/Dashboard/Served?ServiceDateFrom=2025-11-24&amp;ServiceDateTo=2025-11-24&amp;DumpsterInvNr=13-L-116674", "13-L-116674")</f>
        <v>13-L-116674</v>
      </c>
      <c r="C8657">
        <v>1.1000000000000001</v>
      </c>
      <c r="D8657" t="s">
        <v>4199</v>
      </c>
      <c r="E8657" t="s">
        <v>11</v>
      </c>
      <c r="G8657" t="s">
        <v>430</v>
      </c>
      <c r="H8657" t="s">
        <v>432</v>
      </c>
    </row>
    <row r="8658" spans="1:8" hidden="1" x14ac:dyDescent="0.25">
      <c r="A8658" t="s">
        <v>11829</v>
      </c>
      <c r="B8658" s="1" t="str">
        <f>HYPERLINK("https://asmlis.vasa.lt/Dashboard/Served?ServiceDateFrom=2025-11-24&amp;ServiceDateTo=2025-11-24&amp;DumpsterInvNr=13-P-505906", "13-P-505906")</f>
        <v>13-P-505906</v>
      </c>
      <c r="C8658">
        <v>0.24</v>
      </c>
      <c r="D8658" t="s">
        <v>11824</v>
      </c>
      <c r="E8658" t="s">
        <v>11</v>
      </c>
      <c r="F8658" t="s">
        <v>1209</v>
      </c>
      <c r="G8658" t="s">
        <v>2178</v>
      </c>
      <c r="H8658" t="s">
        <v>432</v>
      </c>
    </row>
    <row r="8659" spans="1:8" hidden="1" x14ac:dyDescent="0.25">
      <c r="A8659" t="s">
        <v>11832</v>
      </c>
      <c r="B8659" s="1" t="str">
        <f>HYPERLINK("https://asmlis.vasa.lt/Dashboard/Served?ServiceDateFrom=2025-11-24&amp;ServiceDateTo=2025-11-24&amp;DumpsterInvNr=13-P-306877", "13-P-306877")</f>
        <v>13-P-306877</v>
      </c>
      <c r="C8659">
        <v>1.1000000000000001</v>
      </c>
      <c r="D8659" t="s">
        <v>11833</v>
      </c>
      <c r="E8659" t="s">
        <v>11</v>
      </c>
      <c r="F8659" t="s">
        <v>13</v>
      </c>
      <c r="G8659" t="s">
        <v>412</v>
      </c>
      <c r="H8659" t="s">
        <v>14</v>
      </c>
    </row>
    <row r="8660" spans="1:8" hidden="1" x14ac:dyDescent="0.25">
      <c r="A8660" t="s">
        <v>11834</v>
      </c>
      <c r="B8660" s="1" t="str">
        <f>HYPERLINK("https://asmlis.vasa.lt/Dashboard/Served?ServiceDateFrom=2025-11-24&amp;ServiceDateTo=2025-11-24&amp;DumpsterInvNr=13-P-306996", "13-P-306996")</f>
        <v>13-P-306996</v>
      </c>
      <c r="C8660">
        <v>1.1000000000000001</v>
      </c>
      <c r="D8660" t="s">
        <v>11833</v>
      </c>
      <c r="E8660" t="s">
        <v>11</v>
      </c>
      <c r="F8660" t="s">
        <v>13</v>
      </c>
      <c r="G8660" t="s">
        <v>412</v>
      </c>
      <c r="H8660" t="s">
        <v>14</v>
      </c>
    </row>
    <row r="8661" spans="1:8" hidden="1" x14ac:dyDescent="0.25">
      <c r="A8661" t="s">
        <v>11835</v>
      </c>
      <c r="B8661" s="1" t="str">
        <f>HYPERLINK("https://asmlis.vasa.lt/Dashboard/Served?ServiceDateFrom=2025-11-24&amp;ServiceDateTo=2025-11-24&amp;DumpsterInvNr=13-L-222705", "13-L-222705")</f>
        <v>13-L-222705</v>
      </c>
      <c r="C8661">
        <v>5</v>
      </c>
      <c r="D8661" t="s">
        <v>3136</v>
      </c>
      <c r="E8661" t="s">
        <v>11</v>
      </c>
      <c r="G8661" t="s">
        <v>936</v>
      </c>
      <c r="H8661" t="s">
        <v>938</v>
      </c>
    </row>
    <row r="8662" spans="1:8" hidden="1" x14ac:dyDescent="0.25">
      <c r="A8662" t="s">
        <v>11837</v>
      </c>
      <c r="B8662" s="1" t="str">
        <f>HYPERLINK("https://asmlis.vasa.lt/Dashboard/Served?ServiceDateFrom=2025-11-24&amp;ServiceDateTo=2025-11-24&amp;DumpsterInvNr=13-S-103260", "13-S-103260")</f>
        <v>13-S-103260</v>
      </c>
      <c r="C8662">
        <v>0.12</v>
      </c>
      <c r="D8662" t="s">
        <v>11787</v>
      </c>
      <c r="E8662" t="s">
        <v>11</v>
      </c>
      <c r="F8662" t="s">
        <v>1209</v>
      </c>
      <c r="G8662" t="s">
        <v>1917</v>
      </c>
      <c r="H8662" t="s">
        <v>432</v>
      </c>
    </row>
    <row r="8663" spans="1:8" hidden="1" x14ac:dyDescent="0.25">
      <c r="A8663" t="s">
        <v>11838</v>
      </c>
      <c r="B8663" s="1" t="str">
        <f>HYPERLINK("https://asmlis.vasa.lt/Dashboard/Served?ServiceDateFrom=2025-11-24&amp;ServiceDateTo=2025-11-24&amp;DumpsterInvNr=13-P-306927", "13-P-306927")</f>
        <v>13-P-306927</v>
      </c>
      <c r="C8663">
        <v>1.1000000000000001</v>
      </c>
      <c r="D8663" t="s">
        <v>11833</v>
      </c>
      <c r="E8663" t="s">
        <v>11</v>
      </c>
      <c r="F8663" t="s">
        <v>13</v>
      </c>
      <c r="G8663" t="s">
        <v>412</v>
      </c>
      <c r="H8663" t="s">
        <v>14</v>
      </c>
    </row>
    <row r="8664" spans="1:8" hidden="1" x14ac:dyDescent="0.25">
      <c r="A8664" t="s">
        <v>11839</v>
      </c>
      <c r="B8664" s="1" t="str">
        <f>HYPERLINK("https://asmlis.vasa.lt/Dashboard/Served?ServiceDateFrom=2025-11-24&amp;ServiceDateTo=2025-11-24&amp;DumpsterInvNr=13-S-211588", "13-S-211588")</f>
        <v>13-S-211588</v>
      </c>
      <c r="C8664">
        <v>0.12</v>
      </c>
      <c r="D8664" t="s">
        <v>11364</v>
      </c>
      <c r="E8664" t="s">
        <v>11</v>
      </c>
      <c r="G8664" t="s">
        <v>234</v>
      </c>
      <c r="H8664" t="s">
        <v>14</v>
      </c>
    </row>
    <row r="8665" spans="1:8" hidden="1" x14ac:dyDescent="0.25">
      <c r="A8665" t="s">
        <v>11840</v>
      </c>
      <c r="B8665" s="1" t="str">
        <f>HYPERLINK("https://asmlis.vasa.lt/Dashboard/Served?ServiceDateFrom=2025-11-24&amp;ServiceDateTo=2025-11-24&amp;DumpsterInvNr=13-L-116672", "13-L-116672")</f>
        <v>13-L-116672</v>
      </c>
      <c r="C8665">
        <v>1.1000000000000001</v>
      </c>
      <c r="D8665" t="s">
        <v>4199</v>
      </c>
      <c r="E8665" t="s">
        <v>11</v>
      </c>
      <c r="G8665" t="s">
        <v>430</v>
      </c>
      <c r="H8665" t="s">
        <v>432</v>
      </c>
    </row>
    <row r="8666" spans="1:8" hidden="1" x14ac:dyDescent="0.25">
      <c r="A8666" t="s">
        <v>11841</v>
      </c>
      <c r="B8666" s="1" t="str">
        <f>HYPERLINK("https://asmlis.vasa.lt/Dashboard/Served?ServiceDateFrom=2025-11-24&amp;ServiceDateTo=2025-11-24&amp;DumpsterInvNr=13-P-300683", "13-P-300683")</f>
        <v>13-P-300683</v>
      </c>
      <c r="C8666">
        <v>1.1000000000000001</v>
      </c>
      <c r="D8666" t="s">
        <v>11833</v>
      </c>
      <c r="E8666" t="s">
        <v>11</v>
      </c>
      <c r="F8666" t="s">
        <v>13</v>
      </c>
      <c r="G8666" t="s">
        <v>412</v>
      </c>
      <c r="H8666" t="s">
        <v>14</v>
      </c>
    </row>
    <row r="8667" spans="1:8" hidden="1" x14ac:dyDescent="0.25">
      <c r="A8667" t="s">
        <v>11842</v>
      </c>
      <c r="B8667" s="1" t="str">
        <f>HYPERLINK("https://asmlis.vasa.lt/Dashboard/Served?ServiceDateFrom=2025-11-24&amp;ServiceDateTo=2025-11-24&amp;DumpsterInvNr=13-L-129013", "13-L-129013")</f>
        <v>13-L-129013</v>
      </c>
      <c r="C8667">
        <v>1.1000000000000001</v>
      </c>
      <c r="D8667" t="s">
        <v>11813</v>
      </c>
      <c r="E8667" t="s">
        <v>12</v>
      </c>
      <c r="G8667" t="s">
        <v>430</v>
      </c>
      <c r="H8667" t="s">
        <v>432</v>
      </c>
    </row>
    <row r="8668" spans="1:8" hidden="1" x14ac:dyDescent="0.25">
      <c r="A8668" t="s">
        <v>11843</v>
      </c>
      <c r="B8668" s="1" t="str">
        <f>HYPERLINK("https://asmlis.vasa.lt/Dashboard/Served?ServiceDateFrom=2025-11-24&amp;ServiceDateTo=2025-11-24&amp;DumpsterInvNr=13-P-302311", "13-P-302311")</f>
        <v>13-P-302311</v>
      </c>
      <c r="C8668">
        <v>2.5</v>
      </c>
      <c r="D8668" t="s">
        <v>10902</v>
      </c>
      <c r="E8668" t="s">
        <v>11</v>
      </c>
      <c r="G8668" t="s">
        <v>412</v>
      </c>
      <c r="H8668" t="s">
        <v>14</v>
      </c>
    </row>
    <row r="8669" spans="1:8" hidden="1" x14ac:dyDescent="0.25">
      <c r="A8669" t="s">
        <v>11843</v>
      </c>
      <c r="B8669" s="1" t="str">
        <f>HYPERLINK("https://asmlis.vasa.lt/Dashboard/Served?ServiceDateFrom=2025-11-24&amp;ServiceDateTo=2025-11-24&amp;DumpsterInvNr=13-P-413572", "13-P-413572")</f>
        <v>13-P-413572</v>
      </c>
      <c r="C8669">
        <v>0.24</v>
      </c>
      <c r="D8669" t="s">
        <v>11845</v>
      </c>
      <c r="E8669" t="s">
        <v>11</v>
      </c>
      <c r="F8669" t="s">
        <v>1209</v>
      </c>
      <c r="G8669" t="s">
        <v>264</v>
      </c>
      <c r="H8669" t="s">
        <v>14</v>
      </c>
    </row>
    <row r="8670" spans="1:8" hidden="1" x14ac:dyDescent="0.25">
      <c r="A8670" t="s">
        <v>11847</v>
      </c>
      <c r="B8670" s="1" t="str">
        <f>HYPERLINK("https://asmlis.vasa.lt/Dashboard/Served?ServiceDateFrom=2025-11-24&amp;ServiceDateTo=2025-11-24&amp;DumpsterInvNr=13-P-302620", "13-P-302620")</f>
        <v>13-P-302620</v>
      </c>
      <c r="C8670">
        <v>5</v>
      </c>
      <c r="D8670" t="s">
        <v>2213</v>
      </c>
      <c r="E8670" t="s">
        <v>11</v>
      </c>
      <c r="G8670" t="s">
        <v>412</v>
      </c>
      <c r="H8670" t="s">
        <v>14</v>
      </c>
    </row>
    <row r="8671" spans="1:8" hidden="1" x14ac:dyDescent="0.25">
      <c r="A8671" t="s">
        <v>11848</v>
      </c>
      <c r="B8671" s="1" t="str">
        <f>HYPERLINK("https://asmlis.vasa.lt/Dashboard/Served?ServiceDateFrom=2025-11-24&amp;ServiceDateTo=2025-11-24&amp;DumpsterInvNr=13-S-404883", "13-S-404883")</f>
        <v>13-S-404883</v>
      </c>
      <c r="C8671">
        <v>0.12</v>
      </c>
      <c r="D8671" t="s">
        <v>11845</v>
      </c>
      <c r="E8671" t="s">
        <v>11</v>
      </c>
      <c r="F8671" t="s">
        <v>1209</v>
      </c>
      <c r="G8671" t="s">
        <v>264</v>
      </c>
      <c r="H8671" t="s">
        <v>14</v>
      </c>
    </row>
    <row r="8672" spans="1:8" hidden="1" x14ac:dyDescent="0.25">
      <c r="A8672" t="s">
        <v>11849</v>
      </c>
      <c r="B8672" s="1" t="str">
        <f>HYPERLINK("https://asmlis.vasa.lt/Dashboard/Served?ServiceDateFrom=2025-11-24&amp;ServiceDateTo=2025-11-24&amp;DumpsterInvNr=13-L-421217", "13-L-421217")</f>
        <v>13-L-421217</v>
      </c>
      <c r="C8672">
        <v>0.24</v>
      </c>
      <c r="D8672" t="s">
        <v>11850</v>
      </c>
      <c r="E8672" t="s">
        <v>11</v>
      </c>
      <c r="G8672" t="s">
        <v>74</v>
      </c>
      <c r="H8672" t="s">
        <v>14</v>
      </c>
    </row>
    <row r="8673" spans="1:8" hidden="1" x14ac:dyDescent="0.25">
      <c r="A8673" t="s">
        <v>11851</v>
      </c>
      <c r="B8673" s="1" t="str">
        <f>HYPERLINK("https://asmlis.vasa.lt/Dashboard/Served?ServiceDateFrom=2025-11-24&amp;ServiceDateTo=2025-11-24&amp;DumpsterInvNr=13-L-216869", "13-L-216869")</f>
        <v>13-L-216869</v>
      </c>
      <c r="C8673">
        <v>0.24</v>
      </c>
      <c r="D8673" t="s">
        <v>9221</v>
      </c>
      <c r="E8673" t="s">
        <v>11</v>
      </c>
      <c r="G8673" t="s">
        <v>936</v>
      </c>
      <c r="H8673" t="s">
        <v>938</v>
      </c>
    </row>
    <row r="8674" spans="1:8" hidden="1" x14ac:dyDescent="0.25">
      <c r="A8674" t="s">
        <v>11852</v>
      </c>
      <c r="B8674" s="1" t="str">
        <f>HYPERLINK("https://asmlis.vasa.lt/Dashboard/Served?ServiceDateFrom=2025-11-24&amp;ServiceDateTo=2025-11-24&amp;DumpsterInvNr=13-L-116673", "13-L-116673")</f>
        <v>13-L-116673</v>
      </c>
      <c r="C8674">
        <v>1.1000000000000001</v>
      </c>
      <c r="D8674" t="s">
        <v>4199</v>
      </c>
      <c r="E8674" t="s">
        <v>11</v>
      </c>
      <c r="G8674" t="s">
        <v>430</v>
      </c>
      <c r="H8674" t="s">
        <v>432</v>
      </c>
    </row>
    <row r="8675" spans="1:8" hidden="1" x14ac:dyDescent="0.25">
      <c r="A8675" t="s">
        <v>11854</v>
      </c>
      <c r="B8675" s="1" t="str">
        <f>HYPERLINK("https://asmlis.vasa.lt/Dashboard/Served?ServiceDateFrom=2025-11-24&amp;ServiceDateTo=2025-11-24&amp;DumpsterInvNr=13-P-300625", "13-P-300625")</f>
        <v>13-P-300625</v>
      </c>
      <c r="C8675">
        <v>1.1000000000000001</v>
      </c>
      <c r="D8675" t="s">
        <v>5492</v>
      </c>
      <c r="E8675" t="s">
        <v>11</v>
      </c>
      <c r="F8675" t="s">
        <v>13</v>
      </c>
      <c r="G8675" t="s">
        <v>412</v>
      </c>
      <c r="H8675" t="s">
        <v>14</v>
      </c>
    </row>
    <row r="8676" spans="1:8" hidden="1" x14ac:dyDescent="0.25">
      <c r="A8676" t="s">
        <v>11855</v>
      </c>
      <c r="B8676" s="1" t="str">
        <f>HYPERLINK("https://asmlis.vasa.lt/Dashboard/Served?ServiceDateFrom=2025-11-24&amp;ServiceDateTo=2025-11-24&amp;DumpsterInvNr=13-P-500148", "13-P-500148")</f>
        <v>13-P-500148</v>
      </c>
      <c r="C8676">
        <v>5</v>
      </c>
      <c r="D8676" t="s">
        <v>3463</v>
      </c>
      <c r="E8676" t="s">
        <v>11</v>
      </c>
      <c r="F8676" t="s">
        <v>13</v>
      </c>
      <c r="G8676" t="s">
        <v>2178</v>
      </c>
      <c r="H8676" t="s">
        <v>432</v>
      </c>
    </row>
    <row r="8677" spans="1:8" hidden="1" x14ac:dyDescent="0.25">
      <c r="A8677" t="s">
        <v>10607</v>
      </c>
      <c r="B8677" s="1" t="str">
        <f>HYPERLINK("https://asmlis.vasa.lt/Dashboard/Served?ServiceDateFrom=2025-11-24&amp;ServiceDateTo=2025-11-24&amp;DumpsterInvNr=13-L-210346", "13-L-210346")</f>
        <v>13-L-210346</v>
      </c>
      <c r="C8677">
        <v>0.12</v>
      </c>
      <c r="D8677" t="s">
        <v>9222</v>
      </c>
      <c r="E8677" t="s">
        <v>11</v>
      </c>
      <c r="F8677" t="s">
        <v>1209</v>
      </c>
      <c r="G8677" t="s">
        <v>936</v>
      </c>
      <c r="H8677" t="s">
        <v>938</v>
      </c>
    </row>
    <row r="8678" spans="1:8" hidden="1" x14ac:dyDescent="0.25">
      <c r="A8678" t="s">
        <v>10607</v>
      </c>
      <c r="B8678" s="1" t="str">
        <f>HYPERLINK("https://asmlis.vasa.lt/Dashboard/Served?ServiceDateFrom=2025-11-24&amp;ServiceDateTo=2025-11-24&amp;DumpsterInvNr=13-P-103192", "13-P-103192")</f>
        <v>13-P-103192</v>
      </c>
      <c r="C8678">
        <v>0.24</v>
      </c>
      <c r="D8678" t="s">
        <v>11856</v>
      </c>
      <c r="E8678" t="s">
        <v>11</v>
      </c>
      <c r="G8678" t="s">
        <v>1917</v>
      </c>
      <c r="H8678" t="s">
        <v>432</v>
      </c>
    </row>
    <row r="8679" spans="1:8" hidden="1" x14ac:dyDescent="0.25">
      <c r="A8679" t="s">
        <v>11844</v>
      </c>
      <c r="B8679" s="1" t="str">
        <f>HYPERLINK("https://asmlis.vasa.lt/Dashboard/Served?ServiceDateFrom=2025-11-24&amp;ServiceDateTo=2025-11-24&amp;DumpsterInvNr=13-P-212337", "13-P-212337")</f>
        <v>13-P-212337</v>
      </c>
      <c r="C8679">
        <v>1.1000000000000001</v>
      </c>
      <c r="D8679" t="s">
        <v>11857</v>
      </c>
      <c r="E8679" t="s">
        <v>11</v>
      </c>
      <c r="F8679" t="s">
        <v>13</v>
      </c>
      <c r="G8679" t="s">
        <v>234</v>
      </c>
      <c r="H8679" t="s">
        <v>14</v>
      </c>
    </row>
    <row r="8680" spans="1:8" hidden="1" x14ac:dyDescent="0.25">
      <c r="A8680" t="s">
        <v>11858</v>
      </c>
      <c r="B8680" s="1" t="str">
        <f>HYPERLINK("https://asmlis.vasa.lt/Dashboard/Served?ServiceDateFrom=2025-11-24&amp;ServiceDateTo=2025-11-24&amp;DumpsterInvNr=13-S-103269", "13-S-103269")</f>
        <v>13-S-103269</v>
      </c>
      <c r="C8680">
        <v>0.12</v>
      </c>
      <c r="D8680" t="s">
        <v>11856</v>
      </c>
      <c r="E8680" t="s">
        <v>11</v>
      </c>
      <c r="F8680" t="s">
        <v>1209</v>
      </c>
      <c r="G8680" t="s">
        <v>1917</v>
      </c>
      <c r="H8680" t="s">
        <v>432</v>
      </c>
    </row>
    <row r="8681" spans="1:8" hidden="1" x14ac:dyDescent="0.25">
      <c r="A8681" t="s">
        <v>11858</v>
      </c>
      <c r="B8681" s="1" t="str">
        <f>HYPERLINK("https://asmlis.vasa.lt/Dashboard/Served?ServiceDateFrom=2025-11-24&amp;ServiceDateTo=2025-11-24&amp;DumpsterInvNr=13-M-204899", "13-M-204899")</f>
        <v>13-M-204899</v>
      </c>
      <c r="C8681">
        <v>0.12</v>
      </c>
      <c r="D8681" t="s">
        <v>11335</v>
      </c>
      <c r="E8681" t="s">
        <v>11</v>
      </c>
      <c r="F8681" t="s">
        <v>1209</v>
      </c>
      <c r="G8681" t="s">
        <v>4876</v>
      </c>
      <c r="H8681" t="s">
        <v>938</v>
      </c>
    </row>
    <row r="8682" spans="1:8" hidden="1" x14ac:dyDescent="0.25">
      <c r="A8682" t="s">
        <v>11860</v>
      </c>
      <c r="B8682" s="1" t="str">
        <f>HYPERLINK("https://asmlis.vasa.lt/Dashboard/Served?ServiceDateFrom=2025-11-24&amp;ServiceDateTo=2025-11-24&amp;DumpsterInvNr=13-P-413056", "13-P-413056")</f>
        <v>13-P-413056</v>
      </c>
      <c r="C8682">
        <v>1.1000000000000001</v>
      </c>
      <c r="D8682" t="s">
        <v>11750</v>
      </c>
      <c r="E8682" t="s">
        <v>11</v>
      </c>
      <c r="F8682" t="s">
        <v>13</v>
      </c>
      <c r="G8682" t="s">
        <v>264</v>
      </c>
      <c r="H8682" t="s">
        <v>14</v>
      </c>
    </row>
    <row r="8683" spans="1:8" hidden="1" x14ac:dyDescent="0.25">
      <c r="A8683" t="s">
        <v>11861</v>
      </c>
      <c r="B8683" s="1" t="str">
        <f>HYPERLINK("https://asmlis.vasa.lt/Dashboard/Served?ServiceDateFrom=2025-11-24&amp;ServiceDateTo=2025-11-24&amp;DumpsterInvNr=13-P-207855", "13-P-207855")</f>
        <v>13-P-207855</v>
      </c>
      <c r="C8683">
        <v>0.24</v>
      </c>
      <c r="D8683" t="s">
        <v>11345</v>
      </c>
      <c r="E8683" t="s">
        <v>11</v>
      </c>
      <c r="G8683" t="s">
        <v>234</v>
      </c>
      <c r="H8683" t="s">
        <v>14</v>
      </c>
    </row>
    <row r="8684" spans="1:8" hidden="1" x14ac:dyDescent="0.25">
      <c r="A8684" t="s">
        <v>10596</v>
      </c>
      <c r="B8684" s="1" t="str">
        <f>HYPERLINK("https://asmlis.vasa.lt/Dashboard/Served?ServiceDateFrom=2025-11-24&amp;ServiceDateTo=2025-11-24&amp;DumpsterInvNr=13-M-205155", "13-M-205155")</f>
        <v>13-M-205155</v>
      </c>
      <c r="C8684">
        <v>0.12</v>
      </c>
      <c r="D8684" t="s">
        <v>11863</v>
      </c>
      <c r="E8684" t="s">
        <v>11</v>
      </c>
      <c r="F8684" t="s">
        <v>1209</v>
      </c>
      <c r="G8684" t="s">
        <v>4876</v>
      </c>
      <c r="H8684" t="s">
        <v>938</v>
      </c>
    </row>
    <row r="8685" spans="1:8" hidden="1" x14ac:dyDescent="0.25">
      <c r="A8685" t="s">
        <v>11707</v>
      </c>
      <c r="B8685" s="1" t="str">
        <f>HYPERLINK("https://asmlis.vasa.lt/Dashboard/Served?ServiceDateFrom=2025-11-24&amp;ServiceDateTo=2025-11-24&amp;DumpsterInvNr=13-L-307397", "13-L-307397")</f>
        <v>13-L-307397</v>
      </c>
      <c r="C8685">
        <v>0.24</v>
      </c>
      <c r="D8685" t="s">
        <v>11865</v>
      </c>
      <c r="E8685" t="s">
        <v>11</v>
      </c>
      <c r="G8685" t="s">
        <v>9</v>
      </c>
      <c r="H8685" t="s">
        <v>14</v>
      </c>
    </row>
    <row r="8686" spans="1:8" hidden="1" x14ac:dyDescent="0.25">
      <c r="A8686" t="s">
        <v>11866</v>
      </c>
      <c r="B8686" s="1" t="str">
        <f>HYPERLINK("https://asmlis.vasa.lt/Dashboard/Served?ServiceDateFrom=2025-11-24&amp;ServiceDateTo=2025-11-24&amp;DumpsterInvNr=13-P-416283", "13-P-416283")</f>
        <v>13-P-416283</v>
      </c>
      <c r="C8686">
        <v>1.1000000000000001</v>
      </c>
      <c r="D8686" t="s">
        <v>6428</v>
      </c>
      <c r="E8686" t="s">
        <v>11</v>
      </c>
      <c r="F8686" t="s">
        <v>13</v>
      </c>
      <c r="G8686" t="s">
        <v>264</v>
      </c>
      <c r="H8686" t="s">
        <v>14</v>
      </c>
    </row>
    <row r="8687" spans="1:8" hidden="1" x14ac:dyDescent="0.25">
      <c r="A8687" t="s">
        <v>11867</v>
      </c>
      <c r="B8687" s="1" t="str">
        <f>HYPERLINK("https://asmlis.vasa.lt/Dashboard/Served?ServiceDateFrom=2025-11-24&amp;ServiceDateTo=2025-11-24&amp;DumpsterInvNr=13-M-205156", "13-M-205156")</f>
        <v>13-M-205156</v>
      </c>
      <c r="C8687">
        <v>0.12</v>
      </c>
      <c r="D8687" t="s">
        <v>11282</v>
      </c>
      <c r="E8687" t="s">
        <v>11</v>
      </c>
      <c r="F8687" t="s">
        <v>1209</v>
      </c>
      <c r="G8687" t="s">
        <v>4876</v>
      </c>
      <c r="H8687" t="s">
        <v>938</v>
      </c>
    </row>
    <row r="8688" spans="1:8" hidden="1" x14ac:dyDescent="0.25">
      <c r="A8688" t="s">
        <v>11868</v>
      </c>
      <c r="B8688" s="1" t="str">
        <f>HYPERLINK("https://asmlis.vasa.lt/Dashboard/Served?ServiceDateFrom=2025-11-24&amp;ServiceDateTo=2025-11-24&amp;DumpsterInvNr=13-L-227511", "13-L-227511")</f>
        <v>13-L-227511</v>
      </c>
      <c r="C8688">
        <v>1.1000000000000001</v>
      </c>
      <c r="D8688" t="s">
        <v>11869</v>
      </c>
      <c r="E8688" t="s">
        <v>11</v>
      </c>
      <c r="G8688" t="s">
        <v>936</v>
      </c>
      <c r="H8688" t="s">
        <v>938</v>
      </c>
    </row>
    <row r="8689" spans="1:8" hidden="1" x14ac:dyDescent="0.25">
      <c r="A8689" t="s">
        <v>11868</v>
      </c>
      <c r="B8689" s="1" t="str">
        <f>HYPERLINK("https://asmlis.vasa.lt/Dashboard/Served?ServiceDateFrom=2025-11-24&amp;ServiceDateTo=2025-11-24&amp;DumpsterInvNr=13-S-206781", "13-S-206781")</f>
        <v>13-S-206781</v>
      </c>
      <c r="C8689">
        <v>0.12</v>
      </c>
      <c r="D8689" t="s">
        <v>11345</v>
      </c>
      <c r="E8689" t="s">
        <v>11</v>
      </c>
      <c r="F8689" t="s">
        <v>1209</v>
      </c>
      <c r="G8689" t="s">
        <v>234</v>
      </c>
      <c r="H8689" t="s">
        <v>14</v>
      </c>
    </row>
    <row r="8690" spans="1:8" hidden="1" x14ac:dyDescent="0.25">
      <c r="A8690" t="s">
        <v>11871</v>
      </c>
      <c r="B8690" s="1" t="str">
        <f>HYPERLINK("https://asmlis.vasa.lt/Dashboard/Served?ServiceDateFrom=2025-11-24&amp;ServiceDateTo=2025-11-24&amp;DumpsterInvNr=13-L-422502", "13-L-422502")</f>
        <v>13-L-422502</v>
      </c>
      <c r="C8690">
        <v>0.24</v>
      </c>
      <c r="D8690" t="s">
        <v>11872</v>
      </c>
      <c r="E8690" t="s">
        <v>11</v>
      </c>
      <c r="G8690" t="s">
        <v>74</v>
      </c>
      <c r="H8690" t="s">
        <v>14</v>
      </c>
    </row>
    <row r="8691" spans="1:8" hidden="1" x14ac:dyDescent="0.25">
      <c r="A8691" t="s">
        <v>11873</v>
      </c>
      <c r="B8691" s="1" t="str">
        <f>HYPERLINK("https://asmlis.vasa.lt/Dashboard/Served?ServiceDateFrom=2025-11-24&amp;ServiceDateTo=2025-11-24&amp;DumpsterInvNr=13-P-416736", "13-P-416736")</f>
        <v>13-P-416736</v>
      </c>
      <c r="C8691">
        <v>1.1000000000000001</v>
      </c>
      <c r="D8691" t="s">
        <v>6428</v>
      </c>
      <c r="E8691" t="s">
        <v>11</v>
      </c>
      <c r="F8691" t="s">
        <v>13</v>
      </c>
      <c r="G8691" t="s">
        <v>264</v>
      </c>
      <c r="H8691" t="s">
        <v>14</v>
      </c>
    </row>
    <row r="8692" spans="1:8" hidden="1" x14ac:dyDescent="0.25">
      <c r="A8692" t="s">
        <v>11874</v>
      </c>
      <c r="B8692" s="1" t="str">
        <f>HYPERLINK("https://asmlis.vasa.lt/Dashboard/Served?ServiceDateFrom=2025-11-24&amp;ServiceDateTo=2025-11-24&amp;DumpsterInvNr=13-L-422501", "13-L-422501")</f>
        <v>13-L-422501</v>
      </c>
      <c r="C8692">
        <v>0.12</v>
      </c>
      <c r="D8692" t="s">
        <v>11875</v>
      </c>
      <c r="E8692" t="s">
        <v>11</v>
      </c>
      <c r="G8692" t="s">
        <v>74</v>
      </c>
      <c r="H8692" t="s">
        <v>14</v>
      </c>
    </row>
    <row r="8693" spans="1:8" hidden="1" x14ac:dyDescent="0.25">
      <c r="A8693" t="s">
        <v>11874</v>
      </c>
      <c r="B8693" s="1" t="str">
        <f>HYPERLINK("https://asmlis.vasa.lt/Dashboard/Served?ServiceDateFrom=2025-11-24&amp;ServiceDateTo=2025-11-24&amp;DumpsterInvNr=13-P-416620", "13-P-416620")</f>
        <v>13-P-416620</v>
      </c>
      <c r="C8693">
        <v>1.1000000000000001</v>
      </c>
      <c r="D8693" t="s">
        <v>11750</v>
      </c>
      <c r="E8693" t="s">
        <v>11</v>
      </c>
      <c r="F8693" t="s">
        <v>13</v>
      </c>
      <c r="G8693" t="s">
        <v>264</v>
      </c>
      <c r="H8693" t="s">
        <v>14</v>
      </c>
    </row>
    <row r="8694" spans="1:8" hidden="1" x14ac:dyDescent="0.25">
      <c r="A8694" t="s">
        <v>11876</v>
      </c>
      <c r="B8694" s="1" t="str">
        <f>HYPERLINK("https://asmlis.vasa.lt/Dashboard/Served?ServiceDateFrom=2025-11-24&amp;ServiceDateTo=2025-11-24&amp;DumpsterInvNr=13-L-314171", "13-L-314171")</f>
        <v>13-L-314171</v>
      </c>
      <c r="C8694">
        <v>5</v>
      </c>
      <c r="D8694" t="s">
        <v>11877</v>
      </c>
      <c r="E8694" t="s">
        <v>11</v>
      </c>
      <c r="F8694" t="s">
        <v>13</v>
      </c>
      <c r="G8694" t="s">
        <v>9</v>
      </c>
      <c r="H8694" t="s">
        <v>14</v>
      </c>
    </row>
    <row r="8695" spans="1:8" hidden="1" x14ac:dyDescent="0.25">
      <c r="A8695" t="s">
        <v>11878</v>
      </c>
      <c r="B8695" s="1" t="str">
        <f>HYPERLINK("https://asmlis.vasa.lt/Dashboard/Served?ServiceDateFrom=2025-11-24&amp;ServiceDateTo=2025-11-24&amp;DumpsterInvNr=13-L-409655", "13-L-409655")</f>
        <v>13-L-409655</v>
      </c>
      <c r="C8695">
        <v>0.24</v>
      </c>
      <c r="D8695" t="s">
        <v>11879</v>
      </c>
      <c r="E8695" t="s">
        <v>11</v>
      </c>
      <c r="F8695" t="s">
        <v>1209</v>
      </c>
      <c r="G8695" t="s">
        <v>74</v>
      </c>
      <c r="H8695" t="s">
        <v>14</v>
      </c>
    </row>
    <row r="8696" spans="1:8" hidden="1" x14ac:dyDescent="0.25">
      <c r="A8696" t="s">
        <v>11475</v>
      </c>
      <c r="B8696" s="1" t="str">
        <f>HYPERLINK("https://asmlis.vasa.lt/Dashboard/Served?ServiceDateFrom=2025-11-24&amp;ServiceDateTo=2025-11-24&amp;DumpsterInvNr=13-L-317955", "13-L-317955")</f>
        <v>13-L-317955</v>
      </c>
      <c r="C8696">
        <v>1.1000000000000001</v>
      </c>
      <c r="D8696" t="s">
        <v>11192</v>
      </c>
      <c r="E8696" t="s">
        <v>11</v>
      </c>
      <c r="G8696" t="s">
        <v>9</v>
      </c>
      <c r="H8696" t="s">
        <v>14</v>
      </c>
    </row>
    <row r="8697" spans="1:8" hidden="1" x14ac:dyDescent="0.25">
      <c r="A8697" t="s">
        <v>11478</v>
      </c>
      <c r="B8697" s="1" t="str">
        <f>HYPERLINK("https://asmlis.vasa.lt/Dashboard/Served?ServiceDateFrom=2025-11-24&amp;ServiceDateTo=2025-11-24&amp;DumpsterInvNr=13-L-409608", "13-L-409608")</f>
        <v>13-L-409608</v>
      </c>
      <c r="C8697">
        <v>0.24</v>
      </c>
      <c r="D8697" t="s">
        <v>11880</v>
      </c>
      <c r="E8697" t="s">
        <v>11</v>
      </c>
      <c r="F8697" t="s">
        <v>1209</v>
      </c>
      <c r="G8697" t="s">
        <v>74</v>
      </c>
      <c r="H8697" t="s">
        <v>14</v>
      </c>
    </row>
    <row r="8698" spans="1:8" hidden="1" x14ac:dyDescent="0.25">
      <c r="A8698" t="s">
        <v>11486</v>
      </c>
      <c r="B8698" s="1" t="str">
        <f>HYPERLINK("https://asmlis.vasa.lt/Dashboard/Served?ServiceDateFrom=2025-11-24&amp;ServiceDateTo=2025-11-24&amp;DumpsterInvNr=13-M-204916", "13-M-204916")</f>
        <v>13-M-204916</v>
      </c>
      <c r="C8698">
        <v>0.12</v>
      </c>
      <c r="D8698" t="s">
        <v>11881</v>
      </c>
      <c r="E8698" t="s">
        <v>11</v>
      </c>
      <c r="G8698" t="s">
        <v>4876</v>
      </c>
      <c r="H8698" t="s">
        <v>938</v>
      </c>
    </row>
    <row r="8699" spans="1:8" hidden="1" x14ac:dyDescent="0.25">
      <c r="A8699" t="s">
        <v>11489</v>
      </c>
      <c r="B8699" s="1" t="str">
        <f>HYPERLINK("https://asmlis.vasa.lt/Dashboard/Served?ServiceDateFrom=2025-11-24&amp;ServiceDateTo=2025-11-24&amp;DumpsterInvNr=13-L-307821", "13-L-307821")</f>
        <v>13-L-307821</v>
      </c>
      <c r="C8699">
        <v>1.1000000000000001</v>
      </c>
      <c r="D8699" t="s">
        <v>11882</v>
      </c>
      <c r="E8699" t="s">
        <v>11</v>
      </c>
      <c r="G8699" t="s">
        <v>9</v>
      </c>
      <c r="H8699" t="s">
        <v>14</v>
      </c>
    </row>
    <row r="8700" spans="1:8" hidden="1" x14ac:dyDescent="0.25">
      <c r="A8700" t="s">
        <v>11491</v>
      </c>
      <c r="B8700" s="1" t="str">
        <f>HYPERLINK("https://asmlis.vasa.lt/Dashboard/Served?ServiceDateFrom=2025-11-24&amp;ServiceDateTo=2025-11-24&amp;DumpsterInvNr=13-M-206013", "13-M-206013")</f>
        <v>13-M-206013</v>
      </c>
      <c r="C8700">
        <v>0.12</v>
      </c>
      <c r="D8700" t="s">
        <v>11883</v>
      </c>
      <c r="E8700" t="s">
        <v>11</v>
      </c>
      <c r="F8700" t="s">
        <v>1209</v>
      </c>
      <c r="G8700" t="s">
        <v>4876</v>
      </c>
      <c r="H8700" t="s">
        <v>938</v>
      </c>
    </row>
    <row r="8701" spans="1:8" hidden="1" x14ac:dyDescent="0.25">
      <c r="A8701" t="s">
        <v>11523</v>
      </c>
      <c r="B8701" s="1" t="str">
        <f>HYPERLINK("https://asmlis.vasa.lt/Dashboard/Served?ServiceDateFrom=2025-11-24&amp;ServiceDateTo=2025-11-24&amp;DumpsterInvNr=13-P-206358", "13-P-206358")</f>
        <v>13-P-206358</v>
      </c>
      <c r="C8701">
        <v>0.24</v>
      </c>
      <c r="D8701" t="s">
        <v>11316</v>
      </c>
      <c r="E8701" t="s">
        <v>11</v>
      </c>
      <c r="G8701" t="s">
        <v>234</v>
      </c>
      <c r="H8701" t="s">
        <v>14</v>
      </c>
    </row>
    <row r="8702" spans="1:8" hidden="1" x14ac:dyDescent="0.25">
      <c r="A8702" t="s">
        <v>11884</v>
      </c>
      <c r="B8702" s="1" t="str">
        <f>HYPERLINK("https://asmlis.vasa.lt/Dashboard/Served?ServiceDateFrom=2025-11-24&amp;ServiceDateTo=2025-11-24&amp;DumpsterInvNr=13-S-106964", "13-S-106964")</f>
        <v>13-S-106964</v>
      </c>
      <c r="C8702">
        <v>0.12</v>
      </c>
      <c r="D8702" t="s">
        <v>11885</v>
      </c>
      <c r="E8702" t="s">
        <v>11</v>
      </c>
      <c r="G8702" t="s">
        <v>1917</v>
      </c>
      <c r="H8702" t="s">
        <v>432</v>
      </c>
    </row>
    <row r="8703" spans="1:8" hidden="1" x14ac:dyDescent="0.25">
      <c r="A8703" t="s">
        <v>11884</v>
      </c>
      <c r="B8703" s="1" t="str">
        <f>HYPERLINK("https://asmlis.vasa.lt/Dashboard/Served?ServiceDateFrom=2025-11-24&amp;ServiceDateTo=2025-11-24&amp;DumpsterInvNr=13-P-505651", "13-P-505651")</f>
        <v>13-P-505651</v>
      </c>
      <c r="C8703">
        <v>1.1000000000000001</v>
      </c>
      <c r="D8703" t="s">
        <v>11886</v>
      </c>
      <c r="E8703" t="s">
        <v>11</v>
      </c>
      <c r="G8703" t="s">
        <v>2178</v>
      </c>
      <c r="H8703" t="s">
        <v>432</v>
      </c>
    </row>
    <row r="8704" spans="1:8" hidden="1" x14ac:dyDescent="0.25">
      <c r="A8704" t="s">
        <v>11887</v>
      </c>
      <c r="B8704" s="1" t="str">
        <f>HYPERLINK("https://asmlis.vasa.lt/Dashboard/Served?ServiceDateFrom=2025-11-24&amp;ServiceDateTo=2025-11-24&amp;DumpsterInvNr=13-P-209477", "13-P-209477")</f>
        <v>13-P-209477</v>
      </c>
      <c r="C8704">
        <v>0.24</v>
      </c>
      <c r="D8704" t="s">
        <v>11324</v>
      </c>
      <c r="E8704" t="s">
        <v>11</v>
      </c>
      <c r="G8704" t="s">
        <v>234</v>
      </c>
      <c r="H8704" t="s">
        <v>14</v>
      </c>
    </row>
    <row r="8705" spans="1:8" hidden="1" x14ac:dyDescent="0.25">
      <c r="A8705" t="s">
        <v>11888</v>
      </c>
      <c r="B8705" s="1" t="str">
        <f>HYPERLINK("https://asmlis.vasa.lt/Dashboard/Served?ServiceDateFrom=2025-11-24&amp;ServiceDateTo=2025-11-24&amp;DumpsterInvNr=13-L-426149", "13-L-426149")</f>
        <v>13-L-426149</v>
      </c>
      <c r="C8705">
        <v>5</v>
      </c>
      <c r="D8705" t="s">
        <v>11889</v>
      </c>
      <c r="E8705" t="s">
        <v>11</v>
      </c>
      <c r="G8705" t="s">
        <v>74</v>
      </c>
      <c r="H8705" t="s">
        <v>14</v>
      </c>
    </row>
    <row r="8706" spans="1:8" hidden="1" x14ac:dyDescent="0.25">
      <c r="A8706" t="s">
        <v>11888</v>
      </c>
      <c r="B8706" s="1" t="str">
        <f>HYPERLINK("https://asmlis.vasa.lt/Dashboard/Served?ServiceDateFrom=2025-11-24&amp;ServiceDateTo=2025-11-24&amp;DumpsterInvNr=13-L-218931", "13-L-218931")</f>
        <v>13-L-218931</v>
      </c>
      <c r="C8706">
        <v>1.1000000000000001</v>
      </c>
      <c r="D8706" t="s">
        <v>11602</v>
      </c>
      <c r="E8706" t="s">
        <v>11</v>
      </c>
      <c r="F8706" t="s">
        <v>13</v>
      </c>
      <c r="G8706" t="s">
        <v>936</v>
      </c>
      <c r="H8706" t="s">
        <v>938</v>
      </c>
    </row>
    <row r="8707" spans="1:8" hidden="1" x14ac:dyDescent="0.25">
      <c r="A8707" t="s">
        <v>11890</v>
      </c>
      <c r="B8707" s="1" t="str">
        <f>HYPERLINK("https://asmlis.vasa.lt/Dashboard/Served?ServiceDateFrom=2025-11-24&amp;ServiceDateTo=2025-11-24&amp;DumpsterInvNr=13-S-206832", "13-S-206832")</f>
        <v>13-S-206832</v>
      </c>
      <c r="C8707">
        <v>0.12</v>
      </c>
      <c r="D8707" t="s">
        <v>11316</v>
      </c>
      <c r="E8707" t="s">
        <v>11</v>
      </c>
      <c r="F8707" t="s">
        <v>1209</v>
      </c>
      <c r="G8707" t="s">
        <v>234</v>
      </c>
      <c r="H8707" t="s">
        <v>14</v>
      </c>
    </row>
    <row r="8708" spans="1:8" hidden="1" x14ac:dyDescent="0.25">
      <c r="A8708" t="s">
        <v>11891</v>
      </c>
      <c r="B8708" s="1" t="str">
        <f>HYPERLINK("https://asmlis.vasa.lt/Dashboard/Served?ServiceDateFrom=2025-11-24&amp;ServiceDateTo=2025-11-24&amp;DumpsterInvNr=13-L-205498", "13-L-205498")</f>
        <v>13-L-205498</v>
      </c>
      <c r="C8708">
        <v>0.12</v>
      </c>
      <c r="D8708" t="s">
        <v>9263</v>
      </c>
      <c r="E8708" t="s">
        <v>11</v>
      </c>
      <c r="F8708" t="s">
        <v>1209</v>
      </c>
      <c r="G8708" t="s">
        <v>936</v>
      </c>
      <c r="H8708" t="s">
        <v>938</v>
      </c>
    </row>
    <row r="8709" spans="1:8" hidden="1" x14ac:dyDescent="0.25">
      <c r="A8709" t="s">
        <v>11892</v>
      </c>
      <c r="B8709" s="1" t="str">
        <f>HYPERLINK("https://asmlis.vasa.lt/Dashboard/Served?ServiceDateFrom=2025-11-24&amp;ServiceDateTo=2025-11-24&amp;DumpsterInvNr=13-L-222492", "13-L-222492")</f>
        <v>13-L-222492</v>
      </c>
      <c r="C8709">
        <v>1.1000000000000001</v>
      </c>
      <c r="D8709" t="s">
        <v>11602</v>
      </c>
      <c r="E8709" t="s">
        <v>11</v>
      </c>
      <c r="G8709" t="s">
        <v>936</v>
      </c>
      <c r="H8709" t="s">
        <v>938</v>
      </c>
    </row>
    <row r="8710" spans="1:8" hidden="1" x14ac:dyDescent="0.25">
      <c r="A8710" t="s">
        <v>11893</v>
      </c>
      <c r="B8710" s="1" t="str">
        <f>HYPERLINK("https://asmlis.vasa.lt/Dashboard/Served?ServiceDateFrom=2025-11-24&amp;ServiceDateTo=2025-11-24&amp;DumpsterInvNr=13-L-146161", "13-L-146161")</f>
        <v>13-L-146161</v>
      </c>
      <c r="C8710">
        <v>0.24</v>
      </c>
      <c r="D8710" t="s">
        <v>2801</v>
      </c>
      <c r="E8710" t="s">
        <v>11</v>
      </c>
      <c r="G8710" t="s">
        <v>1912</v>
      </c>
      <c r="H8710" t="s">
        <v>432</v>
      </c>
    </row>
    <row r="8711" spans="1:8" hidden="1" x14ac:dyDescent="0.25">
      <c r="A8711" t="s">
        <v>11895</v>
      </c>
      <c r="B8711" s="1" t="str">
        <f>HYPERLINK("https://asmlis.vasa.lt/Dashboard/Served?ServiceDateFrom=2025-11-24&amp;ServiceDateTo=2025-11-24&amp;DumpsterInvNr=13-L-222493", "13-L-222493")</f>
        <v>13-L-222493</v>
      </c>
      <c r="C8711">
        <v>1.1000000000000001</v>
      </c>
      <c r="D8711" t="s">
        <v>11602</v>
      </c>
      <c r="E8711" t="s">
        <v>11</v>
      </c>
      <c r="F8711" t="s">
        <v>13</v>
      </c>
      <c r="G8711" t="s">
        <v>936</v>
      </c>
      <c r="H8711" t="s">
        <v>938</v>
      </c>
    </row>
    <row r="8712" spans="1:8" hidden="1" x14ac:dyDescent="0.25">
      <c r="A8712" t="s">
        <v>11897</v>
      </c>
      <c r="B8712" s="1" t="str">
        <f>HYPERLINK("https://asmlis.vasa.lt/Dashboard/Served?ServiceDateFrom=2025-11-24&amp;ServiceDateTo=2025-11-24&amp;DumpsterInvNr=13-P-111095", "13-P-111095")</f>
        <v>13-P-111095</v>
      </c>
      <c r="C8712">
        <v>0.24</v>
      </c>
      <c r="D8712" t="s">
        <v>2801</v>
      </c>
      <c r="E8712" t="s">
        <v>11</v>
      </c>
      <c r="G8712" t="s">
        <v>1917</v>
      </c>
      <c r="H8712" t="s">
        <v>432</v>
      </c>
    </row>
    <row r="8713" spans="1:8" hidden="1" x14ac:dyDescent="0.25">
      <c r="A8713" t="s">
        <v>11899</v>
      </c>
      <c r="B8713" s="1" t="str">
        <f>HYPERLINK("https://asmlis.vasa.lt/Dashboard/Served?ServiceDateFrom=2025-11-24&amp;ServiceDateTo=2025-11-24&amp;DumpsterInvNr=13-P-300412", "13-P-300412")</f>
        <v>13-P-300412</v>
      </c>
      <c r="C8713">
        <v>1.1000000000000001</v>
      </c>
      <c r="D8713" t="s">
        <v>5537</v>
      </c>
      <c r="E8713" t="s">
        <v>11</v>
      </c>
      <c r="G8713" t="s">
        <v>412</v>
      </c>
      <c r="H8713" t="s">
        <v>14</v>
      </c>
    </row>
    <row r="8714" spans="1:8" hidden="1" x14ac:dyDescent="0.25">
      <c r="A8714" t="s">
        <v>11900</v>
      </c>
      <c r="B8714" s="1" t="str">
        <f>HYPERLINK("https://asmlis.vasa.lt/Dashboard/Served?ServiceDateFrom=2025-11-24&amp;ServiceDateTo=2025-11-24&amp;DumpsterInvNr=13-L-227646", "13-L-227646")</f>
        <v>13-L-227646</v>
      </c>
      <c r="C8714">
        <v>1.1000000000000001</v>
      </c>
      <c r="D8714" t="s">
        <v>11901</v>
      </c>
      <c r="E8714" t="s">
        <v>11</v>
      </c>
      <c r="G8714" t="s">
        <v>936</v>
      </c>
      <c r="H8714" t="s">
        <v>938</v>
      </c>
    </row>
    <row r="8715" spans="1:8" hidden="1" x14ac:dyDescent="0.25">
      <c r="A8715" t="s">
        <v>11902</v>
      </c>
      <c r="B8715" s="1" t="str">
        <f>HYPERLINK("https://asmlis.vasa.lt/Dashboard/Served?ServiceDateFrom=2025-11-24&amp;ServiceDateTo=2025-11-24&amp;DumpsterInvNr=13-L-209070", "13-L-209070")</f>
        <v>13-L-209070</v>
      </c>
      <c r="C8715">
        <v>0.12</v>
      </c>
      <c r="D8715" t="s">
        <v>9026</v>
      </c>
      <c r="E8715" t="s">
        <v>11</v>
      </c>
      <c r="F8715" t="s">
        <v>1209</v>
      </c>
      <c r="G8715" t="s">
        <v>936</v>
      </c>
      <c r="H8715" t="s">
        <v>938</v>
      </c>
    </row>
    <row r="8716" spans="1:8" hidden="1" x14ac:dyDescent="0.25">
      <c r="A8716" t="s">
        <v>11903</v>
      </c>
      <c r="B8716" s="1" t="str">
        <f>HYPERLINK("https://asmlis.vasa.lt/Dashboard/Served?ServiceDateFrom=2025-11-24&amp;ServiceDateTo=2025-11-24&amp;DumpsterInvNr=13-P-506715", "13-P-506715")</f>
        <v>13-P-506715</v>
      </c>
      <c r="C8716">
        <v>0.24</v>
      </c>
      <c r="D8716" t="s">
        <v>11905</v>
      </c>
      <c r="E8716" t="s">
        <v>11</v>
      </c>
      <c r="G8716" t="s">
        <v>2178</v>
      </c>
      <c r="H8716" t="s">
        <v>432</v>
      </c>
    </row>
    <row r="8717" spans="1:8" hidden="1" x14ac:dyDescent="0.25">
      <c r="A8717" t="s">
        <v>11906</v>
      </c>
      <c r="B8717" s="1" t="str">
        <f>HYPERLINK("https://asmlis.vasa.lt/Dashboard/Served?ServiceDateFrom=2025-11-24&amp;ServiceDateTo=2025-11-24&amp;DumpsterInvNr=13-L-418768", "13-L-418768")</f>
        <v>13-L-418768</v>
      </c>
      <c r="C8717">
        <v>0.24</v>
      </c>
      <c r="D8717" t="s">
        <v>11907</v>
      </c>
      <c r="E8717" t="s">
        <v>11</v>
      </c>
      <c r="G8717" t="s">
        <v>74</v>
      </c>
      <c r="H8717" t="s">
        <v>14</v>
      </c>
    </row>
    <row r="8718" spans="1:8" hidden="1" x14ac:dyDescent="0.25">
      <c r="A8718" t="s">
        <v>11906</v>
      </c>
      <c r="B8718" s="1" t="str">
        <f>HYPERLINK("https://asmlis.vasa.lt/Dashboard/Served?ServiceDateFrom=2025-11-24&amp;ServiceDateTo=2025-11-24&amp;DumpsterInvNr=13-L-203578", "13-L-203578")</f>
        <v>13-L-203578</v>
      </c>
      <c r="C8718">
        <v>0.12</v>
      </c>
      <c r="D8718" t="s">
        <v>9254</v>
      </c>
      <c r="E8718" t="s">
        <v>11</v>
      </c>
      <c r="F8718" t="s">
        <v>1209</v>
      </c>
      <c r="G8718" t="s">
        <v>936</v>
      </c>
      <c r="H8718" t="s">
        <v>938</v>
      </c>
    </row>
    <row r="8719" spans="1:8" hidden="1" x14ac:dyDescent="0.25">
      <c r="A8719" t="s">
        <v>11906</v>
      </c>
      <c r="B8719" s="1" t="str">
        <f>HYPERLINK("https://asmlis.vasa.lt/Dashboard/Served?ServiceDateFrom=2025-11-24&amp;ServiceDateTo=2025-11-24&amp;DumpsterInvNr=13-P-207839", "13-P-207839")</f>
        <v>13-P-207839</v>
      </c>
      <c r="C8719">
        <v>0.24</v>
      </c>
      <c r="D8719" t="s">
        <v>11181</v>
      </c>
      <c r="E8719" t="s">
        <v>11</v>
      </c>
      <c r="G8719" t="s">
        <v>234</v>
      </c>
      <c r="H8719" t="s">
        <v>14</v>
      </c>
    </row>
    <row r="8720" spans="1:8" hidden="1" x14ac:dyDescent="0.25">
      <c r="A8720" t="s">
        <v>11908</v>
      </c>
      <c r="B8720" s="1" t="str">
        <f>HYPERLINK("https://asmlis.vasa.lt/Dashboard/Served?ServiceDateFrom=2025-11-24&amp;ServiceDateTo=2025-11-24&amp;DumpsterInvNr=13-S-103215", "13-S-103215")</f>
        <v>13-S-103215</v>
      </c>
      <c r="C8720">
        <v>0.12</v>
      </c>
      <c r="D8720" t="s">
        <v>2801</v>
      </c>
      <c r="E8720" t="s">
        <v>11</v>
      </c>
      <c r="G8720" t="s">
        <v>1917</v>
      </c>
      <c r="H8720" t="s">
        <v>432</v>
      </c>
    </row>
    <row r="8721" spans="1:8" hidden="1" x14ac:dyDescent="0.25">
      <c r="A8721" t="s">
        <v>11908</v>
      </c>
      <c r="B8721" s="1" t="str">
        <f>HYPERLINK("https://asmlis.vasa.lt/Dashboard/Served?ServiceDateFrom=2025-11-24&amp;ServiceDateTo=2025-11-24&amp;DumpsterInvNr=13-L-148110", "13-L-148110")</f>
        <v>13-L-148110</v>
      </c>
      <c r="C8721">
        <v>5</v>
      </c>
      <c r="D8721" t="s">
        <v>11909</v>
      </c>
      <c r="E8721" t="s">
        <v>11</v>
      </c>
      <c r="F8721" t="s">
        <v>13</v>
      </c>
      <c r="G8721" t="s">
        <v>430</v>
      </c>
      <c r="H8721" t="s">
        <v>432</v>
      </c>
    </row>
    <row r="8722" spans="1:8" hidden="1" x14ac:dyDescent="0.25">
      <c r="A8722" t="s">
        <v>11908</v>
      </c>
      <c r="B8722" s="1" t="str">
        <f>HYPERLINK("https://asmlis.vasa.lt/Dashboard/Served?ServiceDateFrom=2025-11-24&amp;ServiceDateTo=2025-11-24&amp;DumpsterInvNr=13-L-142458", "13-L-142458")</f>
        <v>13-L-142458</v>
      </c>
      <c r="C8722">
        <v>0.24</v>
      </c>
      <c r="D8722" t="s">
        <v>11905</v>
      </c>
      <c r="E8722" t="s">
        <v>11</v>
      </c>
      <c r="G8722" t="s">
        <v>430</v>
      </c>
      <c r="H8722" t="s">
        <v>432</v>
      </c>
    </row>
    <row r="8723" spans="1:8" hidden="1" x14ac:dyDescent="0.25">
      <c r="A8723" t="s">
        <v>11911</v>
      </c>
      <c r="B8723" s="1" t="str">
        <f>HYPERLINK("https://asmlis.vasa.lt/Dashboard/Served?ServiceDateFrom=2025-11-24&amp;ServiceDateTo=2025-11-24&amp;DumpsterInvNr=13-S-504590", "13-S-504590")</f>
        <v>13-S-504590</v>
      </c>
      <c r="C8723">
        <v>0.12</v>
      </c>
      <c r="D8723" t="s">
        <v>11912</v>
      </c>
      <c r="E8723" t="s">
        <v>11</v>
      </c>
      <c r="G8723" t="s">
        <v>2178</v>
      </c>
      <c r="H8723" t="s">
        <v>432</v>
      </c>
    </row>
    <row r="8724" spans="1:8" hidden="1" x14ac:dyDescent="0.25">
      <c r="A8724" t="s">
        <v>11913</v>
      </c>
      <c r="B8724" s="1" t="str">
        <f>HYPERLINK("https://asmlis.vasa.lt/Dashboard/Served?ServiceDateFrom=2025-11-24&amp;ServiceDateTo=2025-11-24&amp;DumpsterInvNr=13-S-207230", "13-S-207230")</f>
        <v>13-S-207230</v>
      </c>
      <c r="C8724">
        <v>0.12</v>
      </c>
      <c r="D8724" t="s">
        <v>11181</v>
      </c>
      <c r="E8724" t="s">
        <v>11</v>
      </c>
      <c r="G8724" t="s">
        <v>234</v>
      </c>
      <c r="H8724" t="s">
        <v>14</v>
      </c>
    </row>
    <row r="8725" spans="1:8" hidden="1" x14ac:dyDescent="0.25">
      <c r="A8725" t="s">
        <v>11914</v>
      </c>
      <c r="B8725" s="1" t="str">
        <f>HYPERLINK("https://asmlis.vasa.lt/Dashboard/Served?ServiceDateFrom=2025-11-24&amp;ServiceDateTo=2025-11-24&amp;DumpsterInvNr=13-L-209071", "13-L-209071")</f>
        <v>13-L-209071</v>
      </c>
      <c r="C8725">
        <v>0.24</v>
      </c>
      <c r="D8725" t="s">
        <v>9299</v>
      </c>
      <c r="E8725" t="s">
        <v>11</v>
      </c>
      <c r="F8725" t="s">
        <v>1209</v>
      </c>
      <c r="G8725" t="s">
        <v>936</v>
      </c>
      <c r="H8725" t="s">
        <v>938</v>
      </c>
    </row>
    <row r="8726" spans="1:8" hidden="1" x14ac:dyDescent="0.25">
      <c r="A8726" t="s">
        <v>11915</v>
      </c>
      <c r="B8726" s="1" t="str">
        <f>HYPERLINK("https://asmlis.vasa.lt/Dashboard/Served?ServiceDateFrom=2025-11-24&amp;ServiceDateTo=2025-11-24&amp;DumpsterInvNr=13-P-300422", "13-P-300422")</f>
        <v>13-P-300422</v>
      </c>
      <c r="C8726">
        <v>1.1000000000000001</v>
      </c>
      <c r="D8726" t="s">
        <v>5537</v>
      </c>
      <c r="E8726" t="s">
        <v>11</v>
      </c>
      <c r="G8726" t="s">
        <v>412</v>
      </c>
      <c r="H8726" t="s">
        <v>14</v>
      </c>
    </row>
    <row r="8727" spans="1:8" hidden="1" x14ac:dyDescent="0.25">
      <c r="A8727" t="s">
        <v>11916</v>
      </c>
      <c r="B8727" s="1" t="str">
        <f>HYPERLINK("https://asmlis.vasa.lt/Dashboard/Served?ServiceDateFrom=2025-11-24&amp;ServiceDateTo=2025-11-24&amp;DumpsterInvNr=13-M-202438", "13-M-202438")</f>
        <v>13-M-202438</v>
      </c>
      <c r="C8727">
        <v>0.12</v>
      </c>
      <c r="D8727" t="s">
        <v>11272</v>
      </c>
      <c r="E8727" t="s">
        <v>11</v>
      </c>
      <c r="G8727" t="s">
        <v>4876</v>
      </c>
      <c r="H8727" t="s">
        <v>938</v>
      </c>
    </row>
    <row r="8728" spans="1:8" hidden="1" x14ac:dyDescent="0.25">
      <c r="A8728" t="s">
        <v>11917</v>
      </c>
      <c r="B8728" s="1" t="str">
        <f>HYPERLINK("https://asmlis.vasa.lt/Dashboard/Served?ServiceDateFrom=2025-11-24&amp;ServiceDateTo=2025-11-24&amp;DumpsterInvNr=13-L-129582", "13-L-129582")</f>
        <v>13-L-129582</v>
      </c>
      <c r="C8728">
        <v>1.1000000000000001</v>
      </c>
      <c r="D8728" t="s">
        <v>11918</v>
      </c>
      <c r="E8728" t="s">
        <v>11</v>
      </c>
      <c r="G8728" t="s">
        <v>1912</v>
      </c>
      <c r="H8728" t="s">
        <v>432</v>
      </c>
    </row>
    <row r="8729" spans="1:8" hidden="1" x14ac:dyDescent="0.25">
      <c r="A8729" t="s">
        <v>11919</v>
      </c>
      <c r="B8729" s="1" t="str">
        <f>HYPERLINK("https://asmlis.vasa.lt/Dashboard/Served?ServiceDateFrom=2025-11-24&amp;ServiceDateTo=2025-11-24&amp;DumpsterInvNr=13-L-317354", "13-L-317354")</f>
        <v>13-L-317354</v>
      </c>
      <c r="C8729">
        <v>1.1000000000000001</v>
      </c>
      <c r="D8729" t="s">
        <v>11882</v>
      </c>
      <c r="E8729" t="s">
        <v>11</v>
      </c>
      <c r="G8729" t="s">
        <v>9</v>
      </c>
      <c r="H8729" t="s">
        <v>14</v>
      </c>
    </row>
    <row r="8730" spans="1:8" hidden="1" x14ac:dyDescent="0.25">
      <c r="A8730" t="s">
        <v>11920</v>
      </c>
      <c r="B8730" s="1" t="str">
        <f>HYPERLINK("https://asmlis.vasa.lt/Dashboard/Served?ServiceDateFrom=2025-11-24&amp;ServiceDateTo=2025-11-24&amp;DumpsterInvNr=13-P-102331", "13-P-102331")</f>
        <v>13-P-102331</v>
      </c>
      <c r="C8730">
        <v>5</v>
      </c>
      <c r="D8730" t="s">
        <v>6818</v>
      </c>
      <c r="E8730" t="s">
        <v>11</v>
      </c>
      <c r="F8730" t="s">
        <v>13</v>
      </c>
      <c r="G8730" t="s">
        <v>1917</v>
      </c>
      <c r="H8730" t="s">
        <v>432</v>
      </c>
    </row>
    <row r="8731" spans="1:8" hidden="1" x14ac:dyDescent="0.25">
      <c r="A8731" t="s">
        <v>11921</v>
      </c>
      <c r="B8731" s="1" t="str">
        <f>HYPERLINK("https://asmlis.vasa.lt/Dashboard/Served?ServiceDateFrom=2025-11-24&amp;ServiceDateTo=2025-11-24&amp;DumpsterInvNr=13-P-502031", "13-P-502031")</f>
        <v>13-P-502031</v>
      </c>
      <c r="C8731">
        <v>0.24</v>
      </c>
      <c r="D8731" t="s">
        <v>11922</v>
      </c>
      <c r="E8731" t="s">
        <v>11</v>
      </c>
      <c r="G8731" t="s">
        <v>2178</v>
      </c>
      <c r="H8731" t="s">
        <v>432</v>
      </c>
    </row>
    <row r="8732" spans="1:8" hidden="1" x14ac:dyDescent="0.25">
      <c r="A8732" t="s">
        <v>11924</v>
      </c>
      <c r="B8732" s="1" t="str">
        <f>HYPERLINK("https://asmlis.vasa.lt/Dashboard/Served?ServiceDateFrom=2025-11-24&amp;ServiceDateTo=2025-11-24&amp;DumpsterInvNr=13-P-404470", "13-P-404470")</f>
        <v>13-P-404470</v>
      </c>
      <c r="C8732">
        <v>5</v>
      </c>
      <c r="D8732" t="s">
        <v>8494</v>
      </c>
      <c r="E8732" t="s">
        <v>11</v>
      </c>
      <c r="G8732" t="s">
        <v>264</v>
      </c>
      <c r="H8732" t="s">
        <v>14</v>
      </c>
    </row>
    <row r="8733" spans="1:8" hidden="1" x14ac:dyDescent="0.25">
      <c r="A8733" t="s">
        <v>11925</v>
      </c>
      <c r="B8733" s="1" t="str">
        <f>HYPERLINK("https://asmlis.vasa.lt/Dashboard/Served?ServiceDateFrom=2025-11-24&amp;ServiceDateTo=2025-11-24&amp;DumpsterInvNr=13-L-147706", "13-L-147706")</f>
        <v>13-L-147706</v>
      </c>
      <c r="C8733">
        <v>0.24</v>
      </c>
      <c r="D8733" t="s">
        <v>11922</v>
      </c>
      <c r="E8733" t="s">
        <v>11</v>
      </c>
      <c r="G8733" t="s">
        <v>430</v>
      </c>
      <c r="H8733" t="s">
        <v>432</v>
      </c>
    </row>
    <row r="8734" spans="1:8" hidden="1" x14ac:dyDescent="0.25">
      <c r="A8734" t="s">
        <v>11926</v>
      </c>
      <c r="B8734" s="1" t="str">
        <f>HYPERLINK("https://asmlis.vasa.lt/Dashboard/Served?ServiceDateFrom=2025-11-24&amp;ServiceDateTo=2025-11-24&amp;DumpsterInvNr=13-L-419812", "13-L-419812")</f>
        <v>13-L-419812</v>
      </c>
      <c r="C8734">
        <v>0.24</v>
      </c>
      <c r="D8734" t="s">
        <v>11927</v>
      </c>
      <c r="E8734" t="s">
        <v>11</v>
      </c>
      <c r="G8734" t="s">
        <v>74</v>
      </c>
      <c r="H8734" t="s">
        <v>14</v>
      </c>
    </row>
    <row r="8735" spans="1:8" hidden="1" x14ac:dyDescent="0.25">
      <c r="A8735" t="s">
        <v>11926</v>
      </c>
      <c r="B8735" s="1" t="str">
        <f>HYPERLINK("https://asmlis.vasa.lt/Dashboard/Served?ServiceDateFrom=2025-11-24&amp;ServiceDateTo=2025-11-24&amp;DumpsterInvNr=13-L-418766", "13-L-418766")</f>
        <v>13-L-418766</v>
      </c>
      <c r="C8735">
        <v>0.24</v>
      </c>
      <c r="D8735" t="s">
        <v>11928</v>
      </c>
      <c r="E8735" t="s">
        <v>11</v>
      </c>
      <c r="G8735" t="s">
        <v>74</v>
      </c>
      <c r="H8735" t="s">
        <v>14</v>
      </c>
    </row>
    <row r="8736" spans="1:8" hidden="1" x14ac:dyDescent="0.25">
      <c r="A8736" t="s">
        <v>11929</v>
      </c>
      <c r="B8736" s="1" t="str">
        <f>HYPERLINK("https://asmlis.vasa.lt/Dashboard/Served?ServiceDateFrom=2025-11-24&amp;ServiceDateTo=2025-11-24&amp;DumpsterInvNr=13-P-400079", "13-P-400079")</f>
        <v>13-P-400079</v>
      </c>
      <c r="C8736">
        <v>0.24</v>
      </c>
      <c r="D8736" t="s">
        <v>11930</v>
      </c>
      <c r="E8736" t="s">
        <v>11</v>
      </c>
      <c r="F8736" t="s">
        <v>13</v>
      </c>
      <c r="G8736" t="s">
        <v>264</v>
      </c>
      <c r="H8736" t="s">
        <v>14</v>
      </c>
    </row>
    <row r="8737" spans="1:8" hidden="1" x14ac:dyDescent="0.25">
      <c r="A8737" t="s">
        <v>11931</v>
      </c>
      <c r="B8737" s="1" t="str">
        <f>HYPERLINK("https://asmlis.vasa.lt/Dashboard/Served?ServiceDateFrom=2025-11-24&amp;ServiceDateTo=2025-11-24&amp;DumpsterInvNr=13-S-212439", "13-S-212439")</f>
        <v>13-S-212439</v>
      </c>
      <c r="C8737">
        <v>3</v>
      </c>
      <c r="D8737" t="s">
        <v>11932</v>
      </c>
      <c r="E8737" t="s">
        <v>11</v>
      </c>
      <c r="F8737" t="s">
        <v>13</v>
      </c>
      <c r="G8737" t="s">
        <v>234</v>
      </c>
      <c r="H8737" t="s">
        <v>14</v>
      </c>
    </row>
    <row r="8738" spans="1:8" hidden="1" x14ac:dyDescent="0.25">
      <c r="A8738" t="s">
        <v>11933</v>
      </c>
      <c r="B8738" s="1" t="str">
        <f>HYPERLINK("https://asmlis.vasa.lt/Dashboard/Served?ServiceDateFrom=2025-11-24&amp;ServiceDateTo=2025-11-24&amp;DumpsterInvNr=13-L-318127", "13-L-318127")</f>
        <v>13-L-318127</v>
      </c>
      <c r="C8738">
        <v>0.24</v>
      </c>
      <c r="D8738" t="s">
        <v>11761</v>
      </c>
      <c r="E8738" t="s">
        <v>11</v>
      </c>
      <c r="F8738" t="s">
        <v>13</v>
      </c>
      <c r="G8738" t="s">
        <v>9</v>
      </c>
      <c r="H8738" t="s">
        <v>14</v>
      </c>
    </row>
    <row r="8739" spans="1:8" hidden="1" x14ac:dyDescent="0.25">
      <c r="A8739" t="s">
        <v>11934</v>
      </c>
      <c r="B8739" s="1" t="str">
        <f>HYPERLINK("https://asmlis.vasa.lt/Dashboard/Served?ServiceDateFrom=2025-11-24&amp;ServiceDateTo=2025-11-24&amp;DumpsterInvNr=13-S-203106", "13-S-203106")</f>
        <v>13-S-203106</v>
      </c>
      <c r="C8739">
        <v>0.12</v>
      </c>
      <c r="D8739" t="s">
        <v>11198</v>
      </c>
      <c r="E8739" t="s">
        <v>11</v>
      </c>
      <c r="G8739" t="s">
        <v>234</v>
      </c>
      <c r="H8739" t="s">
        <v>14</v>
      </c>
    </row>
    <row r="8740" spans="1:8" hidden="1" x14ac:dyDescent="0.25">
      <c r="A8740" t="s">
        <v>11935</v>
      </c>
      <c r="B8740" s="1" t="str">
        <f>HYPERLINK("https://asmlis.vasa.lt/Dashboard/Served?ServiceDateFrom=2025-11-24&amp;ServiceDateTo=2025-11-24&amp;DumpsterInvNr=13-P-203707", "13-P-203707")</f>
        <v>13-P-203707</v>
      </c>
      <c r="C8740">
        <v>0.24</v>
      </c>
      <c r="D8740" t="s">
        <v>11198</v>
      </c>
      <c r="E8740" t="s">
        <v>11</v>
      </c>
      <c r="G8740" t="s">
        <v>234</v>
      </c>
      <c r="H8740" t="s">
        <v>14</v>
      </c>
    </row>
    <row r="8741" spans="1:8" hidden="1" x14ac:dyDescent="0.25">
      <c r="A8741" t="s">
        <v>11820</v>
      </c>
      <c r="B8741" s="1" t="str">
        <f>HYPERLINK("https://asmlis.vasa.lt/Dashboard/Served?ServiceDateFrom=2025-11-24&amp;ServiceDateTo=2025-11-24&amp;DumpsterInvNr=13-L-125192", "13-L-125192")</f>
        <v>13-L-125192</v>
      </c>
      <c r="C8741">
        <v>0.24</v>
      </c>
      <c r="D8741" t="s">
        <v>11885</v>
      </c>
      <c r="E8741" t="s">
        <v>11</v>
      </c>
      <c r="G8741" t="s">
        <v>1912</v>
      </c>
      <c r="H8741" t="s">
        <v>432</v>
      </c>
    </row>
    <row r="8742" spans="1:8" hidden="1" x14ac:dyDescent="0.25">
      <c r="A8742" t="s">
        <v>11820</v>
      </c>
      <c r="B8742" s="1" t="str">
        <f>HYPERLINK("https://asmlis.vasa.lt/Dashboard/Served?ServiceDateFrom=2025-11-24&amp;ServiceDateTo=2025-11-24&amp;DumpsterInvNr=13-P-112070", "13-P-112070")</f>
        <v>13-P-112070</v>
      </c>
      <c r="C8742">
        <v>0.24</v>
      </c>
      <c r="D8742" t="s">
        <v>11885</v>
      </c>
      <c r="E8742" t="s">
        <v>11</v>
      </c>
      <c r="G8742" t="s">
        <v>1917</v>
      </c>
      <c r="H8742" t="s">
        <v>432</v>
      </c>
    </row>
    <row r="8743" spans="1:8" hidden="1" x14ac:dyDescent="0.25">
      <c r="A8743" t="s">
        <v>11606</v>
      </c>
      <c r="B8743" s="1" t="str">
        <f>HYPERLINK("https://asmlis.vasa.lt/Dashboard/Served?ServiceDateFrom=2025-11-24&amp;ServiceDateTo=2025-11-24&amp;DumpsterInvNr=13-L-140376", "13-L-140376")</f>
        <v>13-L-140376</v>
      </c>
      <c r="C8743">
        <v>1.1000000000000001</v>
      </c>
      <c r="D8743" t="s">
        <v>11937</v>
      </c>
      <c r="E8743" t="s">
        <v>11</v>
      </c>
      <c r="G8743" t="s">
        <v>1912</v>
      </c>
      <c r="H8743" t="s">
        <v>432</v>
      </c>
    </row>
    <row r="8744" spans="1:8" hidden="1" x14ac:dyDescent="0.25">
      <c r="A8744" t="s">
        <v>11606</v>
      </c>
      <c r="B8744" s="1" t="str">
        <f>HYPERLINK("https://asmlis.vasa.lt/Dashboard/Served?ServiceDateFrom=2025-11-24&amp;ServiceDateTo=2025-11-24&amp;DumpsterInvNr=13-L-309722", "13-L-309722")</f>
        <v>13-L-309722</v>
      </c>
      <c r="C8744">
        <v>0.24</v>
      </c>
      <c r="D8744" t="s">
        <v>11720</v>
      </c>
      <c r="E8744" t="s">
        <v>11</v>
      </c>
      <c r="F8744" t="s">
        <v>13</v>
      </c>
      <c r="G8744" t="s">
        <v>9</v>
      </c>
      <c r="H8744" t="s">
        <v>14</v>
      </c>
    </row>
    <row r="8745" spans="1:8" hidden="1" x14ac:dyDescent="0.25">
      <c r="A8745" t="s">
        <v>11836</v>
      </c>
      <c r="B8745" s="1" t="str">
        <f>HYPERLINK("https://asmlis.vasa.lt/Dashboard/Served?ServiceDateFrom=2025-11-24&amp;ServiceDateTo=2025-11-24&amp;DumpsterInvNr=13-L-310044", "13-L-310044")</f>
        <v>13-L-310044</v>
      </c>
      <c r="C8745">
        <v>0.24</v>
      </c>
      <c r="D8745" t="s">
        <v>11938</v>
      </c>
      <c r="E8745" t="s">
        <v>11</v>
      </c>
      <c r="G8745" t="s">
        <v>9</v>
      </c>
      <c r="H8745" t="s">
        <v>14</v>
      </c>
    </row>
    <row r="8746" spans="1:8" hidden="1" x14ac:dyDescent="0.25">
      <c r="A8746" t="s">
        <v>11621</v>
      </c>
      <c r="B8746" s="1" t="str">
        <f>HYPERLINK("https://asmlis.vasa.lt/Dashboard/Served?ServiceDateFrom=2025-11-24&amp;ServiceDateTo=2025-11-24&amp;DumpsterInvNr=13-P-500431", "13-P-500431")</f>
        <v>13-P-500431</v>
      </c>
      <c r="C8746">
        <v>3</v>
      </c>
      <c r="D8746" t="s">
        <v>11939</v>
      </c>
      <c r="E8746" t="s">
        <v>11</v>
      </c>
      <c r="F8746" t="s">
        <v>13</v>
      </c>
      <c r="G8746" t="s">
        <v>2178</v>
      </c>
      <c r="H8746" t="s">
        <v>432</v>
      </c>
    </row>
    <row r="8747" spans="1:8" hidden="1" x14ac:dyDescent="0.25">
      <c r="A8747" t="s">
        <v>11940</v>
      </c>
      <c r="B8747" s="1" t="str">
        <f>HYPERLINK("https://asmlis.vasa.lt/Dashboard/Served?ServiceDateFrom=2025-11-24&amp;ServiceDateTo=2025-11-24&amp;DumpsterInvNr=13-L-318126", "13-L-318126")</f>
        <v>13-L-318126</v>
      </c>
      <c r="C8747">
        <v>0.24</v>
      </c>
      <c r="D8747" t="s">
        <v>11761</v>
      </c>
      <c r="E8747" t="s">
        <v>11</v>
      </c>
      <c r="F8747" t="s">
        <v>13</v>
      </c>
      <c r="G8747" t="s">
        <v>9</v>
      </c>
      <c r="H8747" t="s">
        <v>14</v>
      </c>
    </row>
    <row r="8748" spans="1:8" hidden="1" x14ac:dyDescent="0.25">
      <c r="A8748" t="s">
        <v>11941</v>
      </c>
      <c r="B8748" s="1" t="str">
        <f>HYPERLINK("https://asmlis.vasa.lt/Dashboard/Served?ServiceDateFrom=2025-11-24&amp;ServiceDateTo=2025-11-24&amp;DumpsterInvNr=13-P-500430", "13-P-500430")</f>
        <v>13-P-500430</v>
      </c>
      <c r="C8748">
        <v>5</v>
      </c>
      <c r="D8748" t="s">
        <v>11939</v>
      </c>
      <c r="E8748" t="s">
        <v>11</v>
      </c>
      <c r="F8748" t="s">
        <v>13</v>
      </c>
      <c r="G8748" t="s">
        <v>2178</v>
      </c>
      <c r="H8748" t="s">
        <v>432</v>
      </c>
    </row>
    <row r="8749" spans="1:8" hidden="1" x14ac:dyDescent="0.25">
      <c r="A8749" t="s">
        <v>11644</v>
      </c>
      <c r="B8749" s="1" t="str">
        <f>HYPERLINK("https://asmlis.vasa.lt/Dashboard/Served?ServiceDateFrom=2025-11-24&amp;ServiceDateTo=2025-11-24&amp;DumpsterInvNr=13-L-219570", "13-L-219570")</f>
        <v>13-L-219570</v>
      </c>
      <c r="C8749">
        <v>1.1000000000000001</v>
      </c>
      <c r="D8749" t="s">
        <v>11602</v>
      </c>
      <c r="E8749" t="s">
        <v>11</v>
      </c>
      <c r="G8749" t="s">
        <v>936</v>
      </c>
      <c r="H8749" t="s">
        <v>938</v>
      </c>
    </row>
    <row r="8750" spans="1:8" hidden="1" x14ac:dyDescent="0.25">
      <c r="A8750" t="s">
        <v>11644</v>
      </c>
      <c r="B8750" s="1" t="str">
        <f>HYPERLINK("https://asmlis.vasa.lt/Dashboard/Served?ServiceDateFrom=2025-11-24&amp;ServiceDateTo=2025-11-24&amp;DumpsterInvNr=13-P-413902", "13-P-413902")</f>
        <v>13-P-413902</v>
      </c>
      <c r="C8750">
        <v>5</v>
      </c>
      <c r="D8750" t="s">
        <v>11942</v>
      </c>
      <c r="E8750" t="s">
        <v>11</v>
      </c>
      <c r="F8750" t="s">
        <v>13</v>
      </c>
      <c r="G8750" t="s">
        <v>264</v>
      </c>
      <c r="H8750" t="s">
        <v>14</v>
      </c>
    </row>
    <row r="8751" spans="1:8" hidden="1" x14ac:dyDescent="0.25">
      <c r="A8751" t="s">
        <v>11644</v>
      </c>
      <c r="B8751" s="1" t="str">
        <f>HYPERLINK("https://asmlis.vasa.lt/Dashboard/Served?ServiceDateFrom=2025-11-24&amp;ServiceDateTo=2025-11-24&amp;DumpsterInvNr=13-L-146975", "13-L-146975")</f>
        <v>13-L-146975</v>
      </c>
      <c r="C8751">
        <v>0.24</v>
      </c>
      <c r="D8751" t="s">
        <v>11943</v>
      </c>
      <c r="E8751" t="s">
        <v>11</v>
      </c>
      <c r="G8751" t="s">
        <v>430</v>
      </c>
      <c r="H8751" t="s">
        <v>432</v>
      </c>
    </row>
    <row r="8752" spans="1:8" hidden="1" x14ac:dyDescent="0.25">
      <c r="A8752" t="s">
        <v>11944</v>
      </c>
      <c r="B8752" s="1" t="str">
        <f>HYPERLINK("https://asmlis.vasa.lt/Dashboard/Served?ServiceDateFrom=2025-11-24&amp;ServiceDateTo=2025-11-24&amp;DumpsterInvNr=13-P-501831", "13-P-501831")</f>
        <v>13-P-501831</v>
      </c>
      <c r="C8752">
        <v>0.24</v>
      </c>
      <c r="D8752" t="s">
        <v>11943</v>
      </c>
      <c r="E8752" t="s">
        <v>11</v>
      </c>
      <c r="G8752" t="s">
        <v>2178</v>
      </c>
      <c r="H8752" t="s">
        <v>432</v>
      </c>
    </row>
    <row r="8753" spans="1:8" hidden="1" x14ac:dyDescent="0.25">
      <c r="A8753" t="s">
        <v>11648</v>
      </c>
      <c r="B8753" s="1" t="str">
        <f>HYPERLINK("https://asmlis.vasa.lt/Dashboard/Served?ServiceDateFrom=2025-11-24&amp;ServiceDateTo=2025-11-24&amp;DumpsterInvNr=13-P-509512", "13-P-509512")</f>
        <v>13-P-509512</v>
      </c>
      <c r="C8753">
        <v>1.1000000000000001</v>
      </c>
      <c r="D8753" t="s">
        <v>11945</v>
      </c>
      <c r="E8753" t="s">
        <v>12</v>
      </c>
      <c r="F8753" t="s">
        <v>13</v>
      </c>
      <c r="H8753" t="s">
        <v>432</v>
      </c>
    </row>
    <row r="8754" spans="1:8" hidden="1" x14ac:dyDescent="0.25">
      <c r="A8754" t="s">
        <v>11656</v>
      </c>
      <c r="B8754" s="1" t="str">
        <f>HYPERLINK("https://asmlis.vasa.lt/Dashboard/Served?ServiceDateFrom=2025-11-24&amp;ServiceDateTo=2025-11-24&amp;DumpsterInvNr=13-S-502090", "13-S-502090")</f>
        <v>13-S-502090</v>
      </c>
      <c r="C8754">
        <v>0.12</v>
      </c>
      <c r="D8754" t="s">
        <v>11943</v>
      </c>
      <c r="E8754" t="s">
        <v>11</v>
      </c>
      <c r="F8754" t="s">
        <v>1209</v>
      </c>
      <c r="G8754" t="s">
        <v>2178</v>
      </c>
      <c r="H8754" t="s">
        <v>432</v>
      </c>
    </row>
    <row r="8755" spans="1:8" hidden="1" x14ac:dyDescent="0.25">
      <c r="A8755" t="s">
        <v>11658</v>
      </c>
      <c r="B8755" s="1" t="str">
        <f>HYPERLINK("https://asmlis.vasa.lt/Dashboard/Served?ServiceDateFrom=2025-11-24&amp;ServiceDateTo=2025-11-24&amp;DumpsterInvNr=13-P-300534", "13-P-300534")</f>
        <v>13-P-300534</v>
      </c>
      <c r="C8755">
        <v>1.1000000000000001</v>
      </c>
      <c r="D8755" t="s">
        <v>5537</v>
      </c>
      <c r="E8755" t="s">
        <v>11</v>
      </c>
      <c r="F8755" t="s">
        <v>13</v>
      </c>
      <c r="G8755" t="s">
        <v>412</v>
      </c>
      <c r="H8755" t="s">
        <v>14</v>
      </c>
    </row>
    <row r="8756" spans="1:8" hidden="1" x14ac:dyDescent="0.25">
      <c r="A8756" t="s">
        <v>11946</v>
      </c>
      <c r="B8756" s="1" t="str">
        <f>HYPERLINK("https://asmlis.vasa.lt/Dashboard/Served?ServiceDateFrom=2025-11-24&amp;ServiceDateTo=2025-11-24&amp;DumpsterInvNr=13-P-206235", "13-P-206235")</f>
        <v>13-P-206235</v>
      </c>
      <c r="C8756">
        <v>0.24</v>
      </c>
      <c r="D8756" t="s">
        <v>11208</v>
      </c>
      <c r="E8756" t="s">
        <v>11</v>
      </c>
      <c r="G8756" t="s">
        <v>234</v>
      </c>
      <c r="H8756" t="s">
        <v>14</v>
      </c>
    </row>
    <row r="8757" spans="1:8" hidden="1" x14ac:dyDescent="0.25">
      <c r="A8757" t="s">
        <v>11665</v>
      </c>
      <c r="B8757" s="1" t="str">
        <f>HYPERLINK("https://asmlis.vasa.lt/Dashboard/Served?ServiceDateFrom=2025-11-24&amp;ServiceDateTo=2025-11-24&amp;DumpsterInvNr=13-M-205159", "13-M-205159")</f>
        <v>13-M-205159</v>
      </c>
      <c r="C8757">
        <v>0.12</v>
      </c>
      <c r="D8757" t="s">
        <v>11947</v>
      </c>
      <c r="E8757" t="s">
        <v>11</v>
      </c>
      <c r="G8757" t="s">
        <v>4876</v>
      </c>
      <c r="H8757" t="s">
        <v>938</v>
      </c>
    </row>
    <row r="8758" spans="1:8" hidden="1" x14ac:dyDescent="0.25">
      <c r="A8758" t="s">
        <v>11948</v>
      </c>
      <c r="B8758" s="1" t="str">
        <f>HYPERLINK("https://asmlis.vasa.lt/Dashboard/Served?ServiceDateFrom=2025-11-24&amp;ServiceDateTo=2025-11-24&amp;DumpsterInvNr=13-L-143079", "13-L-143079")</f>
        <v>13-L-143079</v>
      </c>
      <c r="C8758">
        <v>0.24</v>
      </c>
      <c r="D8758" t="s">
        <v>11912</v>
      </c>
      <c r="E8758" t="s">
        <v>11</v>
      </c>
      <c r="F8758" t="s">
        <v>1209</v>
      </c>
      <c r="G8758" t="s">
        <v>430</v>
      </c>
      <c r="H8758" t="s">
        <v>432</v>
      </c>
    </row>
    <row r="8759" spans="1:8" hidden="1" x14ac:dyDescent="0.25">
      <c r="A8759" t="s">
        <v>11949</v>
      </c>
      <c r="B8759" s="1" t="str">
        <f>HYPERLINK("https://asmlis.vasa.lt/Dashboard/Served?ServiceDateFrom=2025-11-24&amp;ServiceDateTo=2025-11-24&amp;DumpsterInvNr=13-L-309256", "13-L-309256")</f>
        <v>13-L-309256</v>
      </c>
      <c r="C8759">
        <v>0.24</v>
      </c>
      <c r="D8759" t="s">
        <v>11865</v>
      </c>
      <c r="E8759" t="s">
        <v>11</v>
      </c>
      <c r="F8759" t="s">
        <v>13</v>
      </c>
      <c r="G8759" t="s">
        <v>9</v>
      </c>
      <c r="H8759" t="s">
        <v>14</v>
      </c>
    </row>
    <row r="8760" spans="1:8" hidden="1" x14ac:dyDescent="0.25">
      <c r="A8760" t="s">
        <v>11949</v>
      </c>
      <c r="B8760" s="1" t="str">
        <f>HYPERLINK("https://asmlis.vasa.lt/Dashboard/Served?ServiceDateFrom=2025-11-24&amp;ServiceDateTo=2025-11-24&amp;DumpsterInvNr=13-P-506871", "13-P-506871")</f>
        <v>13-P-506871</v>
      </c>
      <c r="C8760">
        <v>0.24</v>
      </c>
      <c r="D8760" t="s">
        <v>11912</v>
      </c>
      <c r="E8760" t="s">
        <v>11</v>
      </c>
      <c r="F8760" t="s">
        <v>1209</v>
      </c>
      <c r="G8760" t="s">
        <v>2178</v>
      </c>
      <c r="H8760" t="s">
        <v>432</v>
      </c>
    </row>
    <row r="8761" spans="1:8" hidden="1" x14ac:dyDescent="0.25">
      <c r="A8761" t="s">
        <v>11681</v>
      </c>
      <c r="B8761" s="1" t="str">
        <f>HYPERLINK("https://asmlis.vasa.lt/Dashboard/Served?ServiceDateFrom=2025-11-24&amp;ServiceDateTo=2025-11-24&amp;DumpsterInvNr=13-P-300524", "13-P-300524")</f>
        <v>13-P-300524</v>
      </c>
      <c r="C8761">
        <v>1.1000000000000001</v>
      </c>
      <c r="D8761" t="s">
        <v>5537</v>
      </c>
      <c r="E8761" t="s">
        <v>11</v>
      </c>
      <c r="F8761" t="s">
        <v>13</v>
      </c>
      <c r="G8761" t="s">
        <v>412</v>
      </c>
      <c r="H8761" t="s">
        <v>14</v>
      </c>
    </row>
    <row r="8762" spans="1:8" hidden="1" x14ac:dyDescent="0.25">
      <c r="A8762" t="s">
        <v>11950</v>
      </c>
      <c r="B8762" s="1" t="str">
        <f>HYPERLINK("https://asmlis.vasa.lt/Dashboard/Served?ServiceDateFrom=2025-11-24&amp;ServiceDateTo=2025-11-24&amp;DumpsterInvNr=13-P-300532", "13-P-300532")</f>
        <v>13-P-300532</v>
      </c>
      <c r="C8762">
        <v>1.1000000000000001</v>
      </c>
      <c r="D8762" t="s">
        <v>5537</v>
      </c>
      <c r="E8762" t="s">
        <v>11</v>
      </c>
      <c r="F8762" t="s">
        <v>13</v>
      </c>
      <c r="G8762" t="s">
        <v>412</v>
      </c>
      <c r="H8762" t="s">
        <v>14</v>
      </c>
    </row>
    <row r="8763" spans="1:8" hidden="1" x14ac:dyDescent="0.25">
      <c r="A8763" t="s">
        <v>11950</v>
      </c>
      <c r="B8763" s="1" t="str">
        <f>HYPERLINK("https://asmlis.vasa.lt/Dashboard/Served?ServiceDateFrom=2025-11-24&amp;ServiceDateTo=2025-11-24&amp;DumpsterInvNr=13-P-509505", "13-P-509505")</f>
        <v>13-P-509505</v>
      </c>
      <c r="C8763">
        <v>1.1000000000000001</v>
      </c>
      <c r="D8763" t="s">
        <v>11945</v>
      </c>
      <c r="E8763" t="s">
        <v>12</v>
      </c>
      <c r="F8763" t="s">
        <v>13</v>
      </c>
      <c r="H8763" t="s">
        <v>432</v>
      </c>
    </row>
    <row r="8764" spans="1:8" hidden="1" x14ac:dyDescent="0.25">
      <c r="A8764" t="s">
        <v>11951</v>
      </c>
      <c r="B8764" s="1" t="str">
        <f>HYPERLINK("https://asmlis.vasa.lt/Dashboard/Served?ServiceDateFrom=2025-11-24&amp;ServiceDateTo=2025-11-24&amp;DumpsterInvNr=13-P-300497", "13-P-300497")</f>
        <v>13-P-300497</v>
      </c>
      <c r="C8764">
        <v>1.1000000000000001</v>
      </c>
      <c r="D8764" t="s">
        <v>5537</v>
      </c>
      <c r="E8764" t="s">
        <v>11</v>
      </c>
      <c r="F8764" t="s">
        <v>13</v>
      </c>
      <c r="G8764" t="s">
        <v>412</v>
      </c>
      <c r="H8764" t="s">
        <v>14</v>
      </c>
    </row>
    <row r="8765" spans="1:8" hidden="1" x14ac:dyDescent="0.25">
      <c r="A8765" t="s">
        <v>11703</v>
      </c>
      <c r="B8765" s="1" t="str">
        <f>HYPERLINK("https://asmlis.vasa.lt/Dashboard/Served?ServiceDateFrom=2025-11-24&amp;ServiceDateTo=2025-11-24&amp;DumpsterInvNr=13-L-309257", "13-L-309257")</f>
        <v>13-L-309257</v>
      </c>
      <c r="C8765">
        <v>0.24</v>
      </c>
      <c r="D8765" t="s">
        <v>11865</v>
      </c>
      <c r="E8765" t="s">
        <v>11</v>
      </c>
      <c r="F8765" t="s">
        <v>13</v>
      </c>
      <c r="G8765" t="s">
        <v>9</v>
      </c>
      <c r="H8765" t="s">
        <v>14</v>
      </c>
    </row>
    <row r="8766" spans="1:8" hidden="1" x14ac:dyDescent="0.25">
      <c r="A8766" t="s">
        <v>11952</v>
      </c>
      <c r="B8766" s="1" t="str">
        <f>HYPERLINK("https://asmlis.vasa.lt/Dashboard/Served?ServiceDateFrom=2025-11-24&amp;ServiceDateTo=2025-11-24&amp;DumpsterInvNr=13-L-318984", "13-L-318984")</f>
        <v>13-L-318984</v>
      </c>
      <c r="C8766">
        <v>1.1000000000000001</v>
      </c>
      <c r="D8766" t="s">
        <v>11882</v>
      </c>
      <c r="E8766" t="s">
        <v>11</v>
      </c>
      <c r="F8766" t="s">
        <v>13</v>
      </c>
      <c r="G8766" t="s">
        <v>9</v>
      </c>
      <c r="H8766" t="s">
        <v>14</v>
      </c>
    </row>
    <row r="8767" spans="1:8" hidden="1" x14ac:dyDescent="0.25">
      <c r="A8767" t="s">
        <v>11953</v>
      </c>
      <c r="B8767" s="1" t="str">
        <f>HYPERLINK("https://asmlis.vasa.lt/Dashboard/Served?ServiceDateFrom=2025-11-24&amp;ServiceDateTo=2025-11-24&amp;DumpsterInvNr=13-L-419498", "13-L-419498")</f>
        <v>13-L-419498</v>
      </c>
      <c r="C8767">
        <v>0.24</v>
      </c>
      <c r="D8767" t="s">
        <v>7049</v>
      </c>
      <c r="E8767" t="s">
        <v>11</v>
      </c>
      <c r="G8767" t="s">
        <v>74</v>
      </c>
      <c r="H8767" t="s">
        <v>14</v>
      </c>
    </row>
    <row r="8768" spans="1:8" hidden="1" x14ac:dyDescent="0.25">
      <c r="A8768" t="s">
        <v>11953</v>
      </c>
      <c r="B8768" s="1" t="str">
        <f>HYPERLINK("https://asmlis.vasa.lt/Dashboard/Served?ServiceDateFrom=2025-11-24&amp;ServiceDateTo=2025-11-24&amp;DumpsterInvNr=13-L-420758", "13-L-420758")</f>
        <v>13-L-420758</v>
      </c>
      <c r="C8768">
        <v>0.24</v>
      </c>
      <c r="D8768" t="s">
        <v>11954</v>
      </c>
      <c r="E8768" t="s">
        <v>11</v>
      </c>
      <c r="G8768" t="s">
        <v>74</v>
      </c>
      <c r="H8768" t="s">
        <v>14</v>
      </c>
    </row>
    <row r="8769" spans="1:8" hidden="1" x14ac:dyDescent="0.25">
      <c r="A8769" t="s">
        <v>11955</v>
      </c>
      <c r="B8769" s="1" t="str">
        <f>HYPERLINK("https://asmlis.vasa.lt/Dashboard/Served?ServiceDateFrom=2025-11-24&amp;ServiceDateTo=2025-11-24&amp;DumpsterInvNr=13-P-509526", "13-P-509526")</f>
        <v>13-P-509526</v>
      </c>
      <c r="C8769">
        <v>1.1000000000000001</v>
      </c>
      <c r="D8769" t="s">
        <v>11945</v>
      </c>
      <c r="E8769" t="s">
        <v>12</v>
      </c>
      <c r="F8769" t="s">
        <v>13</v>
      </c>
      <c r="H8769" t="s">
        <v>432</v>
      </c>
    </row>
    <row r="8770" spans="1:8" hidden="1" x14ac:dyDescent="0.25">
      <c r="A8770" t="s">
        <v>11956</v>
      </c>
      <c r="B8770" s="1" t="str">
        <f>HYPERLINK("https://asmlis.vasa.lt/Dashboard/Served?ServiceDateFrom=2025-11-24&amp;ServiceDateTo=2025-11-24&amp;DumpsterInvNr=13-P-413819", "13-P-413819")</f>
        <v>13-P-413819</v>
      </c>
      <c r="C8770">
        <v>5</v>
      </c>
      <c r="D8770" t="s">
        <v>11957</v>
      </c>
      <c r="E8770" t="s">
        <v>11</v>
      </c>
      <c r="F8770" t="s">
        <v>13</v>
      </c>
      <c r="G8770" t="s">
        <v>264</v>
      </c>
      <c r="H8770" t="s">
        <v>14</v>
      </c>
    </row>
    <row r="8771" spans="1:8" hidden="1" x14ac:dyDescent="0.25">
      <c r="A8771" t="s">
        <v>11956</v>
      </c>
      <c r="B8771" s="1" t="str">
        <f>HYPERLINK("https://asmlis.vasa.lt/Dashboard/Served?ServiceDateFrom=2025-11-24&amp;ServiceDateTo=2025-11-24&amp;DumpsterInvNr=13-S-102403", "13-S-102403")</f>
        <v>13-S-102403</v>
      </c>
      <c r="C8771">
        <v>0.12</v>
      </c>
      <c r="D8771" t="s">
        <v>11958</v>
      </c>
      <c r="E8771" t="s">
        <v>11</v>
      </c>
      <c r="G8771" t="s">
        <v>1917</v>
      </c>
      <c r="H8771" t="s">
        <v>432</v>
      </c>
    </row>
    <row r="8772" spans="1:8" hidden="1" x14ac:dyDescent="0.25">
      <c r="A8772" t="s">
        <v>11960</v>
      </c>
      <c r="B8772" s="1" t="str">
        <f>HYPERLINK("https://asmlis.vasa.lt/Dashboard/Served?ServiceDateFrom=2025-11-24&amp;ServiceDateTo=2025-11-24&amp;DumpsterInvNr=13-S-206086", "13-S-206086")</f>
        <v>13-S-206086</v>
      </c>
      <c r="C8772">
        <v>0.12</v>
      </c>
      <c r="D8772" t="s">
        <v>11208</v>
      </c>
      <c r="E8772" t="s">
        <v>11</v>
      </c>
      <c r="F8772" t="s">
        <v>1209</v>
      </c>
      <c r="G8772" t="s">
        <v>234</v>
      </c>
      <c r="H8772" t="s">
        <v>14</v>
      </c>
    </row>
    <row r="8773" spans="1:8" hidden="1" x14ac:dyDescent="0.25">
      <c r="A8773" t="s">
        <v>11961</v>
      </c>
      <c r="B8773" s="1" t="str">
        <f>HYPERLINK("https://asmlis.vasa.lt/Dashboard/Served?ServiceDateFrom=2025-11-24&amp;ServiceDateTo=2025-11-24&amp;DumpsterInvNr=13-L-148958", "13-L-148958")</f>
        <v>13-L-148958</v>
      </c>
      <c r="C8773">
        <v>0.24</v>
      </c>
      <c r="D8773" t="s">
        <v>11962</v>
      </c>
      <c r="E8773" t="s">
        <v>11</v>
      </c>
      <c r="G8773" t="s">
        <v>1912</v>
      </c>
      <c r="H8773" t="s">
        <v>432</v>
      </c>
    </row>
    <row r="8774" spans="1:8" hidden="1" x14ac:dyDescent="0.25">
      <c r="A8774" t="s">
        <v>11963</v>
      </c>
      <c r="B8774" s="1" t="str">
        <f>HYPERLINK("https://asmlis.vasa.lt/Dashboard/Served?ServiceDateFrom=2025-11-24&amp;ServiceDateTo=2025-11-24&amp;DumpsterInvNr=13-L-143834", "13-L-143834")</f>
        <v>13-L-143834</v>
      </c>
      <c r="C8774">
        <v>0.24</v>
      </c>
      <c r="D8774" t="s">
        <v>11964</v>
      </c>
      <c r="E8774" t="s">
        <v>11</v>
      </c>
      <c r="G8774" t="s">
        <v>430</v>
      </c>
      <c r="H8774" t="s">
        <v>432</v>
      </c>
    </row>
    <row r="8775" spans="1:8" hidden="1" x14ac:dyDescent="0.25">
      <c r="A8775" t="s">
        <v>11963</v>
      </c>
      <c r="B8775" s="1" t="str">
        <f>HYPERLINK("https://asmlis.vasa.lt/Dashboard/Served?ServiceDateFrom=2025-11-24&amp;ServiceDateTo=2025-11-24&amp;DumpsterInvNr=13-P-506714", "13-P-506714")</f>
        <v>13-P-506714</v>
      </c>
      <c r="C8775">
        <v>0.24</v>
      </c>
      <c r="D8775" t="s">
        <v>11964</v>
      </c>
      <c r="E8775" t="s">
        <v>11</v>
      </c>
      <c r="G8775" t="s">
        <v>2178</v>
      </c>
      <c r="H8775" t="s">
        <v>432</v>
      </c>
    </row>
    <row r="8776" spans="1:8" hidden="1" x14ac:dyDescent="0.25">
      <c r="A8776" t="s">
        <v>11965</v>
      </c>
      <c r="B8776" s="1" t="str">
        <f>HYPERLINK("https://asmlis.vasa.lt/Dashboard/Served?ServiceDateFrom=2025-11-24&amp;ServiceDateTo=2025-11-24&amp;DumpsterInvNr=13-L-213536", "13-L-213536")</f>
        <v>13-L-213536</v>
      </c>
      <c r="C8776">
        <v>0.12</v>
      </c>
      <c r="D8776" t="s">
        <v>11966</v>
      </c>
      <c r="E8776" t="s">
        <v>11</v>
      </c>
      <c r="G8776" t="s">
        <v>936</v>
      </c>
      <c r="H8776" t="s">
        <v>938</v>
      </c>
    </row>
    <row r="8777" spans="1:8" hidden="1" x14ac:dyDescent="0.25">
      <c r="A8777" t="s">
        <v>11967</v>
      </c>
      <c r="B8777" s="1" t="str">
        <f>HYPERLINK("https://asmlis.vasa.lt/Dashboard/Served?ServiceDateFrom=2025-11-24&amp;ServiceDateTo=2025-11-24&amp;DumpsterInvNr=13-P-101159", "13-P-101159")</f>
        <v>13-P-101159</v>
      </c>
      <c r="C8777">
        <v>0.24</v>
      </c>
      <c r="D8777" t="s">
        <v>11962</v>
      </c>
      <c r="E8777" t="s">
        <v>11</v>
      </c>
      <c r="G8777" t="s">
        <v>1917</v>
      </c>
      <c r="H8777" t="s">
        <v>432</v>
      </c>
    </row>
    <row r="8778" spans="1:8" hidden="1" x14ac:dyDescent="0.25">
      <c r="A8778" t="s">
        <v>11968</v>
      </c>
      <c r="B8778" s="1" t="str">
        <f>HYPERLINK("https://asmlis.vasa.lt/Dashboard/Served?ServiceDateFrom=2025-11-24&amp;ServiceDateTo=2025-11-24&amp;DumpsterInvNr=13-S-505387", "13-S-505387")</f>
        <v>13-S-505387</v>
      </c>
      <c r="C8778">
        <v>0.12</v>
      </c>
      <c r="D8778" t="s">
        <v>11964</v>
      </c>
      <c r="E8778" t="s">
        <v>11</v>
      </c>
      <c r="G8778" t="s">
        <v>2178</v>
      </c>
      <c r="H8778" t="s">
        <v>432</v>
      </c>
    </row>
    <row r="8779" spans="1:8" hidden="1" x14ac:dyDescent="0.25">
      <c r="A8779" t="s">
        <v>11970</v>
      </c>
      <c r="B8779" s="1" t="str">
        <f>HYPERLINK("https://asmlis.vasa.lt/Dashboard/Served?ServiceDateFrom=2025-11-24&amp;ServiceDateTo=2025-11-24&amp;DumpsterInvNr=13-T-000189", "13-T-000189")</f>
        <v>13-T-000189</v>
      </c>
      <c r="C8779">
        <v>2.5</v>
      </c>
      <c r="D8779" t="s">
        <v>10287</v>
      </c>
      <c r="E8779" t="s">
        <v>11</v>
      </c>
      <c r="F8779" t="s">
        <v>13</v>
      </c>
      <c r="G8779" t="s">
        <v>1899</v>
      </c>
      <c r="H8779" t="s">
        <v>432</v>
      </c>
    </row>
    <row r="8780" spans="1:8" hidden="1" x14ac:dyDescent="0.25">
      <c r="A8780" t="s">
        <v>11971</v>
      </c>
      <c r="B8780" s="1" t="str">
        <f>HYPERLINK("https://asmlis.vasa.lt/Dashboard/Served?ServiceDateFrom=2025-11-24&amp;ServiceDateTo=2025-11-24&amp;DumpsterInvNr=13-T-000334", "13-T-000334")</f>
        <v>13-T-000334</v>
      </c>
      <c r="C8780">
        <v>2.5</v>
      </c>
      <c r="D8780" t="s">
        <v>10287</v>
      </c>
      <c r="E8780" t="s">
        <v>11</v>
      </c>
      <c r="F8780" t="s">
        <v>13</v>
      </c>
      <c r="G8780" t="s">
        <v>1899</v>
      </c>
      <c r="H8780" t="s">
        <v>432</v>
      </c>
    </row>
    <row r="8781" spans="1:8" hidden="1" x14ac:dyDescent="0.25">
      <c r="A8781" t="s">
        <v>11972</v>
      </c>
      <c r="B8781" s="1" t="str">
        <f>HYPERLINK("https://asmlis.vasa.lt/Dashboard/Served?ServiceDateFrom=2025-11-24&amp;ServiceDateTo=2025-11-24&amp;DumpsterInvNr=13-S-203107", "13-S-203107")</f>
        <v>13-S-203107</v>
      </c>
      <c r="C8781">
        <v>0.12</v>
      </c>
      <c r="D8781" t="s">
        <v>11220</v>
      </c>
      <c r="E8781" t="s">
        <v>11</v>
      </c>
      <c r="G8781" t="s">
        <v>234</v>
      </c>
      <c r="H8781" t="s">
        <v>14</v>
      </c>
    </row>
    <row r="8782" spans="1:8" hidden="1" x14ac:dyDescent="0.25">
      <c r="A8782" t="s">
        <v>11973</v>
      </c>
      <c r="B8782" s="1" t="str">
        <f>HYPERLINK("https://asmlis.vasa.lt/Dashboard/Served?ServiceDateFrom=2025-11-24&amp;ServiceDateTo=2025-11-24&amp;DumpsterInvNr=13-T-000190", "13-T-000190")</f>
        <v>13-T-000190</v>
      </c>
      <c r="C8782">
        <v>2.5</v>
      </c>
      <c r="D8782" t="s">
        <v>10287</v>
      </c>
      <c r="E8782" t="s">
        <v>11</v>
      </c>
      <c r="F8782" t="s">
        <v>13</v>
      </c>
      <c r="G8782" t="s">
        <v>1899</v>
      </c>
      <c r="H8782" t="s">
        <v>432</v>
      </c>
    </row>
    <row r="8783" spans="1:8" hidden="1" x14ac:dyDescent="0.25">
      <c r="A8783" t="s">
        <v>11974</v>
      </c>
      <c r="B8783" s="1" t="str">
        <f>HYPERLINK("https://asmlis.vasa.lt/Dashboard/Served?ServiceDateFrom=2025-11-24&amp;ServiceDateTo=2025-11-24&amp;DumpsterInvNr=13-L-120455", "13-L-120455")</f>
        <v>13-L-120455</v>
      </c>
      <c r="C8783">
        <v>1.1000000000000001</v>
      </c>
      <c r="D8783" t="s">
        <v>11975</v>
      </c>
      <c r="E8783" t="s">
        <v>11</v>
      </c>
      <c r="G8783" t="s">
        <v>1912</v>
      </c>
      <c r="H8783" t="s">
        <v>432</v>
      </c>
    </row>
    <row r="8784" spans="1:8" hidden="1" x14ac:dyDescent="0.25">
      <c r="A8784" t="s">
        <v>11977</v>
      </c>
      <c r="B8784" s="1" t="str">
        <f>HYPERLINK("https://asmlis.vasa.lt/Dashboard/Served?ServiceDateFrom=2025-11-24&amp;ServiceDateTo=2025-11-24&amp;DumpsterInvNr=13-P-302619", "13-P-302619")</f>
        <v>13-P-302619</v>
      </c>
      <c r="C8784">
        <v>5</v>
      </c>
      <c r="D8784" t="s">
        <v>11877</v>
      </c>
      <c r="E8784" t="s">
        <v>11</v>
      </c>
      <c r="G8784" t="s">
        <v>412</v>
      </c>
      <c r="H8784" t="s">
        <v>14</v>
      </c>
    </row>
    <row r="8785" spans="1:8" hidden="1" x14ac:dyDescent="0.25">
      <c r="A8785" t="s">
        <v>11979</v>
      </c>
      <c r="B8785" s="1" t="str">
        <f>HYPERLINK("https://asmlis.vasa.lt/Dashboard/Served?ServiceDateFrom=2025-11-24&amp;ServiceDateTo=2025-11-24&amp;DumpsterInvNr=13-L-318675", "13-L-318675")</f>
        <v>13-L-318675</v>
      </c>
      <c r="C8785">
        <v>0.24</v>
      </c>
      <c r="D8785" t="s">
        <v>11938</v>
      </c>
      <c r="E8785" t="s">
        <v>11</v>
      </c>
      <c r="F8785" t="s">
        <v>13</v>
      </c>
      <c r="G8785" t="s">
        <v>9</v>
      </c>
      <c r="H8785" t="s">
        <v>14</v>
      </c>
    </row>
    <row r="8786" spans="1:8" hidden="1" x14ac:dyDescent="0.25">
      <c r="A8786" t="s">
        <v>11980</v>
      </c>
      <c r="B8786" s="1" t="str">
        <f>HYPERLINK("https://asmlis.vasa.lt/Dashboard/Served?ServiceDateFrom=2025-11-24&amp;ServiceDateTo=2025-11-24&amp;DumpsterInvNr=13-L-147596", "13-L-147596")</f>
        <v>13-L-147596</v>
      </c>
      <c r="C8786">
        <v>5</v>
      </c>
      <c r="D8786" t="s">
        <v>11981</v>
      </c>
      <c r="E8786" t="s">
        <v>11</v>
      </c>
      <c r="F8786" t="s">
        <v>13</v>
      </c>
      <c r="G8786" t="s">
        <v>430</v>
      </c>
      <c r="H8786" t="s">
        <v>432</v>
      </c>
    </row>
    <row r="8787" spans="1:8" hidden="1" x14ac:dyDescent="0.25">
      <c r="A8787" t="s">
        <v>11982</v>
      </c>
      <c r="B8787" s="1" t="str">
        <f>HYPERLINK("https://asmlis.vasa.lt/Dashboard/Served?ServiceDateFrom=2025-11-24&amp;ServiceDateTo=2025-11-24&amp;DumpsterInvNr=13-P-404471", "13-P-404471")</f>
        <v>13-P-404471</v>
      </c>
      <c r="C8787">
        <v>5</v>
      </c>
      <c r="D8787" t="s">
        <v>8494</v>
      </c>
      <c r="E8787" t="s">
        <v>11</v>
      </c>
      <c r="F8787" t="s">
        <v>13</v>
      </c>
      <c r="G8787" t="s">
        <v>264</v>
      </c>
      <c r="H8787" t="s">
        <v>14</v>
      </c>
    </row>
    <row r="8788" spans="1:8" hidden="1" x14ac:dyDescent="0.25">
      <c r="A8788" t="s">
        <v>11982</v>
      </c>
      <c r="B8788" s="1" t="str">
        <f>HYPERLINK("https://asmlis.vasa.lt/Dashboard/Served?ServiceDateFrom=2025-11-24&amp;ServiceDateTo=2025-11-24&amp;DumpsterInvNr=13-P-203708", "13-P-203708")</f>
        <v>13-P-203708</v>
      </c>
      <c r="C8788">
        <v>0.24</v>
      </c>
      <c r="D8788" t="s">
        <v>11220</v>
      </c>
      <c r="E8788" t="s">
        <v>11</v>
      </c>
      <c r="G8788" t="s">
        <v>234</v>
      </c>
      <c r="H8788" t="s">
        <v>14</v>
      </c>
    </row>
    <row r="8789" spans="1:8" hidden="1" x14ac:dyDescent="0.25">
      <c r="A8789" t="s">
        <v>11982</v>
      </c>
      <c r="B8789" s="1" t="str">
        <f>HYPERLINK("https://asmlis.vasa.lt/Dashboard/Served?ServiceDateFrom=2025-11-24&amp;ServiceDateTo=2025-11-24&amp;DumpsterInvNr=13-P-111665", "13-P-111665")</f>
        <v>13-P-111665</v>
      </c>
      <c r="C8789">
        <v>1.1000000000000001</v>
      </c>
      <c r="D8789" t="s">
        <v>11983</v>
      </c>
      <c r="E8789" t="s">
        <v>11</v>
      </c>
      <c r="G8789" t="s">
        <v>1917</v>
      </c>
      <c r="H8789" t="s">
        <v>432</v>
      </c>
    </row>
    <row r="8790" spans="1:8" hidden="1" x14ac:dyDescent="0.25">
      <c r="A8790" t="s">
        <v>11718</v>
      </c>
      <c r="B8790" s="1" t="str">
        <f>HYPERLINK("https://asmlis.vasa.lt/Dashboard/Served?ServiceDateFrom=2025-11-24&amp;ServiceDateTo=2025-11-24&amp;DumpsterInvNr=13-S-102417", "13-S-102417")</f>
        <v>13-S-102417</v>
      </c>
      <c r="C8790">
        <v>0.12</v>
      </c>
      <c r="D8790" t="s">
        <v>11962</v>
      </c>
      <c r="E8790" t="s">
        <v>11</v>
      </c>
      <c r="G8790" t="s">
        <v>1917</v>
      </c>
      <c r="H8790" t="s">
        <v>432</v>
      </c>
    </row>
    <row r="8791" spans="1:8" hidden="1" x14ac:dyDescent="0.25">
      <c r="A8791" t="s">
        <v>11984</v>
      </c>
      <c r="B8791" s="1" t="str">
        <f>HYPERLINK("https://asmlis.vasa.lt/Dashboard/Served?ServiceDateFrom=2025-11-24&amp;ServiceDateTo=2025-11-24&amp;DumpsterInvNr=13-L-115049", "13-L-115049")</f>
        <v>13-L-115049</v>
      </c>
      <c r="C8791">
        <v>0.24</v>
      </c>
      <c r="D8791" t="s">
        <v>11958</v>
      </c>
      <c r="E8791" t="s">
        <v>11</v>
      </c>
      <c r="G8791" t="s">
        <v>1912</v>
      </c>
      <c r="H8791" t="s">
        <v>432</v>
      </c>
    </row>
    <row r="8792" spans="1:8" hidden="1" x14ac:dyDescent="0.25">
      <c r="A8792" t="s">
        <v>11985</v>
      </c>
      <c r="B8792" s="1" t="str">
        <f>HYPERLINK("https://asmlis.vasa.lt/Dashboard/Served?ServiceDateFrom=2025-11-24&amp;ServiceDateTo=2025-11-24&amp;DumpsterInvNr=13-L-306371", "13-L-306371")</f>
        <v>13-L-306371</v>
      </c>
      <c r="C8792">
        <v>1.1000000000000001</v>
      </c>
      <c r="D8792" t="s">
        <v>11986</v>
      </c>
      <c r="E8792" t="s">
        <v>11</v>
      </c>
      <c r="G8792" t="s">
        <v>9</v>
      </c>
      <c r="H8792" t="s">
        <v>14</v>
      </c>
    </row>
    <row r="8793" spans="1:8" hidden="1" x14ac:dyDescent="0.25">
      <c r="A8793" t="s">
        <v>11987</v>
      </c>
      <c r="B8793" s="1" t="str">
        <f>HYPERLINK("https://asmlis.vasa.lt/Dashboard/Served?ServiceDateFrom=2025-11-24&amp;ServiceDateTo=2025-11-24&amp;DumpsterInvNr=13-L-422552", "13-L-422552")</f>
        <v>13-L-422552</v>
      </c>
      <c r="C8793">
        <v>1.1000000000000001</v>
      </c>
      <c r="D8793" t="s">
        <v>11988</v>
      </c>
      <c r="E8793" t="s">
        <v>11</v>
      </c>
      <c r="G8793" t="s">
        <v>74</v>
      </c>
      <c r="H8793" t="s">
        <v>14</v>
      </c>
    </row>
    <row r="8794" spans="1:8" hidden="1" x14ac:dyDescent="0.25">
      <c r="A8794" t="s">
        <v>11989</v>
      </c>
      <c r="B8794" s="1" t="str">
        <f>HYPERLINK("https://asmlis.vasa.lt/Dashboard/Served?ServiceDateFrom=2025-11-24&amp;ServiceDateTo=2025-11-24&amp;DumpsterInvNr=13-P-101150", "13-P-101150")</f>
        <v>13-P-101150</v>
      </c>
      <c r="C8794">
        <v>0.24</v>
      </c>
      <c r="D8794" t="s">
        <v>11958</v>
      </c>
      <c r="E8794" t="s">
        <v>11</v>
      </c>
      <c r="G8794" t="s">
        <v>1917</v>
      </c>
      <c r="H8794" t="s">
        <v>432</v>
      </c>
    </row>
    <row r="8795" spans="1:8" hidden="1" x14ac:dyDescent="0.25">
      <c r="A8795" t="s">
        <v>11990</v>
      </c>
      <c r="B8795" s="1" t="str">
        <f>HYPERLINK("https://asmlis.vasa.lt/Dashboard/Served?ServiceDateFrom=2025-11-24&amp;ServiceDateTo=2025-11-24&amp;DumpsterInvNr=13-L-129278", "13-L-129278")</f>
        <v>13-L-129278</v>
      </c>
      <c r="C8795">
        <v>1.1000000000000001</v>
      </c>
      <c r="D8795" t="s">
        <v>11991</v>
      </c>
      <c r="E8795" t="s">
        <v>11</v>
      </c>
      <c r="G8795" t="s">
        <v>430</v>
      </c>
      <c r="H8795" t="s">
        <v>432</v>
      </c>
    </row>
    <row r="8796" spans="1:8" hidden="1" x14ac:dyDescent="0.25">
      <c r="A8796" t="s">
        <v>11993</v>
      </c>
      <c r="B8796" s="1" t="str">
        <f>HYPERLINK("https://asmlis.vasa.lt/Dashboard/Served?ServiceDateFrom=2025-11-24&amp;ServiceDateTo=2025-11-24&amp;DumpsterInvNr=13-L-420648", "13-L-420648")</f>
        <v>13-L-420648</v>
      </c>
      <c r="C8796">
        <v>1.1000000000000001</v>
      </c>
      <c r="D8796" t="s">
        <v>11988</v>
      </c>
      <c r="E8796" t="s">
        <v>11</v>
      </c>
      <c r="G8796" t="s">
        <v>74</v>
      </c>
      <c r="H8796" t="s">
        <v>14</v>
      </c>
    </row>
    <row r="8797" spans="1:8" hidden="1" x14ac:dyDescent="0.25">
      <c r="A8797" t="s">
        <v>11994</v>
      </c>
      <c r="B8797" s="1" t="str">
        <f>HYPERLINK("https://asmlis.vasa.lt/Dashboard/Served?ServiceDateFrom=2025-11-24&amp;ServiceDateTo=2025-11-24&amp;DumpsterInvNr=13-L-213058", "13-L-213058")</f>
        <v>13-L-213058</v>
      </c>
      <c r="C8797">
        <v>0.24</v>
      </c>
      <c r="D8797" t="s">
        <v>9385</v>
      </c>
      <c r="E8797" t="s">
        <v>11</v>
      </c>
      <c r="F8797" t="s">
        <v>1209</v>
      </c>
      <c r="G8797" t="s">
        <v>936</v>
      </c>
      <c r="H8797" t="s">
        <v>938</v>
      </c>
    </row>
    <row r="8798" spans="1:8" hidden="1" x14ac:dyDescent="0.25">
      <c r="A8798" t="s">
        <v>11995</v>
      </c>
      <c r="B8798" s="1" t="str">
        <f>HYPERLINK("https://asmlis.vasa.lt/Dashboard/Served?ServiceDateFrom=2025-11-24&amp;ServiceDateTo=2025-11-24&amp;DumpsterInvNr=13-L-143640", "13-L-143640")</f>
        <v>13-L-143640</v>
      </c>
      <c r="C8798">
        <v>0.24</v>
      </c>
      <c r="D8798" t="s">
        <v>11996</v>
      </c>
      <c r="E8798" t="s">
        <v>11</v>
      </c>
      <c r="G8798" t="s">
        <v>430</v>
      </c>
      <c r="H8798" t="s">
        <v>432</v>
      </c>
    </row>
    <row r="8799" spans="1:8" hidden="1" x14ac:dyDescent="0.25">
      <c r="A8799" t="s">
        <v>11995</v>
      </c>
      <c r="B8799" s="1" t="str">
        <f>HYPERLINK("https://asmlis.vasa.lt/Dashboard/Served?ServiceDateFrom=2025-11-24&amp;ServiceDateTo=2025-11-24&amp;DumpsterInvNr=13-P-506711", "13-P-506711")</f>
        <v>13-P-506711</v>
      </c>
      <c r="C8799">
        <v>0.24</v>
      </c>
      <c r="D8799" t="s">
        <v>11996</v>
      </c>
      <c r="E8799" t="s">
        <v>11</v>
      </c>
      <c r="G8799" t="s">
        <v>2178</v>
      </c>
      <c r="H8799" t="s">
        <v>432</v>
      </c>
    </row>
    <row r="8800" spans="1:8" hidden="1" x14ac:dyDescent="0.25">
      <c r="A8800" t="s">
        <v>11995</v>
      </c>
      <c r="B8800" s="1" t="str">
        <f>HYPERLINK("https://asmlis.vasa.lt/Dashboard/Served?ServiceDateFrom=2025-11-24&amp;ServiceDateTo=2025-11-24&amp;DumpsterInvNr=13-P-500154", "13-P-500154")</f>
        <v>13-P-500154</v>
      </c>
      <c r="C8800">
        <v>5</v>
      </c>
      <c r="D8800" t="s">
        <v>4147</v>
      </c>
      <c r="E8800" t="s">
        <v>11</v>
      </c>
      <c r="F8800" t="s">
        <v>13</v>
      </c>
      <c r="G8800" t="s">
        <v>2178</v>
      </c>
      <c r="H8800" t="s">
        <v>432</v>
      </c>
    </row>
    <row r="8801" spans="1:10" hidden="1" x14ac:dyDescent="0.25">
      <c r="A8801" t="s">
        <v>11997</v>
      </c>
      <c r="B8801" s="1" t="str">
        <f>HYPERLINK("https://asmlis.vasa.lt/Dashboard/Served?ServiceDateFrom=2025-11-24&amp;ServiceDateTo=2025-11-24&amp;DumpsterInvNr=13-L-306283", "13-L-306283")</f>
        <v>13-L-306283</v>
      </c>
      <c r="C8801">
        <v>1.1000000000000001</v>
      </c>
      <c r="D8801" t="s">
        <v>11999</v>
      </c>
      <c r="E8801" t="s">
        <v>11</v>
      </c>
      <c r="G8801" t="s">
        <v>9</v>
      </c>
      <c r="H8801" t="s">
        <v>14</v>
      </c>
    </row>
    <row r="8802" spans="1:10" hidden="1" x14ac:dyDescent="0.25">
      <c r="A8802" t="s">
        <v>11997</v>
      </c>
      <c r="B8802" s="1" t="str">
        <f>HYPERLINK("https://asmlis.vasa.lt/Dashboard/Served?ServiceDateFrom=2025-11-24&amp;ServiceDateTo=2025-11-24&amp;DumpsterInvNr=13-L-222832", "13-L-222832")</f>
        <v>13-L-222832</v>
      </c>
      <c r="C8802">
        <v>0.24</v>
      </c>
      <c r="D8802" t="s">
        <v>9373</v>
      </c>
      <c r="E8802" t="s">
        <v>11</v>
      </c>
      <c r="F8802" t="s">
        <v>1209</v>
      </c>
      <c r="G8802" t="s">
        <v>936</v>
      </c>
      <c r="H8802" t="s">
        <v>938</v>
      </c>
    </row>
    <row r="8803" spans="1:10" hidden="1" x14ac:dyDescent="0.25">
      <c r="A8803" t="s">
        <v>12000</v>
      </c>
      <c r="B8803" s="1" t="str">
        <f>HYPERLINK("https://asmlis.vasa.lt/Dashboard/Served?ServiceDateFrom=2025-11-24&amp;ServiceDateTo=2025-11-24&amp;DumpsterInvNr=13-L-202333", "13-L-202333")</f>
        <v>13-L-202333</v>
      </c>
      <c r="C8803">
        <v>0.24</v>
      </c>
      <c r="D8803" t="s">
        <v>9330</v>
      </c>
      <c r="E8803" t="s">
        <v>11</v>
      </c>
      <c r="F8803" t="s">
        <v>1209</v>
      </c>
      <c r="G8803" t="s">
        <v>936</v>
      </c>
      <c r="H8803" t="s">
        <v>938</v>
      </c>
    </row>
    <row r="8804" spans="1:10" hidden="1" x14ac:dyDescent="0.25">
      <c r="A8804" t="s">
        <v>12001</v>
      </c>
      <c r="B8804" s="1" t="str">
        <f>HYPERLINK("https://asmlis.vasa.lt/Dashboard/Served?ServiceDateFrom=2025-11-24&amp;ServiceDateTo=2025-11-24&amp;DumpsterInvNr=13-P-403811", "13-P-403811")</f>
        <v>13-P-403811</v>
      </c>
      <c r="C8804">
        <v>0.24</v>
      </c>
      <c r="D8804" t="s">
        <v>1866</v>
      </c>
      <c r="E8804" t="s">
        <v>11</v>
      </c>
      <c r="G8804" t="s">
        <v>264</v>
      </c>
      <c r="H8804" t="s">
        <v>14</v>
      </c>
    </row>
    <row r="8805" spans="1:10" hidden="1" x14ac:dyDescent="0.25">
      <c r="A8805" t="s">
        <v>12002</v>
      </c>
      <c r="B8805" s="1" t="str">
        <f>HYPERLINK("https://asmlis.vasa.lt/Dashboard/Served?ServiceDateFrom=2025-11-24&amp;ServiceDateTo=2025-11-24&amp;DumpsterInvNr=13-P-401266", "13-P-401266")</f>
        <v>13-P-401266</v>
      </c>
      <c r="C8805">
        <v>1.1000000000000001</v>
      </c>
      <c r="D8805" t="s">
        <v>6428</v>
      </c>
      <c r="E8805" t="s">
        <v>11</v>
      </c>
      <c r="G8805" t="s">
        <v>264</v>
      </c>
      <c r="H8805" t="s">
        <v>14</v>
      </c>
    </row>
    <row r="8806" spans="1:10" hidden="1" x14ac:dyDescent="0.25">
      <c r="A8806" t="s">
        <v>12003</v>
      </c>
      <c r="B8806" s="1" t="str">
        <f>HYPERLINK("https://asmlis.vasa.lt/Dashboard/Served?ServiceDateFrom=2025-11-24&amp;ServiceDateTo=2025-11-24&amp;DumpsterInvNr=13-L-144036", "13-L-144036")</f>
        <v>13-L-144036</v>
      </c>
      <c r="C8806">
        <v>0.24</v>
      </c>
      <c r="D8806" t="s">
        <v>12004</v>
      </c>
      <c r="E8806" t="s">
        <v>11</v>
      </c>
      <c r="G8806" t="s">
        <v>430</v>
      </c>
      <c r="H8806" t="s">
        <v>432</v>
      </c>
    </row>
    <row r="8807" spans="1:10" hidden="1" x14ac:dyDescent="0.25">
      <c r="A8807" t="s">
        <v>12003</v>
      </c>
      <c r="B8807" s="1" t="str">
        <f>HYPERLINK("https://asmlis.vasa.lt/Dashboard/Served?ServiceDateFrom=2025-11-24&amp;ServiceDateTo=2025-11-24&amp;DumpsterInvNr=13-P-403809", "13-P-403809")</f>
        <v>13-P-403809</v>
      </c>
      <c r="C8807">
        <v>0.24</v>
      </c>
      <c r="D8807" t="s">
        <v>1867</v>
      </c>
      <c r="E8807" t="s">
        <v>11</v>
      </c>
      <c r="G8807" t="s">
        <v>264</v>
      </c>
      <c r="H8807" t="s">
        <v>14</v>
      </c>
    </row>
    <row r="8808" spans="1:10" hidden="1" x14ac:dyDescent="0.25">
      <c r="A8808" t="s">
        <v>12005</v>
      </c>
      <c r="B8808" s="1" t="str">
        <f>HYPERLINK("https://asmlis.vasa.lt/Dashboard/Served?ServiceDateFrom=2025-11-24&amp;ServiceDateTo=2025-11-24&amp;DumpsterInvNr=13-L-315190", "13-L-315190")</f>
        <v>13-L-315190</v>
      </c>
      <c r="C8808">
        <v>1.1000000000000001</v>
      </c>
      <c r="D8808" t="s">
        <v>11999</v>
      </c>
      <c r="E8808" t="s">
        <v>11</v>
      </c>
      <c r="G8808" t="s">
        <v>9</v>
      </c>
      <c r="H8808" t="s">
        <v>14</v>
      </c>
    </row>
    <row r="8809" spans="1:10" hidden="1" x14ac:dyDescent="0.25">
      <c r="A8809" t="s">
        <v>12006</v>
      </c>
      <c r="B8809" s="1" t="str">
        <f>HYPERLINK("https://asmlis.vasa.lt/Dashboard/Served?ServiceDateFrom=2025-11-24&amp;ServiceDateTo=2025-11-24&amp;DumpsterInvNr=13-M-202173", "13-M-202173")</f>
        <v>13-M-202173</v>
      </c>
      <c r="C8809">
        <v>0.12</v>
      </c>
      <c r="D8809" t="s">
        <v>5453</v>
      </c>
      <c r="E8809" t="s">
        <v>11</v>
      </c>
      <c r="F8809" t="s">
        <v>1209</v>
      </c>
      <c r="G8809" t="s">
        <v>4876</v>
      </c>
      <c r="H8809" t="s">
        <v>938</v>
      </c>
    </row>
    <row r="8810" spans="1:10" hidden="1" x14ac:dyDescent="0.25">
      <c r="A8810" t="s">
        <v>12007</v>
      </c>
      <c r="B8810" s="1" t="str">
        <f>HYPERLINK("https://asmlis.vasa.lt/Dashboard/Served?ServiceDateFrom=2025-11-24&amp;ServiceDateTo=2025-11-24&amp;DumpsterInvNr=13-L-206099", "13-L-206099")</f>
        <v>13-L-206099</v>
      </c>
      <c r="C8810">
        <v>0.12</v>
      </c>
      <c r="D8810" t="s">
        <v>8986</v>
      </c>
      <c r="E8810" t="s">
        <v>11</v>
      </c>
      <c r="F8810" t="s">
        <v>13</v>
      </c>
      <c r="G8810" t="s">
        <v>936</v>
      </c>
      <c r="H8810" t="s">
        <v>938</v>
      </c>
    </row>
    <row r="8811" spans="1:10" hidden="1" x14ac:dyDescent="0.25">
      <c r="A8811" t="s">
        <v>12008</v>
      </c>
      <c r="B8811" s="1" t="str">
        <f>HYPERLINK("https://asmlis.vasa.lt/Dashboard/Served?ServiceDateFrom=2025-11-24&amp;ServiceDateTo=2025-11-24&amp;DumpsterInvNr=13-P-302005", "13-P-302005")</f>
        <v>13-P-302005</v>
      </c>
      <c r="C8811">
        <v>1.1000000000000001</v>
      </c>
      <c r="D8811" t="s">
        <v>6228</v>
      </c>
      <c r="E8811" t="s">
        <v>11</v>
      </c>
      <c r="G8811" t="s">
        <v>412</v>
      </c>
      <c r="H8811" t="s">
        <v>14</v>
      </c>
    </row>
    <row r="8812" spans="1:10" hidden="1" x14ac:dyDescent="0.25">
      <c r="A8812" t="s">
        <v>12009</v>
      </c>
      <c r="B8812" s="1" t="str">
        <f>HYPERLINK("https://asmlis.vasa.lt/Dashboard/Served?ServiceDateFrom=2025-11-24&amp;ServiceDateTo=2025-11-24&amp;DumpsterInvNr=13-L-207276", "13-L-207276")</f>
        <v>13-L-207276</v>
      </c>
      <c r="C8812">
        <v>0.24</v>
      </c>
      <c r="D8812" t="s">
        <v>9319</v>
      </c>
      <c r="E8812" t="s">
        <v>11</v>
      </c>
      <c r="F8812" t="s">
        <v>1209</v>
      </c>
      <c r="G8812" t="s">
        <v>936</v>
      </c>
      <c r="H8812" t="s">
        <v>938</v>
      </c>
    </row>
    <row r="8813" spans="1:10" hidden="1" x14ac:dyDescent="0.25">
      <c r="A8813" t="s">
        <v>12010</v>
      </c>
      <c r="B8813" s="1" t="str">
        <f>HYPERLINK("https://asmlis.vasa.lt/Dashboard/Served?ServiceDateFrom=2025-11-24&amp;ServiceDateTo=2025-11-24&amp;DumpsterInvNr=13-L-307231", "13-L-307231")</f>
        <v>13-L-307231</v>
      </c>
      <c r="C8813">
        <v>1.1000000000000001</v>
      </c>
      <c r="D8813" t="s">
        <v>11986</v>
      </c>
      <c r="E8813" t="s">
        <v>11</v>
      </c>
      <c r="G8813" t="s">
        <v>9</v>
      </c>
      <c r="H8813" t="s">
        <v>14</v>
      </c>
    </row>
    <row r="8814" spans="1:10" hidden="1" x14ac:dyDescent="0.25">
      <c r="A8814" t="s">
        <v>12011</v>
      </c>
      <c r="B8814" s="1" t="str">
        <f>HYPERLINK("https://asmlis.vasa.lt/Dashboard/Served?ServiceDateFrom=2025-11-24&amp;ServiceDateTo=2025-11-24&amp;DumpsterInvNr=13-P-506710", "13-P-506710")</f>
        <v>13-P-506710</v>
      </c>
      <c r="C8814">
        <v>0.24</v>
      </c>
      <c r="D8814" t="s">
        <v>12004</v>
      </c>
      <c r="E8814" t="s">
        <v>11</v>
      </c>
      <c r="F8814" t="s">
        <v>3205</v>
      </c>
      <c r="G8814" t="s">
        <v>2178</v>
      </c>
      <c r="H8814" t="s">
        <v>432</v>
      </c>
      <c r="J8814" t="s">
        <v>17529</v>
      </c>
    </row>
    <row r="8815" spans="1:10" hidden="1" x14ac:dyDescent="0.25">
      <c r="A8815" t="s">
        <v>12013</v>
      </c>
      <c r="B8815" s="1" t="str">
        <f>HYPERLINK("https://asmlis.vasa.lt/Dashboard/Served?ServiceDateFrom=2025-11-24&amp;ServiceDateTo=2025-11-24&amp;DumpsterInvNr=13-L-426531", "13-L-426531")</f>
        <v>13-L-426531</v>
      </c>
      <c r="C8815">
        <v>0.24</v>
      </c>
      <c r="D8815" t="s">
        <v>7330</v>
      </c>
      <c r="E8815" t="s">
        <v>11</v>
      </c>
      <c r="G8815" t="s">
        <v>74</v>
      </c>
      <c r="H8815" t="s">
        <v>14</v>
      </c>
    </row>
    <row r="8816" spans="1:10" hidden="1" x14ac:dyDescent="0.25">
      <c r="A8816" t="s">
        <v>12012</v>
      </c>
      <c r="B8816" s="1" t="str">
        <f>HYPERLINK("https://asmlis.vasa.lt/Dashboard/Served?ServiceDateFrom=2025-11-24&amp;ServiceDateTo=2025-11-24&amp;DumpsterInvNr=13-P-416721", "13-P-416721")</f>
        <v>13-P-416721</v>
      </c>
      <c r="C8816">
        <v>1.1000000000000001</v>
      </c>
      <c r="D8816" t="s">
        <v>6428</v>
      </c>
      <c r="E8816" t="s">
        <v>11</v>
      </c>
      <c r="F8816" t="s">
        <v>13</v>
      </c>
      <c r="G8816" t="s">
        <v>264</v>
      </c>
      <c r="H8816" t="s">
        <v>14</v>
      </c>
    </row>
    <row r="8817" spans="1:8" hidden="1" x14ac:dyDescent="0.25">
      <c r="A8817" t="s">
        <v>12014</v>
      </c>
      <c r="B8817" s="1" t="str">
        <f>HYPERLINK("https://asmlis.vasa.lt/Dashboard/Served?ServiceDateFrom=2025-11-24&amp;ServiceDateTo=2025-11-24&amp;DumpsterInvNr=13-P-113676", "13-P-113676")</f>
        <v>13-P-113676</v>
      </c>
      <c r="C8817">
        <v>0.24</v>
      </c>
      <c r="D8817" t="s">
        <v>12015</v>
      </c>
      <c r="E8817" t="s">
        <v>11</v>
      </c>
      <c r="F8817" t="s">
        <v>1209</v>
      </c>
      <c r="G8817" t="s">
        <v>1917</v>
      </c>
      <c r="H8817" t="s">
        <v>432</v>
      </c>
    </row>
    <row r="8818" spans="1:8" hidden="1" x14ac:dyDescent="0.25">
      <c r="A8818" t="s">
        <v>12016</v>
      </c>
      <c r="B8818" s="1" t="str">
        <f>HYPERLINK("https://asmlis.vasa.lt/Dashboard/Served?ServiceDateFrom=2025-11-24&amp;ServiceDateTo=2025-11-24&amp;DumpsterInvNr=13-P-301890", "13-P-301890")</f>
        <v>13-P-301890</v>
      </c>
      <c r="C8818">
        <v>1.1000000000000001</v>
      </c>
      <c r="D8818" t="s">
        <v>6228</v>
      </c>
      <c r="E8818" t="s">
        <v>11</v>
      </c>
      <c r="G8818" t="s">
        <v>412</v>
      </c>
      <c r="H8818" t="s">
        <v>14</v>
      </c>
    </row>
    <row r="8819" spans="1:8" hidden="1" x14ac:dyDescent="0.25">
      <c r="A8819" t="s">
        <v>12017</v>
      </c>
      <c r="B8819" s="1" t="str">
        <f>HYPERLINK("https://asmlis.vasa.lt/Dashboard/Served?ServiceDateFrom=2025-11-24&amp;ServiceDateTo=2025-11-24&amp;DumpsterInvNr=13-P-400489", "13-P-400489")</f>
        <v>13-P-400489</v>
      </c>
      <c r="C8819">
        <v>5</v>
      </c>
      <c r="D8819" t="s">
        <v>8489</v>
      </c>
      <c r="E8819" t="s">
        <v>11</v>
      </c>
      <c r="G8819" t="s">
        <v>264</v>
      </c>
      <c r="H8819" t="s">
        <v>14</v>
      </c>
    </row>
    <row r="8820" spans="1:8" hidden="1" x14ac:dyDescent="0.25">
      <c r="A8820" t="s">
        <v>12018</v>
      </c>
      <c r="B8820" s="1" t="str">
        <f>HYPERLINK("https://asmlis.vasa.lt/Dashboard/Served?ServiceDateFrom=2025-11-24&amp;ServiceDateTo=2025-11-24&amp;DumpsterInvNr=13-P-416532", "13-P-416532")</f>
        <v>13-P-416532</v>
      </c>
      <c r="C8820">
        <v>1.1000000000000001</v>
      </c>
      <c r="D8820" t="s">
        <v>6428</v>
      </c>
      <c r="E8820" t="s">
        <v>11</v>
      </c>
      <c r="F8820" t="s">
        <v>13</v>
      </c>
      <c r="G8820" t="s">
        <v>264</v>
      </c>
      <c r="H8820" t="s">
        <v>14</v>
      </c>
    </row>
    <row r="8821" spans="1:8" hidden="1" x14ac:dyDescent="0.25">
      <c r="A8821" t="s">
        <v>12018</v>
      </c>
      <c r="B8821" s="1" t="str">
        <f>HYPERLINK("https://asmlis.vasa.lt/Dashboard/Served?ServiceDateFrom=2025-11-24&amp;ServiceDateTo=2025-11-24&amp;DumpsterInvNr=13-L-138060", "13-L-138060")</f>
        <v>13-L-138060</v>
      </c>
      <c r="C8821">
        <v>0.24</v>
      </c>
      <c r="D8821" t="s">
        <v>12015</v>
      </c>
      <c r="E8821" t="s">
        <v>11</v>
      </c>
      <c r="F8821" t="s">
        <v>1209</v>
      </c>
      <c r="G8821" t="s">
        <v>1912</v>
      </c>
      <c r="H8821" t="s">
        <v>432</v>
      </c>
    </row>
    <row r="8822" spans="1:8" hidden="1" x14ac:dyDescent="0.25">
      <c r="A8822" t="s">
        <v>12020</v>
      </c>
      <c r="B8822" s="1" t="str">
        <f>HYPERLINK("https://asmlis.vasa.lt/Dashboard/Served?ServiceDateFrom=2025-11-24&amp;ServiceDateTo=2025-11-24&amp;DumpsterInvNr=13-L-306281", "13-L-306281")</f>
        <v>13-L-306281</v>
      </c>
      <c r="C8822">
        <v>1.1000000000000001</v>
      </c>
      <c r="D8822" t="s">
        <v>11999</v>
      </c>
      <c r="E8822" t="s">
        <v>11</v>
      </c>
      <c r="G8822" t="s">
        <v>9</v>
      </c>
      <c r="H8822" t="s">
        <v>14</v>
      </c>
    </row>
    <row r="8823" spans="1:8" hidden="1" x14ac:dyDescent="0.25">
      <c r="A8823" t="s">
        <v>12021</v>
      </c>
      <c r="B8823" s="1" t="str">
        <f>HYPERLINK("https://asmlis.vasa.lt/Dashboard/Served?ServiceDateFrom=2025-11-24&amp;ServiceDateTo=2025-11-24&amp;DumpsterInvNr=13-S-108301", "13-S-108301")</f>
        <v>13-S-108301</v>
      </c>
      <c r="C8823">
        <v>0.12</v>
      </c>
      <c r="D8823" t="s">
        <v>12015</v>
      </c>
      <c r="E8823" t="s">
        <v>11</v>
      </c>
      <c r="F8823" t="s">
        <v>1209</v>
      </c>
      <c r="G8823" t="s">
        <v>1917</v>
      </c>
      <c r="H8823" t="s">
        <v>432</v>
      </c>
    </row>
    <row r="8824" spans="1:8" hidden="1" x14ac:dyDescent="0.25">
      <c r="A8824" t="s">
        <v>12022</v>
      </c>
      <c r="B8824" s="1" t="str">
        <f>HYPERLINK("https://asmlis.vasa.lt/Dashboard/Served?ServiceDateFrom=2025-11-24&amp;ServiceDateTo=2025-11-24&amp;DumpsterInvNr=13-P-500432", "13-P-500432")</f>
        <v>13-P-500432</v>
      </c>
      <c r="C8824">
        <v>5</v>
      </c>
      <c r="D8824" t="s">
        <v>12023</v>
      </c>
      <c r="E8824" t="s">
        <v>11</v>
      </c>
      <c r="F8824" t="s">
        <v>13</v>
      </c>
      <c r="G8824" t="s">
        <v>2178</v>
      </c>
      <c r="H8824" t="s">
        <v>432</v>
      </c>
    </row>
    <row r="8825" spans="1:8" hidden="1" x14ac:dyDescent="0.25">
      <c r="A8825" t="s">
        <v>12025</v>
      </c>
      <c r="B8825" s="1" t="str">
        <f>HYPERLINK("https://asmlis.vasa.lt/Dashboard/Served?ServiceDateFrom=2025-11-24&amp;ServiceDateTo=2025-11-24&amp;DumpsterInvNr=13-L-304406", "13-L-304406")</f>
        <v>13-L-304406</v>
      </c>
      <c r="C8825">
        <v>5</v>
      </c>
      <c r="D8825" t="s">
        <v>10071</v>
      </c>
      <c r="E8825" t="s">
        <v>11</v>
      </c>
      <c r="F8825" t="s">
        <v>13</v>
      </c>
      <c r="G8825" t="s">
        <v>9</v>
      </c>
      <c r="H8825" t="s">
        <v>14</v>
      </c>
    </row>
    <row r="8826" spans="1:8" hidden="1" x14ac:dyDescent="0.25">
      <c r="A8826" t="s">
        <v>12025</v>
      </c>
      <c r="B8826" s="1" t="str">
        <f>HYPERLINK("https://asmlis.vasa.lt/Dashboard/Served?ServiceDateFrom=2025-11-24&amp;ServiceDateTo=2025-11-24&amp;DumpsterInvNr=13-P-400311", "13-P-400311")</f>
        <v>13-P-400311</v>
      </c>
      <c r="C8826">
        <v>0.24</v>
      </c>
      <c r="D8826" t="s">
        <v>1871</v>
      </c>
      <c r="E8826" t="s">
        <v>11</v>
      </c>
      <c r="G8826" t="s">
        <v>264</v>
      </c>
      <c r="H8826" t="s">
        <v>14</v>
      </c>
    </row>
    <row r="8827" spans="1:8" hidden="1" x14ac:dyDescent="0.25">
      <c r="A8827" t="s">
        <v>12027</v>
      </c>
      <c r="B8827" s="1" t="str">
        <f>HYPERLINK("https://asmlis.vasa.lt/Dashboard/Served?ServiceDateFrom=2025-11-24&amp;ServiceDateTo=2025-11-24&amp;DumpsterInvNr=13-M-202390", "13-M-202390")</f>
        <v>13-M-202390</v>
      </c>
      <c r="C8827">
        <v>0.12</v>
      </c>
      <c r="D8827" t="s">
        <v>12028</v>
      </c>
      <c r="E8827" t="s">
        <v>11</v>
      </c>
      <c r="G8827" t="s">
        <v>4876</v>
      </c>
      <c r="H8827" t="s">
        <v>938</v>
      </c>
    </row>
    <row r="8828" spans="1:8" hidden="1" x14ac:dyDescent="0.25">
      <c r="A8828" t="s">
        <v>12027</v>
      </c>
      <c r="B8828" s="1" t="str">
        <f>HYPERLINK("https://asmlis.vasa.lt/Dashboard/Served?ServiceDateFrom=2025-11-24&amp;ServiceDateTo=2025-11-24&amp;DumpsterInvNr=13-M-202333", "13-M-202333")</f>
        <v>13-M-202333</v>
      </c>
      <c r="C8828">
        <v>0.12</v>
      </c>
      <c r="D8828" t="s">
        <v>12029</v>
      </c>
      <c r="E8828" t="s">
        <v>11</v>
      </c>
      <c r="G8828" t="s">
        <v>4876</v>
      </c>
      <c r="H8828" t="s">
        <v>938</v>
      </c>
    </row>
    <row r="8829" spans="1:8" hidden="1" x14ac:dyDescent="0.25">
      <c r="A8829" t="s">
        <v>12027</v>
      </c>
      <c r="B8829" s="1" t="str">
        <f>HYPERLINK("https://asmlis.vasa.lt/Dashboard/Served?ServiceDateFrom=2025-11-24&amp;ServiceDateTo=2025-11-24&amp;DumpsterInvNr=13-L-137589", "13-L-137589")</f>
        <v>13-L-137589</v>
      </c>
      <c r="C8829">
        <v>1.1000000000000001</v>
      </c>
      <c r="D8829" t="s">
        <v>12030</v>
      </c>
      <c r="E8829" t="s">
        <v>11</v>
      </c>
      <c r="G8829" t="s">
        <v>430</v>
      </c>
      <c r="H8829" t="s">
        <v>432</v>
      </c>
    </row>
    <row r="8830" spans="1:8" hidden="1" x14ac:dyDescent="0.25">
      <c r="A8830" t="s">
        <v>12031</v>
      </c>
      <c r="B8830" s="1" t="str">
        <f>HYPERLINK("https://asmlis.vasa.lt/Dashboard/Served?ServiceDateFrom=2025-11-24&amp;ServiceDateTo=2025-11-24&amp;DumpsterInvNr=13-P-206333", "13-P-206333")</f>
        <v>13-P-206333</v>
      </c>
      <c r="C8830">
        <v>0.24</v>
      </c>
      <c r="D8830" t="s">
        <v>12032</v>
      </c>
      <c r="E8830" t="s">
        <v>11</v>
      </c>
      <c r="G8830" t="s">
        <v>234</v>
      </c>
      <c r="H8830" t="s">
        <v>14</v>
      </c>
    </row>
    <row r="8831" spans="1:8" hidden="1" x14ac:dyDescent="0.25">
      <c r="A8831" t="s">
        <v>12033</v>
      </c>
      <c r="B8831" s="1" t="str">
        <f>HYPERLINK("https://asmlis.vasa.lt/Dashboard/Served?ServiceDateFrom=2025-11-24&amp;ServiceDateTo=2025-11-24&amp;DumpsterInvNr=13-S-505385", "13-S-505385")</f>
        <v>13-S-505385</v>
      </c>
      <c r="C8831">
        <v>0.12</v>
      </c>
      <c r="D8831" t="s">
        <v>11996</v>
      </c>
      <c r="E8831" t="s">
        <v>11</v>
      </c>
      <c r="F8831" t="s">
        <v>1209</v>
      </c>
      <c r="G8831" t="s">
        <v>2178</v>
      </c>
      <c r="H8831" t="s">
        <v>432</v>
      </c>
    </row>
    <row r="8832" spans="1:8" hidden="1" x14ac:dyDescent="0.25">
      <c r="A8832" t="s">
        <v>12034</v>
      </c>
      <c r="B8832" s="1" t="str">
        <f>HYPERLINK("https://asmlis.vasa.lt/Dashboard/Served?ServiceDateFrom=2025-11-24&amp;ServiceDateTo=2025-11-24&amp;DumpsterInvNr=13-P-206174", "13-P-206174")</f>
        <v>13-P-206174</v>
      </c>
      <c r="C8832">
        <v>0.24</v>
      </c>
      <c r="D8832" t="s">
        <v>12035</v>
      </c>
      <c r="E8832" t="s">
        <v>11</v>
      </c>
      <c r="G8832" t="s">
        <v>234</v>
      </c>
      <c r="H8832" t="s">
        <v>14</v>
      </c>
    </row>
    <row r="8833" spans="1:8" hidden="1" x14ac:dyDescent="0.25">
      <c r="A8833" t="s">
        <v>12034</v>
      </c>
      <c r="B8833" s="1" t="str">
        <f>HYPERLINK("https://asmlis.vasa.lt/Dashboard/Served?ServiceDateFrom=2025-11-24&amp;ServiceDateTo=2025-11-24&amp;DumpsterInvNr=13-S-205995", "13-S-205995")</f>
        <v>13-S-205995</v>
      </c>
      <c r="C8833">
        <v>0.12</v>
      </c>
      <c r="D8833" t="s">
        <v>12035</v>
      </c>
      <c r="E8833" t="s">
        <v>11</v>
      </c>
      <c r="G8833" t="s">
        <v>234</v>
      </c>
      <c r="H8833" t="s">
        <v>14</v>
      </c>
    </row>
    <row r="8834" spans="1:8" hidden="1" x14ac:dyDescent="0.25">
      <c r="A8834" t="s">
        <v>12036</v>
      </c>
      <c r="B8834" s="1" t="str">
        <f>HYPERLINK("https://asmlis.vasa.lt/Dashboard/Served?ServiceDateFrom=2025-11-24&amp;ServiceDateTo=2025-11-24&amp;DumpsterInvNr=13-L-415170", "13-L-415170")</f>
        <v>13-L-415170</v>
      </c>
      <c r="C8834">
        <v>0.24</v>
      </c>
      <c r="D8834" t="s">
        <v>12038</v>
      </c>
      <c r="E8834" t="s">
        <v>11</v>
      </c>
      <c r="G8834" t="s">
        <v>74</v>
      </c>
      <c r="H8834" t="s">
        <v>14</v>
      </c>
    </row>
    <row r="8835" spans="1:8" hidden="1" x14ac:dyDescent="0.25">
      <c r="A8835" t="s">
        <v>12039</v>
      </c>
      <c r="B8835" s="1" t="str">
        <f>HYPERLINK("https://asmlis.vasa.lt/Dashboard/Served?ServiceDateFrom=2025-11-24&amp;ServiceDateTo=2025-11-24&amp;DumpsterInvNr=13-P-302320", "13-P-302320")</f>
        <v>13-P-302320</v>
      </c>
      <c r="C8835">
        <v>5</v>
      </c>
      <c r="D8835" t="s">
        <v>12040</v>
      </c>
      <c r="E8835" t="s">
        <v>11</v>
      </c>
      <c r="F8835" t="s">
        <v>13</v>
      </c>
      <c r="G8835" t="s">
        <v>412</v>
      </c>
      <c r="H8835" t="s">
        <v>14</v>
      </c>
    </row>
    <row r="8836" spans="1:8" hidden="1" x14ac:dyDescent="0.25">
      <c r="A8836" t="s">
        <v>12041</v>
      </c>
      <c r="B8836" s="1" t="str">
        <f>HYPERLINK("https://asmlis.vasa.lt/Dashboard/Served?ServiceDateFrom=2025-11-24&amp;ServiceDateTo=2025-11-24&amp;DumpsterInvNr=13-S-400539", "13-S-400539")</f>
        <v>13-S-400539</v>
      </c>
      <c r="C8836">
        <v>0.12</v>
      </c>
      <c r="D8836" t="s">
        <v>1873</v>
      </c>
      <c r="E8836" t="s">
        <v>11</v>
      </c>
      <c r="F8836" t="s">
        <v>1209</v>
      </c>
      <c r="G8836" t="s">
        <v>264</v>
      </c>
      <c r="H8836" t="s">
        <v>14</v>
      </c>
    </row>
    <row r="8837" spans="1:8" hidden="1" x14ac:dyDescent="0.25">
      <c r="A8837" t="s">
        <v>12041</v>
      </c>
      <c r="B8837" s="1" t="str">
        <f>HYPERLINK("https://asmlis.vasa.lt/Dashboard/Served?ServiceDateFrom=2025-11-24&amp;ServiceDateTo=2025-11-24&amp;DumpsterInvNr=13-S-400674", "13-S-400674")</f>
        <v>13-S-400674</v>
      </c>
      <c r="C8837">
        <v>0.12</v>
      </c>
      <c r="D8837" t="s">
        <v>1867</v>
      </c>
      <c r="E8837" t="s">
        <v>11</v>
      </c>
      <c r="F8837" t="s">
        <v>1209</v>
      </c>
      <c r="G8837" t="s">
        <v>264</v>
      </c>
      <c r="H8837" t="s">
        <v>14</v>
      </c>
    </row>
    <row r="8838" spans="1:8" hidden="1" x14ac:dyDescent="0.25">
      <c r="A8838" t="s">
        <v>12041</v>
      </c>
      <c r="B8838" s="1" t="str">
        <f>HYPERLINK("https://asmlis.vasa.lt/Dashboard/Served?ServiceDateFrom=2025-11-24&amp;ServiceDateTo=2025-11-24&amp;DumpsterInvNr=13-S-505384", "13-S-505384")</f>
        <v>13-S-505384</v>
      </c>
      <c r="C8838">
        <v>0.12</v>
      </c>
      <c r="D8838" t="s">
        <v>12004</v>
      </c>
      <c r="E8838" t="s">
        <v>11</v>
      </c>
      <c r="F8838" t="s">
        <v>1209</v>
      </c>
      <c r="G8838" t="s">
        <v>2178</v>
      </c>
      <c r="H8838" t="s">
        <v>432</v>
      </c>
    </row>
    <row r="8839" spans="1:8" hidden="1" x14ac:dyDescent="0.25">
      <c r="A8839" t="s">
        <v>12042</v>
      </c>
      <c r="B8839" s="1" t="str">
        <f>HYPERLINK("https://asmlis.vasa.lt/Dashboard/Served?ServiceDateFrom=2025-11-24&amp;ServiceDateTo=2025-11-24&amp;DumpsterInvNr=13-L-306315", "13-L-306315")</f>
        <v>13-L-306315</v>
      </c>
      <c r="C8839">
        <v>1.1000000000000001</v>
      </c>
      <c r="D8839" t="s">
        <v>11999</v>
      </c>
      <c r="E8839" t="s">
        <v>11</v>
      </c>
      <c r="G8839" t="s">
        <v>9</v>
      </c>
      <c r="H8839" t="s">
        <v>14</v>
      </c>
    </row>
    <row r="8840" spans="1:8" hidden="1" x14ac:dyDescent="0.25">
      <c r="A8840" t="s">
        <v>12043</v>
      </c>
      <c r="B8840" s="1" t="str">
        <f>HYPERLINK("https://asmlis.vasa.lt/Dashboard/Served?ServiceDateFrom=2025-11-24&amp;ServiceDateTo=2025-11-24&amp;DumpsterInvNr=13-P-302324", "13-P-302324")</f>
        <v>13-P-302324</v>
      </c>
      <c r="C8840">
        <v>5</v>
      </c>
      <c r="D8840" t="s">
        <v>12040</v>
      </c>
      <c r="E8840" t="s">
        <v>11</v>
      </c>
      <c r="F8840" t="s">
        <v>13</v>
      </c>
      <c r="G8840" t="s">
        <v>412</v>
      </c>
      <c r="H8840" t="s">
        <v>14</v>
      </c>
    </row>
    <row r="8841" spans="1:8" hidden="1" x14ac:dyDescent="0.25">
      <c r="A8841" t="s">
        <v>12044</v>
      </c>
      <c r="B8841" s="1" t="str">
        <f>HYPERLINK("https://asmlis.vasa.lt/Dashboard/Served?ServiceDateFrom=2025-11-24&amp;ServiceDateTo=2025-11-24&amp;DumpsterInvNr=13-L-147070", "13-L-147070")</f>
        <v>13-L-147070</v>
      </c>
      <c r="C8841">
        <v>0.24</v>
      </c>
      <c r="D8841" t="s">
        <v>12045</v>
      </c>
      <c r="E8841" t="s">
        <v>11</v>
      </c>
      <c r="G8841" t="s">
        <v>430</v>
      </c>
      <c r="H8841" t="s">
        <v>432</v>
      </c>
    </row>
    <row r="8842" spans="1:8" hidden="1" x14ac:dyDescent="0.25">
      <c r="A8842" t="s">
        <v>12044</v>
      </c>
      <c r="B8842" s="1" t="str">
        <f>HYPERLINK("https://asmlis.vasa.lt/Dashboard/Served?ServiceDateFrom=2025-11-24&amp;ServiceDateTo=2025-11-24&amp;DumpsterInvNr=13-P-501984", "13-P-501984")</f>
        <v>13-P-501984</v>
      </c>
      <c r="C8842">
        <v>0.24</v>
      </c>
      <c r="D8842" t="s">
        <v>12045</v>
      </c>
      <c r="E8842" t="s">
        <v>11</v>
      </c>
      <c r="G8842" t="s">
        <v>2178</v>
      </c>
      <c r="H8842" t="s">
        <v>432</v>
      </c>
    </row>
    <row r="8843" spans="1:8" hidden="1" x14ac:dyDescent="0.25">
      <c r="A8843" t="s">
        <v>12048</v>
      </c>
      <c r="B8843" s="1" t="str">
        <f>HYPERLINK("https://asmlis.vasa.lt/Dashboard/Served?ServiceDateFrom=2025-11-24&amp;ServiceDateTo=2025-11-24&amp;DumpsterInvNr=13-M-206014", "13-M-206014")</f>
        <v>13-M-206014</v>
      </c>
      <c r="C8843">
        <v>0.12</v>
      </c>
      <c r="D8843" t="s">
        <v>12049</v>
      </c>
      <c r="E8843" t="s">
        <v>11</v>
      </c>
      <c r="F8843" t="s">
        <v>1209</v>
      </c>
      <c r="G8843" t="s">
        <v>4876</v>
      </c>
      <c r="H8843" t="s">
        <v>938</v>
      </c>
    </row>
    <row r="8844" spans="1:8" hidden="1" x14ac:dyDescent="0.25">
      <c r="A8844" t="s">
        <v>12050</v>
      </c>
      <c r="B8844" s="1" t="str">
        <f>HYPERLINK("https://asmlis.vasa.lt/Dashboard/Served?ServiceDateFrom=2025-11-24&amp;ServiceDateTo=2025-11-24&amp;DumpsterInvNr=13-L-147858", "13-L-147858")</f>
        <v>13-L-147858</v>
      </c>
      <c r="C8844">
        <v>0.24</v>
      </c>
      <c r="D8844" t="s">
        <v>12051</v>
      </c>
      <c r="E8844" t="s">
        <v>11</v>
      </c>
      <c r="G8844" t="s">
        <v>430</v>
      </c>
      <c r="H8844" t="s">
        <v>432</v>
      </c>
    </row>
    <row r="8845" spans="1:8" hidden="1" x14ac:dyDescent="0.25">
      <c r="A8845" t="s">
        <v>12052</v>
      </c>
      <c r="B8845" s="1" t="str">
        <f>HYPERLINK("https://asmlis.vasa.lt/Dashboard/Served?ServiceDateFrom=2025-11-24&amp;ServiceDateTo=2025-11-24&amp;DumpsterInvNr=13-L-223788", "13-L-223788")</f>
        <v>13-L-223788</v>
      </c>
      <c r="C8845">
        <v>1.1000000000000001</v>
      </c>
      <c r="D8845" t="s">
        <v>7132</v>
      </c>
      <c r="E8845" t="s">
        <v>11</v>
      </c>
      <c r="G8845" t="s">
        <v>936</v>
      </c>
      <c r="H8845" t="s">
        <v>938</v>
      </c>
    </row>
    <row r="8846" spans="1:8" hidden="1" x14ac:dyDescent="0.25">
      <c r="A8846" t="s">
        <v>12052</v>
      </c>
      <c r="B8846" s="1" t="str">
        <f>HYPERLINK("https://asmlis.vasa.lt/Dashboard/Served?ServiceDateFrom=2025-11-24&amp;ServiceDateTo=2025-11-24&amp;DumpsterInvNr=13-S-400825", "13-S-400825")</f>
        <v>13-S-400825</v>
      </c>
      <c r="C8846">
        <v>0.12</v>
      </c>
      <c r="D8846" t="s">
        <v>1866</v>
      </c>
      <c r="E8846" t="s">
        <v>11</v>
      </c>
      <c r="F8846" t="s">
        <v>1209</v>
      </c>
      <c r="G8846" t="s">
        <v>264</v>
      </c>
      <c r="H8846" t="s">
        <v>14</v>
      </c>
    </row>
    <row r="8847" spans="1:8" hidden="1" x14ac:dyDescent="0.25">
      <c r="A8847" t="s">
        <v>12053</v>
      </c>
      <c r="B8847" s="1" t="str">
        <f>HYPERLINK("https://asmlis.vasa.lt/Dashboard/Served?ServiceDateFrom=2025-11-24&amp;ServiceDateTo=2025-11-24&amp;DumpsterInvNr=13-S-506201", "13-S-506201")</f>
        <v>13-S-506201</v>
      </c>
      <c r="C8847">
        <v>0.12</v>
      </c>
      <c r="D8847" t="s">
        <v>12045</v>
      </c>
      <c r="E8847" t="s">
        <v>11</v>
      </c>
      <c r="F8847" t="s">
        <v>1209</v>
      </c>
      <c r="G8847" t="s">
        <v>2178</v>
      </c>
      <c r="H8847" t="s">
        <v>432</v>
      </c>
    </row>
    <row r="8848" spans="1:8" hidden="1" x14ac:dyDescent="0.25">
      <c r="A8848" t="s">
        <v>12054</v>
      </c>
      <c r="B8848" s="1" t="str">
        <f>HYPERLINK("https://asmlis.vasa.lt/Dashboard/Served?ServiceDateFrom=2025-11-24&amp;ServiceDateTo=2025-11-24&amp;DumpsterInvNr=13-P-400309", "13-P-400309")</f>
        <v>13-P-400309</v>
      </c>
      <c r="C8848">
        <v>0.24</v>
      </c>
      <c r="D8848" t="s">
        <v>1873</v>
      </c>
      <c r="E8848" t="s">
        <v>11</v>
      </c>
      <c r="F8848" t="s">
        <v>1209</v>
      </c>
      <c r="G8848" t="s">
        <v>264</v>
      </c>
      <c r="H8848" t="s">
        <v>14</v>
      </c>
    </row>
    <row r="8849" spans="1:8" hidden="1" x14ac:dyDescent="0.25">
      <c r="A8849" t="s">
        <v>12055</v>
      </c>
      <c r="B8849" s="1" t="str">
        <f>HYPERLINK("https://asmlis.vasa.lt/Dashboard/Served?ServiceDateFrom=2025-11-24&amp;ServiceDateTo=2025-11-24&amp;DumpsterInvNr=13-L-316345", "13-L-316345")</f>
        <v>13-L-316345</v>
      </c>
      <c r="C8849">
        <v>0.24</v>
      </c>
      <c r="D8849" t="s">
        <v>12056</v>
      </c>
      <c r="E8849" t="s">
        <v>11</v>
      </c>
      <c r="G8849" t="s">
        <v>9</v>
      </c>
      <c r="H8849" t="s">
        <v>14</v>
      </c>
    </row>
    <row r="8850" spans="1:8" hidden="1" x14ac:dyDescent="0.25">
      <c r="A8850" t="s">
        <v>12057</v>
      </c>
      <c r="B8850" s="1" t="str">
        <f>HYPERLINK("https://asmlis.vasa.lt/Dashboard/Served?ServiceDateFrom=2025-11-24&amp;ServiceDateTo=2025-11-24&amp;DumpsterInvNr=13-P-203716", "13-P-203716")</f>
        <v>13-P-203716</v>
      </c>
      <c r="C8850">
        <v>0.24</v>
      </c>
      <c r="D8850" t="s">
        <v>11256</v>
      </c>
      <c r="E8850" t="s">
        <v>11</v>
      </c>
      <c r="G8850" t="s">
        <v>234</v>
      </c>
      <c r="H8850" t="s">
        <v>14</v>
      </c>
    </row>
    <row r="8851" spans="1:8" hidden="1" x14ac:dyDescent="0.25">
      <c r="A8851" t="s">
        <v>12058</v>
      </c>
      <c r="B8851" s="1" t="str">
        <f>HYPERLINK("https://asmlis.vasa.lt/Dashboard/Served?ServiceDateFrom=2025-11-24&amp;ServiceDateTo=2025-11-24&amp;DumpsterInvNr=13-L-319667", "13-L-319667")</f>
        <v>13-L-319667</v>
      </c>
      <c r="C8851">
        <v>0.24</v>
      </c>
      <c r="D8851" t="s">
        <v>12056</v>
      </c>
      <c r="E8851" t="s">
        <v>11</v>
      </c>
      <c r="G8851" t="s">
        <v>9</v>
      </c>
      <c r="H8851" t="s">
        <v>14</v>
      </c>
    </row>
    <row r="8852" spans="1:8" hidden="1" x14ac:dyDescent="0.25">
      <c r="A8852" t="s">
        <v>12060</v>
      </c>
      <c r="B8852" s="1" t="str">
        <f>HYPERLINK("https://asmlis.vasa.lt/Dashboard/Served?ServiceDateFrom=2025-11-24&amp;ServiceDateTo=2025-11-24&amp;DumpsterInvNr=13-M-204942", "13-M-204942")</f>
        <v>13-M-204942</v>
      </c>
      <c r="C8852">
        <v>0.12</v>
      </c>
      <c r="D8852" t="s">
        <v>12061</v>
      </c>
      <c r="E8852" t="s">
        <v>11</v>
      </c>
      <c r="F8852" t="s">
        <v>1209</v>
      </c>
      <c r="G8852" t="s">
        <v>4876</v>
      </c>
      <c r="H8852" t="s">
        <v>938</v>
      </c>
    </row>
    <row r="8853" spans="1:8" hidden="1" x14ac:dyDescent="0.25">
      <c r="A8853" t="s">
        <v>12060</v>
      </c>
      <c r="B8853" s="1" t="str">
        <f>HYPERLINK("https://asmlis.vasa.lt/Dashboard/Served?ServiceDateFrom=2025-11-24&amp;ServiceDateTo=2025-11-24&amp;DumpsterInvNr=13-L-137588", "13-L-137588")</f>
        <v>13-L-137588</v>
      </c>
      <c r="C8853">
        <v>1.1000000000000001</v>
      </c>
      <c r="D8853" t="s">
        <v>12030</v>
      </c>
      <c r="E8853" t="s">
        <v>11</v>
      </c>
      <c r="G8853" t="s">
        <v>430</v>
      </c>
      <c r="H8853" t="s">
        <v>432</v>
      </c>
    </row>
    <row r="8854" spans="1:8" hidden="1" x14ac:dyDescent="0.25">
      <c r="A8854" t="s">
        <v>12063</v>
      </c>
      <c r="B8854" s="1" t="str">
        <f>HYPERLINK("https://asmlis.vasa.lt/Dashboard/Served?ServiceDateFrom=2025-11-24&amp;ServiceDateTo=2025-11-24&amp;DumpsterInvNr=13-M-204567", "13-M-204567")</f>
        <v>13-M-204567</v>
      </c>
      <c r="C8854">
        <v>0.12</v>
      </c>
      <c r="D8854" t="s">
        <v>12064</v>
      </c>
      <c r="E8854" t="s">
        <v>11</v>
      </c>
      <c r="F8854" t="s">
        <v>1209</v>
      </c>
      <c r="G8854" t="s">
        <v>4876</v>
      </c>
      <c r="H8854" t="s">
        <v>938</v>
      </c>
    </row>
    <row r="8855" spans="1:8" hidden="1" x14ac:dyDescent="0.25">
      <c r="A8855" t="s">
        <v>12065</v>
      </c>
      <c r="B8855" s="1" t="str">
        <f>HYPERLINK("https://asmlis.vasa.lt/Dashboard/Served?ServiceDateFrom=2025-11-24&amp;ServiceDateTo=2025-11-24&amp;DumpsterInvNr=13-L-222839", "13-L-222839")</f>
        <v>13-L-222839</v>
      </c>
      <c r="C8855">
        <v>1.1000000000000001</v>
      </c>
      <c r="D8855" t="s">
        <v>12066</v>
      </c>
      <c r="E8855" t="s">
        <v>11</v>
      </c>
      <c r="G8855" t="s">
        <v>936</v>
      </c>
      <c r="H8855" t="s">
        <v>938</v>
      </c>
    </row>
    <row r="8856" spans="1:8" hidden="1" x14ac:dyDescent="0.25">
      <c r="A8856" t="s">
        <v>12065</v>
      </c>
      <c r="B8856" s="1" t="str">
        <f>HYPERLINK("https://asmlis.vasa.lt/Dashboard/Served?ServiceDateFrom=2025-11-24&amp;ServiceDateTo=2025-11-24&amp;DumpsterInvNr=13-L-415126", "13-L-415126")</f>
        <v>13-L-415126</v>
      </c>
      <c r="C8856">
        <v>5</v>
      </c>
      <c r="D8856" t="s">
        <v>12067</v>
      </c>
      <c r="E8856" t="s">
        <v>11</v>
      </c>
      <c r="G8856" t="s">
        <v>74</v>
      </c>
      <c r="H8856" t="s">
        <v>14</v>
      </c>
    </row>
    <row r="8857" spans="1:8" hidden="1" x14ac:dyDescent="0.25">
      <c r="A8857" t="s">
        <v>12068</v>
      </c>
      <c r="B8857" s="1" t="str">
        <f>HYPERLINK("https://asmlis.vasa.lt/Dashboard/Served?ServiceDateFrom=2025-11-24&amp;ServiceDateTo=2025-11-24&amp;DumpsterInvNr=13-P-502089", "13-P-502089")</f>
        <v>13-P-502089</v>
      </c>
      <c r="C8857">
        <v>0.24</v>
      </c>
      <c r="D8857" t="s">
        <v>12051</v>
      </c>
      <c r="E8857" t="s">
        <v>11</v>
      </c>
      <c r="G8857" t="s">
        <v>2178</v>
      </c>
      <c r="H8857" t="s">
        <v>432</v>
      </c>
    </row>
    <row r="8858" spans="1:8" hidden="1" x14ac:dyDescent="0.25">
      <c r="A8858" t="s">
        <v>12069</v>
      </c>
      <c r="B8858" s="1" t="str">
        <f>HYPERLINK("https://asmlis.vasa.lt/Dashboard/Served?ServiceDateFrom=2025-11-24&amp;ServiceDateTo=2025-11-24&amp;DumpsterInvNr=13-L-422549", "13-L-422549")</f>
        <v>13-L-422549</v>
      </c>
      <c r="C8858">
        <v>0.24</v>
      </c>
      <c r="D8858" t="s">
        <v>12070</v>
      </c>
      <c r="E8858" t="s">
        <v>11</v>
      </c>
      <c r="G8858" t="s">
        <v>74</v>
      </c>
      <c r="H8858" t="s">
        <v>14</v>
      </c>
    </row>
    <row r="8859" spans="1:8" hidden="1" x14ac:dyDescent="0.25">
      <c r="A8859" t="s">
        <v>12069</v>
      </c>
      <c r="B8859" s="1" t="str">
        <f>HYPERLINK("https://asmlis.vasa.lt/Dashboard/Served?ServiceDateFrom=2025-11-24&amp;ServiceDateTo=2025-11-24&amp;DumpsterInvNr=13-L-426874", "13-L-426874")</f>
        <v>13-L-426874</v>
      </c>
      <c r="C8859">
        <v>0.24</v>
      </c>
      <c r="D8859" t="s">
        <v>6757</v>
      </c>
      <c r="E8859" t="s">
        <v>11</v>
      </c>
      <c r="G8859" t="s">
        <v>74</v>
      </c>
      <c r="H8859" t="s">
        <v>14</v>
      </c>
    </row>
    <row r="8860" spans="1:8" hidden="1" x14ac:dyDescent="0.25">
      <c r="A8860" t="s">
        <v>12071</v>
      </c>
      <c r="B8860" s="1" t="str">
        <f>HYPERLINK("https://asmlis.vasa.lt/Dashboard/Served?ServiceDateFrom=2025-11-24&amp;ServiceDateTo=2025-11-24&amp;DumpsterInvNr=13-S-506946", "13-S-506946")</f>
        <v>13-S-506946</v>
      </c>
      <c r="C8860">
        <v>0.12</v>
      </c>
      <c r="D8860" t="s">
        <v>12051</v>
      </c>
      <c r="E8860" t="s">
        <v>11</v>
      </c>
      <c r="G8860" t="s">
        <v>2178</v>
      </c>
      <c r="H8860" t="s">
        <v>432</v>
      </c>
    </row>
    <row r="8861" spans="1:8" hidden="1" x14ac:dyDescent="0.25">
      <c r="A8861" t="s">
        <v>11814</v>
      </c>
      <c r="B8861" s="1" t="str">
        <f>HYPERLINK("https://asmlis.vasa.lt/Dashboard/Served?ServiceDateFrom=2025-11-24&amp;ServiceDateTo=2025-11-24&amp;DumpsterInvNr=13-P-403807", "13-P-403807")</f>
        <v>13-P-403807</v>
      </c>
      <c r="C8861">
        <v>0.24</v>
      </c>
      <c r="D8861" t="s">
        <v>1842</v>
      </c>
      <c r="E8861" t="s">
        <v>11</v>
      </c>
      <c r="G8861" t="s">
        <v>264</v>
      </c>
      <c r="H8861" t="s">
        <v>14</v>
      </c>
    </row>
    <row r="8862" spans="1:8" hidden="1" x14ac:dyDescent="0.25">
      <c r="A8862" t="s">
        <v>11830</v>
      </c>
      <c r="B8862" s="1" t="str">
        <f>HYPERLINK("https://asmlis.vasa.lt/Dashboard/Served?ServiceDateFrom=2025-11-24&amp;ServiceDateTo=2025-11-24&amp;DumpsterInvNr=13-M-204957", "13-M-204957")</f>
        <v>13-M-204957</v>
      </c>
      <c r="C8862">
        <v>0.12</v>
      </c>
      <c r="D8862" t="s">
        <v>12073</v>
      </c>
      <c r="E8862" t="s">
        <v>11</v>
      </c>
      <c r="G8862" t="s">
        <v>4876</v>
      </c>
      <c r="H8862" t="s">
        <v>938</v>
      </c>
    </row>
    <row r="8863" spans="1:8" hidden="1" x14ac:dyDescent="0.25">
      <c r="A8863" t="s">
        <v>11711</v>
      </c>
      <c r="B8863" s="1" t="str">
        <f>HYPERLINK("https://asmlis.vasa.lt/Dashboard/Served?ServiceDateFrom=2025-11-24&amp;ServiceDateTo=2025-11-24&amp;DumpsterInvNr=13-P-300250", "13-P-300250")</f>
        <v>13-P-300250</v>
      </c>
      <c r="C8863">
        <v>1.1000000000000001</v>
      </c>
      <c r="D8863" t="s">
        <v>5702</v>
      </c>
      <c r="E8863" t="s">
        <v>11</v>
      </c>
      <c r="F8863" t="s">
        <v>13</v>
      </c>
      <c r="G8863" t="s">
        <v>412</v>
      </c>
      <c r="H8863" t="s">
        <v>14</v>
      </c>
    </row>
    <row r="8864" spans="1:8" hidden="1" x14ac:dyDescent="0.25">
      <c r="A8864" t="s">
        <v>11745</v>
      </c>
      <c r="B8864" s="1" t="str">
        <f>HYPERLINK("https://asmlis.vasa.lt/Dashboard/Served?ServiceDateFrom=2025-11-24&amp;ServiceDateTo=2025-11-24&amp;DumpsterInvNr=13-L-102701", "13-L-102701")</f>
        <v>13-L-102701</v>
      </c>
      <c r="C8864">
        <v>0.24</v>
      </c>
      <c r="D8864" t="s">
        <v>12074</v>
      </c>
      <c r="E8864" t="s">
        <v>11</v>
      </c>
      <c r="G8864" t="s">
        <v>1912</v>
      </c>
      <c r="H8864" t="s">
        <v>432</v>
      </c>
    </row>
    <row r="8865" spans="1:8" hidden="1" x14ac:dyDescent="0.25">
      <c r="A8865" t="s">
        <v>12075</v>
      </c>
      <c r="B8865" s="1" t="str">
        <f>HYPERLINK("https://asmlis.vasa.lt/Dashboard/Served?ServiceDateFrom=2025-11-24&amp;ServiceDateTo=2025-11-24&amp;DumpsterInvNr=13-L-304167", "13-L-304167")</f>
        <v>13-L-304167</v>
      </c>
      <c r="C8865">
        <v>1.1000000000000001</v>
      </c>
      <c r="D8865" t="s">
        <v>11986</v>
      </c>
      <c r="E8865" t="s">
        <v>11</v>
      </c>
      <c r="F8865" t="s">
        <v>13</v>
      </c>
      <c r="G8865" t="s">
        <v>9</v>
      </c>
      <c r="H8865" t="s">
        <v>14</v>
      </c>
    </row>
    <row r="8866" spans="1:8" hidden="1" x14ac:dyDescent="0.25">
      <c r="A8866" t="s">
        <v>12075</v>
      </c>
      <c r="B8866" s="1" t="str">
        <f>HYPERLINK("https://asmlis.vasa.lt/Dashboard/Served?ServiceDateFrom=2025-11-24&amp;ServiceDateTo=2025-11-24&amp;DumpsterInvNr=13-L-417831", "13-L-417831")</f>
        <v>13-L-417831</v>
      </c>
      <c r="C8866">
        <v>0.24</v>
      </c>
      <c r="D8866" t="s">
        <v>12076</v>
      </c>
      <c r="E8866" t="s">
        <v>11</v>
      </c>
      <c r="G8866" t="s">
        <v>74</v>
      </c>
      <c r="H8866" t="s">
        <v>14</v>
      </c>
    </row>
    <row r="8867" spans="1:8" hidden="1" x14ac:dyDescent="0.25">
      <c r="A8867" t="s">
        <v>11756</v>
      </c>
      <c r="B8867" s="1" t="str">
        <f>HYPERLINK("https://asmlis.vasa.lt/Dashboard/Served?ServiceDateFrom=2025-11-24&amp;ServiceDateTo=2025-11-24&amp;DumpsterInvNr=13-P-112235", "13-P-112235")</f>
        <v>13-P-112235</v>
      </c>
      <c r="C8867">
        <v>0.24</v>
      </c>
      <c r="D8867" t="s">
        <v>12074</v>
      </c>
      <c r="E8867" t="s">
        <v>11</v>
      </c>
      <c r="G8867" t="s">
        <v>1917</v>
      </c>
      <c r="H8867" t="s">
        <v>432</v>
      </c>
    </row>
    <row r="8868" spans="1:8" hidden="1" x14ac:dyDescent="0.25">
      <c r="A8868" t="s">
        <v>11776</v>
      </c>
      <c r="B8868" s="1" t="str">
        <f>HYPERLINK("https://asmlis.vasa.lt/Dashboard/Served?ServiceDateFrom=2025-11-24&amp;ServiceDateTo=2025-11-24&amp;DumpsterInvNr=13-L-102702", "13-L-102702")</f>
        <v>13-L-102702</v>
      </c>
      <c r="C8868">
        <v>0.24</v>
      </c>
      <c r="D8868" t="s">
        <v>12077</v>
      </c>
      <c r="E8868" t="s">
        <v>11</v>
      </c>
      <c r="G8868" t="s">
        <v>1912</v>
      </c>
      <c r="H8868" t="s">
        <v>432</v>
      </c>
    </row>
    <row r="8869" spans="1:8" hidden="1" x14ac:dyDescent="0.25">
      <c r="A8869" t="s">
        <v>11831</v>
      </c>
      <c r="B8869" s="1" t="str">
        <f>HYPERLINK("https://asmlis.vasa.lt/Dashboard/Served?ServiceDateFrom=2025-11-24&amp;ServiceDateTo=2025-11-24&amp;DumpsterInvNr=13-L-306280", "13-L-306280")</f>
        <v>13-L-306280</v>
      </c>
      <c r="C8869">
        <v>1.1000000000000001</v>
      </c>
      <c r="D8869" t="s">
        <v>11999</v>
      </c>
      <c r="E8869" t="s">
        <v>11</v>
      </c>
      <c r="F8869" t="s">
        <v>13</v>
      </c>
      <c r="G8869" t="s">
        <v>9</v>
      </c>
      <c r="H8869" t="s">
        <v>14</v>
      </c>
    </row>
    <row r="8870" spans="1:8" hidden="1" x14ac:dyDescent="0.25">
      <c r="A8870" t="s">
        <v>12024</v>
      </c>
      <c r="B8870" s="1" t="str">
        <f>HYPERLINK("https://asmlis.vasa.lt/Dashboard/Served?ServiceDateFrom=2025-11-24&amp;ServiceDateTo=2025-11-24&amp;DumpsterInvNr=13-P-304037", "13-P-304037")</f>
        <v>13-P-304037</v>
      </c>
      <c r="C8870">
        <v>2.5</v>
      </c>
      <c r="D8870" t="s">
        <v>12079</v>
      </c>
      <c r="E8870" t="s">
        <v>11</v>
      </c>
      <c r="F8870" t="s">
        <v>13</v>
      </c>
      <c r="G8870" t="s">
        <v>412</v>
      </c>
      <c r="H8870" t="s">
        <v>14</v>
      </c>
    </row>
    <row r="8871" spans="1:8" hidden="1" x14ac:dyDescent="0.25">
      <c r="A8871" t="s">
        <v>11910</v>
      </c>
      <c r="B8871" s="1" t="str">
        <f>HYPERLINK("https://asmlis.vasa.lt/Dashboard/Served?ServiceDateFrom=2025-11-24&amp;ServiceDateTo=2025-11-24&amp;DumpsterInvNr=13-P-403813", "13-P-403813")</f>
        <v>13-P-403813</v>
      </c>
      <c r="C8871">
        <v>0.24</v>
      </c>
      <c r="D8871" t="s">
        <v>1836</v>
      </c>
      <c r="E8871" t="s">
        <v>11</v>
      </c>
      <c r="G8871" t="s">
        <v>264</v>
      </c>
      <c r="H8871" t="s">
        <v>14</v>
      </c>
    </row>
    <row r="8872" spans="1:8" hidden="1" x14ac:dyDescent="0.25">
      <c r="A8872" t="s">
        <v>12080</v>
      </c>
      <c r="B8872" s="1" t="str">
        <f>HYPERLINK("https://asmlis.vasa.lt/Dashboard/Served?ServiceDateFrom=2025-11-24&amp;ServiceDateTo=2025-11-24&amp;DumpsterInvNr=13-L-304169", "13-L-304169")</f>
        <v>13-L-304169</v>
      </c>
      <c r="C8872">
        <v>1.1000000000000001</v>
      </c>
      <c r="D8872" t="s">
        <v>11986</v>
      </c>
      <c r="E8872" t="s">
        <v>11</v>
      </c>
      <c r="F8872" t="s">
        <v>13</v>
      </c>
      <c r="G8872" t="s">
        <v>9</v>
      </c>
      <c r="H8872" t="s">
        <v>14</v>
      </c>
    </row>
    <row r="8873" spans="1:8" hidden="1" x14ac:dyDescent="0.25">
      <c r="A8873" t="s">
        <v>11923</v>
      </c>
      <c r="B8873" s="1" t="str">
        <f>HYPERLINK("https://asmlis.vasa.lt/Dashboard/Served?ServiceDateFrom=2025-11-24&amp;ServiceDateTo=2025-11-24&amp;DumpsterInvNr=13-M-204941", "13-M-204941")</f>
        <v>13-M-204941</v>
      </c>
      <c r="C8873">
        <v>0.12</v>
      </c>
      <c r="D8873" t="s">
        <v>12081</v>
      </c>
      <c r="E8873" t="s">
        <v>11</v>
      </c>
      <c r="G8873" t="s">
        <v>4876</v>
      </c>
      <c r="H8873" t="s">
        <v>938</v>
      </c>
    </row>
    <row r="8874" spans="1:8" hidden="1" x14ac:dyDescent="0.25">
      <c r="A8874" t="s">
        <v>12082</v>
      </c>
      <c r="B8874" s="1" t="str">
        <f>HYPERLINK("https://asmlis.vasa.lt/Dashboard/Served?ServiceDateFrom=2025-11-24&amp;ServiceDateTo=2025-11-24&amp;DumpsterInvNr=13-L-318756", "13-L-318756")</f>
        <v>13-L-318756</v>
      </c>
      <c r="C8874">
        <v>1.1000000000000001</v>
      </c>
      <c r="D8874" t="s">
        <v>12083</v>
      </c>
      <c r="E8874" t="s">
        <v>11</v>
      </c>
      <c r="G8874" t="s">
        <v>9</v>
      </c>
      <c r="H8874" t="s">
        <v>14</v>
      </c>
    </row>
    <row r="8875" spans="1:8" hidden="1" x14ac:dyDescent="0.25">
      <c r="A8875" t="s">
        <v>11969</v>
      </c>
      <c r="B8875" s="1" t="str">
        <f>HYPERLINK("https://asmlis.vasa.lt/Dashboard/Served?ServiceDateFrom=2025-11-24&amp;ServiceDateTo=2025-11-24&amp;DumpsterInvNr=13-P-404024", "13-P-404024")</f>
        <v>13-P-404024</v>
      </c>
      <c r="C8875">
        <v>0.24</v>
      </c>
      <c r="D8875" t="s">
        <v>12084</v>
      </c>
      <c r="E8875" t="s">
        <v>11</v>
      </c>
      <c r="G8875" t="s">
        <v>264</v>
      </c>
      <c r="H8875" t="s">
        <v>14</v>
      </c>
    </row>
    <row r="8876" spans="1:8" hidden="1" x14ac:dyDescent="0.25">
      <c r="A8876" t="s">
        <v>12046</v>
      </c>
      <c r="B8876" s="1" t="str">
        <f>HYPERLINK("https://asmlis.vasa.lt/Dashboard/Served?ServiceDateFrom=2025-11-24&amp;ServiceDateTo=2025-11-24&amp;DumpsterInvNr=13-P-112164", "13-P-112164")</f>
        <v>13-P-112164</v>
      </c>
      <c r="C8876">
        <v>0.24</v>
      </c>
      <c r="D8876" t="s">
        <v>12077</v>
      </c>
      <c r="E8876" t="s">
        <v>11</v>
      </c>
      <c r="G8876" t="s">
        <v>1917</v>
      </c>
      <c r="H8876" t="s">
        <v>432</v>
      </c>
    </row>
    <row r="8877" spans="1:8" hidden="1" x14ac:dyDescent="0.25">
      <c r="A8877" t="s">
        <v>12047</v>
      </c>
      <c r="B8877" s="1" t="str">
        <f>HYPERLINK("https://asmlis.vasa.lt/Dashboard/Served?ServiceDateFrom=2025-11-24&amp;ServiceDateTo=2025-11-24&amp;DumpsterInvNr=13-S-207839", "13-S-207839")</f>
        <v>13-S-207839</v>
      </c>
      <c r="C8877">
        <v>0.12</v>
      </c>
      <c r="D8877" t="s">
        <v>12032</v>
      </c>
      <c r="E8877" t="s">
        <v>11</v>
      </c>
      <c r="F8877" t="s">
        <v>1209</v>
      </c>
      <c r="G8877" t="s">
        <v>234</v>
      </c>
      <c r="H8877" t="s">
        <v>14</v>
      </c>
    </row>
    <row r="8878" spans="1:8" hidden="1" x14ac:dyDescent="0.25">
      <c r="A8878" t="s">
        <v>12062</v>
      </c>
      <c r="B8878" s="1" t="str">
        <f>HYPERLINK("https://asmlis.vasa.lt/Dashboard/Served?ServiceDateFrom=2025-11-24&amp;ServiceDateTo=2025-11-24&amp;DumpsterInvNr=13-S-107077", "13-S-107077")</f>
        <v>13-S-107077</v>
      </c>
      <c r="C8878">
        <v>0.12</v>
      </c>
      <c r="D8878" t="s">
        <v>12074</v>
      </c>
      <c r="E8878" t="s">
        <v>11</v>
      </c>
      <c r="F8878" t="s">
        <v>1209</v>
      </c>
      <c r="G8878" t="s">
        <v>1917</v>
      </c>
      <c r="H8878" t="s">
        <v>432</v>
      </c>
    </row>
    <row r="8879" spans="1:8" hidden="1" x14ac:dyDescent="0.25">
      <c r="A8879" t="s">
        <v>12086</v>
      </c>
      <c r="B8879" s="1" t="str">
        <f>HYPERLINK("https://asmlis.vasa.lt/Dashboard/Served?ServiceDateFrom=2025-11-24&amp;ServiceDateTo=2025-11-24&amp;DumpsterInvNr=13-S-107093", "13-S-107093")</f>
        <v>13-S-107093</v>
      </c>
      <c r="C8879">
        <v>0.12</v>
      </c>
      <c r="D8879" t="s">
        <v>12077</v>
      </c>
      <c r="E8879" t="s">
        <v>11</v>
      </c>
      <c r="F8879" t="s">
        <v>1209</v>
      </c>
      <c r="G8879" t="s">
        <v>1917</v>
      </c>
      <c r="H8879" t="s">
        <v>432</v>
      </c>
    </row>
    <row r="8880" spans="1:8" hidden="1" x14ac:dyDescent="0.25">
      <c r="A8880" t="s">
        <v>12087</v>
      </c>
      <c r="B8880" s="1" t="str">
        <f>HYPERLINK("https://asmlis.vasa.lt/Dashboard/Served?ServiceDateFrom=2025-11-24&amp;ServiceDateTo=2025-11-24&amp;DumpsterInvNr=13-M-202146", "13-M-202146")</f>
        <v>13-M-202146</v>
      </c>
      <c r="C8880">
        <v>0.12</v>
      </c>
      <c r="D8880" t="s">
        <v>12088</v>
      </c>
      <c r="E8880" t="s">
        <v>11</v>
      </c>
      <c r="G8880" t="s">
        <v>4876</v>
      </c>
      <c r="H8880" t="s">
        <v>938</v>
      </c>
    </row>
    <row r="8881" spans="1:8" hidden="1" x14ac:dyDescent="0.25">
      <c r="A8881" t="s">
        <v>12089</v>
      </c>
      <c r="B8881" s="1" t="str">
        <f>HYPERLINK("https://asmlis.vasa.lt/Dashboard/Served?ServiceDateFrom=2025-11-24&amp;ServiceDateTo=2025-11-24&amp;DumpsterInvNr=13-P-500131", "13-P-500131")</f>
        <v>13-P-500131</v>
      </c>
      <c r="C8881">
        <v>5</v>
      </c>
      <c r="D8881" t="s">
        <v>9989</v>
      </c>
      <c r="E8881" t="s">
        <v>11</v>
      </c>
      <c r="F8881" t="s">
        <v>13</v>
      </c>
      <c r="G8881" t="s">
        <v>2178</v>
      </c>
      <c r="H8881" t="s">
        <v>432</v>
      </c>
    </row>
    <row r="8882" spans="1:8" hidden="1" x14ac:dyDescent="0.25">
      <c r="A8882" t="s">
        <v>11732</v>
      </c>
      <c r="B8882" s="1" t="str">
        <f>HYPERLINK("https://asmlis.vasa.lt/Dashboard/Served?ServiceDateFrom=2025-11-24&amp;ServiceDateTo=2025-11-24&amp;DumpsterInvNr=13-M-208011", "13-M-208011")</f>
        <v>13-M-208011</v>
      </c>
      <c r="C8882">
        <v>0.12</v>
      </c>
      <c r="D8882" t="s">
        <v>12090</v>
      </c>
      <c r="E8882" t="s">
        <v>11</v>
      </c>
      <c r="F8882" t="s">
        <v>1209</v>
      </c>
      <c r="G8882" t="s">
        <v>4876</v>
      </c>
      <c r="H8882" t="s">
        <v>938</v>
      </c>
    </row>
    <row r="8883" spans="1:8" hidden="1" x14ac:dyDescent="0.25">
      <c r="A8883" t="s">
        <v>11790</v>
      </c>
      <c r="B8883" s="1" t="str">
        <f>HYPERLINK("https://asmlis.vasa.lt/Dashboard/Served?ServiceDateFrom=2025-11-24&amp;ServiceDateTo=2025-11-24&amp;DumpsterInvNr=13-P-302013", "13-P-302013")</f>
        <v>13-P-302013</v>
      </c>
      <c r="C8883">
        <v>1.1000000000000001</v>
      </c>
      <c r="D8883" t="s">
        <v>12092</v>
      </c>
      <c r="E8883" t="s">
        <v>11</v>
      </c>
      <c r="G8883" t="s">
        <v>412</v>
      </c>
      <c r="H8883" t="s">
        <v>14</v>
      </c>
    </row>
    <row r="8884" spans="1:8" hidden="1" x14ac:dyDescent="0.25">
      <c r="A8884" t="s">
        <v>11976</v>
      </c>
      <c r="B8884" s="1" t="str">
        <f>HYPERLINK("https://asmlis.vasa.lt/Dashboard/Served?ServiceDateFrom=2025-11-24&amp;ServiceDateTo=2025-11-24&amp;DumpsterInvNr=13-M-208053", "13-M-208053")</f>
        <v>13-M-208053</v>
      </c>
      <c r="C8884">
        <v>0.12</v>
      </c>
      <c r="D8884" t="s">
        <v>12093</v>
      </c>
      <c r="E8884" t="s">
        <v>11</v>
      </c>
      <c r="F8884" t="s">
        <v>1209</v>
      </c>
      <c r="G8884" t="s">
        <v>4876</v>
      </c>
      <c r="H8884" t="s">
        <v>938</v>
      </c>
    </row>
    <row r="8885" spans="1:8" hidden="1" x14ac:dyDescent="0.25">
      <c r="A8885" t="s">
        <v>12095</v>
      </c>
      <c r="B8885" s="1" t="str">
        <f>HYPERLINK("https://asmlis.vasa.lt/Dashboard/Served?ServiceDateFrom=2025-11-24&amp;ServiceDateTo=2025-11-24&amp;DumpsterInvNr=13-M-205180", "13-M-205180")</f>
        <v>13-M-205180</v>
      </c>
      <c r="C8885">
        <v>0.12</v>
      </c>
      <c r="D8885" t="s">
        <v>12096</v>
      </c>
      <c r="E8885" t="s">
        <v>11</v>
      </c>
      <c r="F8885" t="s">
        <v>1209</v>
      </c>
      <c r="G8885" t="s">
        <v>4876</v>
      </c>
      <c r="H8885" t="s">
        <v>938</v>
      </c>
    </row>
    <row r="8886" spans="1:8" hidden="1" x14ac:dyDescent="0.25">
      <c r="A8886" t="s">
        <v>12097</v>
      </c>
      <c r="B8886" s="1" t="str">
        <f>HYPERLINK("https://asmlis.vasa.lt/Dashboard/Served?ServiceDateFrom=2025-11-24&amp;ServiceDateTo=2025-11-24&amp;DumpsterInvNr=13-L-141557", "13-L-141557")</f>
        <v>13-L-141557</v>
      </c>
      <c r="C8886">
        <v>5</v>
      </c>
      <c r="D8886" t="s">
        <v>12098</v>
      </c>
      <c r="E8886" t="s">
        <v>11</v>
      </c>
      <c r="F8886" t="s">
        <v>13</v>
      </c>
      <c r="G8886" t="s">
        <v>430</v>
      </c>
      <c r="H8886" t="s">
        <v>432</v>
      </c>
    </row>
    <row r="8887" spans="1:8" hidden="1" x14ac:dyDescent="0.25">
      <c r="A8887" t="s">
        <v>12099</v>
      </c>
      <c r="B8887" s="1" t="str">
        <f>HYPERLINK("https://asmlis.vasa.lt/Dashboard/Served?ServiceDateFrom=2025-11-24&amp;ServiceDateTo=2025-11-24&amp;DumpsterInvNr=13-S-400662", "13-S-400662")</f>
        <v>13-S-400662</v>
      </c>
      <c r="C8887">
        <v>0.12</v>
      </c>
      <c r="D8887" t="s">
        <v>1867</v>
      </c>
      <c r="E8887" t="s">
        <v>11</v>
      </c>
      <c r="F8887" t="s">
        <v>1209</v>
      </c>
      <c r="G8887" t="s">
        <v>264</v>
      </c>
      <c r="H8887" t="s">
        <v>14</v>
      </c>
    </row>
    <row r="8888" spans="1:8" hidden="1" x14ac:dyDescent="0.25">
      <c r="A8888" t="s">
        <v>12099</v>
      </c>
      <c r="B8888" s="1" t="str">
        <f>HYPERLINK("https://asmlis.vasa.lt/Dashboard/Served?ServiceDateFrom=2025-11-24&amp;ServiceDateTo=2025-11-24&amp;DumpsterInvNr=13-P-403810", "13-P-403810")</f>
        <v>13-P-403810</v>
      </c>
      <c r="C8888">
        <v>0.24</v>
      </c>
      <c r="D8888" t="s">
        <v>1867</v>
      </c>
      <c r="E8888" t="s">
        <v>11</v>
      </c>
      <c r="F8888" t="s">
        <v>1209</v>
      </c>
      <c r="G8888" t="s">
        <v>264</v>
      </c>
      <c r="H8888" t="s">
        <v>14</v>
      </c>
    </row>
    <row r="8889" spans="1:8" hidden="1" x14ac:dyDescent="0.25">
      <c r="A8889" t="s">
        <v>12099</v>
      </c>
      <c r="B8889" s="1" t="str">
        <f>HYPERLINK("https://asmlis.vasa.lt/Dashboard/Served?ServiceDateFrom=2025-11-24&amp;ServiceDateTo=2025-11-24&amp;DumpsterInvNr=13-P-400625", "13-P-400625")</f>
        <v>13-P-400625</v>
      </c>
      <c r="C8889">
        <v>3</v>
      </c>
      <c r="D8889" t="s">
        <v>8417</v>
      </c>
      <c r="E8889" t="s">
        <v>11</v>
      </c>
      <c r="F8889" t="s">
        <v>13</v>
      </c>
      <c r="G8889" t="s">
        <v>264</v>
      </c>
      <c r="H8889" t="s">
        <v>14</v>
      </c>
    </row>
    <row r="8890" spans="1:8" hidden="1" x14ac:dyDescent="0.25">
      <c r="A8890" t="s">
        <v>12101</v>
      </c>
      <c r="B8890" s="1" t="str">
        <f>HYPERLINK("https://asmlis.vasa.lt/Dashboard/Served?ServiceDateFrom=2025-11-24&amp;ServiceDateTo=2025-11-24&amp;DumpsterInvNr=13-P-500433", "13-P-500433")</f>
        <v>13-P-500433</v>
      </c>
      <c r="C8890">
        <v>5</v>
      </c>
      <c r="D8890" t="s">
        <v>7520</v>
      </c>
      <c r="E8890" t="s">
        <v>11</v>
      </c>
      <c r="F8890" t="s">
        <v>13</v>
      </c>
      <c r="G8890" t="s">
        <v>2178</v>
      </c>
      <c r="H8890" t="s">
        <v>432</v>
      </c>
    </row>
    <row r="8891" spans="1:8" hidden="1" x14ac:dyDescent="0.25">
      <c r="A8891" t="s">
        <v>12102</v>
      </c>
      <c r="B8891" s="1" t="str">
        <f>HYPERLINK("https://asmlis.vasa.lt/Dashboard/Served?ServiceDateFrom=2025-11-24&amp;ServiceDateTo=2025-11-24&amp;DumpsterInvNr=13-S-400680", "13-S-400680")</f>
        <v>13-S-400680</v>
      </c>
      <c r="C8891">
        <v>0.12</v>
      </c>
      <c r="D8891" t="s">
        <v>1846</v>
      </c>
      <c r="E8891" t="s">
        <v>11</v>
      </c>
      <c r="F8891" t="s">
        <v>1209</v>
      </c>
      <c r="G8891" t="s">
        <v>264</v>
      </c>
      <c r="H8891" t="s">
        <v>14</v>
      </c>
    </row>
    <row r="8892" spans="1:8" hidden="1" x14ac:dyDescent="0.25">
      <c r="A8892" t="s">
        <v>12103</v>
      </c>
      <c r="B8892" s="1" t="str">
        <f>HYPERLINK("https://asmlis.vasa.lt/Dashboard/Served?ServiceDateFrom=2025-11-24&amp;ServiceDateTo=2025-11-24&amp;DumpsterInvNr=13-P-403808", "13-P-403808")</f>
        <v>13-P-403808</v>
      </c>
      <c r="C8892">
        <v>0.24</v>
      </c>
      <c r="D8892" t="s">
        <v>1869</v>
      </c>
      <c r="E8892" t="s">
        <v>11</v>
      </c>
      <c r="F8892" t="s">
        <v>1209</v>
      </c>
      <c r="G8892" t="s">
        <v>264</v>
      </c>
      <c r="H8892" t="s">
        <v>14</v>
      </c>
    </row>
    <row r="8893" spans="1:8" hidden="1" x14ac:dyDescent="0.25">
      <c r="A8893" t="s">
        <v>12103</v>
      </c>
      <c r="B8893" s="1" t="str">
        <f>HYPERLINK("https://asmlis.vasa.lt/Dashboard/Served?ServiceDateFrom=2025-11-24&amp;ServiceDateTo=2025-11-24&amp;DumpsterInvNr=13-P-400677", "13-P-400677")</f>
        <v>13-P-400677</v>
      </c>
      <c r="C8893">
        <v>3</v>
      </c>
      <c r="D8893" t="s">
        <v>8417</v>
      </c>
      <c r="E8893" t="s">
        <v>11</v>
      </c>
      <c r="F8893" t="s">
        <v>13</v>
      </c>
      <c r="G8893" t="s">
        <v>264</v>
      </c>
      <c r="H8893" t="s">
        <v>14</v>
      </c>
    </row>
    <row r="8894" spans="1:8" hidden="1" x14ac:dyDescent="0.25">
      <c r="A8894" t="s">
        <v>12103</v>
      </c>
      <c r="B8894" s="1" t="str">
        <f>HYPERLINK("https://asmlis.vasa.lt/Dashboard/Served?ServiceDateFrom=2025-11-24&amp;ServiceDateTo=2025-11-24&amp;DumpsterInvNr=13-P-501855", "13-P-501855")</f>
        <v>13-P-501855</v>
      </c>
      <c r="C8894">
        <v>5</v>
      </c>
      <c r="D8894" t="s">
        <v>7520</v>
      </c>
      <c r="E8894" t="s">
        <v>11</v>
      </c>
      <c r="F8894" t="s">
        <v>13</v>
      </c>
      <c r="G8894" t="s">
        <v>2178</v>
      </c>
      <c r="H8894" t="s">
        <v>432</v>
      </c>
    </row>
    <row r="8895" spans="1:8" hidden="1" x14ac:dyDescent="0.25">
      <c r="A8895" t="s">
        <v>12105</v>
      </c>
      <c r="B8895" s="1" t="str">
        <f>HYPERLINK("https://asmlis.vasa.lt/Dashboard/Served?ServiceDateFrom=2025-11-24&amp;ServiceDateTo=2025-11-24&amp;DumpsterInvNr=13-L-316347", "13-L-316347")</f>
        <v>13-L-316347</v>
      </c>
      <c r="C8895">
        <v>0.24</v>
      </c>
      <c r="D8895" t="s">
        <v>12056</v>
      </c>
      <c r="E8895" t="s">
        <v>11</v>
      </c>
      <c r="G8895" t="s">
        <v>9</v>
      </c>
      <c r="H8895" t="s">
        <v>14</v>
      </c>
    </row>
    <row r="8896" spans="1:8" hidden="1" x14ac:dyDescent="0.25">
      <c r="A8896" t="s">
        <v>11864</v>
      </c>
      <c r="B8896" s="1" t="str">
        <f>HYPERLINK("https://asmlis.vasa.lt/Dashboard/Served?ServiceDateFrom=2025-11-24&amp;ServiceDateTo=2025-11-24&amp;DumpsterInvNr=13-S-400527", "13-S-400527")</f>
        <v>13-S-400527</v>
      </c>
      <c r="C8896">
        <v>0.12</v>
      </c>
      <c r="D8896" t="s">
        <v>1836</v>
      </c>
      <c r="E8896" t="s">
        <v>11</v>
      </c>
      <c r="F8896" t="s">
        <v>1209</v>
      </c>
      <c r="G8896" t="s">
        <v>264</v>
      </c>
      <c r="H8896" t="s">
        <v>14</v>
      </c>
    </row>
    <row r="8897" spans="1:8" hidden="1" x14ac:dyDescent="0.25">
      <c r="A8897" t="s">
        <v>12106</v>
      </c>
      <c r="B8897" s="1" t="str">
        <f>HYPERLINK("https://asmlis.vasa.lt/Dashboard/Served?ServiceDateFrom=2025-11-24&amp;ServiceDateTo=2025-11-24&amp;DumpsterInvNr=13-P-304021", "13-P-304021")</f>
        <v>13-P-304021</v>
      </c>
      <c r="C8897">
        <v>2.5</v>
      </c>
      <c r="D8897" t="s">
        <v>12107</v>
      </c>
      <c r="E8897" t="s">
        <v>11</v>
      </c>
      <c r="G8897" t="s">
        <v>412</v>
      </c>
      <c r="H8897" t="s">
        <v>14</v>
      </c>
    </row>
    <row r="8898" spans="1:8" hidden="1" x14ac:dyDescent="0.25">
      <c r="A8898" t="s">
        <v>12106</v>
      </c>
      <c r="B8898" s="1" t="str">
        <f>HYPERLINK("https://asmlis.vasa.lt/Dashboard/Served?ServiceDateFrom=2025-11-24&amp;ServiceDateTo=2025-11-24&amp;DumpsterInvNr=13-P-404015", "13-P-404015")</f>
        <v>13-P-404015</v>
      </c>
      <c r="C8898">
        <v>0.24</v>
      </c>
      <c r="D8898" t="s">
        <v>1846</v>
      </c>
      <c r="E8898" t="s">
        <v>11</v>
      </c>
      <c r="G8898" t="s">
        <v>264</v>
      </c>
      <c r="H8898" t="s">
        <v>14</v>
      </c>
    </row>
    <row r="8899" spans="1:8" hidden="1" x14ac:dyDescent="0.25">
      <c r="A8899" t="s">
        <v>12108</v>
      </c>
      <c r="B8899" s="1" t="str">
        <f>HYPERLINK("https://asmlis.vasa.lt/Dashboard/Served?ServiceDateFrom=2025-11-24&amp;ServiceDateTo=2025-11-24&amp;DumpsterInvNr=13-S-400552", "13-S-400552")</f>
        <v>13-S-400552</v>
      </c>
      <c r="C8899">
        <v>0.12</v>
      </c>
      <c r="D8899" t="s">
        <v>1842</v>
      </c>
      <c r="E8899" t="s">
        <v>11</v>
      </c>
      <c r="F8899" t="s">
        <v>1209</v>
      </c>
      <c r="G8899" t="s">
        <v>264</v>
      </c>
      <c r="H8899" t="s">
        <v>14</v>
      </c>
    </row>
    <row r="8900" spans="1:8" hidden="1" x14ac:dyDescent="0.25">
      <c r="A8900" t="s">
        <v>12108</v>
      </c>
      <c r="B8900" s="1" t="str">
        <f>HYPERLINK("https://asmlis.vasa.lt/Dashboard/Served?ServiceDateFrom=2025-11-24&amp;ServiceDateTo=2025-11-24&amp;DumpsterInvNr=13-P-112151", "13-P-112151")</f>
        <v>13-P-112151</v>
      </c>
      <c r="C8900">
        <v>0.24</v>
      </c>
      <c r="D8900" t="s">
        <v>12110</v>
      </c>
      <c r="E8900" t="s">
        <v>11</v>
      </c>
      <c r="F8900" t="s">
        <v>1209</v>
      </c>
      <c r="G8900" t="s">
        <v>1917</v>
      </c>
      <c r="H8900" t="s">
        <v>432</v>
      </c>
    </row>
    <row r="8901" spans="1:8" hidden="1" x14ac:dyDescent="0.25">
      <c r="A8901" t="s">
        <v>12111</v>
      </c>
      <c r="B8901" s="1" t="str">
        <f>HYPERLINK("https://asmlis.vasa.lt/Dashboard/Served?ServiceDateFrom=2025-11-24&amp;ServiceDateTo=2025-11-24&amp;DumpsterInvNr=13-L-133164", "13-L-133164")</f>
        <v>13-L-133164</v>
      </c>
      <c r="C8901">
        <v>0.24</v>
      </c>
      <c r="D8901" t="s">
        <v>12110</v>
      </c>
      <c r="E8901" t="s">
        <v>11</v>
      </c>
      <c r="F8901" t="s">
        <v>1209</v>
      </c>
      <c r="G8901" t="s">
        <v>1912</v>
      </c>
      <c r="H8901" t="s">
        <v>432</v>
      </c>
    </row>
    <row r="8902" spans="1:8" hidden="1" x14ac:dyDescent="0.25">
      <c r="A8902" t="s">
        <v>11853</v>
      </c>
      <c r="B8902" s="1" t="str">
        <f>HYPERLINK("https://asmlis.vasa.lt/Dashboard/Served?ServiceDateFrom=2025-11-24&amp;ServiceDateTo=2025-11-24&amp;DumpsterInvNr=13-L-147222", "13-L-147222")</f>
        <v>13-L-147222</v>
      </c>
      <c r="C8902">
        <v>0.24</v>
      </c>
      <c r="D8902" t="s">
        <v>12113</v>
      </c>
      <c r="E8902" t="s">
        <v>11</v>
      </c>
      <c r="G8902" t="s">
        <v>430</v>
      </c>
      <c r="H8902" t="s">
        <v>432</v>
      </c>
    </row>
    <row r="8903" spans="1:8" hidden="1" x14ac:dyDescent="0.25">
      <c r="A8903" t="s">
        <v>11853</v>
      </c>
      <c r="B8903" s="1" t="str">
        <f>HYPERLINK("https://asmlis.vasa.lt/Dashboard/Served?ServiceDateFrom=2025-11-24&amp;ServiceDateTo=2025-11-24&amp;DumpsterInvNr=13-P-502490", "13-P-502490")</f>
        <v>13-P-502490</v>
      </c>
      <c r="C8903">
        <v>0.24</v>
      </c>
      <c r="D8903" t="s">
        <v>12113</v>
      </c>
      <c r="E8903" t="s">
        <v>11</v>
      </c>
      <c r="G8903" t="s">
        <v>2178</v>
      </c>
      <c r="H8903" t="s">
        <v>432</v>
      </c>
    </row>
    <row r="8904" spans="1:8" hidden="1" x14ac:dyDescent="0.25">
      <c r="A8904" t="s">
        <v>11992</v>
      </c>
      <c r="B8904" s="1" t="str">
        <f>HYPERLINK("https://asmlis.vasa.lt/Dashboard/Served?ServiceDateFrom=2025-11-24&amp;ServiceDateTo=2025-11-24&amp;DumpsterInvNr=13-L-213550", "13-L-213550")</f>
        <v>13-L-213550</v>
      </c>
      <c r="C8904">
        <v>0.12</v>
      </c>
      <c r="D8904" t="s">
        <v>9472</v>
      </c>
      <c r="E8904" t="s">
        <v>11</v>
      </c>
      <c r="G8904" t="s">
        <v>936</v>
      </c>
      <c r="H8904" t="s">
        <v>938</v>
      </c>
    </row>
    <row r="8905" spans="1:8" hidden="1" x14ac:dyDescent="0.25">
      <c r="A8905" t="s">
        <v>12114</v>
      </c>
      <c r="B8905" s="1" t="str">
        <f>HYPERLINK("https://asmlis.vasa.lt/Dashboard/Served?ServiceDateFrom=2025-11-24&amp;ServiceDateTo=2025-11-24&amp;DumpsterInvNr=13-M-205177", "13-M-205177")</f>
        <v>13-M-205177</v>
      </c>
      <c r="C8905">
        <v>0.12</v>
      </c>
      <c r="D8905" t="s">
        <v>12115</v>
      </c>
      <c r="E8905" t="s">
        <v>11</v>
      </c>
      <c r="F8905" t="s">
        <v>1209</v>
      </c>
      <c r="G8905" t="s">
        <v>4876</v>
      </c>
      <c r="H8905" t="s">
        <v>938</v>
      </c>
    </row>
    <row r="8906" spans="1:8" hidden="1" x14ac:dyDescent="0.25">
      <c r="A8906" t="s">
        <v>12116</v>
      </c>
      <c r="B8906" s="1" t="str">
        <f>HYPERLINK("https://asmlis.vasa.lt/Dashboard/Served?ServiceDateFrom=2025-11-24&amp;ServiceDateTo=2025-11-24&amp;DumpsterInvNr=13-L-143170", "13-L-143170")</f>
        <v>13-L-143170</v>
      </c>
      <c r="C8906">
        <v>0.24</v>
      </c>
      <c r="D8906" t="s">
        <v>12117</v>
      </c>
      <c r="E8906" t="s">
        <v>11</v>
      </c>
      <c r="G8906" t="s">
        <v>1912</v>
      </c>
      <c r="H8906" t="s">
        <v>432</v>
      </c>
    </row>
    <row r="8907" spans="1:8" hidden="1" x14ac:dyDescent="0.25">
      <c r="A8907" t="s">
        <v>12119</v>
      </c>
      <c r="B8907" s="1" t="str">
        <f>HYPERLINK("https://asmlis.vasa.lt/Dashboard/Served?ServiceDateFrom=2025-11-24&amp;ServiceDateTo=2025-11-24&amp;DumpsterInvNr=13-M-202316", "13-M-202316")</f>
        <v>13-M-202316</v>
      </c>
      <c r="C8907">
        <v>0.12</v>
      </c>
      <c r="D8907" t="s">
        <v>12120</v>
      </c>
      <c r="E8907" t="s">
        <v>11</v>
      </c>
      <c r="F8907" t="s">
        <v>1209</v>
      </c>
      <c r="G8907" t="s">
        <v>4876</v>
      </c>
      <c r="H8907" t="s">
        <v>938</v>
      </c>
    </row>
    <row r="8908" spans="1:8" hidden="1" x14ac:dyDescent="0.25">
      <c r="A8908" t="s">
        <v>12122</v>
      </c>
      <c r="B8908" s="1" t="str">
        <f>HYPERLINK("https://asmlis.vasa.lt/Dashboard/Served?ServiceDateFrom=2025-11-24&amp;ServiceDateTo=2025-11-24&amp;DumpsterInvNr=13-L-213530", "13-L-213530")</f>
        <v>13-L-213530</v>
      </c>
      <c r="C8908">
        <v>0.24</v>
      </c>
      <c r="D8908" t="s">
        <v>9470</v>
      </c>
      <c r="E8908" t="s">
        <v>11</v>
      </c>
      <c r="G8908" t="s">
        <v>936</v>
      </c>
      <c r="H8908" t="s">
        <v>938</v>
      </c>
    </row>
    <row r="8909" spans="1:8" hidden="1" x14ac:dyDescent="0.25">
      <c r="A8909" t="s">
        <v>12123</v>
      </c>
      <c r="B8909" s="1" t="str">
        <f>HYPERLINK("https://asmlis.vasa.lt/Dashboard/Served?ServiceDateFrom=2025-11-24&amp;ServiceDateTo=2025-11-24&amp;DumpsterInvNr=13-P-101149", "13-P-101149")</f>
        <v>13-P-101149</v>
      </c>
      <c r="C8909">
        <v>0.12</v>
      </c>
      <c r="D8909" t="s">
        <v>12117</v>
      </c>
      <c r="E8909" t="s">
        <v>11</v>
      </c>
      <c r="G8909" t="s">
        <v>1917</v>
      </c>
      <c r="H8909" t="s">
        <v>432</v>
      </c>
    </row>
    <row r="8910" spans="1:8" hidden="1" x14ac:dyDescent="0.25">
      <c r="A8910" t="s">
        <v>11788</v>
      </c>
      <c r="B8910" s="1" t="str">
        <f>HYPERLINK("https://asmlis.vasa.lt/Dashboard/Served?ServiceDateFrom=2025-11-24&amp;ServiceDateTo=2025-11-24&amp;DumpsterInvNr=13-S-108241", "13-S-108241")</f>
        <v>13-S-108241</v>
      </c>
      <c r="C8910">
        <v>0.12</v>
      </c>
      <c r="D8910" t="s">
        <v>12110</v>
      </c>
      <c r="E8910" t="s">
        <v>11</v>
      </c>
      <c r="F8910" t="s">
        <v>1209</v>
      </c>
      <c r="G8910" t="s">
        <v>1917</v>
      </c>
      <c r="H8910" t="s">
        <v>432</v>
      </c>
    </row>
    <row r="8911" spans="1:8" hidden="1" x14ac:dyDescent="0.25">
      <c r="A8911" t="s">
        <v>11804</v>
      </c>
      <c r="B8911" s="1" t="str">
        <f>HYPERLINK("https://asmlis.vasa.lt/Dashboard/Served?ServiceDateFrom=2025-11-24&amp;ServiceDateTo=2025-11-24&amp;DumpsterInvNr=13-L-319666", "13-L-319666")</f>
        <v>13-L-319666</v>
      </c>
      <c r="C8911">
        <v>0.24</v>
      </c>
      <c r="D8911" t="s">
        <v>12056</v>
      </c>
      <c r="E8911" t="s">
        <v>11</v>
      </c>
      <c r="G8911" t="s">
        <v>9</v>
      </c>
      <c r="H8911" t="s">
        <v>14</v>
      </c>
    </row>
    <row r="8912" spans="1:8" hidden="1" x14ac:dyDescent="0.25">
      <c r="A8912" t="s">
        <v>12124</v>
      </c>
      <c r="B8912" s="1" t="str">
        <f>HYPERLINK("https://asmlis.vasa.lt/Dashboard/Served?ServiceDateFrom=2025-11-24&amp;ServiceDateTo=2025-11-24&amp;DumpsterInvNr=13-S-107094", "13-S-107094")</f>
        <v>13-S-107094</v>
      </c>
      <c r="C8912">
        <v>0.12</v>
      </c>
      <c r="D8912" t="s">
        <v>12125</v>
      </c>
      <c r="E8912" t="s">
        <v>11</v>
      </c>
      <c r="F8912" t="s">
        <v>1209</v>
      </c>
      <c r="G8912" t="s">
        <v>1917</v>
      </c>
      <c r="H8912" t="s">
        <v>432</v>
      </c>
    </row>
    <row r="8913" spans="1:8" hidden="1" x14ac:dyDescent="0.25">
      <c r="A8913" t="s">
        <v>11859</v>
      </c>
      <c r="B8913" s="1" t="str">
        <f>HYPERLINK("https://asmlis.vasa.lt/Dashboard/Served?ServiceDateFrom=2025-11-24&amp;ServiceDateTo=2025-11-24&amp;DumpsterInvNr=13-L-210604", "13-L-210604")</f>
        <v>13-L-210604</v>
      </c>
      <c r="C8913">
        <v>0.24</v>
      </c>
      <c r="D8913" t="s">
        <v>12066</v>
      </c>
      <c r="E8913" t="s">
        <v>11</v>
      </c>
      <c r="F8913" t="s">
        <v>13</v>
      </c>
      <c r="G8913" t="s">
        <v>936</v>
      </c>
      <c r="H8913" t="s">
        <v>938</v>
      </c>
    </row>
    <row r="8914" spans="1:8" hidden="1" x14ac:dyDescent="0.25">
      <c r="A8914" t="s">
        <v>11894</v>
      </c>
      <c r="B8914" s="1" t="str">
        <f>HYPERLINK("https://asmlis.vasa.lt/Dashboard/Served?ServiceDateFrom=2025-11-24&amp;ServiceDateTo=2025-11-24&amp;DumpsterInvNr=13-P-112305", "13-P-112305")</f>
        <v>13-P-112305</v>
      </c>
      <c r="C8914">
        <v>0.24</v>
      </c>
      <c r="D8914" t="s">
        <v>12125</v>
      </c>
      <c r="E8914" t="s">
        <v>11</v>
      </c>
      <c r="F8914" t="s">
        <v>1209</v>
      </c>
      <c r="G8914" t="s">
        <v>1917</v>
      </c>
      <c r="H8914" t="s">
        <v>432</v>
      </c>
    </row>
    <row r="8915" spans="1:8" hidden="1" x14ac:dyDescent="0.25">
      <c r="A8915" t="s">
        <v>11894</v>
      </c>
      <c r="B8915" s="1" t="str">
        <f>HYPERLINK("https://asmlis.vasa.lt/Dashboard/Served?ServiceDateFrom=2025-11-24&amp;ServiceDateTo=2025-11-24&amp;DumpsterInvNr=13-M-204935", "13-M-204935")</f>
        <v>13-M-204935</v>
      </c>
      <c r="C8915">
        <v>0.12</v>
      </c>
      <c r="D8915" t="s">
        <v>12127</v>
      </c>
      <c r="E8915" t="s">
        <v>11</v>
      </c>
      <c r="F8915" t="s">
        <v>1209</v>
      </c>
      <c r="G8915" t="s">
        <v>4876</v>
      </c>
      <c r="H8915" t="s">
        <v>938</v>
      </c>
    </row>
    <row r="8916" spans="1:8" hidden="1" x14ac:dyDescent="0.25">
      <c r="A8916" t="s">
        <v>12128</v>
      </c>
      <c r="B8916" s="1" t="str">
        <f>HYPERLINK("https://asmlis.vasa.lt/Dashboard/Served?ServiceDateFrom=2025-11-24&amp;ServiceDateTo=2025-11-24&amp;DumpsterInvNr=13-S-505383", "13-S-505383")</f>
        <v>13-S-505383</v>
      </c>
      <c r="C8916">
        <v>0.12</v>
      </c>
      <c r="D8916" t="s">
        <v>12130</v>
      </c>
      <c r="E8916" t="s">
        <v>11</v>
      </c>
      <c r="G8916" t="s">
        <v>2178</v>
      </c>
      <c r="H8916" t="s">
        <v>432</v>
      </c>
    </row>
    <row r="8917" spans="1:8" hidden="1" x14ac:dyDescent="0.25">
      <c r="A8917" t="s">
        <v>11898</v>
      </c>
      <c r="B8917" s="1" t="str">
        <f>HYPERLINK("https://asmlis.vasa.lt/Dashboard/Served?ServiceDateFrom=2025-11-24&amp;ServiceDateTo=2025-11-24&amp;DumpsterInvNr=13-L-144943", "13-L-144943")</f>
        <v>13-L-144943</v>
      </c>
      <c r="C8917">
        <v>0.24</v>
      </c>
      <c r="D8917" t="s">
        <v>12130</v>
      </c>
      <c r="E8917" t="s">
        <v>11</v>
      </c>
      <c r="G8917" t="s">
        <v>430</v>
      </c>
      <c r="H8917" t="s">
        <v>432</v>
      </c>
    </row>
    <row r="8918" spans="1:8" hidden="1" x14ac:dyDescent="0.25">
      <c r="A8918" t="s">
        <v>11898</v>
      </c>
      <c r="B8918" s="1" t="str">
        <f>HYPERLINK("https://asmlis.vasa.lt/Dashboard/Served?ServiceDateFrom=2025-11-24&amp;ServiceDateTo=2025-11-24&amp;DumpsterInvNr=13-P-506687", "13-P-506687")</f>
        <v>13-P-506687</v>
      </c>
      <c r="C8918">
        <v>0.24</v>
      </c>
      <c r="D8918" t="s">
        <v>12130</v>
      </c>
      <c r="E8918" t="s">
        <v>11</v>
      </c>
      <c r="G8918" t="s">
        <v>2178</v>
      </c>
      <c r="H8918" t="s">
        <v>432</v>
      </c>
    </row>
    <row r="8919" spans="1:8" hidden="1" x14ac:dyDescent="0.25">
      <c r="A8919" t="s">
        <v>11936</v>
      </c>
      <c r="B8919" s="1" t="str">
        <f>HYPERLINK("https://asmlis.vasa.lt/Dashboard/Served?ServiceDateFrom=2025-11-24&amp;ServiceDateTo=2025-11-24&amp;DumpsterInvNr=13-L-141355", "13-L-141355")</f>
        <v>13-L-141355</v>
      </c>
      <c r="C8919">
        <v>0.24</v>
      </c>
      <c r="D8919" t="s">
        <v>12125</v>
      </c>
      <c r="E8919" t="s">
        <v>11</v>
      </c>
      <c r="F8919" t="s">
        <v>1209</v>
      </c>
      <c r="G8919" t="s">
        <v>1912</v>
      </c>
      <c r="H8919" t="s">
        <v>432</v>
      </c>
    </row>
    <row r="8920" spans="1:8" hidden="1" x14ac:dyDescent="0.25">
      <c r="A8920" t="s">
        <v>11959</v>
      </c>
      <c r="B8920" s="1" t="str">
        <f>HYPERLINK("https://asmlis.vasa.lt/Dashboard/Served?ServiceDateFrom=2025-11-24&amp;ServiceDateTo=2025-11-24&amp;DumpsterInvNr=13-P-404498", "13-P-404498")</f>
        <v>13-P-404498</v>
      </c>
      <c r="C8920">
        <v>3</v>
      </c>
      <c r="D8920" t="s">
        <v>12132</v>
      </c>
      <c r="E8920" t="s">
        <v>11</v>
      </c>
      <c r="F8920" t="s">
        <v>13</v>
      </c>
      <c r="G8920" t="s">
        <v>264</v>
      </c>
      <c r="H8920" t="s">
        <v>14</v>
      </c>
    </row>
    <row r="8921" spans="1:8" hidden="1" x14ac:dyDescent="0.25">
      <c r="A8921" t="s">
        <v>12133</v>
      </c>
      <c r="B8921" s="1" t="str">
        <f>HYPERLINK("https://asmlis.vasa.lt/Dashboard/Served?ServiceDateFrom=2025-11-24&amp;ServiceDateTo=2025-11-24&amp;DumpsterInvNr=13-P-404018", "13-P-404018")</f>
        <v>13-P-404018</v>
      </c>
      <c r="C8921">
        <v>0.24</v>
      </c>
      <c r="D8921" t="s">
        <v>1813</v>
      </c>
      <c r="E8921" t="s">
        <v>11</v>
      </c>
      <c r="G8921" t="s">
        <v>264</v>
      </c>
      <c r="H8921" t="s">
        <v>14</v>
      </c>
    </row>
    <row r="8922" spans="1:8" hidden="1" x14ac:dyDescent="0.25">
      <c r="A8922" t="s">
        <v>11661</v>
      </c>
      <c r="B8922" s="1" t="str">
        <f>HYPERLINK("https://asmlis.vasa.lt/Dashboard/Served?ServiceDateFrom=2025-11-24&amp;ServiceDateTo=2025-11-24&amp;DumpsterInvNr=13-L-202321", "13-L-202321")</f>
        <v>13-L-202321</v>
      </c>
      <c r="C8922">
        <v>0.12</v>
      </c>
      <c r="D8922" t="s">
        <v>9493</v>
      </c>
      <c r="E8922" t="s">
        <v>11</v>
      </c>
      <c r="G8922" t="s">
        <v>936</v>
      </c>
      <c r="H8922" t="s">
        <v>938</v>
      </c>
    </row>
    <row r="8923" spans="1:8" hidden="1" x14ac:dyDescent="0.25">
      <c r="A8923" t="s">
        <v>12134</v>
      </c>
      <c r="B8923" s="1" t="str">
        <f>HYPERLINK("https://asmlis.vasa.lt/Dashboard/Served?ServiceDateFrom=2025-11-24&amp;ServiceDateTo=2025-11-24&amp;DumpsterInvNr=13-P-302648", "13-P-302648")</f>
        <v>13-P-302648</v>
      </c>
      <c r="C8923">
        <v>3</v>
      </c>
      <c r="D8923" t="s">
        <v>2290</v>
      </c>
      <c r="E8923" t="s">
        <v>11</v>
      </c>
      <c r="G8923" t="s">
        <v>412</v>
      </c>
      <c r="H8923" t="s">
        <v>14</v>
      </c>
    </row>
    <row r="8924" spans="1:8" hidden="1" x14ac:dyDescent="0.25">
      <c r="A8924" t="s">
        <v>12019</v>
      </c>
      <c r="B8924" s="1" t="str">
        <f>HYPERLINK("https://asmlis.vasa.lt/Dashboard/Served?ServiceDateFrom=2025-11-24&amp;ServiceDateTo=2025-11-24&amp;DumpsterInvNr=13-P-211600", "13-P-211600")</f>
        <v>13-P-211600</v>
      </c>
      <c r="C8924">
        <v>0.24</v>
      </c>
      <c r="D8924" t="s">
        <v>11120</v>
      </c>
      <c r="E8924" t="s">
        <v>11</v>
      </c>
      <c r="G8924" t="s">
        <v>234</v>
      </c>
      <c r="H8924" t="s">
        <v>14</v>
      </c>
    </row>
    <row r="8925" spans="1:8" hidden="1" x14ac:dyDescent="0.25">
      <c r="A8925" t="s">
        <v>12135</v>
      </c>
      <c r="B8925" s="1" t="str">
        <f>HYPERLINK("https://asmlis.vasa.lt/Dashboard/Served?ServiceDateFrom=2025-11-24&amp;ServiceDateTo=2025-11-24&amp;DumpsterInvNr=13-L-217913", "13-L-217913")</f>
        <v>13-L-217913</v>
      </c>
      <c r="C8925">
        <v>0.24</v>
      </c>
      <c r="D8925" t="s">
        <v>9488</v>
      </c>
      <c r="E8925" t="s">
        <v>11</v>
      </c>
      <c r="G8925" t="s">
        <v>936</v>
      </c>
      <c r="H8925" t="s">
        <v>938</v>
      </c>
    </row>
    <row r="8926" spans="1:8" hidden="1" x14ac:dyDescent="0.25">
      <c r="A8926" t="s">
        <v>12136</v>
      </c>
      <c r="B8926" s="1" t="str">
        <f>HYPERLINK("https://asmlis.vasa.lt/Dashboard/Served?ServiceDateFrom=2025-11-24&amp;ServiceDateTo=2025-11-24&amp;DumpsterInvNr=13-S-106871", "13-S-106871")</f>
        <v>13-S-106871</v>
      </c>
      <c r="C8926">
        <v>0.12</v>
      </c>
      <c r="D8926" t="s">
        <v>12137</v>
      </c>
      <c r="E8926" t="s">
        <v>11</v>
      </c>
      <c r="F8926" t="s">
        <v>1209</v>
      </c>
      <c r="G8926" t="s">
        <v>1917</v>
      </c>
      <c r="H8926" t="s">
        <v>432</v>
      </c>
    </row>
    <row r="8927" spans="1:8" hidden="1" x14ac:dyDescent="0.25">
      <c r="A8927" t="s">
        <v>10933</v>
      </c>
      <c r="B8927" s="1" t="str">
        <f>HYPERLINK("https://asmlis.vasa.lt/Dashboard/Served?ServiceDateFrom=2025-11-24&amp;ServiceDateTo=2025-11-24&amp;DumpsterInvNr=13-P-102328", "13-P-102328")</f>
        <v>13-P-102328</v>
      </c>
      <c r="C8927">
        <v>5</v>
      </c>
      <c r="D8927" t="s">
        <v>7394</v>
      </c>
      <c r="E8927" t="s">
        <v>11</v>
      </c>
      <c r="F8927" t="s">
        <v>13</v>
      </c>
      <c r="G8927" t="s">
        <v>1917</v>
      </c>
      <c r="H8927" t="s">
        <v>432</v>
      </c>
    </row>
    <row r="8928" spans="1:8" hidden="1" x14ac:dyDescent="0.25">
      <c r="A8928" t="s">
        <v>10933</v>
      </c>
      <c r="B8928" s="1" t="str">
        <f>HYPERLINK("https://asmlis.vasa.lt/Dashboard/Served?ServiceDateFrom=2025-11-24&amp;ServiceDateTo=2025-11-24&amp;DumpsterInvNr=13-L-129720", "13-L-129720")</f>
        <v>13-L-129720</v>
      </c>
      <c r="C8928">
        <v>1.1000000000000001</v>
      </c>
      <c r="D8928" t="s">
        <v>12139</v>
      </c>
      <c r="E8928" t="s">
        <v>11</v>
      </c>
      <c r="G8928" t="s">
        <v>430</v>
      </c>
      <c r="H8928" t="s">
        <v>432</v>
      </c>
    </row>
    <row r="8929" spans="1:8" hidden="1" x14ac:dyDescent="0.25">
      <c r="A8929" t="s">
        <v>12100</v>
      </c>
      <c r="B8929" s="1" t="str">
        <f>HYPERLINK("https://asmlis.vasa.lt/Dashboard/Served?ServiceDateFrom=2025-11-24&amp;ServiceDateTo=2025-11-24&amp;DumpsterInvNr=13-M-206030", "13-M-206030")</f>
        <v>13-M-206030</v>
      </c>
      <c r="C8929">
        <v>0.12</v>
      </c>
      <c r="D8929" t="s">
        <v>12140</v>
      </c>
      <c r="E8929" t="s">
        <v>11</v>
      </c>
      <c r="F8929" t="s">
        <v>1209</v>
      </c>
      <c r="G8929" t="s">
        <v>4876</v>
      </c>
      <c r="H8929" t="s">
        <v>938</v>
      </c>
    </row>
    <row r="8930" spans="1:8" hidden="1" x14ac:dyDescent="0.25">
      <c r="A8930" t="s">
        <v>12142</v>
      </c>
      <c r="B8930" s="1" t="str">
        <f>HYPERLINK("https://asmlis.vasa.lt/Dashboard/Served?ServiceDateFrom=2025-11-24&amp;ServiceDateTo=2025-11-24&amp;DumpsterInvNr=13-S-207992", "13-S-207992")</f>
        <v>13-S-207992</v>
      </c>
      <c r="C8930">
        <v>0.12</v>
      </c>
      <c r="D8930" t="s">
        <v>11120</v>
      </c>
      <c r="E8930" t="s">
        <v>11</v>
      </c>
      <c r="G8930" t="s">
        <v>234</v>
      </c>
      <c r="H8930" t="s">
        <v>14</v>
      </c>
    </row>
    <row r="8931" spans="1:8" hidden="1" x14ac:dyDescent="0.25">
      <c r="A8931" t="s">
        <v>12142</v>
      </c>
      <c r="B8931" s="1" t="str">
        <f>HYPERLINK("https://asmlis.vasa.lt/Dashboard/Served?ServiceDateFrom=2025-11-24&amp;ServiceDateTo=2025-11-24&amp;DumpsterInvNr=13-P-111974", "13-P-111974")</f>
        <v>13-P-111974</v>
      </c>
      <c r="C8931">
        <v>0.24</v>
      </c>
      <c r="D8931" t="s">
        <v>12137</v>
      </c>
      <c r="E8931" t="s">
        <v>11</v>
      </c>
      <c r="F8931" t="s">
        <v>1209</v>
      </c>
      <c r="G8931" t="s">
        <v>1917</v>
      </c>
      <c r="H8931" t="s">
        <v>432</v>
      </c>
    </row>
    <row r="8932" spans="1:8" hidden="1" x14ac:dyDescent="0.25">
      <c r="A8932" t="s">
        <v>12143</v>
      </c>
      <c r="B8932" s="1" t="str">
        <f>HYPERLINK("https://asmlis.vasa.lt/Dashboard/Served?ServiceDateFrom=2025-11-24&amp;ServiceDateTo=2025-11-24&amp;DumpsterInvNr=13-P-300741", "13-P-300741")</f>
        <v>13-P-300741</v>
      </c>
      <c r="C8932">
        <v>1.1000000000000001</v>
      </c>
      <c r="D8932" t="s">
        <v>6090</v>
      </c>
      <c r="E8932" t="s">
        <v>11</v>
      </c>
      <c r="G8932" t="s">
        <v>412</v>
      </c>
      <c r="H8932" t="s">
        <v>14</v>
      </c>
    </row>
    <row r="8933" spans="1:8" hidden="1" x14ac:dyDescent="0.25">
      <c r="A8933" t="s">
        <v>12144</v>
      </c>
      <c r="B8933" s="1" t="str">
        <f>HYPERLINK("https://asmlis.vasa.lt/Dashboard/Served?ServiceDateFrom=2025-11-24&amp;ServiceDateTo=2025-11-24&amp;DumpsterInvNr=13-L-206760", "13-L-206760")</f>
        <v>13-L-206760</v>
      </c>
      <c r="C8933">
        <v>0.24</v>
      </c>
      <c r="D8933" t="s">
        <v>9481</v>
      </c>
      <c r="E8933" t="s">
        <v>11</v>
      </c>
      <c r="F8933" t="s">
        <v>1209</v>
      </c>
      <c r="G8933" t="s">
        <v>936</v>
      </c>
      <c r="H8933" t="s">
        <v>938</v>
      </c>
    </row>
    <row r="8934" spans="1:8" hidden="1" x14ac:dyDescent="0.25">
      <c r="A8934" t="s">
        <v>12144</v>
      </c>
      <c r="B8934" s="1" t="str">
        <f>HYPERLINK("https://asmlis.vasa.lt/Dashboard/Served?ServiceDateFrom=2025-11-24&amp;ServiceDateTo=2025-11-24&amp;DumpsterInvNr=13-L-139715", "13-L-139715")</f>
        <v>13-L-139715</v>
      </c>
      <c r="C8934">
        <v>0.12</v>
      </c>
      <c r="D8934" t="s">
        <v>12137</v>
      </c>
      <c r="E8934" t="s">
        <v>11</v>
      </c>
      <c r="F8934" t="s">
        <v>1209</v>
      </c>
      <c r="G8934" t="s">
        <v>1912</v>
      </c>
      <c r="H8934" t="s">
        <v>432</v>
      </c>
    </row>
    <row r="8935" spans="1:8" hidden="1" x14ac:dyDescent="0.25">
      <c r="A8935" t="s">
        <v>12146</v>
      </c>
      <c r="B8935" s="1" t="str">
        <f>HYPERLINK("https://asmlis.vasa.lt/Dashboard/Served?ServiceDateFrom=2025-11-24&amp;ServiceDateTo=2025-11-24&amp;DumpsterInvNr=13-L-319607", "13-L-319607")</f>
        <v>13-L-319607</v>
      </c>
      <c r="C8935">
        <v>1.1000000000000001</v>
      </c>
      <c r="D8935" t="s">
        <v>12147</v>
      </c>
      <c r="E8935" t="s">
        <v>11</v>
      </c>
      <c r="G8935" t="s">
        <v>9</v>
      </c>
      <c r="H8935" t="s">
        <v>14</v>
      </c>
    </row>
    <row r="8936" spans="1:8" hidden="1" x14ac:dyDescent="0.25">
      <c r="A8936" t="s">
        <v>12146</v>
      </c>
      <c r="B8936" s="1" t="str">
        <f>HYPERLINK("https://asmlis.vasa.lt/Dashboard/Served?ServiceDateFrom=2025-11-24&amp;ServiceDateTo=2025-11-24&amp;DumpsterInvNr=13-P-416576", "13-P-416576")</f>
        <v>13-P-416576</v>
      </c>
      <c r="C8936">
        <v>0.24</v>
      </c>
      <c r="D8936" t="s">
        <v>1814</v>
      </c>
      <c r="E8936" t="s">
        <v>11</v>
      </c>
      <c r="G8936" t="s">
        <v>264</v>
      </c>
      <c r="H8936" t="s">
        <v>14</v>
      </c>
    </row>
    <row r="8937" spans="1:8" hidden="1" x14ac:dyDescent="0.25">
      <c r="A8937" t="s">
        <v>12148</v>
      </c>
      <c r="B8937" s="1" t="str">
        <f>HYPERLINK("https://asmlis.vasa.lt/Dashboard/Served?ServiceDateFrom=2025-11-24&amp;ServiceDateTo=2025-11-24&amp;DumpsterInvNr=13-P-413784", "13-P-413784")</f>
        <v>13-P-413784</v>
      </c>
      <c r="C8937">
        <v>5</v>
      </c>
      <c r="D8937" t="s">
        <v>12149</v>
      </c>
      <c r="E8937" t="s">
        <v>11</v>
      </c>
      <c r="F8937" t="s">
        <v>13</v>
      </c>
      <c r="G8937" t="s">
        <v>264</v>
      </c>
      <c r="H8937" t="s">
        <v>14</v>
      </c>
    </row>
    <row r="8938" spans="1:8" hidden="1" x14ac:dyDescent="0.25">
      <c r="A8938" t="s">
        <v>10786</v>
      </c>
      <c r="B8938" s="1" t="str">
        <f>HYPERLINK("https://asmlis.vasa.lt/Dashboard/Served?ServiceDateFrom=2025-11-24&amp;ServiceDateTo=2025-11-24&amp;DumpsterInvNr=13-L-425797", "13-L-425797")</f>
        <v>13-L-425797</v>
      </c>
      <c r="C8938">
        <v>0.24</v>
      </c>
      <c r="D8938" t="s">
        <v>7153</v>
      </c>
      <c r="E8938" t="s">
        <v>11</v>
      </c>
      <c r="G8938" t="s">
        <v>74</v>
      </c>
      <c r="H8938" t="s">
        <v>14</v>
      </c>
    </row>
    <row r="8939" spans="1:8" hidden="1" x14ac:dyDescent="0.25">
      <c r="A8939" t="s">
        <v>11862</v>
      </c>
      <c r="B8939" s="1" t="str">
        <f>HYPERLINK("https://asmlis.vasa.lt/Dashboard/Served?ServiceDateFrom=2025-11-24&amp;ServiceDateTo=2025-11-24&amp;DumpsterInvNr=13-P-105536", "13-P-105536")</f>
        <v>13-P-105536</v>
      </c>
      <c r="C8939">
        <v>1.1000000000000001</v>
      </c>
      <c r="D8939" t="s">
        <v>12150</v>
      </c>
      <c r="E8939" t="s">
        <v>11</v>
      </c>
      <c r="G8939" t="s">
        <v>1917</v>
      </c>
      <c r="H8939" t="s">
        <v>432</v>
      </c>
    </row>
    <row r="8940" spans="1:8" hidden="1" x14ac:dyDescent="0.25">
      <c r="A8940" t="s">
        <v>12151</v>
      </c>
      <c r="B8940" s="1" t="str">
        <f>HYPERLINK("https://asmlis.vasa.lt/Dashboard/Served?ServiceDateFrom=2025-11-24&amp;ServiceDateTo=2025-11-24&amp;DumpsterInvNr=13-L-221639", "13-L-221639")</f>
        <v>13-L-221639</v>
      </c>
      <c r="C8940">
        <v>1.1000000000000001</v>
      </c>
      <c r="D8940" t="s">
        <v>12066</v>
      </c>
      <c r="E8940" t="s">
        <v>11</v>
      </c>
      <c r="G8940" t="s">
        <v>936</v>
      </c>
      <c r="H8940" t="s">
        <v>938</v>
      </c>
    </row>
    <row r="8941" spans="1:8" hidden="1" x14ac:dyDescent="0.25">
      <c r="A8941" t="s">
        <v>12152</v>
      </c>
      <c r="B8941" s="1" t="str">
        <f>HYPERLINK("https://asmlis.vasa.lt/Dashboard/Served?ServiceDateFrom=2025-11-24&amp;ServiceDateTo=2025-11-24&amp;DumpsterInvNr=13-L-319668", "13-L-319668")</f>
        <v>13-L-319668</v>
      </c>
      <c r="C8941">
        <v>0.24</v>
      </c>
      <c r="D8941" t="s">
        <v>12056</v>
      </c>
      <c r="E8941" t="s">
        <v>11</v>
      </c>
      <c r="F8941" t="s">
        <v>13</v>
      </c>
      <c r="G8941" t="s">
        <v>9</v>
      </c>
      <c r="H8941" t="s">
        <v>14</v>
      </c>
    </row>
    <row r="8942" spans="1:8" hidden="1" x14ac:dyDescent="0.25">
      <c r="A8942" t="s">
        <v>12153</v>
      </c>
      <c r="B8942" s="1" t="str">
        <f>HYPERLINK("https://asmlis.vasa.lt/Dashboard/Served?ServiceDateFrom=2025-11-24&amp;ServiceDateTo=2025-11-24&amp;DumpsterInvNr=13-L-129721", "13-L-129721")</f>
        <v>13-L-129721</v>
      </c>
      <c r="C8942">
        <v>1.1000000000000001</v>
      </c>
      <c r="D8942" t="s">
        <v>12139</v>
      </c>
      <c r="E8942" t="s">
        <v>11</v>
      </c>
      <c r="G8942" t="s">
        <v>430</v>
      </c>
      <c r="H8942" t="s">
        <v>432</v>
      </c>
    </row>
    <row r="8943" spans="1:8" hidden="1" x14ac:dyDescent="0.25">
      <c r="A8943" t="s">
        <v>12155</v>
      </c>
      <c r="B8943" s="1" t="str">
        <f>HYPERLINK("https://asmlis.vasa.lt/Dashboard/Served?ServiceDateFrom=2025-11-24&amp;ServiceDateTo=2025-11-24&amp;DumpsterInvNr=13-L-313663", "13-L-313663")</f>
        <v>13-L-313663</v>
      </c>
      <c r="C8943">
        <v>1.1000000000000001</v>
      </c>
      <c r="D8943" t="s">
        <v>12147</v>
      </c>
      <c r="E8943" t="s">
        <v>11</v>
      </c>
      <c r="G8943" t="s">
        <v>9</v>
      </c>
      <c r="H8943" t="s">
        <v>14</v>
      </c>
    </row>
    <row r="8944" spans="1:8" hidden="1" x14ac:dyDescent="0.25">
      <c r="A8944" t="s">
        <v>12156</v>
      </c>
      <c r="B8944" s="1" t="str">
        <f>HYPERLINK("https://asmlis.vasa.lt/Dashboard/Served?ServiceDateFrom=2025-11-24&amp;ServiceDateTo=2025-11-24&amp;DumpsterInvNr=13-L-316321", "13-L-316321")</f>
        <v>13-L-316321</v>
      </c>
      <c r="C8944">
        <v>1.1000000000000001</v>
      </c>
      <c r="D8944" t="s">
        <v>12157</v>
      </c>
      <c r="E8944" t="s">
        <v>11</v>
      </c>
      <c r="F8944" t="s">
        <v>13</v>
      </c>
      <c r="G8944" t="s">
        <v>9</v>
      </c>
      <c r="H8944" t="s">
        <v>14</v>
      </c>
    </row>
    <row r="8945" spans="1:8" hidden="1" x14ac:dyDescent="0.25">
      <c r="A8945" t="s">
        <v>12158</v>
      </c>
      <c r="B8945" s="1" t="str">
        <f>HYPERLINK("https://asmlis.vasa.lt/Dashboard/Served?ServiceDateFrom=2025-11-24&amp;ServiceDateTo=2025-11-24&amp;DumpsterInvNr=13-P-306831", "13-P-306831")</f>
        <v>13-P-306831</v>
      </c>
      <c r="C8945">
        <v>1.1000000000000001</v>
      </c>
      <c r="D8945" t="s">
        <v>6090</v>
      </c>
      <c r="E8945" t="s">
        <v>11</v>
      </c>
      <c r="F8945" t="s">
        <v>13</v>
      </c>
      <c r="G8945" t="s">
        <v>412</v>
      </c>
      <c r="H8945" t="s">
        <v>14</v>
      </c>
    </row>
    <row r="8946" spans="1:8" hidden="1" x14ac:dyDescent="0.25">
      <c r="A8946" t="s">
        <v>12159</v>
      </c>
      <c r="B8946" s="1" t="str">
        <f>HYPERLINK("https://asmlis.vasa.lt/Dashboard/Served?ServiceDateFrom=2025-11-24&amp;ServiceDateTo=2025-11-24&amp;DumpsterInvNr=13-L-110437", "13-L-110437")</f>
        <v>13-L-110437</v>
      </c>
      <c r="C8946">
        <v>0.24</v>
      </c>
      <c r="D8946" t="s">
        <v>12160</v>
      </c>
      <c r="E8946" t="s">
        <v>11</v>
      </c>
      <c r="G8946" t="s">
        <v>1912</v>
      </c>
      <c r="H8946" t="s">
        <v>432</v>
      </c>
    </row>
    <row r="8947" spans="1:8" hidden="1" x14ac:dyDescent="0.25">
      <c r="A8947" t="s">
        <v>12162</v>
      </c>
      <c r="B8947" s="1" t="str">
        <f>HYPERLINK("https://asmlis.vasa.lt/Dashboard/Served?ServiceDateFrom=2025-11-24&amp;ServiceDateTo=2025-11-24&amp;DumpsterInvNr=13-P-300822", "13-P-300822")</f>
        <v>13-P-300822</v>
      </c>
      <c r="C8947">
        <v>1.1000000000000001</v>
      </c>
      <c r="D8947" t="s">
        <v>6090</v>
      </c>
      <c r="E8947" t="s">
        <v>11</v>
      </c>
      <c r="F8947" t="s">
        <v>13</v>
      </c>
      <c r="G8947" t="s">
        <v>412</v>
      </c>
      <c r="H8947" t="s">
        <v>14</v>
      </c>
    </row>
    <row r="8948" spans="1:8" hidden="1" x14ac:dyDescent="0.25">
      <c r="A8948" t="s">
        <v>12162</v>
      </c>
      <c r="B8948" s="1" t="str">
        <f>HYPERLINK("https://asmlis.vasa.lt/Dashboard/Served?ServiceDateFrom=2025-11-24&amp;ServiceDateTo=2025-11-24&amp;DumpsterInvNr=13-P-105535", "13-P-105535")</f>
        <v>13-P-105535</v>
      </c>
      <c r="C8948">
        <v>1.1000000000000001</v>
      </c>
      <c r="D8948" t="s">
        <v>12150</v>
      </c>
      <c r="E8948" t="s">
        <v>11</v>
      </c>
      <c r="G8948" t="s">
        <v>1917</v>
      </c>
      <c r="H8948" t="s">
        <v>432</v>
      </c>
    </row>
    <row r="8949" spans="1:8" hidden="1" x14ac:dyDescent="0.25">
      <c r="A8949" t="s">
        <v>12163</v>
      </c>
      <c r="B8949" s="1" t="str">
        <f>HYPERLINK("https://asmlis.vasa.lt/Dashboard/Served?ServiceDateFrom=2025-11-24&amp;ServiceDateTo=2025-11-24&amp;DumpsterInvNr=13-L-423263", "13-L-423263")</f>
        <v>13-L-423263</v>
      </c>
      <c r="C8949">
        <v>5</v>
      </c>
      <c r="D8949" t="s">
        <v>12164</v>
      </c>
      <c r="E8949" t="s">
        <v>11</v>
      </c>
      <c r="F8949" t="s">
        <v>13</v>
      </c>
      <c r="G8949" t="s">
        <v>74</v>
      </c>
      <c r="H8949" t="s">
        <v>14</v>
      </c>
    </row>
    <row r="8950" spans="1:8" hidden="1" x14ac:dyDescent="0.25">
      <c r="A8950" t="s">
        <v>12165</v>
      </c>
      <c r="B8950" s="1" t="str">
        <f>HYPERLINK("https://asmlis.vasa.lt/Dashboard/Served?ServiceDateFrom=2025-11-24&amp;ServiceDateTo=2025-11-24&amp;DumpsterInvNr=13-P-302649", "13-P-302649")</f>
        <v>13-P-302649</v>
      </c>
      <c r="C8950">
        <v>3</v>
      </c>
      <c r="D8950" t="s">
        <v>2290</v>
      </c>
      <c r="E8950" t="s">
        <v>11</v>
      </c>
      <c r="G8950" t="s">
        <v>412</v>
      </c>
      <c r="H8950" t="s">
        <v>14</v>
      </c>
    </row>
    <row r="8951" spans="1:8" hidden="1" x14ac:dyDescent="0.25">
      <c r="A8951" t="s">
        <v>12166</v>
      </c>
      <c r="B8951" s="1" t="str">
        <f>HYPERLINK("https://asmlis.vasa.lt/Dashboard/Served?ServiceDateFrom=2025-11-24&amp;ServiceDateTo=2025-11-24&amp;DumpsterInvNr=13-P-111955", "13-P-111955")</f>
        <v>13-P-111955</v>
      </c>
      <c r="C8951">
        <v>0.24</v>
      </c>
      <c r="D8951" t="s">
        <v>12160</v>
      </c>
      <c r="E8951" t="s">
        <v>11</v>
      </c>
      <c r="G8951" t="s">
        <v>1917</v>
      </c>
      <c r="H8951" t="s">
        <v>432</v>
      </c>
    </row>
    <row r="8952" spans="1:8" hidden="1" x14ac:dyDescent="0.25">
      <c r="A8952" t="s">
        <v>12167</v>
      </c>
      <c r="B8952" s="1" t="str">
        <f>HYPERLINK("https://asmlis.vasa.lt/Dashboard/Served?ServiceDateFrom=2025-11-24&amp;ServiceDateTo=2025-11-24&amp;DumpsterInvNr=13-P-404013", "13-P-404013")</f>
        <v>13-P-404013</v>
      </c>
      <c r="C8952">
        <v>0.24</v>
      </c>
      <c r="D8952" t="s">
        <v>1784</v>
      </c>
      <c r="E8952" t="s">
        <v>11</v>
      </c>
      <c r="G8952" t="s">
        <v>264</v>
      </c>
      <c r="H8952" t="s">
        <v>14</v>
      </c>
    </row>
    <row r="8953" spans="1:8" hidden="1" x14ac:dyDescent="0.25">
      <c r="A8953" t="s">
        <v>12168</v>
      </c>
      <c r="B8953" s="1" t="str">
        <f>HYPERLINK("https://asmlis.vasa.lt/Dashboard/Served?ServiceDateFrom=2025-11-24&amp;ServiceDateTo=2025-11-24&amp;DumpsterInvNr=13-L-317025", "13-L-317025")</f>
        <v>13-L-317025</v>
      </c>
      <c r="C8953">
        <v>1.1000000000000001</v>
      </c>
      <c r="D8953" t="s">
        <v>12147</v>
      </c>
      <c r="E8953" t="s">
        <v>11</v>
      </c>
      <c r="G8953" t="s">
        <v>9</v>
      </c>
      <c r="H8953" t="s">
        <v>14</v>
      </c>
    </row>
    <row r="8954" spans="1:8" hidden="1" x14ac:dyDescent="0.25">
      <c r="A8954" t="s">
        <v>12169</v>
      </c>
      <c r="B8954" s="1" t="str">
        <f>HYPERLINK("https://asmlis.vasa.lt/Dashboard/Served?ServiceDateFrom=2025-11-24&amp;ServiceDateTo=2025-11-24&amp;DumpsterInvNr=13-P-211601", "13-P-211601")</f>
        <v>13-P-211601</v>
      </c>
      <c r="C8954">
        <v>0.24</v>
      </c>
      <c r="D8954" t="s">
        <v>11125</v>
      </c>
      <c r="E8954" t="s">
        <v>11</v>
      </c>
      <c r="G8954" t="s">
        <v>234</v>
      </c>
      <c r="H8954" t="s">
        <v>14</v>
      </c>
    </row>
    <row r="8955" spans="1:8" hidden="1" x14ac:dyDescent="0.25">
      <c r="A8955" t="s">
        <v>12170</v>
      </c>
      <c r="B8955" s="1" t="str">
        <f>HYPERLINK("https://asmlis.vasa.lt/Dashboard/Served?ServiceDateFrom=2025-11-24&amp;ServiceDateTo=2025-11-24&amp;DumpsterInvNr=13-S-211529", "13-S-211529")</f>
        <v>13-S-211529</v>
      </c>
      <c r="C8955">
        <v>0.12</v>
      </c>
      <c r="D8955" t="s">
        <v>11125</v>
      </c>
      <c r="E8955" t="s">
        <v>11</v>
      </c>
      <c r="G8955" t="s">
        <v>234</v>
      </c>
      <c r="H8955" t="s">
        <v>14</v>
      </c>
    </row>
    <row r="8956" spans="1:8" hidden="1" x14ac:dyDescent="0.25">
      <c r="A8956" t="s">
        <v>12171</v>
      </c>
      <c r="B8956" s="1" t="str">
        <f>HYPERLINK("https://asmlis.vasa.lt/Dashboard/Served?ServiceDateFrom=2025-11-24&amp;ServiceDateTo=2025-11-24&amp;DumpsterInvNr=13-S-207853", "13-S-207853")</f>
        <v>13-S-207853</v>
      </c>
      <c r="C8956">
        <v>1.8</v>
      </c>
      <c r="D8956" t="s">
        <v>12172</v>
      </c>
      <c r="E8956" t="s">
        <v>11</v>
      </c>
      <c r="F8956" t="s">
        <v>13</v>
      </c>
      <c r="G8956" t="s">
        <v>234</v>
      </c>
      <c r="H8956" t="s">
        <v>14</v>
      </c>
    </row>
    <row r="8957" spans="1:8" hidden="1" x14ac:dyDescent="0.25">
      <c r="A8957" t="s">
        <v>12173</v>
      </c>
      <c r="B8957" s="1" t="str">
        <f>HYPERLINK("https://asmlis.vasa.lt/Dashboard/Served?ServiceDateFrom=2025-11-24&amp;ServiceDateTo=2025-11-24&amp;DumpsterInvNr=13-M-206026", "13-M-206026")</f>
        <v>13-M-206026</v>
      </c>
      <c r="C8957">
        <v>0.12</v>
      </c>
      <c r="D8957" t="s">
        <v>12174</v>
      </c>
      <c r="E8957" t="s">
        <v>11</v>
      </c>
      <c r="F8957" t="s">
        <v>1209</v>
      </c>
      <c r="G8957" t="s">
        <v>4876</v>
      </c>
      <c r="H8957" t="s">
        <v>938</v>
      </c>
    </row>
    <row r="8958" spans="1:8" hidden="1" x14ac:dyDescent="0.25">
      <c r="A8958" t="s">
        <v>12175</v>
      </c>
      <c r="B8958" s="1" t="str">
        <f>HYPERLINK("https://asmlis.vasa.lt/Dashboard/Served?ServiceDateFrom=2025-11-24&amp;ServiceDateTo=2025-11-24&amp;DumpsterInvNr=13-P-300702", "13-P-300702")</f>
        <v>13-P-300702</v>
      </c>
      <c r="C8958">
        <v>1.1000000000000001</v>
      </c>
      <c r="D8958" t="s">
        <v>6090</v>
      </c>
      <c r="E8958" t="s">
        <v>11</v>
      </c>
      <c r="F8958" t="s">
        <v>13</v>
      </c>
      <c r="G8958" t="s">
        <v>412</v>
      </c>
      <c r="H8958" t="s">
        <v>14</v>
      </c>
    </row>
    <row r="8959" spans="1:8" hidden="1" x14ac:dyDescent="0.25">
      <c r="A8959" t="s">
        <v>12175</v>
      </c>
      <c r="B8959" s="1" t="str">
        <f>HYPERLINK("https://asmlis.vasa.lt/Dashboard/Served?ServiceDateFrom=2025-11-24&amp;ServiceDateTo=2025-11-24&amp;DumpsterInvNr=13-M-208084", "13-M-208084")</f>
        <v>13-M-208084</v>
      </c>
      <c r="C8959">
        <v>0.12</v>
      </c>
      <c r="D8959" t="s">
        <v>12176</v>
      </c>
      <c r="E8959" t="s">
        <v>11</v>
      </c>
      <c r="F8959" t="s">
        <v>1209</v>
      </c>
      <c r="G8959" t="s">
        <v>4876</v>
      </c>
      <c r="H8959" t="s">
        <v>938</v>
      </c>
    </row>
    <row r="8960" spans="1:8" hidden="1" x14ac:dyDescent="0.25">
      <c r="A8960" t="s">
        <v>12177</v>
      </c>
      <c r="B8960" s="1" t="str">
        <f>HYPERLINK("https://asmlis.vasa.lt/Dashboard/Served?ServiceDateFrom=2025-11-24&amp;ServiceDateTo=2025-11-24&amp;DumpsterInvNr=13-P-404023", "13-P-404023")</f>
        <v>13-P-404023</v>
      </c>
      <c r="C8960">
        <v>0.24</v>
      </c>
      <c r="D8960" t="s">
        <v>1816</v>
      </c>
      <c r="E8960" t="s">
        <v>11</v>
      </c>
      <c r="G8960" t="s">
        <v>264</v>
      </c>
      <c r="H8960" t="s">
        <v>14</v>
      </c>
    </row>
    <row r="8961" spans="1:8" hidden="1" x14ac:dyDescent="0.25">
      <c r="A8961" t="s">
        <v>12179</v>
      </c>
      <c r="B8961" s="1" t="str">
        <f>HYPERLINK("https://asmlis.vasa.lt/Dashboard/Served?ServiceDateFrom=2025-11-24&amp;ServiceDateTo=2025-11-24&amp;DumpsterInvNr=13-L-310913", "13-L-310913")</f>
        <v>13-L-310913</v>
      </c>
      <c r="C8961">
        <v>1.1000000000000001</v>
      </c>
      <c r="D8961" t="s">
        <v>12181</v>
      </c>
      <c r="E8961" t="s">
        <v>11</v>
      </c>
      <c r="G8961" t="s">
        <v>9</v>
      </c>
      <c r="H8961" t="s">
        <v>14</v>
      </c>
    </row>
    <row r="8962" spans="1:8" hidden="1" x14ac:dyDescent="0.25">
      <c r="A8962" t="s">
        <v>12182</v>
      </c>
      <c r="B8962" s="1" t="str">
        <f>HYPERLINK("https://asmlis.vasa.lt/Dashboard/Served?ServiceDateFrom=2025-11-24&amp;ServiceDateTo=2025-11-24&amp;DumpsterInvNr=13-P-304022", "13-P-304022")</f>
        <v>13-P-304022</v>
      </c>
      <c r="C8962">
        <v>2.5</v>
      </c>
      <c r="D8962" t="s">
        <v>12107</v>
      </c>
      <c r="E8962" t="s">
        <v>11</v>
      </c>
      <c r="F8962" t="s">
        <v>13</v>
      </c>
      <c r="G8962" t="s">
        <v>412</v>
      </c>
      <c r="H8962" t="s">
        <v>14</v>
      </c>
    </row>
    <row r="8963" spans="1:8" hidden="1" x14ac:dyDescent="0.25">
      <c r="A8963" t="s">
        <v>12183</v>
      </c>
      <c r="B8963" s="1" t="str">
        <f>HYPERLINK("https://asmlis.vasa.lt/Dashboard/Served?ServiceDateFrom=2025-11-24&amp;ServiceDateTo=2025-11-24&amp;DumpsterInvNr=13-M-203066", "13-M-203066")</f>
        <v>13-M-203066</v>
      </c>
      <c r="C8963">
        <v>0.12</v>
      </c>
      <c r="D8963" t="s">
        <v>12184</v>
      </c>
      <c r="E8963" t="s">
        <v>11</v>
      </c>
      <c r="F8963" t="s">
        <v>1209</v>
      </c>
      <c r="G8963" t="s">
        <v>4876</v>
      </c>
      <c r="H8963" t="s">
        <v>938</v>
      </c>
    </row>
    <row r="8964" spans="1:8" hidden="1" x14ac:dyDescent="0.25">
      <c r="A8964" t="s">
        <v>12186</v>
      </c>
      <c r="B8964" s="1" t="str">
        <f>HYPERLINK("https://asmlis.vasa.lt/Dashboard/Served?ServiceDateFrom=2025-11-24&amp;ServiceDateTo=2025-11-24&amp;DumpsterInvNr=13-T-000060", "13-T-000060")</f>
        <v>13-T-000060</v>
      </c>
      <c r="C8964">
        <v>2.5</v>
      </c>
      <c r="D8964" t="s">
        <v>12187</v>
      </c>
      <c r="E8964" t="s">
        <v>11</v>
      </c>
      <c r="F8964" t="s">
        <v>13</v>
      </c>
      <c r="G8964" t="s">
        <v>1899</v>
      </c>
      <c r="H8964" t="s">
        <v>432</v>
      </c>
    </row>
    <row r="8965" spans="1:8" hidden="1" x14ac:dyDescent="0.25">
      <c r="A8965" t="s">
        <v>12188</v>
      </c>
      <c r="B8965" s="1" t="str">
        <f>HYPERLINK("https://asmlis.vasa.lt/Dashboard/Served?ServiceDateFrom=2025-11-24&amp;ServiceDateTo=2025-11-24&amp;DumpsterInvNr=13-S-106977", "13-S-106977")</f>
        <v>13-S-106977</v>
      </c>
      <c r="C8965">
        <v>0.12</v>
      </c>
      <c r="D8965" t="s">
        <v>12160</v>
      </c>
      <c r="E8965" t="s">
        <v>11</v>
      </c>
      <c r="F8965" t="s">
        <v>1209</v>
      </c>
      <c r="G8965" t="s">
        <v>1917</v>
      </c>
      <c r="H8965" t="s">
        <v>432</v>
      </c>
    </row>
    <row r="8966" spans="1:8" hidden="1" x14ac:dyDescent="0.25">
      <c r="A8966" t="s">
        <v>12190</v>
      </c>
      <c r="B8966" s="1" t="str">
        <f>HYPERLINK("https://asmlis.vasa.lt/Dashboard/Served?ServiceDateFrom=2025-11-24&amp;ServiceDateTo=2025-11-24&amp;DumpsterInvNr=13-L-211068", "13-L-211068")</f>
        <v>13-L-211068</v>
      </c>
      <c r="C8966">
        <v>0.24</v>
      </c>
      <c r="D8966" t="s">
        <v>9533</v>
      </c>
      <c r="E8966" t="s">
        <v>11</v>
      </c>
      <c r="F8966" t="s">
        <v>1209</v>
      </c>
      <c r="G8966" t="s">
        <v>936</v>
      </c>
      <c r="H8966" t="s">
        <v>938</v>
      </c>
    </row>
    <row r="8967" spans="1:8" hidden="1" x14ac:dyDescent="0.25">
      <c r="A8967" t="s">
        <v>12190</v>
      </c>
      <c r="B8967" s="1" t="str">
        <f>HYPERLINK("https://asmlis.vasa.lt/Dashboard/Served?ServiceDateFrom=2025-11-24&amp;ServiceDateTo=2025-11-24&amp;DumpsterInvNr=13-T-000087", "13-T-000087")</f>
        <v>13-T-000087</v>
      </c>
      <c r="C8967">
        <v>2.5</v>
      </c>
      <c r="D8967" t="s">
        <v>12187</v>
      </c>
      <c r="E8967" t="s">
        <v>11</v>
      </c>
      <c r="F8967" t="s">
        <v>13</v>
      </c>
      <c r="G8967" t="s">
        <v>1899</v>
      </c>
      <c r="H8967" t="s">
        <v>432</v>
      </c>
    </row>
    <row r="8968" spans="1:8" hidden="1" x14ac:dyDescent="0.25">
      <c r="A8968" t="s">
        <v>12191</v>
      </c>
      <c r="B8968" s="1" t="str">
        <f>HYPERLINK("https://asmlis.vasa.lt/Dashboard/Served?ServiceDateFrom=2025-11-24&amp;ServiceDateTo=2025-11-24&amp;DumpsterInvNr=13-L-146556", "13-L-146556")</f>
        <v>13-L-146556</v>
      </c>
      <c r="C8968">
        <v>0.24</v>
      </c>
      <c r="D8968" t="s">
        <v>12192</v>
      </c>
      <c r="E8968" t="s">
        <v>11</v>
      </c>
      <c r="G8968" t="s">
        <v>430</v>
      </c>
      <c r="H8968" t="s">
        <v>432</v>
      </c>
    </row>
    <row r="8969" spans="1:8" hidden="1" x14ac:dyDescent="0.25">
      <c r="A8969" t="s">
        <v>12193</v>
      </c>
      <c r="B8969" s="1" t="str">
        <f>HYPERLINK("https://asmlis.vasa.lt/Dashboard/Served?ServiceDateFrom=2025-11-24&amp;ServiceDateTo=2025-11-24&amp;DumpsterInvNr=13-L-135180", "13-L-135180")</f>
        <v>13-L-135180</v>
      </c>
      <c r="C8969">
        <v>5</v>
      </c>
      <c r="D8969" t="s">
        <v>12194</v>
      </c>
      <c r="E8969" t="s">
        <v>11</v>
      </c>
      <c r="F8969" t="s">
        <v>13</v>
      </c>
      <c r="G8969" t="s">
        <v>430</v>
      </c>
      <c r="H8969" t="s">
        <v>432</v>
      </c>
    </row>
    <row r="8970" spans="1:8" hidden="1" x14ac:dyDescent="0.25">
      <c r="A8970" t="s">
        <v>12193</v>
      </c>
      <c r="B8970" s="1" t="str">
        <f>HYPERLINK("https://asmlis.vasa.lt/Dashboard/Served?ServiceDateFrom=2025-11-24&amp;ServiceDateTo=2025-11-24&amp;DumpsterInvNr=13-P-505657", "13-P-505657")</f>
        <v>13-P-505657</v>
      </c>
      <c r="C8970">
        <v>0.24</v>
      </c>
      <c r="D8970" t="s">
        <v>12192</v>
      </c>
      <c r="E8970" t="s">
        <v>11</v>
      </c>
      <c r="G8970" t="s">
        <v>2178</v>
      </c>
      <c r="H8970" t="s">
        <v>432</v>
      </c>
    </row>
    <row r="8971" spans="1:8" hidden="1" x14ac:dyDescent="0.25">
      <c r="A8971" t="s">
        <v>12195</v>
      </c>
      <c r="B8971" s="1" t="str">
        <f>HYPERLINK("https://asmlis.vasa.lt/Dashboard/Served?ServiceDateFrom=2025-11-24&amp;ServiceDateTo=2025-11-24&amp;DumpsterInvNr=13-L-217914", "13-L-217914")</f>
        <v>13-L-217914</v>
      </c>
      <c r="C8971">
        <v>0.24</v>
      </c>
      <c r="D8971" t="s">
        <v>12196</v>
      </c>
      <c r="E8971" t="s">
        <v>11</v>
      </c>
      <c r="G8971" t="s">
        <v>936</v>
      </c>
      <c r="H8971" t="s">
        <v>938</v>
      </c>
    </row>
    <row r="8972" spans="1:8" hidden="1" x14ac:dyDescent="0.25">
      <c r="A8972" t="s">
        <v>12197</v>
      </c>
      <c r="B8972" s="1" t="str">
        <f>HYPERLINK("https://asmlis.vasa.lt/Dashboard/Served?ServiceDateFrom=2025-11-24&amp;ServiceDateTo=2025-11-24&amp;DumpsterInvNr=13-S-502074", "13-S-502074")</f>
        <v>13-S-502074</v>
      </c>
      <c r="C8972">
        <v>0.12</v>
      </c>
      <c r="D8972" t="s">
        <v>12192</v>
      </c>
      <c r="E8972" t="s">
        <v>11</v>
      </c>
      <c r="F8972" t="s">
        <v>1209</v>
      </c>
      <c r="G8972" t="s">
        <v>2178</v>
      </c>
      <c r="H8972" t="s">
        <v>432</v>
      </c>
    </row>
    <row r="8973" spans="1:8" hidden="1" x14ac:dyDescent="0.25">
      <c r="A8973" t="s">
        <v>12198</v>
      </c>
      <c r="B8973" s="1" t="str">
        <f>HYPERLINK("https://asmlis.vasa.lt/Dashboard/Served?ServiceDateFrom=2025-11-24&amp;ServiceDateTo=2025-11-24&amp;DumpsterInvNr=13-P-207844", "13-P-207844")</f>
        <v>13-P-207844</v>
      </c>
      <c r="C8973">
        <v>0.24</v>
      </c>
      <c r="D8973" t="s">
        <v>11131</v>
      </c>
      <c r="E8973" t="s">
        <v>11</v>
      </c>
      <c r="G8973" t="s">
        <v>234</v>
      </c>
      <c r="H8973" t="s">
        <v>14</v>
      </c>
    </row>
    <row r="8974" spans="1:8" hidden="1" x14ac:dyDescent="0.25">
      <c r="A8974" t="s">
        <v>12199</v>
      </c>
      <c r="B8974" s="1" t="str">
        <f>HYPERLINK("https://asmlis.vasa.lt/Dashboard/Served?ServiceDateFrom=2025-11-24&amp;ServiceDateTo=2025-11-24&amp;DumpsterInvNr=13-L-120470", "13-L-120470")</f>
        <v>13-L-120470</v>
      </c>
      <c r="C8974">
        <v>1.1000000000000001</v>
      </c>
      <c r="D8974" t="s">
        <v>12200</v>
      </c>
      <c r="E8974" t="s">
        <v>11</v>
      </c>
      <c r="G8974" t="s">
        <v>1912</v>
      </c>
      <c r="H8974" t="s">
        <v>432</v>
      </c>
    </row>
    <row r="8975" spans="1:8" hidden="1" x14ac:dyDescent="0.25">
      <c r="A8975" t="s">
        <v>12201</v>
      </c>
      <c r="B8975" s="1" t="str">
        <f>HYPERLINK("https://asmlis.vasa.lt/Dashboard/Served?ServiceDateFrom=2025-11-24&amp;ServiceDateTo=2025-11-24&amp;DumpsterInvNr=13-M-202169", "13-M-202169")</f>
        <v>13-M-202169</v>
      </c>
      <c r="C8975">
        <v>0.12</v>
      </c>
      <c r="D8975" t="s">
        <v>12202</v>
      </c>
      <c r="E8975" t="s">
        <v>11</v>
      </c>
      <c r="G8975" t="s">
        <v>4876</v>
      </c>
      <c r="H8975" t="s">
        <v>938</v>
      </c>
    </row>
    <row r="8976" spans="1:8" hidden="1" x14ac:dyDescent="0.25">
      <c r="A8976" t="s">
        <v>12203</v>
      </c>
      <c r="B8976" s="1" t="str">
        <f>HYPERLINK("https://asmlis.vasa.lt/Dashboard/Served?ServiceDateFrom=2025-11-24&amp;ServiceDateTo=2025-11-24&amp;DumpsterInvNr=13-L-209069", "13-L-209069")</f>
        <v>13-L-209069</v>
      </c>
      <c r="C8976">
        <v>0.12</v>
      </c>
      <c r="D8976" t="s">
        <v>12204</v>
      </c>
      <c r="E8976" t="s">
        <v>11</v>
      </c>
      <c r="F8976" t="s">
        <v>1209</v>
      </c>
      <c r="G8976" t="s">
        <v>936</v>
      </c>
      <c r="H8976" t="s">
        <v>938</v>
      </c>
    </row>
    <row r="8977" spans="1:10" hidden="1" x14ac:dyDescent="0.25">
      <c r="A8977" t="s">
        <v>12205</v>
      </c>
      <c r="B8977" s="1" t="str">
        <f>HYPERLINK("https://asmlis.vasa.lt/Dashboard/Served?ServiceDateFrom=2025-11-24&amp;ServiceDateTo=2025-11-24&amp;DumpsterInvNr=13-L-310911", "13-L-310911")</f>
        <v>13-L-310911</v>
      </c>
      <c r="C8977">
        <v>1.1000000000000001</v>
      </c>
      <c r="D8977" t="s">
        <v>12181</v>
      </c>
      <c r="E8977" t="s">
        <v>11</v>
      </c>
      <c r="G8977" t="s">
        <v>9</v>
      </c>
      <c r="H8977" t="s">
        <v>14</v>
      </c>
    </row>
    <row r="8978" spans="1:10" hidden="1" x14ac:dyDescent="0.25">
      <c r="A8978" t="s">
        <v>12206</v>
      </c>
      <c r="B8978" s="1" t="str">
        <f>HYPERLINK("https://asmlis.vasa.lt/Dashboard/Served?ServiceDateFrom=2025-11-24&amp;ServiceDateTo=2025-11-24&amp;DumpsterInvNr=13-L-227692", "13-L-227692")</f>
        <v>13-L-227692</v>
      </c>
      <c r="C8978">
        <v>1.1000000000000001</v>
      </c>
      <c r="D8978" t="s">
        <v>12207</v>
      </c>
      <c r="E8978" t="s">
        <v>11</v>
      </c>
      <c r="G8978" t="s">
        <v>936</v>
      </c>
      <c r="H8978" t="s">
        <v>938</v>
      </c>
    </row>
    <row r="8979" spans="1:10" hidden="1" x14ac:dyDescent="0.25">
      <c r="A8979" t="s">
        <v>12208</v>
      </c>
      <c r="B8979" s="1" t="str">
        <f>HYPERLINK("https://asmlis.vasa.lt/Dashboard/Served?ServiceDateFrom=2025-11-24&amp;ServiceDateTo=2025-11-24&amp;DumpsterInvNr=13-M-205172", "13-M-205172")</f>
        <v>13-M-205172</v>
      </c>
      <c r="C8979">
        <v>0.12</v>
      </c>
      <c r="D8979" t="s">
        <v>12209</v>
      </c>
      <c r="E8979" t="s">
        <v>11</v>
      </c>
      <c r="G8979" t="s">
        <v>4876</v>
      </c>
      <c r="H8979" t="s">
        <v>938</v>
      </c>
    </row>
    <row r="8980" spans="1:10" hidden="1" x14ac:dyDescent="0.25">
      <c r="A8980" t="s">
        <v>12210</v>
      </c>
      <c r="B8980" s="1" t="str">
        <f>HYPERLINK("https://asmlis.vasa.lt/Dashboard/Served?ServiceDateFrom=2025-11-24&amp;ServiceDateTo=2025-11-24&amp;DumpsterInvNr=13-P-213451", "13-P-213451")</f>
        <v>13-P-213451</v>
      </c>
      <c r="C8980">
        <v>0.24</v>
      </c>
      <c r="D8980" t="s">
        <v>12211</v>
      </c>
      <c r="E8980" t="s">
        <v>11</v>
      </c>
      <c r="F8980" t="s">
        <v>1209</v>
      </c>
      <c r="G8980" t="s">
        <v>234</v>
      </c>
      <c r="H8980" t="s">
        <v>14</v>
      </c>
    </row>
    <row r="8981" spans="1:10" hidden="1" x14ac:dyDescent="0.25">
      <c r="A8981" t="s">
        <v>12210</v>
      </c>
      <c r="B8981" s="1" t="str">
        <f>HYPERLINK("https://asmlis.vasa.lt/Dashboard/Served?ServiceDateFrom=2025-11-24&amp;ServiceDateTo=2025-11-24&amp;DumpsterInvNr=DGA-ZALVARIS", "DGA-ZALVARIS")</f>
        <v>DGA-ZALVARIS</v>
      </c>
      <c r="C8981">
        <v>1</v>
      </c>
      <c r="D8981" t="s">
        <v>12213</v>
      </c>
      <c r="E8981" t="s">
        <v>12</v>
      </c>
      <c r="F8981" t="s">
        <v>13</v>
      </c>
      <c r="G8981" t="s">
        <v>10915</v>
      </c>
      <c r="H8981" t="s">
        <v>6765</v>
      </c>
    </row>
    <row r="8982" spans="1:10" hidden="1" x14ac:dyDescent="0.25">
      <c r="A8982" t="s">
        <v>12214</v>
      </c>
      <c r="B8982" s="1" t="str">
        <f>HYPERLINK("https://asmlis.vasa.lt/Dashboard/Served?ServiceDateFrom=2025-11-24&amp;ServiceDateTo=2025-11-24&amp;DumpsterInvNr=13-S-106899", "13-S-106899")</f>
        <v>13-S-106899</v>
      </c>
      <c r="C8982">
        <v>0.12</v>
      </c>
      <c r="D8982" t="s">
        <v>12215</v>
      </c>
      <c r="E8982" t="s">
        <v>11</v>
      </c>
      <c r="G8982" t="s">
        <v>1917</v>
      </c>
      <c r="H8982" t="s">
        <v>432</v>
      </c>
    </row>
    <row r="8983" spans="1:10" hidden="1" x14ac:dyDescent="0.25">
      <c r="A8983" t="s">
        <v>12216</v>
      </c>
      <c r="B8983" s="1" t="str">
        <f>HYPERLINK("https://asmlis.vasa.lt/Dashboard/Served?ServiceDateFrom=2025-11-24&amp;ServiceDateTo=2025-11-24&amp;DumpsterInvNr=13-L-142197", "13-L-142197")</f>
        <v>13-L-142197</v>
      </c>
      <c r="C8983">
        <v>5</v>
      </c>
      <c r="D8983" t="s">
        <v>6811</v>
      </c>
      <c r="E8983" t="s">
        <v>11</v>
      </c>
      <c r="F8983" t="s">
        <v>13</v>
      </c>
      <c r="G8983" t="s">
        <v>430</v>
      </c>
      <c r="H8983" t="s">
        <v>432</v>
      </c>
    </row>
    <row r="8984" spans="1:10" hidden="1" x14ac:dyDescent="0.25">
      <c r="A8984" t="s">
        <v>12217</v>
      </c>
      <c r="B8984" s="1" t="str">
        <f>HYPERLINK("https://asmlis.vasa.lt/Dashboard/Served?ServiceDateFrom=2025-11-24&amp;ServiceDateTo=2025-11-24&amp;DumpsterInvNr=13-M-204912", "13-M-204912")</f>
        <v>13-M-204912</v>
      </c>
      <c r="C8984">
        <v>0.12</v>
      </c>
      <c r="D8984" t="s">
        <v>12218</v>
      </c>
      <c r="E8984" t="s">
        <v>11</v>
      </c>
      <c r="F8984" t="s">
        <v>1209</v>
      </c>
      <c r="G8984" t="s">
        <v>4876</v>
      </c>
      <c r="H8984" t="s">
        <v>938</v>
      </c>
    </row>
    <row r="8985" spans="1:10" hidden="1" x14ac:dyDescent="0.25">
      <c r="A8985" t="s">
        <v>12219</v>
      </c>
      <c r="B8985" s="1" t="str">
        <f>HYPERLINK("https://asmlis.vasa.lt/Dashboard/Served?ServiceDateFrom=2025-11-24&amp;ServiceDateTo=2025-11-24&amp;DumpsterInvNr=13-M-204947", "13-M-204947")</f>
        <v>13-M-204947</v>
      </c>
      <c r="C8985">
        <v>0.12</v>
      </c>
      <c r="D8985" t="s">
        <v>12220</v>
      </c>
      <c r="E8985" t="s">
        <v>11</v>
      </c>
      <c r="F8985" t="s">
        <v>1209</v>
      </c>
      <c r="G8985" t="s">
        <v>4876</v>
      </c>
      <c r="H8985" t="s">
        <v>938</v>
      </c>
    </row>
    <row r="8986" spans="1:10" hidden="1" x14ac:dyDescent="0.25">
      <c r="A8986" t="s">
        <v>12221</v>
      </c>
      <c r="B8986" s="1" t="str">
        <f>HYPERLINK("https://asmlis.vasa.lt/Dashboard/Served?ServiceDateFrom=2025-11-24&amp;ServiceDateTo=2025-11-24&amp;DumpsterInvNr=13-L-222047", "13-L-222047")</f>
        <v>13-L-222047</v>
      </c>
      <c r="C8986">
        <v>0.24</v>
      </c>
      <c r="D8986" t="s">
        <v>9510</v>
      </c>
      <c r="E8986" t="s">
        <v>11</v>
      </c>
      <c r="F8986" t="s">
        <v>1209</v>
      </c>
      <c r="G8986" t="s">
        <v>936</v>
      </c>
      <c r="H8986" t="s">
        <v>938</v>
      </c>
    </row>
    <row r="8987" spans="1:10" hidden="1" x14ac:dyDescent="0.25">
      <c r="A8987" t="s">
        <v>12223</v>
      </c>
      <c r="B8987" s="1" t="str">
        <f>HYPERLINK("https://asmlis.vasa.lt/Dashboard/Served?ServiceDateFrom=2025-11-24&amp;ServiceDateTo=2025-11-24&amp;DumpsterInvNr=13-P-400003", "13-P-400003")</f>
        <v>13-P-400003</v>
      </c>
      <c r="C8987">
        <v>2.5</v>
      </c>
      <c r="D8987" t="s">
        <v>5374</v>
      </c>
      <c r="E8987" t="s">
        <v>11</v>
      </c>
      <c r="F8987" t="s">
        <v>13</v>
      </c>
      <c r="G8987" t="s">
        <v>264</v>
      </c>
      <c r="H8987" t="s">
        <v>14</v>
      </c>
    </row>
    <row r="8988" spans="1:10" hidden="1" x14ac:dyDescent="0.25">
      <c r="A8988" t="s">
        <v>12224</v>
      </c>
      <c r="B8988" s="1" t="str">
        <f>HYPERLINK("https://asmlis.vasa.lt/Dashboard/Served?ServiceDateFrom=2025-11-24&amp;ServiceDateTo=2025-11-24&amp;DumpsterInvNr=13-L-116645", "13-L-116645")</f>
        <v>13-L-116645</v>
      </c>
      <c r="C8988">
        <v>1.1000000000000001</v>
      </c>
      <c r="D8988" t="s">
        <v>2839</v>
      </c>
      <c r="E8988" t="s">
        <v>11</v>
      </c>
      <c r="F8988" t="s">
        <v>12225</v>
      </c>
      <c r="G8988" t="s">
        <v>430</v>
      </c>
      <c r="H8988" t="s">
        <v>432</v>
      </c>
      <c r="J8988" t="s">
        <v>17516</v>
      </c>
    </row>
    <row r="8989" spans="1:10" hidden="1" x14ac:dyDescent="0.25">
      <c r="A8989" t="s">
        <v>12227</v>
      </c>
      <c r="B8989" s="1" t="str">
        <f>HYPERLINK("https://asmlis.vasa.lt/Dashboard/Served?ServiceDateFrom=2025-11-24&amp;ServiceDateTo=2025-11-24&amp;DumpsterInvNr=13-L-217833", "13-L-217833")</f>
        <v>13-L-217833</v>
      </c>
      <c r="C8989">
        <v>1.1000000000000001</v>
      </c>
      <c r="D8989" t="s">
        <v>12228</v>
      </c>
      <c r="E8989" t="s">
        <v>11</v>
      </c>
      <c r="G8989" t="s">
        <v>936</v>
      </c>
      <c r="H8989" t="s">
        <v>938</v>
      </c>
    </row>
    <row r="8990" spans="1:10" hidden="1" x14ac:dyDescent="0.25">
      <c r="A8990" t="s">
        <v>12226</v>
      </c>
      <c r="B8990" s="1" t="str">
        <f>HYPERLINK("https://asmlis.vasa.lt/Dashboard/Served?ServiceDateFrom=2025-11-24&amp;ServiceDateTo=2025-11-24&amp;DumpsterInvNr=13-P-416216", "13-P-416216")</f>
        <v>13-P-416216</v>
      </c>
      <c r="C8990">
        <v>2.5</v>
      </c>
      <c r="D8990" t="s">
        <v>5374</v>
      </c>
      <c r="E8990" t="s">
        <v>11</v>
      </c>
      <c r="F8990" t="s">
        <v>13</v>
      </c>
      <c r="G8990" t="s">
        <v>264</v>
      </c>
      <c r="H8990" t="s">
        <v>14</v>
      </c>
    </row>
    <row r="8991" spans="1:10" hidden="1" x14ac:dyDescent="0.25">
      <c r="A8991" t="s">
        <v>12229</v>
      </c>
      <c r="B8991" s="1" t="str">
        <f>HYPERLINK("https://asmlis.vasa.lt/Dashboard/Served?ServiceDateFrom=2025-11-24&amp;ServiceDateTo=2025-11-24&amp;DumpsterInvNr=13-L-225258", "13-L-225258")</f>
        <v>13-L-225258</v>
      </c>
      <c r="C8991">
        <v>0.24</v>
      </c>
      <c r="D8991" t="s">
        <v>9566</v>
      </c>
      <c r="E8991" t="s">
        <v>11</v>
      </c>
      <c r="G8991" t="s">
        <v>936</v>
      </c>
      <c r="H8991" t="s">
        <v>938</v>
      </c>
    </row>
    <row r="8992" spans="1:10" hidden="1" x14ac:dyDescent="0.25">
      <c r="A8992" t="s">
        <v>12230</v>
      </c>
      <c r="B8992" s="1" t="str">
        <f>HYPERLINK("https://asmlis.vasa.lt/Dashboard/Served?ServiceDateFrom=2025-11-24&amp;ServiceDateTo=2025-11-24&amp;DumpsterInvNr=13-S-211528", "13-S-211528")</f>
        <v>13-S-211528</v>
      </c>
      <c r="C8992">
        <v>0.12</v>
      </c>
      <c r="D8992" t="s">
        <v>11157</v>
      </c>
      <c r="E8992" t="s">
        <v>11</v>
      </c>
      <c r="G8992" t="s">
        <v>234</v>
      </c>
      <c r="H8992" t="s">
        <v>14</v>
      </c>
    </row>
    <row r="8993" spans="1:10" hidden="1" x14ac:dyDescent="0.25">
      <c r="A8993" t="s">
        <v>12231</v>
      </c>
      <c r="B8993" s="1" t="str">
        <f>HYPERLINK("https://asmlis.vasa.lt/Dashboard/Served?ServiceDateFrom=2025-11-24&amp;ServiceDateTo=2025-11-24&amp;DumpsterInvNr=13-L-423224", "13-L-423224")</f>
        <v>13-L-423224</v>
      </c>
      <c r="C8993">
        <v>5</v>
      </c>
      <c r="D8993" t="s">
        <v>12232</v>
      </c>
      <c r="E8993" t="s">
        <v>11</v>
      </c>
      <c r="G8993" t="s">
        <v>74</v>
      </c>
      <c r="H8993" t="s">
        <v>14</v>
      </c>
    </row>
    <row r="8994" spans="1:10" hidden="1" x14ac:dyDescent="0.25">
      <c r="A8994" t="s">
        <v>12231</v>
      </c>
      <c r="B8994" s="1" t="str">
        <f>HYPERLINK("https://asmlis.vasa.lt/Dashboard/Served?ServiceDateFrom=2025-11-24&amp;ServiceDateTo=2025-11-24&amp;DumpsterInvNr=13-L-116644", "13-L-116644")</f>
        <v>13-L-116644</v>
      </c>
      <c r="C8994">
        <v>1.1000000000000001</v>
      </c>
      <c r="D8994" t="s">
        <v>2839</v>
      </c>
      <c r="E8994" t="s">
        <v>11</v>
      </c>
      <c r="F8994" t="s">
        <v>12225</v>
      </c>
      <c r="G8994" t="s">
        <v>430</v>
      </c>
      <c r="H8994" t="s">
        <v>432</v>
      </c>
      <c r="J8994" t="s">
        <v>17516</v>
      </c>
    </row>
    <row r="8995" spans="1:10" hidden="1" x14ac:dyDescent="0.25">
      <c r="A8995" t="s">
        <v>12234</v>
      </c>
      <c r="B8995" s="1" t="str">
        <f>HYPERLINK("https://asmlis.vasa.lt/Dashboard/Served?ServiceDateFrom=2025-11-24&amp;ServiceDateTo=2025-11-24&amp;DumpsterInvNr=13-P-211553", "13-P-211553")</f>
        <v>13-P-211553</v>
      </c>
      <c r="C8995">
        <v>0.24</v>
      </c>
      <c r="D8995" t="s">
        <v>11157</v>
      </c>
      <c r="E8995" t="s">
        <v>11</v>
      </c>
      <c r="G8995" t="s">
        <v>234</v>
      </c>
      <c r="H8995" t="s">
        <v>14</v>
      </c>
    </row>
    <row r="8996" spans="1:10" hidden="1" x14ac:dyDescent="0.25">
      <c r="A8996" t="s">
        <v>12233</v>
      </c>
      <c r="B8996" s="1" t="str">
        <f>HYPERLINK("https://asmlis.vasa.lt/Dashboard/Served?ServiceDateFrom=2025-11-24&amp;ServiceDateTo=2025-11-24&amp;DumpsterInvNr=13-L-201466", "13-L-201466")</f>
        <v>13-L-201466</v>
      </c>
      <c r="C8996">
        <v>1.1000000000000001</v>
      </c>
      <c r="D8996" t="s">
        <v>12235</v>
      </c>
      <c r="E8996" t="s">
        <v>11</v>
      </c>
      <c r="G8996" t="s">
        <v>936</v>
      </c>
      <c r="H8996" t="s">
        <v>938</v>
      </c>
    </row>
    <row r="8997" spans="1:10" hidden="1" x14ac:dyDescent="0.25">
      <c r="A8997" t="s">
        <v>12236</v>
      </c>
      <c r="B8997" s="1" t="str">
        <f>HYPERLINK("https://asmlis.vasa.lt/Dashboard/Served?ServiceDateFrom=2025-11-24&amp;ServiceDateTo=2025-11-24&amp;DumpsterInvNr=13-P-404014", "13-P-404014")</f>
        <v>13-P-404014</v>
      </c>
      <c r="C8997">
        <v>0.24</v>
      </c>
      <c r="D8997" t="s">
        <v>1783</v>
      </c>
      <c r="E8997" t="s">
        <v>11</v>
      </c>
      <c r="G8997" t="s">
        <v>264</v>
      </c>
      <c r="H8997" t="s">
        <v>14</v>
      </c>
    </row>
    <row r="8998" spans="1:10" hidden="1" x14ac:dyDescent="0.25">
      <c r="A8998" t="s">
        <v>12237</v>
      </c>
      <c r="B8998" s="1" t="str">
        <f>HYPERLINK("https://asmlis.vasa.lt/Dashboard/Served?ServiceDateFrom=2025-11-24&amp;ServiceDateTo=2025-11-24&amp;DumpsterInvNr=13-L-115048", "13-L-115048")</f>
        <v>13-L-115048</v>
      </c>
      <c r="C8998">
        <v>0.24</v>
      </c>
      <c r="D8998" t="s">
        <v>12215</v>
      </c>
      <c r="E8998" t="s">
        <v>11</v>
      </c>
      <c r="G8998" t="s">
        <v>1912</v>
      </c>
      <c r="H8998" t="s">
        <v>432</v>
      </c>
    </row>
    <row r="8999" spans="1:10" hidden="1" x14ac:dyDescent="0.25">
      <c r="A8999" t="s">
        <v>12238</v>
      </c>
      <c r="B8999" s="1" t="str">
        <f>HYPERLINK("https://asmlis.vasa.lt/Dashboard/Served?ServiceDateFrom=2025-11-24&amp;ServiceDateTo=2025-11-24&amp;DumpsterInvNr=13-L-310912", "13-L-310912")</f>
        <v>13-L-310912</v>
      </c>
      <c r="C8999">
        <v>1.1000000000000001</v>
      </c>
      <c r="D8999" t="s">
        <v>12181</v>
      </c>
      <c r="E8999" t="s">
        <v>11</v>
      </c>
      <c r="F8999" t="s">
        <v>13</v>
      </c>
      <c r="G8999" t="s">
        <v>9</v>
      </c>
      <c r="H8999" t="s">
        <v>14</v>
      </c>
    </row>
    <row r="9000" spans="1:10" hidden="1" x14ac:dyDescent="0.25">
      <c r="A9000" t="s">
        <v>12239</v>
      </c>
      <c r="B9000" s="1" t="str">
        <f>HYPERLINK("https://asmlis.vasa.lt/Dashboard/Served?ServiceDateFrom=2025-11-24&amp;ServiceDateTo=2025-11-24&amp;DumpsterInvNr=13-L-222187", "13-L-222187")</f>
        <v>13-L-222187</v>
      </c>
      <c r="C9000">
        <v>1.1000000000000001</v>
      </c>
      <c r="D9000" t="s">
        <v>12207</v>
      </c>
      <c r="E9000" t="s">
        <v>11</v>
      </c>
      <c r="G9000" t="s">
        <v>936</v>
      </c>
      <c r="H9000" t="s">
        <v>938</v>
      </c>
    </row>
    <row r="9001" spans="1:10" hidden="1" x14ac:dyDescent="0.25">
      <c r="A9001" t="s">
        <v>12240</v>
      </c>
      <c r="B9001" s="1" t="str">
        <f>HYPERLINK("https://asmlis.vasa.lt/Dashboard/Served?ServiceDateFrom=2025-11-24&amp;ServiceDateTo=2025-11-24&amp;DumpsterInvNr=13-P-404019", "13-P-404019")</f>
        <v>13-P-404019</v>
      </c>
      <c r="C9001">
        <v>0.24</v>
      </c>
      <c r="D9001" t="s">
        <v>1800</v>
      </c>
      <c r="E9001" t="s">
        <v>11</v>
      </c>
      <c r="G9001" t="s">
        <v>264</v>
      </c>
      <c r="H9001" t="s">
        <v>14</v>
      </c>
    </row>
    <row r="9002" spans="1:10" hidden="1" x14ac:dyDescent="0.25">
      <c r="A9002" t="s">
        <v>12240</v>
      </c>
      <c r="B9002" s="1" t="str">
        <f>HYPERLINK("https://asmlis.vasa.lt/Dashboard/Served?ServiceDateFrom=2025-11-24&amp;ServiceDateTo=2025-11-24&amp;DumpsterInvNr=13-P-111952", "13-P-111952")</f>
        <v>13-P-111952</v>
      </c>
      <c r="C9002">
        <v>0.24</v>
      </c>
      <c r="D9002" t="s">
        <v>12215</v>
      </c>
      <c r="E9002" t="s">
        <v>11</v>
      </c>
      <c r="G9002" t="s">
        <v>1917</v>
      </c>
      <c r="H9002" t="s">
        <v>432</v>
      </c>
    </row>
    <row r="9003" spans="1:10" hidden="1" x14ac:dyDescent="0.25">
      <c r="A9003" t="s">
        <v>12241</v>
      </c>
      <c r="B9003" s="1" t="str">
        <f>HYPERLINK("https://asmlis.vasa.lt/Dashboard/Served?ServiceDateFrom=2025-11-24&amp;ServiceDateTo=2025-11-24&amp;DumpsterInvNr=13-L-314424", "13-L-314424")</f>
        <v>13-L-314424</v>
      </c>
      <c r="C9003">
        <v>0.24</v>
      </c>
      <c r="D9003" t="s">
        <v>12242</v>
      </c>
      <c r="E9003" t="s">
        <v>11</v>
      </c>
      <c r="F9003" t="s">
        <v>13</v>
      </c>
      <c r="G9003" t="s">
        <v>9</v>
      </c>
      <c r="H9003" t="s">
        <v>14</v>
      </c>
    </row>
    <row r="9004" spans="1:10" hidden="1" x14ac:dyDescent="0.25">
      <c r="A9004" t="s">
        <v>12243</v>
      </c>
      <c r="B9004" s="1" t="str">
        <f>HYPERLINK("https://asmlis.vasa.lt/Dashboard/Served?ServiceDateFrom=2025-11-24&amp;ServiceDateTo=2025-11-24&amp;DumpsterInvNr=13-L-311689", "13-L-311689")</f>
        <v>13-L-311689</v>
      </c>
      <c r="C9004">
        <v>1.1000000000000001</v>
      </c>
      <c r="D9004" t="s">
        <v>12181</v>
      </c>
      <c r="E9004" t="s">
        <v>11</v>
      </c>
      <c r="F9004" t="s">
        <v>13</v>
      </c>
      <c r="G9004" t="s">
        <v>9</v>
      </c>
      <c r="H9004" t="s">
        <v>14</v>
      </c>
    </row>
    <row r="9005" spans="1:10" hidden="1" x14ac:dyDescent="0.25">
      <c r="A9005" t="s">
        <v>12243</v>
      </c>
      <c r="B9005" s="1" t="str">
        <f>HYPERLINK("https://asmlis.vasa.lt/Dashboard/Served?ServiceDateFrom=2025-11-24&amp;ServiceDateTo=2025-11-24&amp;DumpsterInvNr=13-P-206390", "13-P-206390")</f>
        <v>13-P-206390</v>
      </c>
      <c r="C9005">
        <v>0.24</v>
      </c>
      <c r="D9005" t="s">
        <v>11153</v>
      </c>
      <c r="E9005" t="s">
        <v>11</v>
      </c>
      <c r="F9005" t="s">
        <v>1209</v>
      </c>
      <c r="G9005" t="s">
        <v>234</v>
      </c>
      <c r="H9005" t="s">
        <v>14</v>
      </c>
    </row>
    <row r="9006" spans="1:10" hidden="1" x14ac:dyDescent="0.25">
      <c r="A9006" t="s">
        <v>12244</v>
      </c>
      <c r="B9006" s="1" t="str">
        <f>HYPERLINK("https://asmlis.vasa.lt/Dashboard/Served?ServiceDateFrom=2025-11-24&amp;ServiceDateTo=2025-11-24&amp;DumpsterInvNr=13-P-300541", "13-P-300541")</f>
        <v>13-P-300541</v>
      </c>
      <c r="C9006">
        <v>1.1000000000000001</v>
      </c>
      <c r="D9006" t="s">
        <v>5897</v>
      </c>
      <c r="E9006" t="s">
        <v>11</v>
      </c>
      <c r="F9006" t="s">
        <v>13</v>
      </c>
      <c r="G9006" t="s">
        <v>412</v>
      </c>
      <c r="H9006" t="s">
        <v>14</v>
      </c>
    </row>
    <row r="9007" spans="1:10" hidden="1" x14ac:dyDescent="0.25">
      <c r="A9007" t="s">
        <v>12245</v>
      </c>
      <c r="B9007" s="1" t="str">
        <f>HYPERLINK("https://asmlis.vasa.lt/Dashboard/Served?ServiceDateFrom=2025-11-24&amp;ServiceDateTo=2025-11-24&amp;DumpsterInvNr=13-L-228059", "13-L-228059")</f>
        <v>13-L-228059</v>
      </c>
      <c r="C9007">
        <v>0.24</v>
      </c>
      <c r="D9007" t="s">
        <v>9577</v>
      </c>
      <c r="E9007" t="s">
        <v>11</v>
      </c>
      <c r="F9007" t="s">
        <v>1209</v>
      </c>
      <c r="G9007" t="s">
        <v>936</v>
      </c>
      <c r="H9007" t="s">
        <v>938</v>
      </c>
    </row>
    <row r="9008" spans="1:10" hidden="1" x14ac:dyDescent="0.25">
      <c r="A9008" t="s">
        <v>12246</v>
      </c>
      <c r="B9008" s="1" t="str">
        <f>HYPERLINK("https://asmlis.vasa.lt/Dashboard/Served?ServiceDateFrom=2025-11-24&amp;ServiceDateTo=2025-11-24&amp;DumpsterInvNr=13-P-300437", "13-P-300437")</f>
        <v>13-P-300437</v>
      </c>
      <c r="C9008">
        <v>1.1000000000000001</v>
      </c>
      <c r="D9008" t="s">
        <v>5972</v>
      </c>
      <c r="E9008" t="s">
        <v>11</v>
      </c>
      <c r="F9008" t="s">
        <v>13</v>
      </c>
      <c r="G9008" t="s">
        <v>412</v>
      </c>
      <c r="H9008" t="s">
        <v>14</v>
      </c>
    </row>
    <row r="9009" spans="1:8" hidden="1" x14ac:dyDescent="0.25">
      <c r="A9009" t="s">
        <v>12247</v>
      </c>
      <c r="B9009" s="1" t="str">
        <f>HYPERLINK("https://asmlis.vasa.lt/Dashboard/Served?ServiceDateFrom=2025-11-24&amp;ServiceDateTo=2025-11-24&amp;DumpsterInvNr=13-L-140382", "13-L-140382")</f>
        <v>13-L-140382</v>
      </c>
      <c r="C9009">
        <v>0.24</v>
      </c>
      <c r="D9009" t="s">
        <v>12248</v>
      </c>
      <c r="E9009" t="s">
        <v>11</v>
      </c>
      <c r="G9009" t="s">
        <v>430</v>
      </c>
      <c r="H9009" t="s">
        <v>432</v>
      </c>
    </row>
    <row r="9010" spans="1:8" hidden="1" x14ac:dyDescent="0.25">
      <c r="A9010" t="s">
        <v>12247</v>
      </c>
      <c r="B9010" s="1" t="str">
        <f>HYPERLINK("https://asmlis.vasa.lt/Dashboard/Served?ServiceDateFrom=2025-11-24&amp;ServiceDateTo=2025-11-24&amp;DumpsterInvNr=13-P-506820", "13-P-506820")</f>
        <v>13-P-506820</v>
      </c>
      <c r="C9010">
        <v>0.24</v>
      </c>
      <c r="D9010" t="s">
        <v>12248</v>
      </c>
      <c r="E9010" t="s">
        <v>11</v>
      </c>
      <c r="G9010" t="s">
        <v>2178</v>
      </c>
      <c r="H9010" t="s">
        <v>432</v>
      </c>
    </row>
    <row r="9011" spans="1:8" hidden="1" x14ac:dyDescent="0.25">
      <c r="A9011" t="s">
        <v>12249</v>
      </c>
      <c r="B9011" s="1" t="str">
        <f>HYPERLINK("https://asmlis.vasa.lt/Dashboard/Served?ServiceDateFrom=2025-11-24&amp;ServiceDateTo=2025-11-24&amp;DumpsterInvNr=13-P-300608", "13-P-300608")</f>
        <v>13-P-300608</v>
      </c>
      <c r="C9011">
        <v>1.1000000000000001</v>
      </c>
      <c r="D9011" t="s">
        <v>5943</v>
      </c>
      <c r="E9011" t="s">
        <v>11</v>
      </c>
      <c r="F9011" t="s">
        <v>13</v>
      </c>
      <c r="G9011" t="s">
        <v>412</v>
      </c>
      <c r="H9011" t="s">
        <v>14</v>
      </c>
    </row>
    <row r="9012" spans="1:8" hidden="1" x14ac:dyDescent="0.25">
      <c r="A9012" t="s">
        <v>12091</v>
      </c>
      <c r="B9012" s="1" t="str">
        <f>HYPERLINK("https://asmlis.vasa.lt/Dashboard/Served?ServiceDateFrom=2025-11-24&amp;ServiceDateTo=2025-11-24&amp;DumpsterInvNr=13-L-223478", "13-L-223478")</f>
        <v>13-L-223478</v>
      </c>
      <c r="C9012">
        <v>1.1000000000000001</v>
      </c>
      <c r="D9012" t="s">
        <v>12235</v>
      </c>
      <c r="E9012" t="s">
        <v>11</v>
      </c>
      <c r="G9012" t="s">
        <v>936</v>
      </c>
      <c r="H9012" t="s">
        <v>938</v>
      </c>
    </row>
    <row r="9013" spans="1:8" hidden="1" x14ac:dyDescent="0.25">
      <c r="A9013" t="s">
        <v>12222</v>
      </c>
      <c r="B9013" s="1" t="str">
        <f>HYPERLINK("https://asmlis.vasa.lt/Dashboard/Served?ServiceDateFrom=2025-11-24&amp;ServiceDateTo=2025-11-24&amp;DumpsterInvNr=13-S-400574", "13-S-400574")</f>
        <v>13-S-400574</v>
      </c>
      <c r="C9013">
        <v>0.12</v>
      </c>
      <c r="D9013" t="s">
        <v>1814</v>
      </c>
      <c r="E9013" t="s">
        <v>11</v>
      </c>
      <c r="F9013" t="s">
        <v>1209</v>
      </c>
      <c r="G9013" t="s">
        <v>264</v>
      </c>
      <c r="H9013" t="s">
        <v>14</v>
      </c>
    </row>
    <row r="9014" spans="1:8" hidden="1" x14ac:dyDescent="0.25">
      <c r="A9014" t="s">
        <v>12222</v>
      </c>
      <c r="B9014" s="1" t="str">
        <f>HYPERLINK("https://asmlis.vasa.lt/Dashboard/Served?ServiceDateFrom=2025-11-24&amp;ServiceDateTo=2025-11-24&amp;DumpsterInvNr=13-M-202306", "13-M-202306")</f>
        <v>13-M-202306</v>
      </c>
      <c r="C9014">
        <v>0.12</v>
      </c>
      <c r="D9014" t="s">
        <v>12250</v>
      </c>
      <c r="E9014" t="s">
        <v>11</v>
      </c>
      <c r="F9014" t="s">
        <v>1209</v>
      </c>
      <c r="G9014" t="s">
        <v>4876</v>
      </c>
      <c r="H9014" t="s">
        <v>938</v>
      </c>
    </row>
    <row r="9015" spans="1:8" hidden="1" x14ac:dyDescent="0.25">
      <c r="A9015" t="s">
        <v>12252</v>
      </c>
      <c r="B9015" s="1" t="str">
        <f>HYPERLINK("https://asmlis.vasa.lt/Dashboard/Served?ServiceDateFrom=2025-11-24&amp;ServiceDateTo=2025-11-24&amp;DumpsterInvNr=13-P-413060", "13-P-413060")</f>
        <v>13-P-413060</v>
      </c>
      <c r="C9015">
        <v>1.1000000000000001</v>
      </c>
      <c r="D9015" t="s">
        <v>12253</v>
      </c>
      <c r="E9015" t="s">
        <v>11</v>
      </c>
      <c r="G9015" t="s">
        <v>264</v>
      </c>
      <c r="H9015" t="s">
        <v>14</v>
      </c>
    </row>
    <row r="9016" spans="1:8" hidden="1" x14ac:dyDescent="0.25">
      <c r="A9016" t="s">
        <v>12254</v>
      </c>
      <c r="B9016" s="1" t="str">
        <f>HYPERLINK("https://asmlis.vasa.lt/Dashboard/Served?ServiceDateFrom=2025-11-24&amp;ServiceDateTo=2025-11-24&amp;DumpsterInvNr=13-L-317001", "13-L-317001")</f>
        <v>13-L-317001</v>
      </c>
      <c r="C9016">
        <v>5</v>
      </c>
      <c r="D9016" t="s">
        <v>6649</v>
      </c>
      <c r="E9016" t="s">
        <v>11</v>
      </c>
      <c r="F9016" t="s">
        <v>13</v>
      </c>
      <c r="G9016" t="s">
        <v>9</v>
      </c>
      <c r="H9016" t="s">
        <v>14</v>
      </c>
    </row>
    <row r="9017" spans="1:8" hidden="1" x14ac:dyDescent="0.25">
      <c r="A9017" t="s">
        <v>12255</v>
      </c>
      <c r="B9017" s="1" t="str">
        <f>HYPERLINK("https://asmlis.vasa.lt/Dashboard/Served?ServiceDateFrom=2025-11-24&amp;ServiceDateTo=2025-11-24&amp;DumpsterInvNr=13-M-208124", "13-M-208124")</f>
        <v>13-M-208124</v>
      </c>
      <c r="C9017">
        <v>0.12</v>
      </c>
      <c r="D9017" t="s">
        <v>12211</v>
      </c>
      <c r="E9017" t="s">
        <v>11</v>
      </c>
      <c r="F9017" t="s">
        <v>1209</v>
      </c>
      <c r="G9017" t="s">
        <v>4876</v>
      </c>
      <c r="H9017" t="s">
        <v>938</v>
      </c>
    </row>
    <row r="9018" spans="1:8" hidden="1" x14ac:dyDescent="0.25">
      <c r="A9018" t="s">
        <v>12258</v>
      </c>
      <c r="B9018" s="1" t="str">
        <f>HYPERLINK("https://asmlis.vasa.lt/Dashboard/Served?ServiceDateFrom=2025-11-24&amp;ServiceDateTo=2025-11-24&amp;DumpsterInvNr=13-P-404466", "13-P-404466")</f>
        <v>13-P-404466</v>
      </c>
      <c r="C9018">
        <v>3</v>
      </c>
      <c r="D9018" t="s">
        <v>12259</v>
      </c>
      <c r="E9018" t="s">
        <v>11</v>
      </c>
      <c r="F9018" t="s">
        <v>13</v>
      </c>
      <c r="G9018" t="s">
        <v>264</v>
      </c>
      <c r="H9018" t="s">
        <v>14</v>
      </c>
    </row>
    <row r="9019" spans="1:8" hidden="1" x14ac:dyDescent="0.25">
      <c r="A9019" t="s">
        <v>12260</v>
      </c>
      <c r="B9019" s="1" t="str">
        <f>HYPERLINK("https://asmlis.vasa.lt/Dashboard/Served?ServiceDateFrom=2025-11-24&amp;ServiceDateTo=2025-11-24&amp;DumpsterInvNr=13-P-500151", "13-P-500151")</f>
        <v>13-P-500151</v>
      </c>
      <c r="C9019">
        <v>5</v>
      </c>
      <c r="D9019" t="s">
        <v>4989</v>
      </c>
      <c r="E9019" t="s">
        <v>11</v>
      </c>
      <c r="F9019" t="s">
        <v>13</v>
      </c>
      <c r="G9019" t="s">
        <v>2178</v>
      </c>
      <c r="H9019" t="s">
        <v>432</v>
      </c>
    </row>
    <row r="9020" spans="1:8" hidden="1" x14ac:dyDescent="0.25">
      <c r="A9020" t="s">
        <v>12260</v>
      </c>
      <c r="B9020" s="1" t="str">
        <f>HYPERLINK("https://asmlis.vasa.lt/Dashboard/Served?ServiceDateFrom=2025-11-24&amp;ServiceDateTo=2025-11-24&amp;DumpsterInvNr=13-M-204955", "13-M-204955")</f>
        <v>13-M-204955</v>
      </c>
      <c r="C9020">
        <v>0.12</v>
      </c>
      <c r="D9020" t="s">
        <v>12261</v>
      </c>
      <c r="E9020" t="s">
        <v>11</v>
      </c>
      <c r="F9020" t="s">
        <v>1209</v>
      </c>
      <c r="G9020" t="s">
        <v>4876</v>
      </c>
      <c r="H9020" t="s">
        <v>938</v>
      </c>
    </row>
    <row r="9021" spans="1:8" hidden="1" x14ac:dyDescent="0.25">
      <c r="A9021" t="s">
        <v>12262</v>
      </c>
      <c r="B9021" s="1" t="str">
        <f>HYPERLINK("https://asmlis.vasa.lt/Dashboard/Served?ServiceDateFrom=2025-11-24&amp;ServiceDateTo=2025-11-24&amp;DumpsterInvNr=13-P-416249", "13-P-416249")</f>
        <v>13-P-416249</v>
      </c>
      <c r="C9021">
        <v>5</v>
      </c>
      <c r="D9021" t="s">
        <v>7956</v>
      </c>
      <c r="E9021" t="s">
        <v>11</v>
      </c>
      <c r="F9021" t="s">
        <v>13</v>
      </c>
      <c r="G9021" t="s">
        <v>264</v>
      </c>
      <c r="H9021" t="s">
        <v>14</v>
      </c>
    </row>
    <row r="9022" spans="1:8" hidden="1" x14ac:dyDescent="0.25">
      <c r="A9022" t="s">
        <v>12263</v>
      </c>
      <c r="B9022" s="1" t="str">
        <f>HYPERLINK("https://asmlis.vasa.lt/Dashboard/Served?ServiceDateFrom=2025-11-24&amp;ServiceDateTo=2025-11-24&amp;DumpsterInvNr=13-S-102337", "13-S-102337")</f>
        <v>13-S-102337</v>
      </c>
      <c r="C9022">
        <v>0.12</v>
      </c>
      <c r="D9022" t="s">
        <v>12264</v>
      </c>
      <c r="E9022" t="s">
        <v>11</v>
      </c>
      <c r="G9022" t="s">
        <v>1917</v>
      </c>
      <c r="H9022" t="s">
        <v>432</v>
      </c>
    </row>
    <row r="9023" spans="1:8" hidden="1" x14ac:dyDescent="0.25">
      <c r="A9023" t="s">
        <v>12266</v>
      </c>
      <c r="B9023" s="1" t="str">
        <f>HYPERLINK("https://asmlis.vasa.lt/Dashboard/Served?ServiceDateFrom=2025-11-24&amp;ServiceDateTo=2025-11-24&amp;DumpsterInvNr=13-S-211438", "13-S-211438")</f>
        <v>13-S-211438</v>
      </c>
      <c r="C9023">
        <v>0.12</v>
      </c>
      <c r="D9023" t="s">
        <v>11090</v>
      </c>
      <c r="E9023" t="s">
        <v>11</v>
      </c>
      <c r="F9023" t="s">
        <v>1209</v>
      </c>
      <c r="G9023" t="s">
        <v>234</v>
      </c>
      <c r="H9023" t="s">
        <v>14</v>
      </c>
    </row>
    <row r="9024" spans="1:8" hidden="1" x14ac:dyDescent="0.25">
      <c r="A9024" t="s">
        <v>12266</v>
      </c>
      <c r="B9024" s="1" t="str">
        <f>HYPERLINK("https://asmlis.vasa.lt/Dashboard/Served?ServiceDateFrom=2025-11-24&amp;ServiceDateTo=2025-11-24&amp;DumpsterInvNr=13-L-142964", "13-L-142964")</f>
        <v>13-L-142964</v>
      </c>
      <c r="C9024">
        <v>0.24</v>
      </c>
      <c r="D9024" t="s">
        <v>12268</v>
      </c>
      <c r="E9024" t="s">
        <v>11</v>
      </c>
      <c r="G9024" t="s">
        <v>430</v>
      </c>
      <c r="H9024" t="s">
        <v>432</v>
      </c>
    </row>
    <row r="9025" spans="1:8" hidden="1" x14ac:dyDescent="0.25">
      <c r="A9025" t="s">
        <v>12269</v>
      </c>
      <c r="B9025" s="1" t="str">
        <f>HYPERLINK("https://asmlis.vasa.lt/Dashboard/Served?ServiceDateFrom=2025-11-24&amp;ServiceDateTo=2025-11-24&amp;DumpsterInvNr=13-P-506821", "13-P-506821")</f>
        <v>13-P-506821</v>
      </c>
      <c r="C9025">
        <v>0.24</v>
      </c>
      <c r="D9025" t="s">
        <v>12268</v>
      </c>
      <c r="E9025" t="s">
        <v>11</v>
      </c>
      <c r="G9025" t="s">
        <v>2178</v>
      </c>
      <c r="H9025" t="s">
        <v>432</v>
      </c>
    </row>
    <row r="9026" spans="1:8" hidden="1" x14ac:dyDescent="0.25">
      <c r="A9026" t="s">
        <v>12269</v>
      </c>
      <c r="B9026" s="1" t="str">
        <f>HYPERLINK("https://asmlis.vasa.lt/Dashboard/Served?ServiceDateFrom=2025-11-24&amp;ServiceDateTo=2025-11-24&amp;DumpsterInvNr=13-P-416393", "13-P-416393")</f>
        <v>13-P-416393</v>
      </c>
      <c r="C9026">
        <v>1.1000000000000001</v>
      </c>
      <c r="D9026" t="s">
        <v>12253</v>
      </c>
      <c r="E9026" t="s">
        <v>11</v>
      </c>
      <c r="G9026" t="s">
        <v>264</v>
      </c>
      <c r="H9026" t="s">
        <v>14</v>
      </c>
    </row>
    <row r="9027" spans="1:8" hidden="1" x14ac:dyDescent="0.25">
      <c r="A9027" t="s">
        <v>12270</v>
      </c>
      <c r="B9027" s="1" t="str">
        <f>HYPERLINK("https://asmlis.vasa.lt/Dashboard/Served?ServiceDateFrom=2025-11-24&amp;ServiceDateTo=2025-11-24&amp;DumpsterInvNr=13-P-211853", "13-P-211853")</f>
        <v>13-P-211853</v>
      </c>
      <c r="C9027">
        <v>0.24</v>
      </c>
      <c r="D9027" t="s">
        <v>11090</v>
      </c>
      <c r="E9027" t="s">
        <v>11</v>
      </c>
      <c r="F9027" t="s">
        <v>1209</v>
      </c>
      <c r="G9027" t="s">
        <v>234</v>
      </c>
      <c r="H9027" t="s">
        <v>14</v>
      </c>
    </row>
    <row r="9028" spans="1:8" hidden="1" x14ac:dyDescent="0.25">
      <c r="A9028" t="s">
        <v>12271</v>
      </c>
      <c r="B9028" s="1" t="str">
        <f>HYPERLINK("https://asmlis.vasa.lt/Dashboard/Served?ServiceDateFrom=2025-11-24&amp;ServiceDateTo=2025-11-24&amp;DumpsterInvNr=13-L-225112", "13-L-225112")</f>
        <v>13-L-225112</v>
      </c>
      <c r="C9028">
        <v>1.1000000000000001</v>
      </c>
      <c r="D9028" t="s">
        <v>12235</v>
      </c>
      <c r="E9028" t="s">
        <v>11</v>
      </c>
      <c r="G9028" t="s">
        <v>936</v>
      </c>
      <c r="H9028" t="s">
        <v>938</v>
      </c>
    </row>
    <row r="9029" spans="1:8" hidden="1" x14ac:dyDescent="0.25">
      <c r="A9029" t="s">
        <v>12272</v>
      </c>
      <c r="B9029" s="1" t="str">
        <f>HYPERLINK("https://asmlis.vasa.lt/Dashboard/Served?ServiceDateFrom=2025-11-24&amp;ServiceDateTo=2025-11-24&amp;DumpsterInvNr=13-P-109444", "13-P-109444")</f>
        <v>13-P-109444</v>
      </c>
      <c r="C9029">
        <v>0.24</v>
      </c>
      <c r="D9029" t="s">
        <v>12264</v>
      </c>
      <c r="E9029" t="s">
        <v>11</v>
      </c>
      <c r="G9029" t="s">
        <v>1917</v>
      </c>
      <c r="H9029" t="s">
        <v>432</v>
      </c>
    </row>
    <row r="9030" spans="1:8" hidden="1" x14ac:dyDescent="0.25">
      <c r="A9030" t="s">
        <v>12274</v>
      </c>
      <c r="B9030" s="1" t="str">
        <f>HYPERLINK("https://asmlis.vasa.lt/Dashboard/Served?ServiceDateFrom=2025-11-24&amp;ServiceDateTo=2025-11-24&amp;DumpsterInvNr=13-L-102704", "13-L-102704")</f>
        <v>13-L-102704</v>
      </c>
      <c r="C9030">
        <v>0.12</v>
      </c>
      <c r="D9030" t="s">
        <v>12264</v>
      </c>
      <c r="E9030" t="s">
        <v>11</v>
      </c>
      <c r="G9030" t="s">
        <v>1912</v>
      </c>
      <c r="H9030" t="s">
        <v>432</v>
      </c>
    </row>
    <row r="9031" spans="1:8" hidden="1" x14ac:dyDescent="0.25">
      <c r="A9031" t="s">
        <v>12276</v>
      </c>
      <c r="B9031" s="1" t="str">
        <f>HYPERLINK("https://asmlis.vasa.lt/Dashboard/Served?ServiceDateFrom=2025-11-24&amp;ServiceDateTo=2025-11-24&amp;DumpsterInvNr=13-M-204953", "13-M-204953")</f>
        <v>13-M-204953</v>
      </c>
      <c r="C9031">
        <v>0.12</v>
      </c>
      <c r="D9031" t="s">
        <v>12277</v>
      </c>
      <c r="E9031" t="s">
        <v>11</v>
      </c>
      <c r="G9031" t="s">
        <v>4876</v>
      </c>
      <c r="H9031" t="s">
        <v>938</v>
      </c>
    </row>
    <row r="9032" spans="1:8" hidden="1" x14ac:dyDescent="0.25">
      <c r="A9032" t="s">
        <v>12278</v>
      </c>
      <c r="B9032" s="1" t="str">
        <f>HYPERLINK("https://asmlis.vasa.lt/Dashboard/Served?ServiceDateFrom=2025-11-24&amp;ServiceDateTo=2025-11-24&amp;DumpsterInvNr=13-M-202454", "13-M-202454")</f>
        <v>13-M-202454</v>
      </c>
      <c r="C9032">
        <v>0.12</v>
      </c>
      <c r="D9032" t="s">
        <v>12279</v>
      </c>
      <c r="E9032" t="s">
        <v>11</v>
      </c>
      <c r="F9032" t="s">
        <v>1209</v>
      </c>
      <c r="G9032" t="s">
        <v>4876</v>
      </c>
      <c r="H9032" t="s">
        <v>938</v>
      </c>
    </row>
    <row r="9033" spans="1:8" hidden="1" x14ac:dyDescent="0.25">
      <c r="A9033" t="s">
        <v>12281</v>
      </c>
      <c r="B9033" s="1" t="str">
        <f>HYPERLINK("https://asmlis.vasa.lt/Dashboard/Served?ServiceDateFrom=2025-11-24&amp;ServiceDateTo=2025-11-24&amp;DumpsterInvNr=13-P-411676", "13-P-411676")</f>
        <v>13-P-411676</v>
      </c>
      <c r="C9033">
        <v>1.1000000000000001</v>
      </c>
      <c r="D9033" t="s">
        <v>12253</v>
      </c>
      <c r="E9033" t="s">
        <v>11</v>
      </c>
      <c r="G9033" t="s">
        <v>264</v>
      </c>
      <c r="H9033" t="s">
        <v>14</v>
      </c>
    </row>
    <row r="9034" spans="1:8" hidden="1" x14ac:dyDescent="0.25">
      <c r="A9034" t="s">
        <v>12282</v>
      </c>
      <c r="B9034" s="1" t="str">
        <f>HYPERLINK("https://asmlis.vasa.lt/Dashboard/Served?ServiceDateFrom=2025-11-24&amp;ServiceDateTo=2025-11-24&amp;DumpsterInvNr=13-L-223165", "13-L-223165")</f>
        <v>13-L-223165</v>
      </c>
      <c r="C9034">
        <v>1.1000000000000001</v>
      </c>
      <c r="D9034" t="s">
        <v>12228</v>
      </c>
      <c r="E9034" t="s">
        <v>11</v>
      </c>
      <c r="F9034" t="s">
        <v>13</v>
      </c>
      <c r="G9034" t="s">
        <v>936</v>
      </c>
      <c r="H9034" t="s">
        <v>938</v>
      </c>
    </row>
    <row r="9035" spans="1:8" hidden="1" x14ac:dyDescent="0.25">
      <c r="A9035" t="s">
        <v>12283</v>
      </c>
      <c r="B9035" s="1" t="str">
        <f>HYPERLINK("https://asmlis.vasa.lt/Dashboard/Served?ServiceDateFrom=2025-11-24&amp;ServiceDateTo=2025-11-24&amp;DumpsterInvNr=13-P-500470", "13-P-500470")</f>
        <v>13-P-500470</v>
      </c>
      <c r="C9035">
        <v>5</v>
      </c>
      <c r="D9035" t="s">
        <v>8387</v>
      </c>
      <c r="E9035" t="s">
        <v>11</v>
      </c>
      <c r="F9035" t="s">
        <v>13</v>
      </c>
      <c r="G9035" t="s">
        <v>2178</v>
      </c>
      <c r="H9035" t="s">
        <v>432</v>
      </c>
    </row>
    <row r="9036" spans="1:8" hidden="1" x14ac:dyDescent="0.25">
      <c r="A9036" t="s">
        <v>12284</v>
      </c>
      <c r="B9036" s="1" t="str">
        <f>HYPERLINK("https://asmlis.vasa.lt/Dashboard/Served?ServiceDateFrom=2025-11-24&amp;ServiceDateTo=2025-11-24&amp;DumpsterInvNr=13-L-202317", "13-L-202317")</f>
        <v>13-L-202317</v>
      </c>
      <c r="C9036">
        <v>0.24</v>
      </c>
      <c r="D9036" t="s">
        <v>9596</v>
      </c>
      <c r="E9036" t="s">
        <v>11</v>
      </c>
      <c r="G9036" t="s">
        <v>936</v>
      </c>
      <c r="H9036" t="s">
        <v>938</v>
      </c>
    </row>
    <row r="9037" spans="1:8" hidden="1" x14ac:dyDescent="0.25">
      <c r="A9037" t="s">
        <v>12284</v>
      </c>
      <c r="B9037" s="1" t="str">
        <f>HYPERLINK("https://asmlis.vasa.lt/Dashboard/Served?ServiceDateFrom=2025-11-24&amp;ServiceDateTo=2025-11-24&amp;DumpsterInvNr=13-L-208324", "13-L-208324")</f>
        <v>13-L-208324</v>
      </c>
      <c r="C9037">
        <v>0.12</v>
      </c>
      <c r="D9037" t="s">
        <v>9422</v>
      </c>
      <c r="E9037" t="s">
        <v>11</v>
      </c>
      <c r="G9037" t="s">
        <v>936</v>
      </c>
      <c r="H9037" t="s">
        <v>938</v>
      </c>
    </row>
    <row r="9038" spans="1:8" hidden="1" x14ac:dyDescent="0.25">
      <c r="A9038" t="s">
        <v>12285</v>
      </c>
      <c r="B9038" s="1" t="str">
        <f>HYPERLINK("https://asmlis.vasa.lt/Dashboard/Served?ServiceDateFrom=2025-11-24&amp;ServiceDateTo=2025-11-24&amp;DumpsterInvNr=13-L-141776", "13-L-141776")</f>
        <v>13-L-141776</v>
      </c>
      <c r="C9038">
        <v>0.24</v>
      </c>
      <c r="D9038" t="s">
        <v>12286</v>
      </c>
      <c r="E9038" t="s">
        <v>11</v>
      </c>
      <c r="G9038" t="s">
        <v>430</v>
      </c>
      <c r="H9038" t="s">
        <v>432</v>
      </c>
    </row>
    <row r="9039" spans="1:8" hidden="1" x14ac:dyDescent="0.25">
      <c r="A9039" t="s">
        <v>12285</v>
      </c>
      <c r="B9039" s="1" t="str">
        <f>HYPERLINK("https://asmlis.vasa.lt/Dashboard/Served?ServiceDateFrom=2025-11-24&amp;ServiceDateTo=2025-11-24&amp;DumpsterInvNr=13-P-506780", "13-P-506780")</f>
        <v>13-P-506780</v>
      </c>
      <c r="C9039">
        <v>0.24</v>
      </c>
      <c r="D9039" t="s">
        <v>12286</v>
      </c>
      <c r="E9039" t="s">
        <v>11</v>
      </c>
      <c r="G9039" t="s">
        <v>2178</v>
      </c>
      <c r="H9039" t="s">
        <v>432</v>
      </c>
    </row>
    <row r="9040" spans="1:8" hidden="1" x14ac:dyDescent="0.25">
      <c r="A9040" t="s">
        <v>12287</v>
      </c>
      <c r="B9040" s="1" t="str">
        <f>HYPERLINK("https://asmlis.vasa.lt/Dashboard/Served?ServiceDateFrom=2025-11-24&amp;ServiceDateTo=2025-11-24&amp;DumpsterInvNr=13-L-223661", "13-L-223661")</f>
        <v>13-L-223661</v>
      </c>
      <c r="C9040">
        <v>1.1000000000000001</v>
      </c>
      <c r="D9040" t="s">
        <v>12235</v>
      </c>
      <c r="E9040" t="s">
        <v>11</v>
      </c>
      <c r="G9040" t="s">
        <v>936</v>
      </c>
      <c r="H9040" t="s">
        <v>938</v>
      </c>
    </row>
    <row r="9041" spans="1:8" hidden="1" x14ac:dyDescent="0.25">
      <c r="A9041" t="s">
        <v>12289</v>
      </c>
      <c r="B9041" s="1" t="str">
        <f>HYPERLINK("https://asmlis.vasa.lt/Dashboard/Served?ServiceDateFrom=2025-11-24&amp;ServiceDateTo=2025-11-24&amp;DumpsterInvNr=13-L-116649", "13-L-116649")</f>
        <v>13-L-116649</v>
      </c>
      <c r="C9041">
        <v>0.77</v>
      </c>
      <c r="D9041" t="s">
        <v>10732</v>
      </c>
      <c r="E9041" t="s">
        <v>11</v>
      </c>
      <c r="G9041" t="s">
        <v>430</v>
      </c>
      <c r="H9041" t="s">
        <v>432</v>
      </c>
    </row>
    <row r="9042" spans="1:8" hidden="1" x14ac:dyDescent="0.25">
      <c r="A9042" t="s">
        <v>12290</v>
      </c>
      <c r="B9042" s="1" t="str">
        <f>HYPERLINK("https://asmlis.vasa.lt/Dashboard/Served?ServiceDateFrom=2025-11-24&amp;ServiceDateTo=2025-11-24&amp;DumpsterInvNr=13-P-404017", "13-P-404017")</f>
        <v>13-P-404017</v>
      </c>
      <c r="C9042">
        <v>0.24</v>
      </c>
      <c r="D9042" t="s">
        <v>1774</v>
      </c>
      <c r="E9042" t="s">
        <v>11</v>
      </c>
      <c r="G9042" t="s">
        <v>264</v>
      </c>
      <c r="H9042" t="s">
        <v>14</v>
      </c>
    </row>
    <row r="9043" spans="1:8" hidden="1" x14ac:dyDescent="0.25">
      <c r="A9043" t="s">
        <v>12290</v>
      </c>
      <c r="B9043" s="1" t="str">
        <f>HYPERLINK("https://asmlis.vasa.lt/Dashboard/Served?ServiceDateFrom=2025-11-24&amp;ServiceDateTo=2025-11-24&amp;DumpsterInvNr=13-P-404020", "13-P-404020")</f>
        <v>13-P-404020</v>
      </c>
      <c r="C9043">
        <v>0.24</v>
      </c>
      <c r="D9043" t="s">
        <v>1751</v>
      </c>
      <c r="E9043" t="s">
        <v>11</v>
      </c>
      <c r="G9043" t="s">
        <v>264</v>
      </c>
      <c r="H9043" t="s">
        <v>14</v>
      </c>
    </row>
    <row r="9044" spans="1:8" hidden="1" x14ac:dyDescent="0.25">
      <c r="A9044" t="s">
        <v>12291</v>
      </c>
      <c r="B9044" s="1" t="str">
        <f>HYPERLINK("https://asmlis.vasa.lt/Dashboard/Served?ServiceDateFrom=2025-11-24&amp;ServiceDateTo=2025-11-24&amp;DumpsterInvNr=13-M-208126", "13-M-208126")</f>
        <v>13-M-208126</v>
      </c>
      <c r="C9044">
        <v>0.12</v>
      </c>
      <c r="D9044" t="s">
        <v>12292</v>
      </c>
      <c r="E9044" t="s">
        <v>11</v>
      </c>
      <c r="G9044" t="s">
        <v>4876</v>
      </c>
      <c r="H9044" t="s">
        <v>938</v>
      </c>
    </row>
    <row r="9045" spans="1:8" hidden="1" x14ac:dyDescent="0.25">
      <c r="A9045" t="s">
        <v>12293</v>
      </c>
      <c r="B9045" s="1" t="str">
        <f>HYPERLINK("https://asmlis.vasa.lt/Dashboard/Served?ServiceDateFrom=2025-11-24&amp;ServiceDateTo=2025-11-24&amp;DumpsterInvNr=13-P-416420", "13-P-416420")</f>
        <v>13-P-416420</v>
      </c>
      <c r="C9045">
        <v>1.1000000000000001</v>
      </c>
      <c r="D9045" t="s">
        <v>12253</v>
      </c>
      <c r="E9045" t="s">
        <v>11</v>
      </c>
      <c r="F9045" t="s">
        <v>13</v>
      </c>
      <c r="G9045" t="s">
        <v>264</v>
      </c>
      <c r="H9045" t="s">
        <v>14</v>
      </c>
    </row>
    <row r="9046" spans="1:8" hidden="1" x14ac:dyDescent="0.25">
      <c r="A9046" t="s">
        <v>12295</v>
      </c>
      <c r="B9046" s="1" t="str">
        <f>HYPERLINK("https://asmlis.vasa.lt/Dashboard/Served?ServiceDateFrom=2025-11-24&amp;ServiceDateTo=2025-11-24&amp;DumpsterInvNr=13-L-213199", "13-L-213199")</f>
        <v>13-L-213199</v>
      </c>
      <c r="C9046">
        <v>0.24</v>
      </c>
      <c r="D9046" t="s">
        <v>9588</v>
      </c>
      <c r="E9046" t="s">
        <v>11</v>
      </c>
      <c r="F9046" t="s">
        <v>1209</v>
      </c>
      <c r="G9046" t="s">
        <v>936</v>
      </c>
      <c r="H9046" t="s">
        <v>938</v>
      </c>
    </row>
    <row r="9047" spans="1:8" hidden="1" x14ac:dyDescent="0.25">
      <c r="A9047" t="s">
        <v>12296</v>
      </c>
      <c r="B9047" s="1" t="str">
        <f>HYPERLINK("https://asmlis.vasa.lt/Dashboard/Served?ServiceDateFrom=2025-11-24&amp;ServiceDateTo=2025-11-24&amp;DumpsterInvNr=13-L-312250", "13-L-312250")</f>
        <v>13-L-312250</v>
      </c>
      <c r="C9047">
        <v>1.1000000000000001</v>
      </c>
      <c r="D9047" t="s">
        <v>12297</v>
      </c>
      <c r="E9047" t="s">
        <v>11</v>
      </c>
      <c r="F9047" t="s">
        <v>13</v>
      </c>
      <c r="G9047" t="s">
        <v>9</v>
      </c>
      <c r="H9047" t="s">
        <v>14</v>
      </c>
    </row>
    <row r="9048" spans="1:8" hidden="1" x14ac:dyDescent="0.25">
      <c r="A9048" t="s">
        <v>12298</v>
      </c>
      <c r="B9048" s="1" t="str">
        <f>HYPERLINK("https://asmlis.vasa.lt/Dashboard/Served?ServiceDateFrom=2025-11-24&amp;ServiceDateTo=2025-11-24&amp;DumpsterInvNr=13-P-400668", "13-P-400668")</f>
        <v>13-P-400668</v>
      </c>
      <c r="C9048">
        <v>5</v>
      </c>
      <c r="D9048" t="s">
        <v>8064</v>
      </c>
      <c r="E9048" t="s">
        <v>11</v>
      </c>
      <c r="F9048" t="s">
        <v>13</v>
      </c>
      <c r="G9048" t="s">
        <v>264</v>
      </c>
      <c r="H9048" t="s">
        <v>14</v>
      </c>
    </row>
    <row r="9049" spans="1:8" hidden="1" x14ac:dyDescent="0.25">
      <c r="A9049" t="s">
        <v>12298</v>
      </c>
      <c r="B9049" s="1" t="str">
        <f>HYPERLINK("https://asmlis.vasa.lt/Dashboard/Served?ServiceDateFrom=2025-11-24&amp;ServiceDateTo=2025-11-24&amp;DumpsterInvNr=13-P-203704", "13-P-203704")</f>
        <v>13-P-203704</v>
      </c>
      <c r="C9049">
        <v>0.24</v>
      </c>
      <c r="D9049" t="s">
        <v>11065</v>
      </c>
      <c r="E9049" t="s">
        <v>11</v>
      </c>
      <c r="G9049" t="s">
        <v>234</v>
      </c>
      <c r="H9049" t="s">
        <v>14</v>
      </c>
    </row>
    <row r="9050" spans="1:8" hidden="1" x14ac:dyDescent="0.25">
      <c r="A9050" t="s">
        <v>12299</v>
      </c>
      <c r="B9050" s="1" t="str">
        <f>HYPERLINK("https://asmlis.vasa.lt/Dashboard/Served?ServiceDateFrom=2025-11-24&amp;ServiceDateTo=2025-11-24&amp;DumpsterInvNr=13-S-212170", "13-S-212170")</f>
        <v>13-S-212170</v>
      </c>
      <c r="C9050">
        <v>0.12</v>
      </c>
      <c r="D9050" t="s">
        <v>11065</v>
      </c>
      <c r="E9050" t="s">
        <v>11</v>
      </c>
      <c r="F9050" t="s">
        <v>1209</v>
      </c>
      <c r="G9050" t="s">
        <v>234</v>
      </c>
      <c r="H9050" t="s">
        <v>14</v>
      </c>
    </row>
    <row r="9051" spans="1:8" hidden="1" x14ac:dyDescent="0.25">
      <c r="A9051" t="s">
        <v>12094</v>
      </c>
      <c r="B9051" s="1" t="str">
        <f>HYPERLINK("https://asmlis.vasa.lt/Dashboard/Served?ServiceDateFrom=2025-11-24&amp;ServiceDateTo=2025-11-24&amp;DumpsterInvNr=13-L-310064", "13-L-310064")</f>
        <v>13-L-310064</v>
      </c>
      <c r="C9051">
        <v>0.77</v>
      </c>
      <c r="D9051" t="s">
        <v>3037</v>
      </c>
      <c r="E9051" t="s">
        <v>11</v>
      </c>
      <c r="F9051" t="s">
        <v>13</v>
      </c>
      <c r="G9051" t="s">
        <v>9</v>
      </c>
      <c r="H9051" t="s">
        <v>14</v>
      </c>
    </row>
    <row r="9052" spans="1:8" hidden="1" x14ac:dyDescent="0.25">
      <c r="A9052" t="s">
        <v>12121</v>
      </c>
      <c r="B9052" s="1" t="str">
        <f>HYPERLINK("https://asmlis.vasa.lt/Dashboard/Served?ServiceDateFrom=2025-11-24&amp;ServiceDateTo=2025-11-24&amp;DumpsterInvNr=13-L-317082", "13-L-317082")</f>
        <v>13-L-317082</v>
      </c>
      <c r="C9052">
        <v>1.1000000000000001</v>
      </c>
      <c r="D9052" t="s">
        <v>12300</v>
      </c>
      <c r="E9052" t="s">
        <v>11</v>
      </c>
      <c r="G9052" t="s">
        <v>9</v>
      </c>
      <c r="H9052" t="s">
        <v>14</v>
      </c>
    </row>
    <row r="9053" spans="1:8" hidden="1" x14ac:dyDescent="0.25">
      <c r="A9053" t="s">
        <v>12121</v>
      </c>
      <c r="B9053" s="1" t="str">
        <f>HYPERLINK("https://asmlis.vasa.lt/Dashboard/Served?ServiceDateFrom=2025-11-24&amp;ServiceDateTo=2025-11-24&amp;DumpsterInvNr=13-L-145926", "13-L-145926")</f>
        <v>13-L-145926</v>
      </c>
      <c r="C9053">
        <v>5</v>
      </c>
      <c r="D9053" t="s">
        <v>12301</v>
      </c>
      <c r="E9053" t="s">
        <v>11</v>
      </c>
      <c r="F9053" t="s">
        <v>13</v>
      </c>
      <c r="G9053" t="s">
        <v>430</v>
      </c>
      <c r="H9053" t="s">
        <v>432</v>
      </c>
    </row>
    <row r="9054" spans="1:8" hidden="1" x14ac:dyDescent="0.25">
      <c r="A9054" t="s">
        <v>12302</v>
      </c>
      <c r="B9054" s="1" t="str">
        <f>HYPERLINK("https://asmlis.vasa.lt/Dashboard/Served?ServiceDateFrom=2025-11-24&amp;ServiceDateTo=2025-11-24&amp;DumpsterInvNr=13-L-214495", "13-L-214495")</f>
        <v>13-L-214495</v>
      </c>
      <c r="C9054">
        <v>1.1000000000000001</v>
      </c>
      <c r="D9054" t="s">
        <v>12228</v>
      </c>
      <c r="E9054" t="s">
        <v>11</v>
      </c>
      <c r="G9054" t="s">
        <v>936</v>
      </c>
      <c r="H9054" t="s">
        <v>938</v>
      </c>
    </row>
    <row r="9055" spans="1:8" hidden="1" x14ac:dyDescent="0.25">
      <c r="A9055" t="s">
        <v>12303</v>
      </c>
      <c r="B9055" s="1" t="str">
        <f>HYPERLINK("https://asmlis.vasa.lt/Dashboard/Served?ServiceDateFrom=2025-11-24&amp;ServiceDateTo=2025-11-24&amp;DumpsterInvNr=13-L-213344", "13-L-213344")</f>
        <v>13-L-213344</v>
      </c>
      <c r="C9055">
        <v>1.1000000000000001</v>
      </c>
      <c r="D9055" t="s">
        <v>12235</v>
      </c>
      <c r="E9055" t="s">
        <v>11</v>
      </c>
      <c r="G9055" t="s">
        <v>936</v>
      </c>
      <c r="H9055" t="s">
        <v>938</v>
      </c>
    </row>
    <row r="9056" spans="1:8" hidden="1" x14ac:dyDescent="0.25">
      <c r="A9056" t="s">
        <v>12141</v>
      </c>
      <c r="B9056" s="1" t="str">
        <f>HYPERLINK("https://asmlis.vasa.lt/Dashboard/Served?ServiceDateFrom=2025-11-24&amp;ServiceDateTo=2025-11-24&amp;DumpsterInvNr=13-L-113312", "13-L-113312")</f>
        <v>13-L-113312</v>
      </c>
      <c r="C9056">
        <v>0.12</v>
      </c>
      <c r="D9056" t="s">
        <v>12304</v>
      </c>
      <c r="E9056" t="s">
        <v>11</v>
      </c>
      <c r="G9056" t="s">
        <v>1912</v>
      </c>
      <c r="H9056" t="s">
        <v>432</v>
      </c>
    </row>
    <row r="9057" spans="1:8" hidden="1" x14ac:dyDescent="0.25">
      <c r="A9057" t="s">
        <v>12141</v>
      </c>
      <c r="B9057" s="1" t="str">
        <f>HYPERLINK("https://asmlis.vasa.lt/Dashboard/Served?ServiceDateFrom=2025-11-24&amp;ServiceDateTo=2025-11-24&amp;DumpsterInvNr=13-L-318487", "13-L-318487")</f>
        <v>13-L-318487</v>
      </c>
      <c r="C9057">
        <v>0.77</v>
      </c>
      <c r="D9057" t="s">
        <v>12305</v>
      </c>
      <c r="E9057" t="s">
        <v>11</v>
      </c>
      <c r="F9057" t="s">
        <v>13</v>
      </c>
      <c r="G9057" t="s">
        <v>9</v>
      </c>
      <c r="H9057" t="s">
        <v>14</v>
      </c>
    </row>
    <row r="9058" spans="1:8" hidden="1" x14ac:dyDescent="0.25">
      <c r="A9058" t="s">
        <v>12185</v>
      </c>
      <c r="B9058" s="1" t="str">
        <f>HYPERLINK("https://asmlis.vasa.lt/Dashboard/Served?ServiceDateFrom=2025-11-24&amp;ServiceDateTo=2025-11-24&amp;DumpsterInvNr=13-P-404022", "13-P-404022")</f>
        <v>13-P-404022</v>
      </c>
      <c r="C9058">
        <v>0.24</v>
      </c>
      <c r="D9058" t="s">
        <v>1759</v>
      </c>
      <c r="E9058" t="s">
        <v>11</v>
      </c>
      <c r="G9058" t="s">
        <v>264</v>
      </c>
      <c r="H9058" t="s">
        <v>14</v>
      </c>
    </row>
    <row r="9059" spans="1:8" hidden="1" x14ac:dyDescent="0.25">
      <c r="A9059" t="s">
        <v>12306</v>
      </c>
      <c r="B9059" s="1" t="str">
        <f>HYPERLINK("https://asmlis.vasa.lt/Dashboard/Served?ServiceDateFrom=2025-11-24&amp;ServiceDateTo=2025-11-24&amp;DumpsterInvNr=13-P-101148", "13-P-101148")</f>
        <v>13-P-101148</v>
      </c>
      <c r="C9059">
        <v>0.24</v>
      </c>
      <c r="D9059" t="s">
        <v>12304</v>
      </c>
      <c r="E9059" t="s">
        <v>11</v>
      </c>
      <c r="G9059" t="s">
        <v>1917</v>
      </c>
      <c r="H9059" t="s">
        <v>432</v>
      </c>
    </row>
    <row r="9060" spans="1:8" hidden="1" x14ac:dyDescent="0.25">
      <c r="A9060" t="s">
        <v>12307</v>
      </c>
      <c r="B9060" s="1" t="str">
        <f>HYPERLINK("https://asmlis.vasa.lt/Dashboard/Served?ServiceDateFrom=2025-11-24&amp;ServiceDateTo=2025-11-24&amp;DumpsterInvNr=13-L-207301", "13-L-207301")</f>
        <v>13-L-207301</v>
      </c>
      <c r="C9060">
        <v>0.12</v>
      </c>
      <c r="D9060" t="s">
        <v>9614</v>
      </c>
      <c r="E9060" t="s">
        <v>11</v>
      </c>
      <c r="G9060" t="s">
        <v>936</v>
      </c>
      <c r="H9060" t="s">
        <v>938</v>
      </c>
    </row>
    <row r="9061" spans="1:8" hidden="1" x14ac:dyDescent="0.25">
      <c r="A9061" t="s">
        <v>12308</v>
      </c>
      <c r="B9061" s="1" t="str">
        <f>HYPERLINK("https://asmlis.vasa.lt/Dashboard/Served?ServiceDateFrom=2025-11-24&amp;ServiceDateTo=2025-11-24&amp;DumpsterInvNr=13-P-403840", "13-P-403840")</f>
        <v>13-P-403840</v>
      </c>
      <c r="C9061">
        <v>0.24</v>
      </c>
      <c r="D9061" t="s">
        <v>1769</v>
      </c>
      <c r="E9061" t="s">
        <v>11</v>
      </c>
      <c r="G9061" t="s">
        <v>264</v>
      </c>
      <c r="H9061" t="s">
        <v>14</v>
      </c>
    </row>
    <row r="9062" spans="1:8" hidden="1" x14ac:dyDescent="0.25">
      <c r="A9062" t="s">
        <v>11630</v>
      </c>
      <c r="B9062" s="1" t="str">
        <f>HYPERLINK("https://asmlis.vasa.lt/Dashboard/Served?ServiceDateFrom=2025-11-24&amp;ServiceDateTo=2025-11-24&amp;DumpsterInvNr=13-P-211644", "13-P-211644")</f>
        <v>13-P-211644</v>
      </c>
      <c r="C9062">
        <v>0.24</v>
      </c>
      <c r="D9062" t="s">
        <v>11056</v>
      </c>
      <c r="E9062" t="s">
        <v>11</v>
      </c>
      <c r="G9062" t="s">
        <v>234</v>
      </c>
      <c r="H9062" t="s">
        <v>14</v>
      </c>
    </row>
    <row r="9063" spans="1:8" hidden="1" x14ac:dyDescent="0.25">
      <c r="A9063" t="s">
        <v>12309</v>
      </c>
      <c r="B9063" s="1" t="str">
        <f>HYPERLINK("https://asmlis.vasa.lt/Dashboard/Served?ServiceDateFrom=2025-11-24&amp;ServiceDateTo=2025-11-24&amp;DumpsterInvNr=13-M-207678", "13-M-207678")</f>
        <v>13-M-207678</v>
      </c>
      <c r="C9063">
        <v>0.12</v>
      </c>
      <c r="D9063" t="s">
        <v>12310</v>
      </c>
      <c r="E9063" t="s">
        <v>11</v>
      </c>
      <c r="G9063" t="s">
        <v>4876</v>
      </c>
      <c r="H9063" t="s">
        <v>938</v>
      </c>
    </row>
    <row r="9064" spans="1:8" hidden="1" x14ac:dyDescent="0.25">
      <c r="A9064" t="s">
        <v>12311</v>
      </c>
      <c r="B9064" s="1" t="str">
        <f>HYPERLINK("https://asmlis.vasa.lt/Dashboard/Served?ServiceDateFrom=2025-11-24&amp;ServiceDateTo=2025-11-24&amp;DumpsterInvNr=13-P-302229", "13-P-302229")</f>
        <v>13-P-302229</v>
      </c>
      <c r="C9064">
        <v>2.5</v>
      </c>
      <c r="D9064" t="s">
        <v>41</v>
      </c>
      <c r="E9064" t="s">
        <v>11</v>
      </c>
      <c r="G9064" t="s">
        <v>412</v>
      </c>
      <c r="H9064" t="s">
        <v>14</v>
      </c>
    </row>
    <row r="9065" spans="1:8" hidden="1" x14ac:dyDescent="0.25">
      <c r="A9065" t="s">
        <v>12312</v>
      </c>
      <c r="B9065" s="1" t="str">
        <f>HYPERLINK("https://asmlis.vasa.lt/Dashboard/Served?ServiceDateFrom=2025-11-24&amp;ServiceDateTo=2025-11-24&amp;DumpsterInvNr=13-L-301710", "13-L-301710")</f>
        <v>13-L-301710</v>
      </c>
      <c r="C9065">
        <v>0.24</v>
      </c>
      <c r="D9065" t="s">
        <v>12313</v>
      </c>
      <c r="E9065" t="s">
        <v>11</v>
      </c>
      <c r="F9065" t="s">
        <v>13</v>
      </c>
      <c r="G9065" t="s">
        <v>9</v>
      </c>
      <c r="H9065" t="s">
        <v>14</v>
      </c>
    </row>
    <row r="9066" spans="1:8" hidden="1" x14ac:dyDescent="0.25">
      <c r="A9066" t="s">
        <v>12314</v>
      </c>
      <c r="B9066" s="1" t="str">
        <f>HYPERLINK("https://asmlis.vasa.lt/Dashboard/Served?ServiceDateFrom=2025-11-24&amp;ServiceDateTo=2025-11-24&amp;DumpsterInvNr=13-S-211437", "13-S-211437")</f>
        <v>13-S-211437</v>
      </c>
      <c r="C9066">
        <v>0.12</v>
      </c>
      <c r="D9066" t="s">
        <v>11056</v>
      </c>
      <c r="E9066" t="s">
        <v>11</v>
      </c>
      <c r="G9066" t="s">
        <v>234</v>
      </c>
      <c r="H9066" t="s">
        <v>14</v>
      </c>
    </row>
    <row r="9067" spans="1:8" hidden="1" x14ac:dyDescent="0.25">
      <c r="A9067" t="s">
        <v>12315</v>
      </c>
      <c r="B9067" s="1" t="str">
        <f>HYPERLINK("https://asmlis.vasa.lt/Dashboard/Served?ServiceDateFrom=2025-11-24&amp;ServiceDateTo=2025-11-24&amp;DumpsterInvNr=13-L-301709", "13-L-301709")</f>
        <v>13-L-301709</v>
      </c>
      <c r="C9067">
        <v>0.24</v>
      </c>
      <c r="D9067" t="s">
        <v>12313</v>
      </c>
      <c r="E9067" t="s">
        <v>11</v>
      </c>
      <c r="F9067" t="s">
        <v>13</v>
      </c>
      <c r="G9067" t="s">
        <v>9</v>
      </c>
      <c r="H9067" t="s">
        <v>14</v>
      </c>
    </row>
    <row r="9068" spans="1:8" hidden="1" x14ac:dyDescent="0.25">
      <c r="A9068" t="s">
        <v>12315</v>
      </c>
      <c r="B9068" s="1" t="str">
        <f>HYPERLINK("https://asmlis.vasa.lt/Dashboard/Served?ServiceDateFrom=2025-11-24&amp;ServiceDateTo=2025-11-24&amp;DumpsterInvNr=13-P-105194", "13-P-105194")</f>
        <v>13-P-105194</v>
      </c>
      <c r="C9068">
        <v>1.1000000000000001</v>
      </c>
      <c r="D9068" t="s">
        <v>12316</v>
      </c>
      <c r="E9068" t="s">
        <v>11</v>
      </c>
      <c r="G9068" t="s">
        <v>1917</v>
      </c>
      <c r="H9068" t="s">
        <v>432</v>
      </c>
    </row>
    <row r="9069" spans="1:8" hidden="1" x14ac:dyDescent="0.25">
      <c r="A9069" t="s">
        <v>12317</v>
      </c>
      <c r="B9069" s="1" t="str">
        <f>HYPERLINK("https://asmlis.vasa.lt/Dashboard/Served?ServiceDateFrom=2025-11-24&amp;ServiceDateTo=2025-11-24&amp;DumpsterInvNr=13-L-315128", "13-L-315128")</f>
        <v>13-L-315128</v>
      </c>
      <c r="C9069">
        <v>0.24</v>
      </c>
      <c r="D9069" t="s">
        <v>12318</v>
      </c>
      <c r="E9069" t="s">
        <v>11</v>
      </c>
      <c r="F9069" t="s">
        <v>1209</v>
      </c>
      <c r="G9069" t="s">
        <v>9</v>
      </c>
      <c r="H9069" t="s">
        <v>14</v>
      </c>
    </row>
    <row r="9070" spans="1:8" hidden="1" x14ac:dyDescent="0.25">
      <c r="A9070" t="s">
        <v>12319</v>
      </c>
      <c r="B9070" s="1" t="str">
        <f>HYPERLINK("https://asmlis.vasa.lt/Dashboard/Served?ServiceDateFrom=2025-11-24&amp;ServiceDateTo=2025-11-24&amp;DumpsterInvNr=13-P-403842", "13-P-403842")</f>
        <v>13-P-403842</v>
      </c>
      <c r="C9070">
        <v>0.24</v>
      </c>
      <c r="D9070" t="s">
        <v>1760</v>
      </c>
      <c r="E9070" t="s">
        <v>11</v>
      </c>
      <c r="G9070" t="s">
        <v>264</v>
      </c>
      <c r="H9070" t="s">
        <v>14</v>
      </c>
    </row>
    <row r="9071" spans="1:8" hidden="1" x14ac:dyDescent="0.25">
      <c r="A9071" t="s">
        <v>12319</v>
      </c>
      <c r="B9071" s="1" t="str">
        <f>HYPERLINK("https://asmlis.vasa.lt/Dashboard/Served?ServiceDateFrom=2025-11-24&amp;ServiceDateTo=2025-11-24&amp;DumpsterInvNr=13-P-302139", "13-P-302139")</f>
        <v>13-P-302139</v>
      </c>
      <c r="C9071">
        <v>1.1000000000000001</v>
      </c>
      <c r="D9071" t="s">
        <v>12320</v>
      </c>
      <c r="E9071" t="s">
        <v>11</v>
      </c>
      <c r="G9071" t="s">
        <v>412</v>
      </c>
      <c r="H9071" t="s">
        <v>14</v>
      </c>
    </row>
    <row r="9072" spans="1:8" hidden="1" x14ac:dyDescent="0.25">
      <c r="A9072" t="s">
        <v>12321</v>
      </c>
      <c r="B9072" s="1" t="str">
        <f>HYPERLINK("https://asmlis.vasa.lt/Dashboard/Served?ServiceDateFrom=2025-11-24&amp;ServiceDateTo=2025-11-24&amp;DumpsterInvNr=13-L-225443", "13-L-225443")</f>
        <v>13-L-225443</v>
      </c>
      <c r="C9072">
        <v>1.1000000000000001</v>
      </c>
      <c r="D9072" t="s">
        <v>12235</v>
      </c>
      <c r="E9072" t="s">
        <v>11</v>
      </c>
      <c r="G9072" t="s">
        <v>936</v>
      </c>
      <c r="H9072" t="s">
        <v>938</v>
      </c>
    </row>
    <row r="9073" spans="1:8" hidden="1" x14ac:dyDescent="0.25">
      <c r="A9073" t="s">
        <v>12322</v>
      </c>
      <c r="B9073" s="1" t="str">
        <f>HYPERLINK("https://asmlis.vasa.lt/Dashboard/Served?ServiceDateFrom=2025-11-24&amp;ServiceDateTo=2025-11-24&amp;DumpsterInvNr=13-M-204914", "13-M-204914")</f>
        <v>13-M-204914</v>
      </c>
      <c r="C9073">
        <v>0.12</v>
      </c>
      <c r="D9073" t="s">
        <v>12323</v>
      </c>
      <c r="E9073" t="s">
        <v>11</v>
      </c>
      <c r="G9073" t="s">
        <v>4876</v>
      </c>
      <c r="H9073" t="s">
        <v>938</v>
      </c>
    </row>
    <row r="9074" spans="1:8" hidden="1" x14ac:dyDescent="0.25">
      <c r="A9074" t="s">
        <v>12324</v>
      </c>
      <c r="B9074" s="1" t="str">
        <f>HYPERLINK("https://asmlis.vasa.lt/Dashboard/Served?ServiceDateFrom=2025-11-24&amp;ServiceDateTo=2025-11-24&amp;DumpsterInvNr=13-L-136231", "13-L-136231")</f>
        <v>13-L-136231</v>
      </c>
      <c r="C9074">
        <v>1.1000000000000001</v>
      </c>
      <c r="D9074" t="s">
        <v>12325</v>
      </c>
      <c r="E9074" t="s">
        <v>11</v>
      </c>
      <c r="G9074" t="s">
        <v>1912</v>
      </c>
      <c r="H9074" t="s">
        <v>432</v>
      </c>
    </row>
    <row r="9075" spans="1:8" hidden="1" x14ac:dyDescent="0.25">
      <c r="A9075" t="s">
        <v>12326</v>
      </c>
      <c r="B9075" s="1" t="str">
        <f>HYPERLINK("https://asmlis.vasa.lt/Dashboard/Served?ServiceDateFrom=2025-11-24&amp;ServiceDateTo=2025-11-24&amp;DumpsterInvNr=13-P-302623", "13-P-302623")</f>
        <v>13-P-302623</v>
      </c>
      <c r="C9075">
        <v>5</v>
      </c>
      <c r="D9075" t="s">
        <v>3808</v>
      </c>
      <c r="E9075" t="s">
        <v>11</v>
      </c>
      <c r="G9075" t="s">
        <v>412</v>
      </c>
      <c r="H9075" t="s">
        <v>14</v>
      </c>
    </row>
    <row r="9076" spans="1:8" hidden="1" x14ac:dyDescent="0.25">
      <c r="A9076" t="s">
        <v>12327</v>
      </c>
      <c r="B9076" s="1" t="str">
        <f>HYPERLINK("https://asmlis.vasa.lt/Dashboard/Served?ServiceDateFrom=2025-11-24&amp;ServiceDateTo=2025-11-24&amp;DumpsterInvNr=13-P-211782", "13-P-211782")</f>
        <v>13-P-211782</v>
      </c>
      <c r="C9076">
        <v>0.24</v>
      </c>
      <c r="D9076" t="s">
        <v>11039</v>
      </c>
      <c r="E9076" t="s">
        <v>11</v>
      </c>
      <c r="F9076" t="s">
        <v>1209</v>
      </c>
      <c r="G9076" t="s">
        <v>234</v>
      </c>
      <c r="H9076" t="s">
        <v>14</v>
      </c>
    </row>
    <row r="9077" spans="1:8" hidden="1" x14ac:dyDescent="0.25">
      <c r="A9077" t="s">
        <v>12328</v>
      </c>
      <c r="B9077" s="1" t="str">
        <f>HYPERLINK("https://asmlis.vasa.lt/Dashboard/Served?ServiceDateFrom=2025-11-24&amp;ServiceDateTo=2025-11-24&amp;DumpsterInvNr=13-L-425059", "13-L-425059")</f>
        <v>13-L-425059</v>
      </c>
      <c r="C9077">
        <v>1.1000000000000001</v>
      </c>
      <c r="D9077" t="s">
        <v>12329</v>
      </c>
      <c r="E9077" t="s">
        <v>11</v>
      </c>
      <c r="G9077" t="s">
        <v>74</v>
      </c>
      <c r="H9077" t="s">
        <v>14</v>
      </c>
    </row>
    <row r="9078" spans="1:8" hidden="1" x14ac:dyDescent="0.25">
      <c r="A9078" t="s">
        <v>12330</v>
      </c>
      <c r="B9078" s="1" t="str">
        <f>HYPERLINK("https://asmlis.vasa.lt/Dashboard/Served?ServiceDateFrom=2025-11-24&amp;ServiceDateTo=2025-11-24&amp;DumpsterInvNr=13-S-207955", "13-S-207955")</f>
        <v>13-S-207955</v>
      </c>
      <c r="C9078">
        <v>0.12</v>
      </c>
      <c r="D9078" t="s">
        <v>11039</v>
      </c>
      <c r="E9078" t="s">
        <v>11</v>
      </c>
      <c r="F9078" t="s">
        <v>1209</v>
      </c>
      <c r="G9078" t="s">
        <v>234</v>
      </c>
      <c r="H9078" t="s">
        <v>14</v>
      </c>
    </row>
    <row r="9079" spans="1:8" hidden="1" x14ac:dyDescent="0.25">
      <c r="A9079" t="s">
        <v>12331</v>
      </c>
      <c r="B9079" s="1" t="str">
        <f>HYPERLINK("https://asmlis.vasa.lt/Dashboard/Served?ServiceDateFrom=2025-11-24&amp;ServiceDateTo=2025-11-24&amp;DumpsterInvNr=13-P-101219", "13-P-101219")</f>
        <v>13-P-101219</v>
      </c>
      <c r="C9079">
        <v>5</v>
      </c>
      <c r="D9079" t="s">
        <v>8357</v>
      </c>
      <c r="E9079" t="s">
        <v>11</v>
      </c>
      <c r="F9079" t="s">
        <v>13</v>
      </c>
      <c r="G9079" t="s">
        <v>1917</v>
      </c>
      <c r="H9079" t="s">
        <v>432</v>
      </c>
    </row>
    <row r="9080" spans="1:8" hidden="1" x14ac:dyDescent="0.25">
      <c r="A9080" t="s">
        <v>12332</v>
      </c>
      <c r="B9080" s="1" t="str">
        <f>HYPERLINK("https://asmlis.vasa.lt/Dashboard/Served?ServiceDateFrom=2025-11-24&amp;ServiceDateTo=2025-11-24&amp;DumpsterInvNr=13-L-105170", "13-L-105170")</f>
        <v>13-L-105170</v>
      </c>
      <c r="C9080">
        <v>1.1000000000000001</v>
      </c>
      <c r="D9080" t="s">
        <v>4524</v>
      </c>
      <c r="E9080" t="s">
        <v>11</v>
      </c>
      <c r="G9080" t="s">
        <v>430</v>
      </c>
      <c r="H9080" t="s">
        <v>432</v>
      </c>
    </row>
    <row r="9081" spans="1:8" hidden="1" x14ac:dyDescent="0.25">
      <c r="A9081" t="s">
        <v>12333</v>
      </c>
      <c r="B9081" s="1" t="str">
        <f>HYPERLINK("https://asmlis.vasa.lt/Dashboard/Served?ServiceDateFrom=2025-11-24&amp;ServiceDateTo=2025-11-24&amp;DumpsterInvNr=13-P-403839", "13-P-403839")</f>
        <v>13-P-403839</v>
      </c>
      <c r="C9081">
        <v>0.24</v>
      </c>
      <c r="D9081" t="s">
        <v>1753</v>
      </c>
      <c r="E9081" t="s">
        <v>11</v>
      </c>
      <c r="G9081" t="s">
        <v>264</v>
      </c>
      <c r="H9081" t="s">
        <v>14</v>
      </c>
    </row>
    <row r="9082" spans="1:8" hidden="1" x14ac:dyDescent="0.25">
      <c r="A9082" t="s">
        <v>12333</v>
      </c>
      <c r="B9082" s="1" t="str">
        <f>HYPERLINK("https://asmlis.vasa.lt/Dashboard/Served?ServiceDateFrom=2025-11-24&amp;ServiceDateTo=2025-11-24&amp;DumpsterInvNr=13-P-403841", "13-P-403841")</f>
        <v>13-P-403841</v>
      </c>
      <c r="C9082">
        <v>0.24</v>
      </c>
      <c r="D9082" t="s">
        <v>1770</v>
      </c>
      <c r="E9082" t="s">
        <v>11</v>
      </c>
      <c r="G9082" t="s">
        <v>264</v>
      </c>
      <c r="H9082" t="s">
        <v>14</v>
      </c>
    </row>
    <row r="9083" spans="1:8" hidden="1" x14ac:dyDescent="0.25">
      <c r="A9083" t="s">
        <v>12333</v>
      </c>
      <c r="B9083" s="1" t="str">
        <f>HYPERLINK("https://asmlis.vasa.lt/Dashboard/Served?ServiceDateFrom=2025-11-24&amp;ServiceDateTo=2025-11-24&amp;DumpsterInvNr=13-L-149602", "13-L-149602")</f>
        <v>13-L-149602</v>
      </c>
      <c r="C9083">
        <v>1.1000000000000001</v>
      </c>
      <c r="D9083" t="s">
        <v>12325</v>
      </c>
      <c r="E9083" t="s">
        <v>11</v>
      </c>
      <c r="G9083" t="s">
        <v>1912</v>
      </c>
      <c r="H9083" t="s">
        <v>13</v>
      </c>
    </row>
    <row r="9084" spans="1:8" hidden="1" x14ac:dyDescent="0.25">
      <c r="A9084" t="s">
        <v>12334</v>
      </c>
      <c r="B9084" s="1" t="str">
        <f>HYPERLINK("https://asmlis.vasa.lt/Dashboard/Served?ServiceDateFrom=2025-11-24&amp;ServiceDateTo=2025-11-24&amp;DumpsterInvNr=13-L-416392", "13-L-416392")</f>
        <v>13-L-416392</v>
      </c>
      <c r="C9084">
        <v>0.24</v>
      </c>
      <c r="D9084" t="s">
        <v>7226</v>
      </c>
      <c r="E9084" t="s">
        <v>11</v>
      </c>
      <c r="G9084" t="s">
        <v>74</v>
      </c>
      <c r="H9084" t="s">
        <v>14</v>
      </c>
    </row>
    <row r="9085" spans="1:8" hidden="1" x14ac:dyDescent="0.25">
      <c r="A9085" t="s">
        <v>12334</v>
      </c>
      <c r="B9085" s="1" t="str">
        <f>HYPERLINK("https://asmlis.vasa.lt/Dashboard/Served?ServiceDateFrom=2025-11-24&amp;ServiceDateTo=2025-11-24&amp;DumpsterInvNr=13-M-202360", "13-M-202360")</f>
        <v>13-M-202360</v>
      </c>
      <c r="C9085">
        <v>0.12</v>
      </c>
      <c r="D9085" t="s">
        <v>12335</v>
      </c>
      <c r="E9085" t="s">
        <v>11</v>
      </c>
      <c r="G9085" t="s">
        <v>4876</v>
      </c>
      <c r="H9085" t="s">
        <v>938</v>
      </c>
    </row>
    <row r="9086" spans="1:8" hidden="1" x14ac:dyDescent="0.25">
      <c r="A9086" t="s">
        <v>12336</v>
      </c>
      <c r="B9086" s="1" t="str">
        <f>HYPERLINK("https://asmlis.vasa.lt/Dashboard/Served?ServiceDateFrom=2025-11-24&amp;ServiceDateTo=2025-11-24&amp;DumpsterInvNr=13-P-307006", "13-P-307006")</f>
        <v>13-P-307006</v>
      </c>
      <c r="C9086">
        <v>1.1000000000000001</v>
      </c>
      <c r="D9086" t="s">
        <v>12337</v>
      </c>
      <c r="E9086" t="s">
        <v>11</v>
      </c>
      <c r="F9086" t="s">
        <v>13</v>
      </c>
      <c r="G9086" t="s">
        <v>412</v>
      </c>
      <c r="H9086" t="s">
        <v>14</v>
      </c>
    </row>
    <row r="9087" spans="1:8" hidden="1" x14ac:dyDescent="0.25">
      <c r="A9087" t="s">
        <v>11748</v>
      </c>
      <c r="B9087" s="1" t="str">
        <f>HYPERLINK("https://asmlis.vasa.lt/Dashboard/Served?ServiceDateFrom=2025-11-24&amp;ServiceDateTo=2025-11-24&amp;DumpsterInvNr=13-P-112448", "13-P-112448")</f>
        <v>13-P-112448</v>
      </c>
      <c r="C9087">
        <v>0.24</v>
      </c>
      <c r="D9087" t="s">
        <v>12338</v>
      </c>
      <c r="E9087" t="s">
        <v>11</v>
      </c>
      <c r="G9087" t="s">
        <v>1917</v>
      </c>
      <c r="H9087" t="s">
        <v>432</v>
      </c>
    </row>
    <row r="9088" spans="1:8" hidden="1" x14ac:dyDescent="0.25">
      <c r="A9088" t="s">
        <v>11870</v>
      </c>
      <c r="B9088" s="1" t="str">
        <f>HYPERLINK("https://asmlis.vasa.lt/Dashboard/Served?ServiceDateFrom=2025-11-24&amp;ServiceDateTo=2025-11-24&amp;DumpsterInvNr=13-L-416391", "13-L-416391")</f>
        <v>13-L-416391</v>
      </c>
      <c r="C9088">
        <v>0.24</v>
      </c>
      <c r="D9088" t="s">
        <v>7226</v>
      </c>
      <c r="E9088" t="s">
        <v>11</v>
      </c>
      <c r="G9088" t="s">
        <v>74</v>
      </c>
      <c r="H9088" t="s">
        <v>14</v>
      </c>
    </row>
    <row r="9089" spans="1:8" hidden="1" x14ac:dyDescent="0.25">
      <c r="A9089" t="s">
        <v>12339</v>
      </c>
      <c r="B9089" s="1" t="str">
        <f>HYPERLINK("https://asmlis.vasa.lt/Dashboard/Served?ServiceDateFrom=2025-11-24&amp;ServiceDateTo=2025-11-24&amp;DumpsterInvNr=13-S-400522", "13-S-400522")</f>
        <v>13-S-400522</v>
      </c>
      <c r="C9089">
        <v>0.12</v>
      </c>
      <c r="D9089" t="s">
        <v>1776</v>
      </c>
      <c r="E9089" t="s">
        <v>11</v>
      </c>
      <c r="F9089" t="s">
        <v>1209</v>
      </c>
      <c r="G9089" t="s">
        <v>264</v>
      </c>
      <c r="H9089" t="s">
        <v>14</v>
      </c>
    </row>
    <row r="9090" spans="1:8" hidden="1" x14ac:dyDescent="0.25">
      <c r="A9090" t="s">
        <v>12339</v>
      </c>
      <c r="B9090" s="1" t="str">
        <f>HYPERLINK("https://asmlis.vasa.lt/Dashboard/Served?ServiceDateFrom=2025-11-24&amp;ServiceDateTo=2025-11-24&amp;DumpsterInvNr=13-S-400547", "13-S-400547")</f>
        <v>13-S-400547</v>
      </c>
      <c r="C9090">
        <v>0.12</v>
      </c>
      <c r="D9090" t="s">
        <v>1751</v>
      </c>
      <c r="E9090" t="s">
        <v>11</v>
      </c>
      <c r="F9090" t="s">
        <v>1209</v>
      </c>
      <c r="G9090" t="s">
        <v>264</v>
      </c>
      <c r="H9090" t="s">
        <v>14</v>
      </c>
    </row>
    <row r="9091" spans="1:8" hidden="1" x14ac:dyDescent="0.25">
      <c r="A9091" t="s">
        <v>12341</v>
      </c>
      <c r="B9091" s="1" t="str">
        <f>HYPERLINK("https://asmlis.vasa.lt/Dashboard/Served?ServiceDateFrom=2025-11-24&amp;ServiceDateTo=2025-11-24&amp;DumpsterInvNr=13-P-211643", "13-P-211643")</f>
        <v>13-P-211643</v>
      </c>
      <c r="C9091">
        <v>0.24</v>
      </c>
      <c r="D9091" t="s">
        <v>11025</v>
      </c>
      <c r="E9091" t="s">
        <v>11</v>
      </c>
      <c r="G9091" t="s">
        <v>234</v>
      </c>
      <c r="H9091" t="s">
        <v>14</v>
      </c>
    </row>
    <row r="9092" spans="1:8" hidden="1" x14ac:dyDescent="0.25">
      <c r="A9092" t="s">
        <v>12341</v>
      </c>
      <c r="B9092" s="1" t="str">
        <f>HYPERLINK("https://asmlis.vasa.lt/Dashboard/Served?ServiceDateFrom=2025-11-24&amp;ServiceDateTo=2025-11-24&amp;DumpsterInvNr=13-S-207953", "13-S-207953")</f>
        <v>13-S-207953</v>
      </c>
      <c r="C9092">
        <v>0.12</v>
      </c>
      <c r="D9092" t="s">
        <v>11025</v>
      </c>
      <c r="E9092" t="s">
        <v>11</v>
      </c>
      <c r="G9092" t="s">
        <v>234</v>
      </c>
      <c r="H9092" t="s">
        <v>14</v>
      </c>
    </row>
    <row r="9093" spans="1:8" hidden="1" x14ac:dyDescent="0.25">
      <c r="A9093" t="s">
        <v>12342</v>
      </c>
      <c r="B9093" s="1" t="str">
        <f>HYPERLINK("https://asmlis.vasa.lt/Dashboard/Served?ServiceDateFrom=2025-11-24&amp;ServiceDateTo=2025-11-24&amp;DumpsterInvNr=13-S-400663", "13-S-400663")</f>
        <v>13-S-400663</v>
      </c>
      <c r="C9093">
        <v>0.12</v>
      </c>
      <c r="D9093" t="s">
        <v>1774</v>
      </c>
      <c r="E9093" t="s">
        <v>11</v>
      </c>
      <c r="F9093" t="s">
        <v>1209</v>
      </c>
      <c r="G9093" t="s">
        <v>264</v>
      </c>
      <c r="H9093" t="s">
        <v>14</v>
      </c>
    </row>
    <row r="9094" spans="1:8" hidden="1" x14ac:dyDescent="0.25">
      <c r="A9094" t="s">
        <v>12344</v>
      </c>
      <c r="B9094" s="1" t="str">
        <f>HYPERLINK("https://asmlis.vasa.lt/Dashboard/Served?ServiceDateFrom=2025-11-24&amp;ServiceDateTo=2025-11-24&amp;DumpsterInvNr=13-L-139741", "13-L-139741")</f>
        <v>13-L-139741</v>
      </c>
      <c r="C9094">
        <v>1.1000000000000001</v>
      </c>
      <c r="D9094" t="s">
        <v>12325</v>
      </c>
      <c r="E9094" t="s">
        <v>11</v>
      </c>
      <c r="G9094" t="s">
        <v>1912</v>
      </c>
      <c r="H9094" t="s">
        <v>432</v>
      </c>
    </row>
    <row r="9095" spans="1:8" hidden="1" x14ac:dyDescent="0.25">
      <c r="A9095" t="s">
        <v>12345</v>
      </c>
      <c r="B9095" s="1" t="str">
        <f>HYPERLINK("https://asmlis.vasa.lt/Dashboard/Served?ServiceDateFrom=2025-11-24&amp;ServiceDateTo=2025-11-24&amp;DumpsterInvNr=13-P-403388", "13-P-403388")</f>
        <v>13-P-403388</v>
      </c>
      <c r="C9095">
        <v>0.24</v>
      </c>
      <c r="D9095" t="s">
        <v>1479</v>
      </c>
      <c r="E9095" t="s">
        <v>11</v>
      </c>
      <c r="F9095" t="s">
        <v>1209</v>
      </c>
      <c r="G9095" t="s">
        <v>264</v>
      </c>
      <c r="H9095" t="s">
        <v>14</v>
      </c>
    </row>
    <row r="9096" spans="1:8" hidden="1" x14ac:dyDescent="0.25">
      <c r="A9096" t="s">
        <v>12346</v>
      </c>
      <c r="B9096" s="1" t="str">
        <f>HYPERLINK("https://asmlis.vasa.lt/Dashboard/Served?ServiceDateFrom=2025-11-24&amp;ServiceDateTo=2025-11-24&amp;DumpsterInvNr=13-L-145766", "13-L-145766")</f>
        <v>13-L-145766</v>
      </c>
      <c r="C9096">
        <v>5</v>
      </c>
      <c r="D9096" t="s">
        <v>12347</v>
      </c>
      <c r="E9096" t="s">
        <v>11</v>
      </c>
      <c r="F9096" t="s">
        <v>13</v>
      </c>
      <c r="G9096" t="s">
        <v>430</v>
      </c>
      <c r="H9096" t="s">
        <v>432</v>
      </c>
    </row>
    <row r="9097" spans="1:8" hidden="1" x14ac:dyDescent="0.25">
      <c r="A9097" t="s">
        <v>12348</v>
      </c>
      <c r="B9097" s="1" t="str">
        <f>HYPERLINK("https://asmlis.vasa.lt/Dashboard/Served?ServiceDateFrom=2025-11-24&amp;ServiceDateTo=2025-11-24&amp;DumpsterInvNr=13-L-129702", "13-L-129702")</f>
        <v>13-L-129702</v>
      </c>
      <c r="C9097">
        <v>0.77</v>
      </c>
      <c r="D9097" t="s">
        <v>12349</v>
      </c>
      <c r="E9097" t="s">
        <v>11</v>
      </c>
      <c r="G9097" t="s">
        <v>430</v>
      </c>
      <c r="H9097" t="s">
        <v>432</v>
      </c>
    </row>
    <row r="9098" spans="1:8" hidden="1" x14ac:dyDescent="0.25">
      <c r="A9098" t="s">
        <v>12351</v>
      </c>
      <c r="B9098" s="1" t="str">
        <f>HYPERLINK("https://asmlis.vasa.lt/Dashboard/Served?ServiceDateFrom=2025-11-24&amp;ServiceDateTo=2025-11-24&amp;DumpsterInvNr=13-L-149579", "13-L-149579")</f>
        <v>13-L-149579</v>
      </c>
      <c r="C9098">
        <v>1.1000000000000001</v>
      </c>
      <c r="D9098" t="s">
        <v>4524</v>
      </c>
      <c r="E9098" t="s">
        <v>11</v>
      </c>
      <c r="G9098" t="s">
        <v>430</v>
      </c>
      <c r="H9098" t="s">
        <v>432</v>
      </c>
    </row>
    <row r="9099" spans="1:8" hidden="1" x14ac:dyDescent="0.25">
      <c r="A9099" t="s">
        <v>12352</v>
      </c>
      <c r="B9099" s="1" t="str">
        <f>HYPERLINK("https://asmlis.vasa.lt/Dashboard/Served?ServiceDateFrom=2025-11-24&amp;ServiceDateTo=2025-11-24&amp;DumpsterInvNr=13-P-500123", "13-P-500123")</f>
        <v>13-P-500123</v>
      </c>
      <c r="C9099">
        <v>5</v>
      </c>
      <c r="D9099" t="s">
        <v>5787</v>
      </c>
      <c r="E9099" t="s">
        <v>11</v>
      </c>
      <c r="F9099" t="s">
        <v>13</v>
      </c>
      <c r="G9099" t="s">
        <v>2178</v>
      </c>
      <c r="H9099" t="s">
        <v>432</v>
      </c>
    </row>
    <row r="9100" spans="1:8" hidden="1" x14ac:dyDescent="0.25">
      <c r="A9100" t="s">
        <v>12353</v>
      </c>
      <c r="B9100" s="1" t="str">
        <f>HYPERLINK("https://asmlis.vasa.lt/Dashboard/Served?ServiceDateFrom=2025-11-24&amp;ServiceDateTo=2025-11-24&amp;DumpsterInvNr=13-M-202442", "13-M-202442")</f>
        <v>13-M-202442</v>
      </c>
      <c r="C9100">
        <v>0.12</v>
      </c>
      <c r="D9100" t="s">
        <v>12354</v>
      </c>
      <c r="E9100" t="s">
        <v>11</v>
      </c>
      <c r="G9100" t="s">
        <v>4876</v>
      </c>
      <c r="H9100" t="s">
        <v>938</v>
      </c>
    </row>
    <row r="9101" spans="1:8" hidden="1" x14ac:dyDescent="0.25">
      <c r="A9101" t="s">
        <v>12355</v>
      </c>
      <c r="B9101" s="1" t="str">
        <f>HYPERLINK("https://asmlis.vasa.lt/Dashboard/Served?ServiceDateFrom=2025-11-24&amp;ServiceDateTo=2025-11-24&amp;DumpsterInvNr=13-S-400247", "13-S-400247")</f>
        <v>13-S-400247</v>
      </c>
      <c r="C9101">
        <v>0.12</v>
      </c>
      <c r="D9101" t="s">
        <v>1463</v>
      </c>
      <c r="E9101" t="s">
        <v>11</v>
      </c>
      <c r="F9101" t="s">
        <v>1209</v>
      </c>
      <c r="G9101" t="s">
        <v>264</v>
      </c>
      <c r="H9101" t="s">
        <v>14</v>
      </c>
    </row>
    <row r="9102" spans="1:8" hidden="1" x14ac:dyDescent="0.25">
      <c r="A9102" t="s">
        <v>12356</v>
      </c>
      <c r="B9102" s="1" t="str">
        <f>HYPERLINK("https://asmlis.vasa.lt/Dashboard/Served?ServiceDateFrom=2025-11-24&amp;ServiceDateTo=2025-11-24&amp;DumpsterInvNr=13-P-403390", "13-P-403390")</f>
        <v>13-P-403390</v>
      </c>
      <c r="C9102">
        <v>0.24</v>
      </c>
      <c r="D9102" t="s">
        <v>1463</v>
      </c>
      <c r="E9102" t="s">
        <v>11</v>
      </c>
      <c r="F9102" t="s">
        <v>1209</v>
      </c>
      <c r="G9102" t="s">
        <v>264</v>
      </c>
      <c r="H9102" t="s">
        <v>14</v>
      </c>
    </row>
    <row r="9103" spans="1:8" hidden="1" x14ac:dyDescent="0.25">
      <c r="A9103" t="s">
        <v>12356</v>
      </c>
      <c r="B9103" s="1" t="str">
        <f>HYPERLINK("https://asmlis.vasa.lt/Dashboard/Served?ServiceDateFrom=2025-11-24&amp;ServiceDateTo=2025-11-24&amp;DumpsterInvNr=13-P-506990", "13-P-506990")</f>
        <v>13-P-506990</v>
      </c>
      <c r="C9103">
        <v>0.24</v>
      </c>
      <c r="D9103" t="s">
        <v>12357</v>
      </c>
      <c r="E9103" t="s">
        <v>12</v>
      </c>
      <c r="F9103" t="s">
        <v>1209</v>
      </c>
      <c r="G9103" t="s">
        <v>2178</v>
      </c>
      <c r="H9103" t="s">
        <v>432</v>
      </c>
    </row>
    <row r="9104" spans="1:8" hidden="1" x14ac:dyDescent="0.25">
      <c r="A9104" t="s">
        <v>12358</v>
      </c>
      <c r="B9104" s="1" t="str">
        <f>HYPERLINK("https://asmlis.vasa.lt/Dashboard/Served?ServiceDateFrom=2025-11-24&amp;ServiceDateTo=2025-11-24&amp;DumpsterInvNr=13-P-403838", "13-P-403838")</f>
        <v>13-P-403838</v>
      </c>
      <c r="C9104">
        <v>0.24</v>
      </c>
      <c r="D9104" t="s">
        <v>1733</v>
      </c>
      <c r="E9104" t="s">
        <v>11</v>
      </c>
      <c r="G9104" t="s">
        <v>264</v>
      </c>
      <c r="H9104" t="s">
        <v>14</v>
      </c>
    </row>
    <row r="9105" spans="1:8" hidden="1" x14ac:dyDescent="0.25">
      <c r="A9105" t="s">
        <v>12360</v>
      </c>
      <c r="B9105" s="1" t="str">
        <f>HYPERLINK("https://asmlis.vasa.lt/Dashboard/Served?ServiceDateFrom=2025-11-24&amp;ServiceDateTo=2025-11-24&amp;DumpsterInvNr=13-L-301721", "13-L-301721")</f>
        <v>13-L-301721</v>
      </c>
      <c r="C9105">
        <v>0.24</v>
      </c>
      <c r="D9105" t="s">
        <v>12361</v>
      </c>
      <c r="E9105" t="s">
        <v>11</v>
      </c>
      <c r="G9105" t="s">
        <v>9</v>
      </c>
      <c r="H9105" t="s">
        <v>14</v>
      </c>
    </row>
    <row r="9106" spans="1:8" hidden="1" x14ac:dyDescent="0.25">
      <c r="A9106" t="s">
        <v>12360</v>
      </c>
      <c r="B9106" s="1" t="str">
        <f>HYPERLINK("https://asmlis.vasa.lt/Dashboard/Served?ServiceDateFrom=2025-11-24&amp;ServiceDateTo=2025-11-24&amp;DumpsterInvNr=13-S-400284", "13-S-400284")</f>
        <v>13-S-400284</v>
      </c>
      <c r="C9106">
        <v>0.12</v>
      </c>
      <c r="D9106" t="s">
        <v>1770</v>
      </c>
      <c r="E9106" t="s">
        <v>11</v>
      </c>
      <c r="F9106" t="s">
        <v>1209</v>
      </c>
      <c r="G9106" t="s">
        <v>264</v>
      </c>
      <c r="H9106" t="s">
        <v>14</v>
      </c>
    </row>
    <row r="9107" spans="1:8" hidden="1" x14ac:dyDescent="0.25">
      <c r="A9107" t="s">
        <v>12360</v>
      </c>
      <c r="B9107" s="1" t="str">
        <f>HYPERLINK("https://asmlis.vasa.lt/Dashboard/Served?ServiceDateFrom=2025-11-24&amp;ServiceDateTo=2025-11-24&amp;DumpsterInvNr=13-S-400554", "13-S-400554")</f>
        <v>13-S-400554</v>
      </c>
      <c r="C9107">
        <v>0.12</v>
      </c>
      <c r="D9107" t="s">
        <v>1769</v>
      </c>
      <c r="E9107" t="s">
        <v>11</v>
      </c>
      <c r="F9107" t="s">
        <v>1209</v>
      </c>
      <c r="G9107" t="s">
        <v>264</v>
      </c>
      <c r="H9107" t="s">
        <v>14</v>
      </c>
    </row>
    <row r="9108" spans="1:8" hidden="1" x14ac:dyDescent="0.25">
      <c r="A9108" t="s">
        <v>12363</v>
      </c>
      <c r="B9108" s="1" t="str">
        <f>HYPERLINK("https://asmlis.vasa.lt/Dashboard/Served?ServiceDateFrom=2025-11-24&amp;ServiceDateTo=2025-11-24&amp;DumpsterInvNr=13-L-410627", "13-L-410627")</f>
        <v>13-L-410627</v>
      </c>
      <c r="C9108">
        <v>0.24</v>
      </c>
      <c r="D9108" t="s">
        <v>12364</v>
      </c>
      <c r="E9108" t="s">
        <v>11</v>
      </c>
      <c r="G9108" t="s">
        <v>74</v>
      </c>
      <c r="H9108" t="s">
        <v>14</v>
      </c>
    </row>
    <row r="9109" spans="1:8" hidden="1" x14ac:dyDescent="0.25">
      <c r="A9109" t="s">
        <v>12363</v>
      </c>
      <c r="B9109" s="1" t="str">
        <f>HYPERLINK("https://asmlis.vasa.lt/Dashboard/Served?ServiceDateFrom=2025-11-24&amp;ServiceDateTo=2025-11-24&amp;DumpsterInvNr=13-L-412803", "13-L-412803")</f>
        <v>13-L-412803</v>
      </c>
      <c r="C9109">
        <v>0.24</v>
      </c>
      <c r="D9109" t="s">
        <v>7251</v>
      </c>
      <c r="E9109" t="s">
        <v>11</v>
      </c>
      <c r="G9109" t="s">
        <v>74</v>
      </c>
      <c r="H9109" t="s">
        <v>14</v>
      </c>
    </row>
    <row r="9110" spans="1:8" hidden="1" x14ac:dyDescent="0.25">
      <c r="A9110" t="s">
        <v>12365</v>
      </c>
      <c r="B9110" s="1" t="str">
        <f>HYPERLINK("https://asmlis.vasa.lt/Dashboard/Served?ServiceDateFrom=2025-11-24&amp;ServiceDateTo=2025-11-24&amp;DumpsterInvNr=13-S-400642", "13-S-400642")</f>
        <v>13-S-400642</v>
      </c>
      <c r="C9110">
        <v>0.12</v>
      </c>
      <c r="D9110" t="s">
        <v>1760</v>
      </c>
      <c r="E9110" t="s">
        <v>11</v>
      </c>
      <c r="F9110" t="s">
        <v>1209</v>
      </c>
      <c r="G9110" t="s">
        <v>264</v>
      </c>
      <c r="H9110" t="s">
        <v>14</v>
      </c>
    </row>
    <row r="9111" spans="1:8" hidden="1" x14ac:dyDescent="0.25">
      <c r="A9111" t="s">
        <v>12366</v>
      </c>
      <c r="B9111" s="1" t="str">
        <f>HYPERLINK("https://asmlis.vasa.lt/Dashboard/Served?ServiceDateFrom=2025-11-24&amp;ServiceDateTo=2025-11-24&amp;DumpsterInvNr=13-S-400541", "13-S-400541")</f>
        <v>13-S-400541</v>
      </c>
      <c r="C9111">
        <v>0.12</v>
      </c>
      <c r="D9111" t="s">
        <v>1753</v>
      </c>
      <c r="E9111" t="s">
        <v>11</v>
      </c>
      <c r="F9111" t="s">
        <v>1209</v>
      </c>
      <c r="G9111" t="s">
        <v>264</v>
      </c>
      <c r="H9111" t="s">
        <v>14</v>
      </c>
    </row>
    <row r="9112" spans="1:8" hidden="1" x14ac:dyDescent="0.25">
      <c r="A9112" t="s">
        <v>12367</v>
      </c>
      <c r="B9112" s="1" t="str">
        <f>HYPERLINK("https://asmlis.vasa.lt/Dashboard/Served?ServiceDateFrom=2025-11-24&amp;ServiceDateTo=2025-11-24&amp;DumpsterInvNr=13-P-403837", "13-P-403837")</f>
        <v>13-P-403837</v>
      </c>
      <c r="C9112">
        <v>0.24</v>
      </c>
      <c r="D9112" t="s">
        <v>1692</v>
      </c>
      <c r="E9112" t="s">
        <v>11</v>
      </c>
      <c r="F9112" t="s">
        <v>1209</v>
      </c>
      <c r="G9112" t="s">
        <v>264</v>
      </c>
      <c r="H9112" t="s">
        <v>14</v>
      </c>
    </row>
    <row r="9113" spans="1:8" hidden="1" x14ac:dyDescent="0.25">
      <c r="A9113" t="s">
        <v>12368</v>
      </c>
      <c r="B9113" s="1" t="str">
        <f>HYPERLINK("https://asmlis.vasa.lt/Dashboard/Served?ServiceDateFrom=2025-11-24&amp;ServiceDateTo=2025-11-24&amp;DumpsterInvNr=13-P-404016", "13-P-404016")</f>
        <v>13-P-404016</v>
      </c>
      <c r="C9113">
        <v>0.24</v>
      </c>
      <c r="D9113" t="s">
        <v>1776</v>
      </c>
      <c r="E9113" t="s">
        <v>11</v>
      </c>
      <c r="F9113" t="s">
        <v>1209</v>
      </c>
      <c r="G9113" t="s">
        <v>264</v>
      </c>
      <c r="H9113" t="s">
        <v>14</v>
      </c>
    </row>
    <row r="9114" spans="1:8" hidden="1" x14ac:dyDescent="0.25">
      <c r="A9114" t="s">
        <v>12369</v>
      </c>
      <c r="B9114" s="1" t="str">
        <f>HYPERLINK("https://asmlis.vasa.lt/Dashboard/Served?ServiceDateFrom=2025-11-24&amp;ServiceDateTo=2025-11-24&amp;DumpsterInvNr=13-S-400558", "13-S-400558")</f>
        <v>13-S-400558</v>
      </c>
      <c r="C9114">
        <v>0.12</v>
      </c>
      <c r="D9114" t="s">
        <v>1759</v>
      </c>
      <c r="E9114" t="s">
        <v>11</v>
      </c>
      <c r="F9114" t="s">
        <v>1209</v>
      </c>
      <c r="G9114" t="s">
        <v>264</v>
      </c>
      <c r="H9114" t="s">
        <v>14</v>
      </c>
    </row>
    <row r="9115" spans="1:8" hidden="1" x14ac:dyDescent="0.25">
      <c r="A9115" t="s">
        <v>12369</v>
      </c>
      <c r="B9115" s="1" t="str">
        <f>HYPERLINK("https://asmlis.vasa.lt/Dashboard/Served?ServiceDateFrom=2025-11-24&amp;ServiceDateTo=2025-11-24&amp;DumpsterInvNr=13-L-149580", "13-L-149580")</f>
        <v>13-L-149580</v>
      </c>
      <c r="C9115">
        <v>1.1000000000000001</v>
      </c>
      <c r="D9115" t="s">
        <v>4524</v>
      </c>
      <c r="E9115" t="s">
        <v>11</v>
      </c>
      <c r="G9115" t="s">
        <v>430</v>
      </c>
      <c r="H9115" t="s">
        <v>432</v>
      </c>
    </row>
    <row r="9116" spans="1:8" hidden="1" x14ac:dyDescent="0.25">
      <c r="A9116" t="s">
        <v>12370</v>
      </c>
      <c r="B9116" s="1" t="str">
        <f>HYPERLINK("https://asmlis.vasa.lt/Dashboard/Served?ServiceDateFrom=2025-11-24&amp;ServiceDateTo=2025-11-24&amp;DumpsterInvNr=13-L-104296", "13-L-104296")</f>
        <v>13-L-104296</v>
      </c>
      <c r="C9116">
        <v>5</v>
      </c>
      <c r="D9116" t="s">
        <v>12371</v>
      </c>
      <c r="E9116" t="s">
        <v>11</v>
      </c>
      <c r="F9116" t="s">
        <v>13</v>
      </c>
      <c r="G9116" t="s">
        <v>430</v>
      </c>
      <c r="H9116" t="s">
        <v>432</v>
      </c>
    </row>
    <row r="9117" spans="1:8" hidden="1" x14ac:dyDescent="0.25">
      <c r="A9117" t="s">
        <v>12373</v>
      </c>
      <c r="B9117" s="1" t="str">
        <f>HYPERLINK("https://asmlis.vasa.lt/Dashboard/Served?ServiceDateFrom=2025-11-24&amp;ServiceDateTo=2025-11-24&amp;DumpsterInvNr=13-L-104295", "13-L-104295")</f>
        <v>13-L-104295</v>
      </c>
      <c r="C9117">
        <v>5</v>
      </c>
      <c r="D9117" t="s">
        <v>12371</v>
      </c>
      <c r="E9117" t="s">
        <v>11</v>
      </c>
      <c r="F9117" t="s">
        <v>13</v>
      </c>
      <c r="G9117" t="s">
        <v>430</v>
      </c>
      <c r="H9117" t="s">
        <v>432</v>
      </c>
    </row>
    <row r="9118" spans="1:8" hidden="1" x14ac:dyDescent="0.25">
      <c r="A9118" t="s">
        <v>12375</v>
      </c>
      <c r="B9118" s="1" t="str">
        <f>HYPERLINK("https://asmlis.vasa.lt/Dashboard/Served?ServiceDateFrom=2025-11-24&amp;ServiceDateTo=2025-11-24&amp;DumpsterInvNr=13-L-315139", "13-L-315139")</f>
        <v>13-L-315139</v>
      </c>
      <c r="C9118">
        <v>1.1000000000000001</v>
      </c>
      <c r="D9118" t="s">
        <v>12376</v>
      </c>
      <c r="E9118" t="s">
        <v>11</v>
      </c>
      <c r="G9118" t="s">
        <v>9</v>
      </c>
      <c r="H9118" t="s">
        <v>14</v>
      </c>
    </row>
    <row r="9119" spans="1:8" hidden="1" x14ac:dyDescent="0.25">
      <c r="A9119" t="s">
        <v>12375</v>
      </c>
      <c r="B9119" s="1" t="str">
        <f>HYPERLINK("https://asmlis.vasa.lt/Dashboard/Served?ServiceDateFrom=2025-11-24&amp;ServiceDateTo=2025-11-24&amp;DumpsterInvNr=13-M-202460", "13-M-202460")</f>
        <v>13-M-202460</v>
      </c>
      <c r="C9119">
        <v>0.12</v>
      </c>
      <c r="D9119" t="s">
        <v>12377</v>
      </c>
      <c r="E9119" t="s">
        <v>11</v>
      </c>
      <c r="G9119" t="s">
        <v>4876</v>
      </c>
      <c r="H9119" t="s">
        <v>938</v>
      </c>
    </row>
    <row r="9120" spans="1:8" hidden="1" x14ac:dyDescent="0.25">
      <c r="A9120" t="s">
        <v>12378</v>
      </c>
      <c r="B9120" s="1" t="str">
        <f>HYPERLINK("https://asmlis.vasa.lt/Dashboard/Served?ServiceDateFrom=2025-11-24&amp;ServiceDateTo=2025-11-24&amp;DumpsterInvNr=13-S-107712", "13-S-107712")</f>
        <v>13-S-107712</v>
      </c>
      <c r="C9120">
        <v>0.12</v>
      </c>
      <c r="D9120" t="s">
        <v>12338</v>
      </c>
      <c r="E9120" t="s">
        <v>11</v>
      </c>
      <c r="F9120" t="s">
        <v>1209</v>
      </c>
      <c r="G9120" t="s">
        <v>1917</v>
      </c>
      <c r="H9120" t="s">
        <v>432</v>
      </c>
    </row>
    <row r="9121" spans="1:10" hidden="1" x14ac:dyDescent="0.25">
      <c r="A9121" t="s">
        <v>12380</v>
      </c>
      <c r="B9121" s="1" t="str">
        <f>HYPERLINK("https://asmlis.vasa.lt/Dashboard/Served?ServiceDateFrom=2025-11-24&amp;ServiceDateTo=2025-11-24&amp;DumpsterInvNr=13-L-102706", "13-L-102706")</f>
        <v>13-L-102706</v>
      </c>
      <c r="C9121">
        <v>0.77</v>
      </c>
      <c r="D9121" t="s">
        <v>12381</v>
      </c>
      <c r="E9121" t="s">
        <v>11</v>
      </c>
      <c r="F9121" t="s">
        <v>1209</v>
      </c>
      <c r="G9121" t="s">
        <v>1912</v>
      </c>
      <c r="H9121" t="s">
        <v>432</v>
      </c>
    </row>
    <row r="9122" spans="1:10" hidden="1" x14ac:dyDescent="0.25">
      <c r="A9122" t="s">
        <v>12383</v>
      </c>
      <c r="B9122" s="1" t="str">
        <f>HYPERLINK("https://asmlis.vasa.lt/Dashboard/Served?ServiceDateFrom=2025-11-24&amp;ServiceDateTo=2025-11-24&amp;DumpsterInvNr=13-L-105169", "13-L-105169")</f>
        <v>13-L-105169</v>
      </c>
      <c r="C9122">
        <v>1.1000000000000001</v>
      </c>
      <c r="D9122" t="s">
        <v>4524</v>
      </c>
      <c r="E9122" t="s">
        <v>11</v>
      </c>
      <c r="G9122" t="s">
        <v>430</v>
      </c>
      <c r="H9122" t="s">
        <v>432</v>
      </c>
    </row>
    <row r="9123" spans="1:10" hidden="1" x14ac:dyDescent="0.25">
      <c r="A9123" t="s">
        <v>12384</v>
      </c>
      <c r="B9123" s="1" t="str">
        <f>HYPERLINK("https://asmlis.vasa.lt/Dashboard/Served?ServiceDateFrom=2025-11-24&amp;ServiceDateTo=2025-11-24&amp;DumpsterInvNr=13-L-413509", "13-L-413509")</f>
        <v>13-L-413509</v>
      </c>
      <c r="C9123">
        <v>1.1000000000000001</v>
      </c>
      <c r="D9123" t="s">
        <v>12385</v>
      </c>
      <c r="E9123" t="s">
        <v>11</v>
      </c>
      <c r="F9123" t="s">
        <v>871</v>
      </c>
      <c r="G9123" t="s">
        <v>74</v>
      </c>
      <c r="H9123" t="s">
        <v>14</v>
      </c>
      <c r="J9123" t="s">
        <v>17512</v>
      </c>
    </row>
    <row r="9124" spans="1:10" hidden="1" x14ac:dyDescent="0.25">
      <c r="A9124" t="s">
        <v>12386</v>
      </c>
      <c r="B9124" s="1" t="str">
        <f>HYPERLINK("https://asmlis.vasa.lt/Dashboard/Served?ServiceDateFrom=2025-11-24&amp;ServiceDateTo=2025-11-24&amp;DumpsterInvNr=13-P-213002", "13-P-213002")</f>
        <v>13-P-213002</v>
      </c>
      <c r="C9124">
        <v>0.24</v>
      </c>
      <c r="D9124" t="s">
        <v>11019</v>
      </c>
      <c r="E9124" t="s">
        <v>11</v>
      </c>
      <c r="F9124" t="s">
        <v>4699</v>
      </c>
      <c r="G9124" t="s">
        <v>234</v>
      </c>
      <c r="H9124" t="s">
        <v>14</v>
      </c>
    </row>
    <row r="9125" spans="1:10" hidden="1" x14ac:dyDescent="0.25">
      <c r="A9125" t="s">
        <v>12386</v>
      </c>
      <c r="B9125" s="1" t="str">
        <f>HYPERLINK("https://asmlis.vasa.lt/Dashboard/Served?ServiceDateFrom=2025-11-24&amp;ServiceDateTo=2025-11-24&amp;DumpsterInvNr=13-S-212146", "13-S-212146")</f>
        <v>13-S-212146</v>
      </c>
      <c r="C9125">
        <v>0.12</v>
      </c>
      <c r="D9125" t="s">
        <v>11019</v>
      </c>
      <c r="E9125" t="s">
        <v>11</v>
      </c>
      <c r="G9125" t="s">
        <v>234</v>
      </c>
      <c r="H9125" t="s">
        <v>14</v>
      </c>
    </row>
    <row r="9126" spans="1:10" hidden="1" x14ac:dyDescent="0.25">
      <c r="A9126" t="s">
        <v>12387</v>
      </c>
      <c r="B9126" s="1" t="str">
        <f>HYPERLINK("https://asmlis.vasa.lt/Dashboard/Served?ServiceDateFrom=2025-11-24&amp;ServiceDateTo=2025-11-24&amp;DumpsterInvNr=13-L-129703", "13-L-129703")</f>
        <v>13-L-129703</v>
      </c>
      <c r="C9126">
        <v>0.77</v>
      </c>
      <c r="D9126" t="s">
        <v>12349</v>
      </c>
      <c r="E9126" t="s">
        <v>11</v>
      </c>
      <c r="G9126" t="s">
        <v>430</v>
      </c>
      <c r="H9126" t="s">
        <v>432</v>
      </c>
    </row>
    <row r="9127" spans="1:10" hidden="1" x14ac:dyDescent="0.25">
      <c r="A9127" t="s">
        <v>12388</v>
      </c>
      <c r="B9127" s="1" t="str">
        <f>HYPERLINK("https://asmlis.vasa.lt/Dashboard/Served?ServiceDateFrom=2025-11-24&amp;ServiceDateTo=2025-11-24&amp;DumpsterInvNr=13-L-319702", "13-L-319702")</f>
        <v>13-L-319702</v>
      </c>
      <c r="C9127">
        <v>0.77</v>
      </c>
      <c r="D9127" t="s">
        <v>12389</v>
      </c>
      <c r="E9127" t="s">
        <v>11</v>
      </c>
      <c r="G9127" t="s">
        <v>9</v>
      </c>
      <c r="H9127" t="s">
        <v>14</v>
      </c>
    </row>
    <row r="9128" spans="1:10" hidden="1" x14ac:dyDescent="0.25">
      <c r="A9128" t="s">
        <v>12388</v>
      </c>
      <c r="B9128" s="1" t="str">
        <f>HYPERLINK("https://asmlis.vasa.lt/Dashboard/Served?ServiceDateFrom=2025-11-24&amp;ServiceDateTo=2025-11-24&amp;DumpsterInvNr=13-P-116219", "13-P-116219")</f>
        <v>13-P-116219</v>
      </c>
      <c r="C9128">
        <v>1.1000000000000001</v>
      </c>
      <c r="D9128" t="s">
        <v>12390</v>
      </c>
      <c r="E9128" t="s">
        <v>11</v>
      </c>
      <c r="G9128" t="s">
        <v>1917</v>
      </c>
      <c r="H9128" t="s">
        <v>432</v>
      </c>
    </row>
    <row r="9129" spans="1:10" hidden="1" x14ac:dyDescent="0.25">
      <c r="A9129" t="s">
        <v>12391</v>
      </c>
      <c r="B9129" s="1" t="str">
        <f>HYPERLINK("https://asmlis.vasa.lt/Dashboard/Served?ServiceDateFrom=2025-11-24&amp;ServiceDateTo=2025-11-24&amp;DumpsterInvNr=13-L-206341", "13-L-206341")</f>
        <v>13-L-206341</v>
      </c>
      <c r="C9129">
        <v>0.12</v>
      </c>
      <c r="D9129" t="s">
        <v>9773</v>
      </c>
      <c r="E9129" t="s">
        <v>11</v>
      </c>
      <c r="F9129" t="s">
        <v>1209</v>
      </c>
      <c r="G9129" t="s">
        <v>936</v>
      </c>
      <c r="H9129" t="s">
        <v>938</v>
      </c>
    </row>
    <row r="9130" spans="1:10" hidden="1" x14ac:dyDescent="0.25">
      <c r="A9130" t="s">
        <v>12393</v>
      </c>
      <c r="B9130" s="1" t="str">
        <f>HYPERLINK("https://asmlis.vasa.lt/Dashboard/Served?ServiceDateFrom=2025-11-24&amp;ServiceDateTo=2025-11-24&amp;DumpsterInvNr=13-L-317592", "13-L-317592")</f>
        <v>13-L-317592</v>
      </c>
      <c r="C9130">
        <v>1.1000000000000001</v>
      </c>
      <c r="D9130" t="s">
        <v>12376</v>
      </c>
      <c r="E9130" t="s">
        <v>11</v>
      </c>
      <c r="G9130" t="s">
        <v>9</v>
      </c>
      <c r="H9130" t="s">
        <v>14</v>
      </c>
    </row>
    <row r="9131" spans="1:10" hidden="1" x14ac:dyDescent="0.25">
      <c r="A9131" t="s">
        <v>12393</v>
      </c>
      <c r="B9131" s="1" t="str">
        <f>HYPERLINK("https://asmlis.vasa.lt/Dashboard/Served?ServiceDateFrom=2025-11-24&amp;ServiceDateTo=2025-11-24&amp;DumpsterInvNr=13-L-210719", "13-L-210719")</f>
        <v>13-L-210719</v>
      </c>
      <c r="C9131">
        <v>0.12</v>
      </c>
      <c r="D9131" t="s">
        <v>9789</v>
      </c>
      <c r="E9131" t="s">
        <v>11</v>
      </c>
      <c r="F9131" t="s">
        <v>1209</v>
      </c>
      <c r="G9131" t="s">
        <v>936</v>
      </c>
      <c r="H9131" t="s">
        <v>938</v>
      </c>
    </row>
    <row r="9132" spans="1:10" hidden="1" x14ac:dyDescent="0.25">
      <c r="A9132" t="s">
        <v>12395</v>
      </c>
      <c r="B9132" s="1" t="str">
        <f>HYPERLINK("https://asmlis.vasa.lt/Dashboard/Served?ServiceDateFrom=2025-11-24&amp;ServiceDateTo=2025-11-24&amp;DumpsterInvNr=13-M-202441", "13-M-202441")</f>
        <v>13-M-202441</v>
      </c>
      <c r="C9132">
        <v>0.12</v>
      </c>
      <c r="D9132" t="s">
        <v>12396</v>
      </c>
      <c r="E9132" t="s">
        <v>11</v>
      </c>
      <c r="G9132" t="s">
        <v>4876</v>
      </c>
      <c r="H9132" t="s">
        <v>938</v>
      </c>
    </row>
    <row r="9133" spans="1:10" hidden="1" x14ac:dyDescent="0.25">
      <c r="A9133" t="s">
        <v>12395</v>
      </c>
      <c r="B9133" s="1" t="str">
        <f>HYPERLINK("https://asmlis.vasa.lt/Dashboard/Served?ServiceDateFrom=2025-11-24&amp;ServiceDateTo=2025-11-24&amp;DumpsterInvNr=13-L-129704", "13-L-129704")</f>
        <v>13-L-129704</v>
      </c>
      <c r="C9133">
        <v>1.1000000000000001</v>
      </c>
      <c r="D9133" t="s">
        <v>12349</v>
      </c>
      <c r="E9133" t="s">
        <v>11</v>
      </c>
      <c r="G9133" t="s">
        <v>430</v>
      </c>
      <c r="H9133" t="s">
        <v>432</v>
      </c>
    </row>
    <row r="9134" spans="1:10" hidden="1" x14ac:dyDescent="0.25">
      <c r="A9134" t="s">
        <v>12397</v>
      </c>
      <c r="B9134" s="1" t="str">
        <f>HYPERLINK("https://asmlis.vasa.lt/Dashboard/Served?ServiceDateFrom=2025-11-24&amp;ServiceDateTo=2025-11-24&amp;DumpsterInvNr=13-P-301715", "13-P-301715")</f>
        <v>13-P-301715</v>
      </c>
      <c r="C9134">
        <v>1.1000000000000001</v>
      </c>
      <c r="D9134" t="s">
        <v>1214</v>
      </c>
      <c r="E9134" t="s">
        <v>11</v>
      </c>
      <c r="G9134" t="s">
        <v>412</v>
      </c>
      <c r="H9134" t="s">
        <v>14</v>
      </c>
    </row>
    <row r="9135" spans="1:10" hidden="1" x14ac:dyDescent="0.25">
      <c r="A9135" t="s">
        <v>12267</v>
      </c>
      <c r="B9135" s="1" t="str">
        <f>HYPERLINK("https://asmlis.vasa.lt/Dashboard/Served?ServiceDateFrom=2025-11-24&amp;ServiceDateTo=2025-11-24&amp;DumpsterInvNr=13-L-208383", "13-L-208383")</f>
        <v>13-L-208383</v>
      </c>
      <c r="C9135">
        <v>0.12</v>
      </c>
      <c r="D9135" t="s">
        <v>12398</v>
      </c>
      <c r="E9135" t="s">
        <v>11</v>
      </c>
      <c r="F9135" t="s">
        <v>1209</v>
      </c>
      <c r="G9135" t="s">
        <v>936</v>
      </c>
      <c r="H9135" t="s">
        <v>938</v>
      </c>
    </row>
    <row r="9136" spans="1:10" hidden="1" x14ac:dyDescent="0.25">
      <c r="A9136" t="s">
        <v>12399</v>
      </c>
      <c r="B9136" s="1" t="str">
        <f>HYPERLINK("https://asmlis.vasa.lt/Dashboard/Served?ServiceDateFrom=2025-11-24&amp;ServiceDateTo=2025-11-24&amp;DumpsterInvNr=13-L-318623", "13-L-318623")</f>
        <v>13-L-318623</v>
      </c>
      <c r="C9136">
        <v>0.77</v>
      </c>
      <c r="D9136" t="s">
        <v>12389</v>
      </c>
      <c r="E9136" t="s">
        <v>11</v>
      </c>
      <c r="F9136" t="s">
        <v>13</v>
      </c>
      <c r="G9136" t="s">
        <v>9</v>
      </c>
      <c r="H9136" t="s">
        <v>14</v>
      </c>
    </row>
    <row r="9137" spans="1:8" hidden="1" x14ac:dyDescent="0.25">
      <c r="A9137" t="s">
        <v>12401</v>
      </c>
      <c r="B9137" s="1" t="str">
        <f>HYPERLINK("https://asmlis.vasa.lt/Dashboard/Served?ServiceDateFrom=2025-11-24&amp;ServiceDateTo=2025-11-24&amp;DumpsterInvNr=13-M-204570", "13-M-204570")</f>
        <v>13-M-204570</v>
      </c>
      <c r="C9137">
        <v>0.12</v>
      </c>
      <c r="D9137" t="s">
        <v>12402</v>
      </c>
      <c r="E9137" t="s">
        <v>11</v>
      </c>
      <c r="G9137" t="s">
        <v>4876</v>
      </c>
      <c r="H9137" t="s">
        <v>938</v>
      </c>
    </row>
    <row r="9138" spans="1:8" hidden="1" x14ac:dyDescent="0.25">
      <c r="A9138" t="s">
        <v>12403</v>
      </c>
      <c r="B9138" s="1" t="str">
        <f>HYPERLINK("https://asmlis.vasa.lt/Dashboard/Served?ServiceDateFrom=2025-11-24&amp;ServiceDateTo=2025-11-24&amp;DumpsterInvNr=13-S-207399", "13-S-207399")</f>
        <v>13-S-207399</v>
      </c>
      <c r="C9138">
        <v>3</v>
      </c>
      <c r="D9138" t="s">
        <v>3044</v>
      </c>
      <c r="E9138" t="s">
        <v>11</v>
      </c>
      <c r="G9138" t="s">
        <v>234</v>
      </c>
      <c r="H9138" t="s">
        <v>14</v>
      </c>
    </row>
    <row r="9139" spans="1:8" hidden="1" x14ac:dyDescent="0.25">
      <c r="A9139" t="s">
        <v>12404</v>
      </c>
      <c r="B9139" s="1" t="str">
        <f>HYPERLINK("https://asmlis.vasa.lt/Dashboard/Served?ServiceDateFrom=2025-11-24&amp;ServiceDateTo=2025-11-24&amp;DumpsterInvNr=13-L-313401", "13-L-313401")</f>
        <v>13-L-313401</v>
      </c>
      <c r="C9139">
        <v>1.1000000000000001</v>
      </c>
      <c r="D9139" t="s">
        <v>12405</v>
      </c>
      <c r="E9139" t="s">
        <v>11</v>
      </c>
      <c r="F9139" t="s">
        <v>13</v>
      </c>
      <c r="G9139" t="s">
        <v>9</v>
      </c>
      <c r="H9139" t="s">
        <v>14</v>
      </c>
    </row>
    <row r="9140" spans="1:8" hidden="1" x14ac:dyDescent="0.25">
      <c r="A9140" t="s">
        <v>12406</v>
      </c>
      <c r="B9140" s="1" t="str">
        <f>HYPERLINK("https://asmlis.vasa.lt/Dashboard/Served?ServiceDateFrom=2025-11-24&amp;ServiceDateTo=2025-11-24&amp;DumpsterInvNr=13-P-116220", "13-P-116220")</f>
        <v>13-P-116220</v>
      </c>
      <c r="C9140">
        <v>1.1000000000000001</v>
      </c>
      <c r="D9140" t="s">
        <v>12390</v>
      </c>
      <c r="E9140" t="s">
        <v>11</v>
      </c>
      <c r="G9140" t="s">
        <v>1917</v>
      </c>
      <c r="H9140" t="s">
        <v>432</v>
      </c>
    </row>
    <row r="9141" spans="1:8" hidden="1" x14ac:dyDescent="0.25">
      <c r="A9141" t="s">
        <v>12407</v>
      </c>
      <c r="B9141" s="1" t="str">
        <f>HYPERLINK("https://asmlis.vasa.lt/Dashboard/Served?ServiceDateFrom=2025-11-24&amp;ServiceDateTo=2025-11-24&amp;DumpsterInvNr=13-L-312037", "13-L-312037")</f>
        <v>13-L-312037</v>
      </c>
      <c r="C9141">
        <v>1.1000000000000001</v>
      </c>
      <c r="D9141" t="s">
        <v>12405</v>
      </c>
      <c r="E9141" t="s">
        <v>11</v>
      </c>
      <c r="F9141" t="s">
        <v>13</v>
      </c>
      <c r="G9141" t="s">
        <v>9</v>
      </c>
      <c r="H9141" t="s">
        <v>14</v>
      </c>
    </row>
    <row r="9142" spans="1:8" hidden="1" x14ac:dyDescent="0.25">
      <c r="A9142" t="s">
        <v>12407</v>
      </c>
      <c r="B9142" s="1" t="str">
        <f>HYPERLINK("https://asmlis.vasa.lt/Dashboard/Served?ServiceDateFrom=2025-11-24&amp;ServiceDateTo=2025-11-24&amp;DumpsterInvNr=13-P-103201", "13-P-103201")</f>
        <v>13-P-103201</v>
      </c>
      <c r="C9142">
        <v>0.24</v>
      </c>
      <c r="D9142" t="s">
        <v>12408</v>
      </c>
      <c r="E9142" t="s">
        <v>11</v>
      </c>
      <c r="G9142" t="s">
        <v>1917</v>
      </c>
      <c r="H9142" t="s">
        <v>432</v>
      </c>
    </row>
    <row r="9143" spans="1:8" hidden="1" x14ac:dyDescent="0.25">
      <c r="A9143" t="s">
        <v>12410</v>
      </c>
      <c r="B9143" s="1" t="str">
        <f>HYPERLINK("https://asmlis.vasa.lt/Dashboard/Served?ServiceDateFrom=2025-11-24&amp;ServiceDateTo=2025-11-24&amp;DumpsterInvNr=13-L-425031", "13-L-425031")</f>
        <v>13-L-425031</v>
      </c>
      <c r="C9143">
        <v>1.1000000000000001</v>
      </c>
      <c r="D9143" t="s">
        <v>12329</v>
      </c>
      <c r="E9143" t="s">
        <v>11</v>
      </c>
      <c r="F9143" t="s">
        <v>13</v>
      </c>
      <c r="G9143" t="s">
        <v>74</v>
      </c>
      <c r="H9143" t="s">
        <v>14</v>
      </c>
    </row>
    <row r="9144" spans="1:8" hidden="1" x14ac:dyDescent="0.25">
      <c r="A9144" t="s">
        <v>12411</v>
      </c>
      <c r="B9144" s="1" t="str">
        <f>HYPERLINK("https://asmlis.vasa.lt/Dashboard/Served?ServiceDateFrom=2025-11-24&amp;ServiceDateTo=2025-11-24&amp;DumpsterInvNr=13-L-220835", "13-L-220835")</f>
        <v>13-L-220835</v>
      </c>
      <c r="C9144">
        <v>0.77</v>
      </c>
      <c r="D9144" t="s">
        <v>12412</v>
      </c>
      <c r="E9144" t="s">
        <v>11</v>
      </c>
      <c r="G9144" t="s">
        <v>936</v>
      </c>
      <c r="H9144" t="s">
        <v>938</v>
      </c>
    </row>
    <row r="9145" spans="1:8" hidden="1" x14ac:dyDescent="0.25">
      <c r="A9145" t="s">
        <v>12411</v>
      </c>
      <c r="B9145" s="1" t="str">
        <f>HYPERLINK("https://asmlis.vasa.lt/Dashboard/Served?ServiceDateFrom=2025-11-24&amp;ServiceDateTo=2025-11-24&amp;DumpsterInvNr=13-L-143180", "13-L-143180")</f>
        <v>13-L-143180</v>
      </c>
      <c r="C9145">
        <v>1.1000000000000001</v>
      </c>
      <c r="D9145" t="s">
        <v>12413</v>
      </c>
      <c r="E9145" t="s">
        <v>11</v>
      </c>
      <c r="G9145" t="s">
        <v>1912</v>
      </c>
      <c r="H9145" t="s">
        <v>432</v>
      </c>
    </row>
    <row r="9146" spans="1:8" hidden="1" x14ac:dyDescent="0.25">
      <c r="A9146" t="s">
        <v>12212</v>
      </c>
      <c r="B9146" s="1" t="str">
        <f>HYPERLINK("https://asmlis.vasa.lt/Dashboard/Served?ServiceDateFrom=2025-11-24&amp;ServiceDateTo=2025-11-24&amp;DumpsterInvNr=13-L-314620", "13-L-314620")</f>
        <v>13-L-314620</v>
      </c>
      <c r="C9146">
        <v>1.1000000000000001</v>
      </c>
      <c r="D9146" t="s">
        <v>12376</v>
      </c>
      <c r="E9146" t="s">
        <v>11</v>
      </c>
      <c r="G9146" t="s">
        <v>9</v>
      </c>
      <c r="H9146" t="s">
        <v>14</v>
      </c>
    </row>
    <row r="9147" spans="1:8" hidden="1" x14ac:dyDescent="0.25">
      <c r="A9147" t="s">
        <v>12212</v>
      </c>
      <c r="B9147" s="1" t="str">
        <f>HYPERLINK("https://asmlis.vasa.lt/Dashboard/Served?ServiceDateFrom=2025-11-24&amp;ServiceDateTo=2025-11-24&amp;DumpsterInvNr=13-L-128381", "13-L-128381")</f>
        <v>13-L-128381</v>
      </c>
      <c r="C9147">
        <v>0.24</v>
      </c>
      <c r="D9147" t="s">
        <v>12408</v>
      </c>
      <c r="E9147" t="s">
        <v>11</v>
      </c>
      <c r="G9147" t="s">
        <v>1912</v>
      </c>
      <c r="H9147" t="s">
        <v>432</v>
      </c>
    </row>
    <row r="9148" spans="1:8" hidden="1" x14ac:dyDescent="0.25">
      <c r="A9148" t="s">
        <v>12415</v>
      </c>
      <c r="B9148" s="1" t="str">
        <f>HYPERLINK("https://asmlis.vasa.lt/Dashboard/Served?ServiceDateFrom=2025-11-24&amp;ServiceDateTo=2025-11-24&amp;DumpsterInvNr=13-L-427062", "13-L-427062")</f>
        <v>13-L-427062</v>
      </c>
      <c r="C9148">
        <v>1.1000000000000001</v>
      </c>
      <c r="D9148" t="s">
        <v>12329</v>
      </c>
      <c r="E9148" t="s">
        <v>11</v>
      </c>
      <c r="F9148" t="s">
        <v>13</v>
      </c>
      <c r="G9148" t="s">
        <v>74</v>
      </c>
      <c r="H9148" t="s">
        <v>14</v>
      </c>
    </row>
    <row r="9149" spans="1:8" hidden="1" x14ac:dyDescent="0.25">
      <c r="A9149" t="s">
        <v>12416</v>
      </c>
      <c r="B9149" s="1" t="str">
        <f>HYPERLINK("https://asmlis.vasa.lt/Dashboard/Served?ServiceDateFrom=2025-11-24&amp;ServiceDateTo=2025-11-24&amp;DumpsterInvNr=13-S-205953", "13-S-205953")</f>
        <v>13-S-205953</v>
      </c>
      <c r="C9149">
        <v>0.12</v>
      </c>
      <c r="D9149" t="s">
        <v>10979</v>
      </c>
      <c r="E9149" t="s">
        <v>11</v>
      </c>
      <c r="G9149" t="s">
        <v>234</v>
      </c>
      <c r="H9149" t="s">
        <v>14</v>
      </c>
    </row>
    <row r="9150" spans="1:8" hidden="1" x14ac:dyDescent="0.25">
      <c r="A9150" t="s">
        <v>12417</v>
      </c>
      <c r="B9150" s="1" t="str">
        <f>HYPERLINK("https://asmlis.vasa.lt/Dashboard/Served?ServiceDateFrom=2025-11-24&amp;ServiceDateTo=2025-11-24&amp;DumpsterInvNr=13-P-403834", "13-P-403834")</f>
        <v>13-P-403834</v>
      </c>
      <c r="C9150">
        <v>0.24</v>
      </c>
      <c r="D9150" t="s">
        <v>1673</v>
      </c>
      <c r="E9150" t="s">
        <v>11</v>
      </c>
      <c r="G9150" t="s">
        <v>264</v>
      </c>
      <c r="H9150" t="s">
        <v>14</v>
      </c>
    </row>
    <row r="9151" spans="1:8" hidden="1" x14ac:dyDescent="0.25">
      <c r="A9151" t="s">
        <v>12417</v>
      </c>
      <c r="B9151" s="1" t="str">
        <f>HYPERLINK("https://asmlis.vasa.lt/Dashboard/Served?ServiceDateFrom=2025-11-24&amp;ServiceDateTo=2025-11-24&amp;DumpsterInvNr=13-S-103201", "13-S-103201")</f>
        <v>13-S-103201</v>
      </c>
      <c r="C9151">
        <v>0.12</v>
      </c>
      <c r="D9151" t="s">
        <v>12408</v>
      </c>
      <c r="E9151" t="s">
        <v>11</v>
      </c>
      <c r="F9151" t="s">
        <v>1209</v>
      </c>
      <c r="G9151" t="s">
        <v>1917</v>
      </c>
      <c r="H9151" t="s">
        <v>432</v>
      </c>
    </row>
    <row r="9152" spans="1:8" hidden="1" x14ac:dyDescent="0.25">
      <c r="A9152" t="s">
        <v>12419</v>
      </c>
      <c r="B9152" s="1" t="str">
        <f>HYPERLINK("https://asmlis.vasa.lt/Dashboard/Served?ServiceDateFrom=2025-11-24&amp;ServiceDateTo=2025-11-24&amp;DumpsterInvNr=13-P-207992", "13-P-207992")</f>
        <v>13-P-207992</v>
      </c>
      <c r="C9152">
        <v>0.24</v>
      </c>
      <c r="D9152" t="s">
        <v>10979</v>
      </c>
      <c r="E9152" t="s">
        <v>11</v>
      </c>
      <c r="G9152" t="s">
        <v>234</v>
      </c>
      <c r="H9152" t="s">
        <v>14</v>
      </c>
    </row>
    <row r="9153" spans="1:8" hidden="1" x14ac:dyDescent="0.25">
      <c r="A9153" t="s">
        <v>12420</v>
      </c>
      <c r="B9153" s="1" t="str">
        <f>HYPERLINK("https://asmlis.vasa.lt/Dashboard/Served?ServiceDateFrom=2025-11-24&amp;ServiceDateTo=2025-11-24&amp;DumpsterInvNr=13-L-219358", "13-L-219358")</f>
        <v>13-L-219358</v>
      </c>
      <c r="C9153">
        <v>0.24</v>
      </c>
      <c r="D9153" t="s">
        <v>9856</v>
      </c>
      <c r="E9153" t="s">
        <v>11</v>
      </c>
      <c r="G9153" t="s">
        <v>936</v>
      </c>
      <c r="H9153" t="s">
        <v>938</v>
      </c>
    </row>
    <row r="9154" spans="1:8" hidden="1" x14ac:dyDescent="0.25">
      <c r="A9154" t="s">
        <v>12420</v>
      </c>
      <c r="B9154" s="1" t="str">
        <f>HYPERLINK("https://asmlis.vasa.lt/Dashboard/Served?ServiceDateFrom=2025-11-24&amp;ServiceDateTo=2025-11-24&amp;DumpsterInvNr=13-P-212698", "13-P-212698")</f>
        <v>13-P-212698</v>
      </c>
      <c r="C9154">
        <v>1.1000000000000001</v>
      </c>
      <c r="D9154" t="s">
        <v>12421</v>
      </c>
      <c r="E9154" t="s">
        <v>11</v>
      </c>
      <c r="F9154" t="s">
        <v>13</v>
      </c>
      <c r="G9154" t="s">
        <v>234</v>
      </c>
      <c r="H9154" t="s">
        <v>14</v>
      </c>
    </row>
    <row r="9155" spans="1:8" hidden="1" x14ac:dyDescent="0.25">
      <c r="A9155" t="s">
        <v>12422</v>
      </c>
      <c r="B9155" s="1" t="str">
        <f>HYPERLINK("https://asmlis.vasa.lt/Dashboard/Served?ServiceDateFrom=2025-11-24&amp;ServiceDateTo=2025-11-24&amp;DumpsterInvNr=13-P-403843", "13-P-403843")</f>
        <v>13-P-403843</v>
      </c>
      <c r="C9155">
        <v>0.24</v>
      </c>
      <c r="D9155" t="s">
        <v>1667</v>
      </c>
      <c r="E9155" t="s">
        <v>11</v>
      </c>
      <c r="G9155" t="s">
        <v>264</v>
      </c>
      <c r="H9155" t="s">
        <v>14</v>
      </c>
    </row>
    <row r="9156" spans="1:8" hidden="1" x14ac:dyDescent="0.25">
      <c r="A9156" t="s">
        <v>12423</v>
      </c>
      <c r="B9156" s="1" t="str">
        <f>HYPERLINK("https://asmlis.vasa.lt/Dashboard/Served?ServiceDateFrom=2025-11-24&amp;ServiceDateTo=2025-11-24&amp;DumpsterInvNr=13-M-202369", "13-M-202369")</f>
        <v>13-M-202369</v>
      </c>
      <c r="C9156">
        <v>0.12</v>
      </c>
      <c r="D9156" t="s">
        <v>12424</v>
      </c>
      <c r="E9156" t="s">
        <v>11</v>
      </c>
      <c r="F9156" t="s">
        <v>1209</v>
      </c>
      <c r="G9156" t="s">
        <v>4876</v>
      </c>
      <c r="H9156" t="s">
        <v>938</v>
      </c>
    </row>
    <row r="9157" spans="1:8" hidden="1" x14ac:dyDescent="0.25">
      <c r="A9157" t="s">
        <v>12425</v>
      </c>
      <c r="B9157" s="1" t="str">
        <f>HYPERLINK("https://asmlis.vasa.lt/Dashboard/Served?ServiceDateFrom=2025-11-24&amp;ServiceDateTo=2025-11-24&amp;DumpsterInvNr=13-L-317581", "13-L-317581")</f>
        <v>13-L-317581</v>
      </c>
      <c r="C9157">
        <v>5</v>
      </c>
      <c r="D9157" t="s">
        <v>6853</v>
      </c>
      <c r="E9157" t="s">
        <v>11</v>
      </c>
      <c r="F9157" t="s">
        <v>13</v>
      </c>
      <c r="G9157" t="s">
        <v>9</v>
      </c>
      <c r="H9157" t="s">
        <v>14</v>
      </c>
    </row>
    <row r="9158" spans="1:8" hidden="1" x14ac:dyDescent="0.25">
      <c r="A9158" t="s">
        <v>12426</v>
      </c>
      <c r="B9158" s="1" t="str">
        <f>HYPERLINK("https://asmlis.vasa.lt/Dashboard/Served?ServiceDateFrom=2025-11-24&amp;ServiceDateTo=2025-11-24&amp;DumpsterInvNr=13-L-224785", "13-L-224785")</f>
        <v>13-L-224785</v>
      </c>
      <c r="C9158">
        <v>1.1000000000000001</v>
      </c>
      <c r="D9158" t="s">
        <v>12412</v>
      </c>
      <c r="E9158" t="s">
        <v>11</v>
      </c>
      <c r="G9158" t="s">
        <v>936</v>
      </c>
      <c r="H9158" t="s">
        <v>938</v>
      </c>
    </row>
    <row r="9159" spans="1:8" hidden="1" x14ac:dyDescent="0.25">
      <c r="A9159" t="s">
        <v>12427</v>
      </c>
      <c r="B9159" s="1" t="str">
        <f>HYPERLINK("https://asmlis.vasa.lt/Dashboard/Served?ServiceDateFrom=2025-11-24&amp;ServiceDateTo=2025-11-24&amp;DumpsterInvNr=13-P-211688", "13-P-211688")</f>
        <v>13-P-211688</v>
      </c>
      <c r="C9159">
        <v>0.24</v>
      </c>
      <c r="D9159" t="s">
        <v>10988</v>
      </c>
      <c r="E9159" t="s">
        <v>11</v>
      </c>
      <c r="G9159" t="s">
        <v>234</v>
      </c>
      <c r="H9159" t="s">
        <v>14</v>
      </c>
    </row>
    <row r="9160" spans="1:8" hidden="1" x14ac:dyDescent="0.25">
      <c r="A9160" t="s">
        <v>11348</v>
      </c>
      <c r="B9160" s="1" t="str">
        <f>HYPERLINK("https://asmlis.vasa.lt/Dashboard/Served?ServiceDateFrom=2025-11-24&amp;ServiceDateTo=2025-11-24&amp;DumpsterInvNr=13-L-422580", "13-L-422580")</f>
        <v>13-L-422580</v>
      </c>
      <c r="C9160">
        <v>1.1000000000000001</v>
      </c>
      <c r="D9160" t="s">
        <v>12428</v>
      </c>
      <c r="E9160" t="s">
        <v>11</v>
      </c>
      <c r="G9160" t="s">
        <v>74</v>
      </c>
      <c r="H9160" t="s">
        <v>14</v>
      </c>
    </row>
    <row r="9161" spans="1:8" hidden="1" x14ac:dyDescent="0.25">
      <c r="A9161" t="s">
        <v>11348</v>
      </c>
      <c r="B9161" s="1" t="str">
        <f>HYPERLINK("https://asmlis.vasa.lt/Dashboard/Served?ServiceDateFrom=2025-11-24&amp;ServiceDateTo=2025-11-24&amp;DumpsterInvNr=13-P-400672", "13-P-400672")</f>
        <v>13-P-400672</v>
      </c>
      <c r="C9161">
        <v>5</v>
      </c>
      <c r="D9161" t="s">
        <v>7825</v>
      </c>
      <c r="E9161" t="s">
        <v>11</v>
      </c>
      <c r="F9161" t="s">
        <v>13</v>
      </c>
      <c r="G9161" t="s">
        <v>264</v>
      </c>
      <c r="H9161" t="s">
        <v>14</v>
      </c>
    </row>
    <row r="9162" spans="1:8" hidden="1" x14ac:dyDescent="0.25">
      <c r="A9162" t="s">
        <v>12429</v>
      </c>
      <c r="B9162" s="1" t="str">
        <f>HYPERLINK("https://asmlis.vasa.lt/Dashboard/Served?ServiceDateFrom=2025-11-24&amp;ServiceDateTo=2025-11-24&amp;DumpsterInvNr=13-M-204902", "13-M-204902")</f>
        <v>13-M-204902</v>
      </c>
      <c r="C9162">
        <v>0.12</v>
      </c>
      <c r="D9162" t="s">
        <v>12430</v>
      </c>
      <c r="E9162" t="s">
        <v>11</v>
      </c>
      <c r="F9162" t="s">
        <v>1209</v>
      </c>
      <c r="G9162" t="s">
        <v>4876</v>
      </c>
      <c r="H9162" t="s">
        <v>938</v>
      </c>
    </row>
    <row r="9163" spans="1:8" hidden="1" x14ac:dyDescent="0.25">
      <c r="A9163" t="s">
        <v>12431</v>
      </c>
      <c r="B9163" s="1" t="str">
        <f>HYPERLINK("https://asmlis.vasa.lt/Dashboard/Served?ServiceDateFrom=2025-11-24&amp;ServiceDateTo=2025-11-24&amp;DumpsterInvNr=13-L-117531", "13-L-117531")</f>
        <v>13-L-117531</v>
      </c>
      <c r="C9163">
        <v>1.1000000000000001</v>
      </c>
      <c r="D9163" t="s">
        <v>12413</v>
      </c>
      <c r="E9163" t="s">
        <v>11</v>
      </c>
      <c r="G9163" t="s">
        <v>1912</v>
      </c>
      <c r="H9163" t="s">
        <v>432</v>
      </c>
    </row>
    <row r="9164" spans="1:8" hidden="1" x14ac:dyDescent="0.25">
      <c r="A9164" t="s">
        <v>12432</v>
      </c>
      <c r="B9164" s="1" t="str">
        <f>HYPERLINK("https://asmlis.vasa.lt/Dashboard/Served?ServiceDateFrom=2025-11-24&amp;ServiceDateTo=2025-11-24&amp;DumpsterInvNr=13-P-500469", "13-P-500469")</f>
        <v>13-P-500469</v>
      </c>
      <c r="C9164">
        <v>5</v>
      </c>
      <c r="D9164" t="s">
        <v>8483</v>
      </c>
      <c r="E9164" t="s">
        <v>11</v>
      </c>
      <c r="F9164" t="s">
        <v>13</v>
      </c>
      <c r="G9164" t="s">
        <v>2178</v>
      </c>
      <c r="H9164" t="s">
        <v>432</v>
      </c>
    </row>
    <row r="9165" spans="1:8" hidden="1" x14ac:dyDescent="0.25">
      <c r="A9165" t="s">
        <v>12433</v>
      </c>
      <c r="B9165" s="1" t="str">
        <f>HYPERLINK("https://asmlis.vasa.lt/Dashboard/Served?ServiceDateFrom=2025-11-24&amp;ServiceDateTo=2025-11-24&amp;DumpsterInvNr=13-L-203572", "13-L-203572")</f>
        <v>13-L-203572</v>
      </c>
      <c r="C9165">
        <v>0.24</v>
      </c>
      <c r="D9165" t="s">
        <v>9751</v>
      </c>
      <c r="E9165" t="s">
        <v>11</v>
      </c>
      <c r="G9165" t="s">
        <v>936</v>
      </c>
      <c r="H9165" t="s">
        <v>938</v>
      </c>
    </row>
    <row r="9166" spans="1:8" hidden="1" x14ac:dyDescent="0.25">
      <c r="A9166" t="s">
        <v>12434</v>
      </c>
      <c r="B9166" s="1" t="str">
        <f>HYPERLINK("https://asmlis.vasa.lt/Dashboard/Served?ServiceDateFrom=2025-11-24&amp;ServiceDateTo=2025-11-24&amp;DumpsterInvNr=13-S-210145", "13-S-210145")</f>
        <v>13-S-210145</v>
      </c>
      <c r="C9166">
        <v>0.12</v>
      </c>
      <c r="D9166" t="s">
        <v>10988</v>
      </c>
      <c r="E9166" t="s">
        <v>11</v>
      </c>
      <c r="G9166" t="s">
        <v>234</v>
      </c>
      <c r="H9166" t="s">
        <v>14</v>
      </c>
    </row>
    <row r="9167" spans="1:8" hidden="1" x14ac:dyDescent="0.25">
      <c r="A9167" t="s">
        <v>12435</v>
      </c>
      <c r="B9167" s="1" t="str">
        <f>HYPERLINK("https://asmlis.vasa.lt/Dashboard/Served?ServiceDateFrom=2025-11-24&amp;ServiceDateTo=2025-11-24&amp;DumpsterInvNr=13-L-311667", "13-L-311667")</f>
        <v>13-L-311667</v>
      </c>
      <c r="C9167">
        <v>0.24</v>
      </c>
      <c r="D9167" t="s">
        <v>12436</v>
      </c>
      <c r="E9167" t="s">
        <v>11</v>
      </c>
      <c r="G9167" t="s">
        <v>9</v>
      </c>
      <c r="H9167" t="s">
        <v>14</v>
      </c>
    </row>
    <row r="9168" spans="1:8" hidden="1" x14ac:dyDescent="0.25">
      <c r="A9168" t="s">
        <v>11998</v>
      </c>
      <c r="B9168" s="1" t="str">
        <f>HYPERLINK("https://asmlis.vasa.lt/Dashboard/Served?ServiceDateFrom=2025-11-24&amp;ServiceDateTo=2025-11-24&amp;DumpsterInvNr=13-L-422590", "13-L-422590")</f>
        <v>13-L-422590</v>
      </c>
      <c r="C9168">
        <v>1.1000000000000001</v>
      </c>
      <c r="D9168" t="s">
        <v>12437</v>
      </c>
      <c r="E9168" t="s">
        <v>11</v>
      </c>
      <c r="G9168" t="s">
        <v>74</v>
      </c>
      <c r="H9168" t="s">
        <v>14</v>
      </c>
    </row>
    <row r="9169" spans="1:8" hidden="1" x14ac:dyDescent="0.25">
      <c r="A9169" t="s">
        <v>12180</v>
      </c>
      <c r="B9169" s="1" t="str">
        <f>HYPERLINK("https://asmlis.vasa.lt/Dashboard/Served?ServiceDateFrom=2025-11-24&amp;ServiceDateTo=2025-11-24&amp;DumpsterInvNr=13-L-117530", "13-L-117530")</f>
        <v>13-L-117530</v>
      </c>
      <c r="C9169">
        <v>1.1000000000000001</v>
      </c>
      <c r="D9169" t="s">
        <v>12413</v>
      </c>
      <c r="E9169" t="s">
        <v>11</v>
      </c>
      <c r="G9169" t="s">
        <v>1912</v>
      </c>
      <c r="H9169" t="s">
        <v>432</v>
      </c>
    </row>
    <row r="9170" spans="1:8" hidden="1" x14ac:dyDescent="0.25">
      <c r="A9170" t="s">
        <v>12439</v>
      </c>
      <c r="B9170" s="1" t="str">
        <f>HYPERLINK("https://asmlis.vasa.lt/Dashboard/Served?ServiceDateFrom=2025-11-24&amp;ServiceDateTo=2025-11-24&amp;DumpsterInvNr=13-P-402447", "13-P-402447")</f>
        <v>13-P-402447</v>
      </c>
      <c r="C9170">
        <v>5</v>
      </c>
      <c r="D9170" t="s">
        <v>922</v>
      </c>
      <c r="E9170" t="s">
        <v>11</v>
      </c>
      <c r="F9170" t="s">
        <v>13</v>
      </c>
      <c r="G9170" t="s">
        <v>264</v>
      </c>
      <c r="H9170" t="s">
        <v>14</v>
      </c>
    </row>
    <row r="9171" spans="1:8" hidden="1" x14ac:dyDescent="0.25">
      <c r="A9171" t="s">
        <v>12440</v>
      </c>
      <c r="B9171" s="1" t="str">
        <f>HYPERLINK("https://asmlis.vasa.lt/Dashboard/Served?ServiceDateFrom=2025-11-24&amp;ServiceDateTo=2025-11-24&amp;DumpsterInvNr=13-L-221312", "13-L-221312")</f>
        <v>13-L-221312</v>
      </c>
      <c r="C9171">
        <v>0.24</v>
      </c>
      <c r="D9171" t="s">
        <v>9897</v>
      </c>
      <c r="E9171" t="s">
        <v>11</v>
      </c>
      <c r="G9171" t="s">
        <v>936</v>
      </c>
      <c r="H9171" t="s">
        <v>938</v>
      </c>
    </row>
    <row r="9172" spans="1:8" hidden="1" x14ac:dyDescent="0.25">
      <c r="A9172" t="s">
        <v>12441</v>
      </c>
      <c r="B9172" s="1" t="str">
        <f>HYPERLINK("https://asmlis.vasa.lt/Dashboard/Served?ServiceDateFrom=2025-11-24&amp;ServiceDateTo=2025-11-24&amp;DumpsterInvNr=13-L-316398", "13-L-316398")</f>
        <v>13-L-316398</v>
      </c>
      <c r="C9172">
        <v>1.1000000000000001</v>
      </c>
      <c r="D9172" t="s">
        <v>12442</v>
      </c>
      <c r="E9172" t="s">
        <v>11</v>
      </c>
      <c r="G9172" t="s">
        <v>9</v>
      </c>
      <c r="H9172" t="s">
        <v>14</v>
      </c>
    </row>
    <row r="9173" spans="1:8" hidden="1" x14ac:dyDescent="0.25">
      <c r="A9173" t="s">
        <v>12441</v>
      </c>
      <c r="B9173" s="1" t="str">
        <f>HYPERLINK("https://asmlis.vasa.lt/Dashboard/Served?ServiceDateFrom=2025-11-24&amp;ServiceDateTo=2025-11-24&amp;DumpsterInvNr=13-L-316092", "13-L-316092")</f>
        <v>13-L-316092</v>
      </c>
      <c r="C9173">
        <v>1.1000000000000001</v>
      </c>
      <c r="D9173" t="s">
        <v>12442</v>
      </c>
      <c r="E9173" t="s">
        <v>11</v>
      </c>
      <c r="G9173" t="s">
        <v>9</v>
      </c>
      <c r="H9173" t="s">
        <v>14</v>
      </c>
    </row>
    <row r="9174" spans="1:8" hidden="1" x14ac:dyDescent="0.25">
      <c r="A9174" t="s">
        <v>12443</v>
      </c>
      <c r="B9174" s="1" t="str">
        <f>HYPERLINK("https://asmlis.vasa.lt/Dashboard/Served?ServiceDateFrom=2025-11-24&amp;ServiceDateTo=2025-11-24&amp;DumpsterInvNr=13-L-410333", "13-L-410333")</f>
        <v>13-L-410333</v>
      </c>
      <c r="C9174">
        <v>1.1000000000000001</v>
      </c>
      <c r="D9174" t="s">
        <v>12437</v>
      </c>
      <c r="E9174" t="s">
        <v>11</v>
      </c>
      <c r="G9174" t="s">
        <v>74</v>
      </c>
      <c r="H9174" t="s">
        <v>14</v>
      </c>
    </row>
    <row r="9175" spans="1:8" hidden="1" x14ac:dyDescent="0.25">
      <c r="A9175" t="s">
        <v>12444</v>
      </c>
      <c r="B9175" s="1" t="str">
        <f>HYPERLINK("https://asmlis.vasa.lt/Dashboard/Served?ServiceDateFrom=2025-11-24&amp;ServiceDateTo=2025-11-24&amp;DumpsterInvNr=13-M-202312", "13-M-202312")</f>
        <v>13-M-202312</v>
      </c>
      <c r="C9175">
        <v>0.12</v>
      </c>
      <c r="D9175" t="s">
        <v>12445</v>
      </c>
      <c r="E9175" t="s">
        <v>11</v>
      </c>
      <c r="G9175" t="s">
        <v>4876</v>
      </c>
      <c r="H9175" t="s">
        <v>938</v>
      </c>
    </row>
    <row r="9176" spans="1:8" hidden="1" x14ac:dyDescent="0.25">
      <c r="A9176" t="s">
        <v>12446</v>
      </c>
      <c r="B9176" s="1" t="str">
        <f>HYPERLINK("https://asmlis.vasa.lt/Dashboard/Served?ServiceDateFrom=2025-11-24&amp;ServiceDateTo=2025-11-24&amp;DumpsterInvNr=13-L-423401", "13-L-423401")</f>
        <v>13-L-423401</v>
      </c>
      <c r="C9176">
        <v>0.24</v>
      </c>
      <c r="D9176" t="s">
        <v>7411</v>
      </c>
      <c r="E9176" t="s">
        <v>11</v>
      </c>
      <c r="G9176" t="s">
        <v>74</v>
      </c>
      <c r="H9176" t="s">
        <v>14</v>
      </c>
    </row>
    <row r="9177" spans="1:8" hidden="1" x14ac:dyDescent="0.25">
      <c r="A9177" t="s">
        <v>12447</v>
      </c>
      <c r="B9177" s="1" t="str">
        <f>HYPERLINK("https://asmlis.vasa.lt/Dashboard/Served?ServiceDateFrom=2025-11-24&amp;ServiceDateTo=2025-11-24&amp;DumpsterInvNr=13-M-202358", "13-M-202358")</f>
        <v>13-M-202358</v>
      </c>
      <c r="C9177">
        <v>0.12</v>
      </c>
      <c r="D9177" t="s">
        <v>12448</v>
      </c>
      <c r="E9177" t="s">
        <v>11</v>
      </c>
      <c r="F9177" t="s">
        <v>1209</v>
      </c>
      <c r="G9177" t="s">
        <v>4876</v>
      </c>
      <c r="H9177" t="s">
        <v>938</v>
      </c>
    </row>
    <row r="9178" spans="1:8" hidden="1" x14ac:dyDescent="0.25">
      <c r="A9178" t="s">
        <v>12449</v>
      </c>
      <c r="B9178" s="1" t="str">
        <f>HYPERLINK("https://asmlis.vasa.lt/Dashboard/Served?ServiceDateFrom=2025-11-24&amp;ServiceDateTo=2025-11-24&amp;DumpsterInvNr=13-L-114371", "13-L-114371")</f>
        <v>13-L-114371</v>
      </c>
      <c r="C9178">
        <v>0.12</v>
      </c>
      <c r="D9178" t="s">
        <v>12450</v>
      </c>
      <c r="E9178" t="s">
        <v>11</v>
      </c>
      <c r="F9178" t="s">
        <v>1209</v>
      </c>
      <c r="G9178" t="s">
        <v>1912</v>
      </c>
      <c r="H9178" t="s">
        <v>432</v>
      </c>
    </row>
    <row r="9179" spans="1:8" hidden="1" x14ac:dyDescent="0.25">
      <c r="A9179" t="s">
        <v>12452</v>
      </c>
      <c r="B9179" s="1" t="str">
        <f>HYPERLINK("https://asmlis.vasa.lt/Dashboard/Served?ServiceDateFrom=2025-11-24&amp;ServiceDateTo=2025-11-24&amp;DumpsterInvNr=13-S-204042", "13-S-204042")</f>
        <v>13-S-204042</v>
      </c>
      <c r="C9179">
        <v>0.12</v>
      </c>
      <c r="D9179" t="s">
        <v>10962</v>
      </c>
      <c r="E9179" t="s">
        <v>11</v>
      </c>
      <c r="F9179" t="s">
        <v>1209</v>
      </c>
      <c r="G9179" t="s">
        <v>234</v>
      </c>
      <c r="H9179" t="s">
        <v>14</v>
      </c>
    </row>
    <row r="9180" spans="1:8" hidden="1" x14ac:dyDescent="0.25">
      <c r="A9180" t="s">
        <v>12453</v>
      </c>
      <c r="B9180" s="1" t="str">
        <f>HYPERLINK("https://asmlis.vasa.lt/Dashboard/Served?ServiceDateFrom=2025-11-24&amp;ServiceDateTo=2025-11-24&amp;DumpsterInvNr=13-P-400553", "13-P-400553")</f>
        <v>13-P-400553</v>
      </c>
      <c r="C9180">
        <v>5</v>
      </c>
      <c r="D9180" t="s">
        <v>7996</v>
      </c>
      <c r="E9180" t="s">
        <v>11</v>
      </c>
      <c r="G9180" t="s">
        <v>264</v>
      </c>
      <c r="H9180" t="s">
        <v>14</v>
      </c>
    </row>
    <row r="9181" spans="1:8" hidden="1" x14ac:dyDescent="0.25">
      <c r="A9181" t="s">
        <v>12454</v>
      </c>
      <c r="B9181" s="1" t="str">
        <f>HYPERLINK("https://asmlis.vasa.lt/Dashboard/Served?ServiceDateFrom=2025-11-24&amp;ServiceDateTo=2025-11-24&amp;DumpsterInvNr=13-S-103197", "13-S-103197")</f>
        <v>13-S-103197</v>
      </c>
      <c r="C9181">
        <v>0.12</v>
      </c>
      <c r="D9181" t="s">
        <v>3392</v>
      </c>
      <c r="E9181" t="s">
        <v>11</v>
      </c>
      <c r="F9181" t="s">
        <v>1209</v>
      </c>
      <c r="G9181" t="s">
        <v>1917</v>
      </c>
      <c r="H9181" t="s">
        <v>432</v>
      </c>
    </row>
    <row r="9182" spans="1:8" hidden="1" x14ac:dyDescent="0.25">
      <c r="A9182" t="s">
        <v>12072</v>
      </c>
      <c r="B9182" s="1" t="str">
        <f>HYPERLINK("https://asmlis.vasa.lt/Dashboard/Served?ServiceDateFrom=2025-11-24&amp;ServiceDateTo=2025-11-24&amp;DumpsterInvNr=13-P-206351", "13-P-206351")</f>
        <v>13-P-206351</v>
      </c>
      <c r="C9182">
        <v>0.24</v>
      </c>
      <c r="D9182" t="s">
        <v>10962</v>
      </c>
      <c r="E9182" t="s">
        <v>11</v>
      </c>
      <c r="G9182" t="s">
        <v>234</v>
      </c>
      <c r="H9182" t="s">
        <v>14</v>
      </c>
    </row>
    <row r="9183" spans="1:8" hidden="1" x14ac:dyDescent="0.25">
      <c r="A9183" t="s">
        <v>12154</v>
      </c>
      <c r="B9183" s="1" t="str">
        <f>HYPERLINK("https://asmlis.vasa.lt/Dashboard/Served?ServiceDateFrom=2025-11-24&amp;ServiceDateTo=2025-11-24&amp;DumpsterInvNr=13-L-215399", "13-L-215399")</f>
        <v>13-L-215399</v>
      </c>
      <c r="C9183">
        <v>0.12</v>
      </c>
      <c r="D9183" t="s">
        <v>9880</v>
      </c>
      <c r="E9183" t="s">
        <v>11</v>
      </c>
      <c r="F9183" t="s">
        <v>1209</v>
      </c>
      <c r="G9183" t="s">
        <v>936</v>
      </c>
      <c r="H9183" t="s">
        <v>938</v>
      </c>
    </row>
    <row r="9184" spans="1:8" hidden="1" x14ac:dyDescent="0.25">
      <c r="A9184" t="s">
        <v>12456</v>
      </c>
      <c r="B9184" s="1" t="str">
        <f>HYPERLINK("https://asmlis.vasa.lt/Dashboard/Served?ServiceDateFrom=2025-11-24&amp;ServiceDateTo=2025-11-24&amp;DumpsterInvNr=13-L-203571", "13-L-203571")</f>
        <v>13-L-203571</v>
      </c>
      <c r="C9184">
        <v>0.24</v>
      </c>
      <c r="D9184" t="s">
        <v>9908</v>
      </c>
      <c r="E9184" t="s">
        <v>11</v>
      </c>
      <c r="F9184" t="s">
        <v>1209</v>
      </c>
      <c r="G9184" t="s">
        <v>936</v>
      </c>
      <c r="H9184" t="s">
        <v>938</v>
      </c>
    </row>
    <row r="9185" spans="1:8" hidden="1" x14ac:dyDescent="0.25">
      <c r="A9185" t="s">
        <v>12078</v>
      </c>
      <c r="B9185" s="1" t="str">
        <f>HYPERLINK("https://asmlis.vasa.lt/Dashboard/Served?ServiceDateFrom=2025-11-24&amp;ServiceDateTo=2025-11-24&amp;DumpsterInvNr=13-L-422060", "13-L-422060")</f>
        <v>13-L-422060</v>
      </c>
      <c r="C9185">
        <v>5</v>
      </c>
      <c r="D9185" t="s">
        <v>12457</v>
      </c>
      <c r="E9185" t="s">
        <v>11</v>
      </c>
      <c r="G9185" t="s">
        <v>74</v>
      </c>
      <c r="H9185" t="s">
        <v>14</v>
      </c>
    </row>
    <row r="9186" spans="1:8" hidden="1" x14ac:dyDescent="0.25">
      <c r="A9186" t="s">
        <v>12078</v>
      </c>
      <c r="B9186" s="1" t="str">
        <f>HYPERLINK("https://asmlis.vasa.lt/Dashboard/Served?ServiceDateFrom=2025-11-24&amp;ServiceDateTo=2025-11-24&amp;DumpsterInvNr=13-P-302323", "13-P-302323")</f>
        <v>13-P-302323</v>
      </c>
      <c r="C9186">
        <v>5</v>
      </c>
      <c r="D9186" t="s">
        <v>12213</v>
      </c>
      <c r="E9186" t="s">
        <v>11</v>
      </c>
      <c r="G9186" t="s">
        <v>412</v>
      </c>
      <c r="H9186" t="s">
        <v>14</v>
      </c>
    </row>
    <row r="9187" spans="1:8" hidden="1" x14ac:dyDescent="0.25">
      <c r="A9187" t="s">
        <v>12078</v>
      </c>
      <c r="B9187" s="1" t="str">
        <f>HYPERLINK("https://asmlis.vasa.lt/Dashboard/Served?ServiceDateFrom=2025-11-24&amp;ServiceDateTo=2025-11-24&amp;DumpsterInvNr=13-P-306947", "13-P-306947")</f>
        <v>13-P-306947</v>
      </c>
      <c r="C9187">
        <v>1.1000000000000001</v>
      </c>
      <c r="D9187" t="s">
        <v>12459</v>
      </c>
      <c r="E9187" t="s">
        <v>11</v>
      </c>
      <c r="G9187" t="s">
        <v>412</v>
      </c>
      <c r="H9187" t="s">
        <v>14</v>
      </c>
    </row>
    <row r="9188" spans="1:8" hidden="1" x14ac:dyDescent="0.25">
      <c r="A9188" t="s">
        <v>12350</v>
      </c>
      <c r="B9188" s="1" t="str">
        <f>HYPERLINK("https://asmlis.vasa.lt/Dashboard/Served?ServiceDateFrom=2025-11-24&amp;ServiceDateTo=2025-11-24&amp;DumpsterInvNr=13-L-215219", "13-L-215219")</f>
        <v>13-L-215219</v>
      </c>
      <c r="C9188">
        <v>0.24</v>
      </c>
      <c r="D9188" t="s">
        <v>9949</v>
      </c>
      <c r="E9188" t="s">
        <v>11</v>
      </c>
      <c r="G9188" t="s">
        <v>936</v>
      </c>
      <c r="H9188" t="s">
        <v>938</v>
      </c>
    </row>
    <row r="9189" spans="1:8" hidden="1" x14ac:dyDescent="0.25">
      <c r="A9189" t="s">
        <v>12112</v>
      </c>
      <c r="B9189" s="1" t="str">
        <f>HYPERLINK("https://asmlis.vasa.lt/Dashboard/Served?ServiceDateFrom=2025-11-24&amp;ServiceDateTo=2025-11-24&amp;DumpsterInvNr=13-L-317662", "13-L-317662")</f>
        <v>13-L-317662</v>
      </c>
      <c r="C9189">
        <v>1.1000000000000001</v>
      </c>
      <c r="D9189" t="s">
        <v>12442</v>
      </c>
      <c r="E9189" t="s">
        <v>11</v>
      </c>
      <c r="G9189" t="s">
        <v>9</v>
      </c>
      <c r="H9189" t="s">
        <v>14</v>
      </c>
    </row>
    <row r="9190" spans="1:8" hidden="1" x14ac:dyDescent="0.25">
      <c r="A9190" t="s">
        <v>12118</v>
      </c>
      <c r="B9190" s="1" t="str">
        <f>HYPERLINK("https://asmlis.vasa.lt/Dashboard/Served?ServiceDateFrom=2025-11-24&amp;ServiceDateTo=2025-11-24&amp;DumpsterInvNr=DGA-ZALVARIS", "DGA-ZALVARIS")</f>
        <v>DGA-ZALVARIS</v>
      </c>
      <c r="C9190">
        <v>1</v>
      </c>
      <c r="D9190" t="s">
        <v>737</v>
      </c>
      <c r="E9190" t="s">
        <v>12</v>
      </c>
      <c r="F9190" t="s">
        <v>13</v>
      </c>
      <c r="G9190" t="s">
        <v>10915</v>
      </c>
      <c r="H9190" t="s">
        <v>6765</v>
      </c>
    </row>
    <row r="9191" spans="1:8" hidden="1" x14ac:dyDescent="0.25">
      <c r="A9191" t="s">
        <v>12461</v>
      </c>
      <c r="B9191" s="1" t="str">
        <f>HYPERLINK("https://asmlis.vasa.lt/Dashboard/Served?ServiceDateFrom=2025-11-24&amp;ServiceDateTo=2025-11-24&amp;DumpsterInvNr=13-L-102709", "13-L-102709")</f>
        <v>13-L-102709</v>
      </c>
      <c r="C9191">
        <v>0.24</v>
      </c>
      <c r="D9191" t="s">
        <v>12462</v>
      </c>
      <c r="E9191" t="s">
        <v>11</v>
      </c>
      <c r="G9191" t="s">
        <v>1912</v>
      </c>
      <c r="H9191" t="s">
        <v>432</v>
      </c>
    </row>
    <row r="9192" spans="1:8" hidden="1" x14ac:dyDescent="0.25">
      <c r="A9192" t="s">
        <v>12372</v>
      </c>
      <c r="B9192" s="1" t="str">
        <f>HYPERLINK("https://asmlis.vasa.lt/Dashboard/Served?ServiceDateFrom=2025-11-24&amp;ServiceDateTo=2025-11-24&amp;DumpsterInvNr=13-L-210550", "13-L-210550")</f>
        <v>13-L-210550</v>
      </c>
      <c r="C9192">
        <v>0.24</v>
      </c>
      <c r="D9192" t="s">
        <v>9959</v>
      </c>
      <c r="E9192" t="s">
        <v>11</v>
      </c>
      <c r="F9192" t="s">
        <v>1209</v>
      </c>
      <c r="G9192" t="s">
        <v>936</v>
      </c>
      <c r="H9192" t="s">
        <v>938</v>
      </c>
    </row>
    <row r="9193" spans="1:8" hidden="1" x14ac:dyDescent="0.25">
      <c r="A9193" t="s">
        <v>12372</v>
      </c>
      <c r="B9193" s="1" t="str">
        <f>HYPERLINK("https://asmlis.vasa.lt/Dashboard/Served?ServiceDateFrom=2025-11-24&amp;ServiceDateTo=2025-11-24&amp;DumpsterInvNr=13-L-404696", "13-L-404696")</f>
        <v>13-L-404696</v>
      </c>
      <c r="C9193">
        <v>0.12</v>
      </c>
      <c r="D9193" t="s">
        <v>7447</v>
      </c>
      <c r="E9193" t="s">
        <v>11</v>
      </c>
      <c r="G9193" t="s">
        <v>74</v>
      </c>
      <c r="H9193" t="s">
        <v>14</v>
      </c>
    </row>
    <row r="9194" spans="1:8" hidden="1" x14ac:dyDescent="0.25">
      <c r="A9194" t="s">
        <v>12374</v>
      </c>
      <c r="B9194" s="1" t="str">
        <f>HYPERLINK("https://asmlis.vasa.lt/Dashboard/Served?ServiceDateFrom=2025-11-24&amp;ServiceDateTo=2025-11-24&amp;DumpsterInvNr=13-P-103493", "13-P-103493")</f>
        <v>13-P-103493</v>
      </c>
      <c r="C9194">
        <v>0.24</v>
      </c>
      <c r="D9194" t="s">
        <v>12462</v>
      </c>
      <c r="E9194" t="s">
        <v>11</v>
      </c>
      <c r="G9194" t="s">
        <v>1917</v>
      </c>
      <c r="H9194" t="s">
        <v>432</v>
      </c>
    </row>
    <row r="9195" spans="1:8" hidden="1" x14ac:dyDescent="0.25">
      <c r="A9195" t="s">
        <v>12463</v>
      </c>
      <c r="B9195" s="1" t="str">
        <f>HYPERLINK("https://asmlis.vasa.lt/Dashboard/Served?ServiceDateFrom=2025-11-24&amp;ServiceDateTo=2025-11-24&amp;DumpsterInvNr=13-P-403836", "13-P-403836")</f>
        <v>13-P-403836</v>
      </c>
      <c r="C9195">
        <v>0.24</v>
      </c>
      <c r="D9195" t="s">
        <v>1703</v>
      </c>
      <c r="E9195" t="s">
        <v>11</v>
      </c>
      <c r="G9195" t="s">
        <v>264</v>
      </c>
      <c r="H9195" t="s">
        <v>14</v>
      </c>
    </row>
    <row r="9196" spans="1:8" hidden="1" x14ac:dyDescent="0.25">
      <c r="A9196" t="s">
        <v>12463</v>
      </c>
      <c r="B9196" s="1" t="str">
        <f>HYPERLINK("https://asmlis.vasa.lt/Dashboard/Served?ServiceDateFrom=2025-11-24&amp;ServiceDateTo=2025-11-24&amp;DumpsterInvNr=13-P-403831", "13-P-403831")</f>
        <v>13-P-403831</v>
      </c>
      <c r="C9196">
        <v>0.24</v>
      </c>
      <c r="D9196" t="s">
        <v>1691</v>
      </c>
      <c r="E9196" t="s">
        <v>11</v>
      </c>
      <c r="G9196" t="s">
        <v>264</v>
      </c>
      <c r="H9196" t="s">
        <v>14</v>
      </c>
    </row>
    <row r="9197" spans="1:8" hidden="1" x14ac:dyDescent="0.25">
      <c r="A9197" t="s">
        <v>12464</v>
      </c>
      <c r="B9197" s="1" t="str">
        <f>HYPERLINK("https://asmlis.vasa.lt/Dashboard/Served?ServiceDateFrom=2025-11-24&amp;ServiceDateTo=2025-11-24&amp;DumpsterInvNr=13-P-302650", "13-P-302650")</f>
        <v>13-P-302650</v>
      </c>
      <c r="C9197">
        <v>5</v>
      </c>
      <c r="D9197" t="s">
        <v>10982</v>
      </c>
      <c r="E9197" t="s">
        <v>11</v>
      </c>
      <c r="G9197" t="s">
        <v>412</v>
      </c>
      <c r="H9197" t="s">
        <v>14</v>
      </c>
    </row>
    <row r="9198" spans="1:8" hidden="1" x14ac:dyDescent="0.25">
      <c r="A9198" t="s">
        <v>12465</v>
      </c>
      <c r="B9198" s="1" t="str">
        <f>HYPERLINK("https://asmlis.vasa.lt/Dashboard/Served?ServiceDateFrom=2025-11-24&amp;ServiceDateTo=2025-11-24&amp;DumpsterInvNr=13-L-315455", "13-L-315455")</f>
        <v>13-L-315455</v>
      </c>
      <c r="C9198">
        <v>0.77</v>
      </c>
      <c r="D9198" t="s">
        <v>12466</v>
      </c>
      <c r="E9198" t="s">
        <v>11</v>
      </c>
      <c r="F9198" t="s">
        <v>13</v>
      </c>
      <c r="G9198" t="s">
        <v>9</v>
      </c>
      <c r="H9198" t="s">
        <v>14</v>
      </c>
    </row>
    <row r="9199" spans="1:8" hidden="1" x14ac:dyDescent="0.25">
      <c r="A9199" t="s">
        <v>12465</v>
      </c>
      <c r="B9199" s="1" t="str">
        <f>HYPERLINK("https://asmlis.vasa.lt/Dashboard/Served?ServiceDateFrom=2025-11-24&amp;ServiceDateTo=2025-11-24&amp;DumpsterInvNr=13-T-000187", "13-T-000187")</f>
        <v>13-T-000187</v>
      </c>
      <c r="C9199">
        <v>2.5</v>
      </c>
      <c r="D9199" t="s">
        <v>12467</v>
      </c>
      <c r="E9199" t="s">
        <v>11</v>
      </c>
      <c r="F9199" t="s">
        <v>13</v>
      </c>
      <c r="G9199" t="s">
        <v>1899</v>
      </c>
      <c r="H9199" t="s">
        <v>432</v>
      </c>
    </row>
    <row r="9200" spans="1:8" hidden="1" x14ac:dyDescent="0.25">
      <c r="A9200" t="s">
        <v>12468</v>
      </c>
      <c r="B9200" s="1" t="str">
        <f>HYPERLINK("https://asmlis.vasa.lt/Dashboard/Served?ServiceDateFrom=2025-11-24&amp;ServiceDateTo=2025-11-24&amp;DumpsterInvNr=13-L-318999", "13-L-318999")</f>
        <v>13-L-318999</v>
      </c>
      <c r="C9200">
        <v>0.77</v>
      </c>
      <c r="D9200" t="s">
        <v>12466</v>
      </c>
      <c r="E9200" t="s">
        <v>11</v>
      </c>
      <c r="F9200" t="s">
        <v>13</v>
      </c>
      <c r="G9200" t="s">
        <v>9</v>
      </c>
      <c r="H9200" t="s">
        <v>14</v>
      </c>
    </row>
    <row r="9201" spans="1:8" hidden="1" x14ac:dyDescent="0.25">
      <c r="A9201" t="s">
        <v>12469</v>
      </c>
      <c r="B9201" s="1" t="str">
        <f>HYPERLINK("https://asmlis.vasa.lt/Dashboard/Served?ServiceDateFrom=2025-11-24&amp;ServiceDateTo=2025-11-24&amp;DumpsterInvNr=13-S-103207", "13-S-103207")</f>
        <v>13-S-103207</v>
      </c>
      <c r="C9201">
        <v>0.12</v>
      </c>
      <c r="D9201" t="s">
        <v>12470</v>
      </c>
      <c r="E9201" t="s">
        <v>11</v>
      </c>
      <c r="G9201" t="s">
        <v>1917</v>
      </c>
      <c r="H9201" t="s">
        <v>432</v>
      </c>
    </row>
    <row r="9202" spans="1:8" hidden="1" x14ac:dyDescent="0.25">
      <c r="A9202" t="s">
        <v>12471</v>
      </c>
      <c r="B9202" s="1" t="str">
        <f>HYPERLINK("https://asmlis.vasa.lt/Dashboard/Served?ServiceDateFrom=2025-11-24&amp;ServiceDateTo=2025-11-24&amp;DumpsterInvNr=13-P-306819", "13-P-306819")</f>
        <v>13-P-306819</v>
      </c>
      <c r="C9202">
        <v>1.1000000000000001</v>
      </c>
      <c r="D9202" t="s">
        <v>12459</v>
      </c>
      <c r="E9202" t="s">
        <v>11</v>
      </c>
      <c r="F9202" t="s">
        <v>13</v>
      </c>
      <c r="G9202" t="s">
        <v>412</v>
      </c>
      <c r="H9202" t="s">
        <v>14</v>
      </c>
    </row>
    <row r="9203" spans="1:8" hidden="1" x14ac:dyDescent="0.25">
      <c r="A9203" t="s">
        <v>12472</v>
      </c>
      <c r="B9203" s="1" t="str">
        <f>HYPERLINK("https://asmlis.vasa.lt/Dashboard/Served?ServiceDateFrom=2025-11-24&amp;ServiceDateTo=2025-11-24&amp;DumpsterInvNr=13-T-000188", "13-T-000188")</f>
        <v>13-T-000188</v>
      </c>
      <c r="C9203">
        <v>2.5</v>
      </c>
      <c r="D9203" t="s">
        <v>12467</v>
      </c>
      <c r="E9203" t="s">
        <v>11</v>
      </c>
      <c r="F9203" t="s">
        <v>13</v>
      </c>
      <c r="G9203" t="s">
        <v>1899</v>
      </c>
      <c r="H9203" t="s">
        <v>432</v>
      </c>
    </row>
    <row r="9204" spans="1:8" hidden="1" x14ac:dyDescent="0.25">
      <c r="A9204" t="s">
        <v>12472</v>
      </c>
      <c r="B9204" s="1" t="str">
        <f>HYPERLINK("https://asmlis.vasa.lt/Dashboard/Served?ServiceDateFrom=2025-11-24&amp;ServiceDateTo=2025-11-24&amp;DumpsterInvNr=13-L-129649", "13-L-129649")</f>
        <v>13-L-129649</v>
      </c>
      <c r="C9204">
        <v>5</v>
      </c>
      <c r="D9204" t="s">
        <v>12473</v>
      </c>
      <c r="E9204" t="s">
        <v>11</v>
      </c>
      <c r="F9204" t="s">
        <v>13</v>
      </c>
      <c r="G9204" t="s">
        <v>430</v>
      </c>
      <c r="H9204" t="s">
        <v>432</v>
      </c>
    </row>
    <row r="9205" spans="1:8" hidden="1" x14ac:dyDescent="0.25">
      <c r="A9205" t="s">
        <v>12475</v>
      </c>
      <c r="B9205" s="1" t="str">
        <f>HYPERLINK("https://asmlis.vasa.lt/Dashboard/Served?ServiceDateFrom=2025-11-24&amp;ServiceDateTo=2025-11-24&amp;DumpsterInvNr=13-P-306247", "13-P-306247")</f>
        <v>13-P-306247</v>
      </c>
      <c r="C9205">
        <v>1.1000000000000001</v>
      </c>
      <c r="D9205" t="s">
        <v>12459</v>
      </c>
      <c r="E9205" t="s">
        <v>11</v>
      </c>
      <c r="F9205" t="s">
        <v>13</v>
      </c>
      <c r="G9205" t="s">
        <v>412</v>
      </c>
      <c r="H9205" t="s">
        <v>14</v>
      </c>
    </row>
    <row r="9206" spans="1:8" hidden="1" x14ac:dyDescent="0.25">
      <c r="A9206" t="s">
        <v>12476</v>
      </c>
      <c r="B9206" s="1" t="str">
        <f>HYPERLINK("https://asmlis.vasa.lt/Dashboard/Served?ServiceDateFrom=2025-11-24&amp;ServiceDateTo=2025-11-24&amp;DumpsterInvNr=13-P-212582", "13-P-212582")</f>
        <v>13-P-212582</v>
      </c>
      <c r="C9206">
        <v>1.1000000000000001</v>
      </c>
      <c r="D9206" t="s">
        <v>12477</v>
      </c>
      <c r="E9206" t="s">
        <v>11</v>
      </c>
      <c r="F9206" t="s">
        <v>13</v>
      </c>
      <c r="G9206" t="s">
        <v>234</v>
      </c>
      <c r="H9206" t="s">
        <v>14</v>
      </c>
    </row>
    <row r="9207" spans="1:8" hidden="1" x14ac:dyDescent="0.25">
      <c r="A9207" t="s">
        <v>12478</v>
      </c>
      <c r="B9207" s="1" t="str">
        <f>HYPERLINK("https://asmlis.vasa.lt/Dashboard/Served?ServiceDateFrom=2025-11-24&amp;ServiceDateTo=2025-11-24&amp;DumpsterInvNr=13-P-403832", "13-P-403832")</f>
        <v>13-P-403832</v>
      </c>
      <c r="C9207">
        <v>0.24</v>
      </c>
      <c r="D9207" t="s">
        <v>1668</v>
      </c>
      <c r="E9207" t="s">
        <v>11</v>
      </c>
      <c r="F9207" t="s">
        <v>1209</v>
      </c>
      <c r="G9207" t="s">
        <v>264</v>
      </c>
      <c r="H9207" t="s">
        <v>14</v>
      </c>
    </row>
    <row r="9208" spans="1:8" hidden="1" x14ac:dyDescent="0.25">
      <c r="A9208" t="s">
        <v>12478</v>
      </c>
      <c r="B9208" s="1" t="str">
        <f>HYPERLINK("https://asmlis.vasa.lt/Dashboard/Served?ServiceDateFrom=2025-11-24&amp;ServiceDateTo=2025-11-24&amp;DumpsterInvNr=13-P-306895", "13-P-306895")</f>
        <v>13-P-306895</v>
      </c>
      <c r="C9208">
        <v>1.1000000000000001</v>
      </c>
      <c r="D9208" t="s">
        <v>12459</v>
      </c>
      <c r="E9208" t="s">
        <v>11</v>
      </c>
      <c r="F9208" t="s">
        <v>13</v>
      </c>
      <c r="G9208" t="s">
        <v>412</v>
      </c>
      <c r="H9208" t="s">
        <v>14</v>
      </c>
    </row>
    <row r="9209" spans="1:8" hidden="1" x14ac:dyDescent="0.25">
      <c r="A9209" t="s">
        <v>12478</v>
      </c>
      <c r="B9209" s="1" t="str">
        <f>HYPERLINK("https://asmlis.vasa.lt/Dashboard/Served?ServiceDateFrom=2025-11-24&amp;ServiceDateTo=2025-11-24&amp;DumpsterInvNr=13-L-143402", "13-L-143402")</f>
        <v>13-L-143402</v>
      </c>
      <c r="C9209">
        <v>0.24</v>
      </c>
      <c r="D9209" t="s">
        <v>12481</v>
      </c>
      <c r="E9209" t="s">
        <v>11</v>
      </c>
      <c r="G9209" t="s">
        <v>430</v>
      </c>
      <c r="H9209" t="s">
        <v>432</v>
      </c>
    </row>
    <row r="9210" spans="1:8" hidden="1" x14ac:dyDescent="0.25">
      <c r="A9210" t="s">
        <v>12478</v>
      </c>
      <c r="B9210" s="1" t="str">
        <f>HYPERLINK("https://asmlis.vasa.lt/Dashboard/Served?ServiceDateFrom=2025-11-24&amp;ServiceDateTo=2025-11-24&amp;DumpsterInvNr=13-P-506480", "13-P-506480")</f>
        <v>13-P-506480</v>
      </c>
      <c r="C9210">
        <v>0.24</v>
      </c>
      <c r="D9210" t="s">
        <v>12481</v>
      </c>
      <c r="E9210" t="s">
        <v>11</v>
      </c>
      <c r="G9210" t="s">
        <v>2178</v>
      </c>
      <c r="H9210" t="s">
        <v>432</v>
      </c>
    </row>
    <row r="9211" spans="1:8" hidden="1" x14ac:dyDescent="0.25">
      <c r="A9211" t="s">
        <v>12482</v>
      </c>
      <c r="B9211" s="1" t="str">
        <f>HYPERLINK("https://asmlis.vasa.lt/Dashboard/Served?ServiceDateFrom=2025-11-24&amp;ServiceDateTo=2025-11-24&amp;DumpsterInvNr=13-L-138395", "13-L-138395")</f>
        <v>13-L-138395</v>
      </c>
      <c r="C9211">
        <v>0.24</v>
      </c>
      <c r="D9211" t="s">
        <v>12483</v>
      </c>
      <c r="E9211" t="s">
        <v>11</v>
      </c>
      <c r="G9211" t="s">
        <v>1912</v>
      </c>
      <c r="H9211" t="s">
        <v>432</v>
      </c>
    </row>
    <row r="9212" spans="1:8" hidden="1" x14ac:dyDescent="0.25">
      <c r="A9212" t="s">
        <v>12484</v>
      </c>
      <c r="B9212" s="1" t="str">
        <f>HYPERLINK("https://asmlis.vasa.lt/Dashboard/Served?ServiceDateFrom=2025-11-24&amp;ServiceDateTo=2025-11-24&amp;DumpsterInvNr=13-L-310972", "13-L-310972")</f>
        <v>13-L-310972</v>
      </c>
      <c r="C9212">
        <v>0.24</v>
      </c>
      <c r="D9212" t="s">
        <v>12485</v>
      </c>
      <c r="E9212" t="s">
        <v>11</v>
      </c>
      <c r="G9212" t="s">
        <v>9</v>
      </c>
      <c r="H9212" t="s">
        <v>14</v>
      </c>
    </row>
    <row r="9213" spans="1:8" hidden="1" x14ac:dyDescent="0.25">
      <c r="A9213" t="s">
        <v>12486</v>
      </c>
      <c r="B9213" s="1" t="str">
        <f>HYPERLINK("https://asmlis.vasa.lt/Dashboard/Served?ServiceDateFrom=2025-11-24&amp;ServiceDateTo=2025-11-24&amp;DumpsterInvNr=13-L-228092", "13-L-228092")</f>
        <v>13-L-228092</v>
      </c>
      <c r="C9213">
        <v>0.24</v>
      </c>
      <c r="D9213" t="s">
        <v>9985</v>
      </c>
      <c r="E9213" t="s">
        <v>11</v>
      </c>
      <c r="G9213" t="s">
        <v>936</v>
      </c>
      <c r="H9213" t="s">
        <v>938</v>
      </c>
    </row>
    <row r="9214" spans="1:8" hidden="1" x14ac:dyDescent="0.25">
      <c r="A9214" t="s">
        <v>12487</v>
      </c>
      <c r="B9214" s="1" t="str">
        <f>HYPERLINK("https://asmlis.vasa.lt/Dashboard/Served?ServiceDateFrom=2025-11-24&amp;ServiceDateTo=2025-11-24&amp;DumpsterInvNr=13-L-120445", "13-L-120445")</f>
        <v>13-L-120445</v>
      </c>
      <c r="C9214">
        <v>1.1000000000000001</v>
      </c>
      <c r="D9214" t="s">
        <v>12488</v>
      </c>
      <c r="E9214" t="s">
        <v>11</v>
      </c>
      <c r="G9214" t="s">
        <v>1912</v>
      </c>
      <c r="H9214" t="s">
        <v>432</v>
      </c>
    </row>
    <row r="9215" spans="1:8" hidden="1" x14ac:dyDescent="0.25">
      <c r="A9215" t="s">
        <v>12490</v>
      </c>
      <c r="B9215" s="1" t="str">
        <f>HYPERLINK("https://asmlis.vasa.lt/Dashboard/Served?ServiceDateFrom=2025-11-24&amp;ServiceDateTo=2025-11-24&amp;DumpsterInvNr=13-L-225171", "13-L-225171")</f>
        <v>13-L-225171</v>
      </c>
      <c r="C9215">
        <v>0.24</v>
      </c>
      <c r="D9215" t="s">
        <v>9718</v>
      </c>
      <c r="E9215" t="s">
        <v>11</v>
      </c>
      <c r="G9215" t="s">
        <v>936</v>
      </c>
      <c r="H9215" t="s">
        <v>938</v>
      </c>
    </row>
    <row r="9216" spans="1:8" hidden="1" x14ac:dyDescent="0.25">
      <c r="A9216" t="s">
        <v>12438</v>
      </c>
      <c r="B9216" s="1" t="str">
        <f>HYPERLINK("https://asmlis.vasa.lt/Dashboard/Served?ServiceDateFrom=2025-11-24&amp;ServiceDateTo=2025-11-24&amp;DumpsterInvNr=13-L-404698", "13-L-404698")</f>
        <v>13-L-404698</v>
      </c>
      <c r="C9216">
        <v>0.24</v>
      </c>
      <c r="D9216" t="s">
        <v>7555</v>
      </c>
      <c r="E9216" t="s">
        <v>11</v>
      </c>
      <c r="G9216" t="s">
        <v>74</v>
      </c>
      <c r="H9216" t="s">
        <v>14</v>
      </c>
    </row>
    <row r="9217" spans="1:8" hidden="1" x14ac:dyDescent="0.25">
      <c r="A9217" t="s">
        <v>12438</v>
      </c>
      <c r="B9217" s="1" t="str">
        <f>HYPERLINK("https://asmlis.vasa.lt/Dashboard/Served?ServiceDateFrom=2025-11-24&amp;ServiceDateTo=2025-11-24&amp;DumpsterInvNr=13-L-404697", "13-L-404697")</f>
        <v>13-L-404697</v>
      </c>
      <c r="C9217">
        <v>0.12</v>
      </c>
      <c r="D9217" t="s">
        <v>7470</v>
      </c>
      <c r="E9217" t="s">
        <v>11</v>
      </c>
      <c r="G9217" t="s">
        <v>74</v>
      </c>
      <c r="H9217" t="s">
        <v>14</v>
      </c>
    </row>
    <row r="9218" spans="1:8" hidden="1" x14ac:dyDescent="0.25">
      <c r="A9218" t="s">
        <v>12491</v>
      </c>
      <c r="B9218" s="1" t="str">
        <f>HYPERLINK("https://asmlis.vasa.lt/Dashboard/Served?ServiceDateFrom=2025-11-24&amp;ServiceDateTo=2025-11-24&amp;DumpsterInvNr=13-P-403835", "13-P-403835")</f>
        <v>13-P-403835</v>
      </c>
      <c r="C9218">
        <v>0.24</v>
      </c>
      <c r="D9218" t="s">
        <v>1718</v>
      </c>
      <c r="E9218" t="s">
        <v>11</v>
      </c>
      <c r="G9218" t="s">
        <v>264</v>
      </c>
      <c r="H9218" t="s">
        <v>14</v>
      </c>
    </row>
    <row r="9219" spans="1:8" hidden="1" x14ac:dyDescent="0.25">
      <c r="A9219" t="s">
        <v>12491</v>
      </c>
      <c r="B9219" s="1" t="str">
        <f>HYPERLINK("https://asmlis.vasa.lt/Dashboard/Served?ServiceDateFrom=2025-11-24&amp;ServiceDateTo=2025-11-24&amp;DumpsterInvNr=13-L-139572", "13-L-139572")</f>
        <v>13-L-139572</v>
      </c>
      <c r="C9219">
        <v>5</v>
      </c>
      <c r="D9219" t="s">
        <v>12492</v>
      </c>
      <c r="E9219" t="s">
        <v>11</v>
      </c>
      <c r="F9219" t="s">
        <v>13</v>
      </c>
      <c r="G9219" t="s">
        <v>430</v>
      </c>
      <c r="H9219" t="s">
        <v>432</v>
      </c>
    </row>
    <row r="9220" spans="1:8" hidden="1" x14ac:dyDescent="0.25">
      <c r="A9220" t="s">
        <v>12494</v>
      </c>
      <c r="B9220" s="1" t="str">
        <f>HYPERLINK("https://asmlis.vasa.lt/Dashboard/Served?ServiceDateFrom=2025-11-24&amp;ServiceDateTo=2025-11-24&amp;DumpsterInvNr=13-L-316259", "13-L-316259")</f>
        <v>13-L-316259</v>
      </c>
      <c r="C9220">
        <v>1.1000000000000001</v>
      </c>
      <c r="D9220" t="s">
        <v>12442</v>
      </c>
      <c r="E9220" t="s">
        <v>11</v>
      </c>
      <c r="G9220" t="s">
        <v>9</v>
      </c>
      <c r="H9220" t="s">
        <v>14</v>
      </c>
    </row>
    <row r="9221" spans="1:8" hidden="1" x14ac:dyDescent="0.25">
      <c r="A9221" t="s">
        <v>12494</v>
      </c>
      <c r="B9221" s="1" t="str">
        <f>HYPERLINK("https://asmlis.vasa.lt/Dashboard/Served?ServiceDateFrom=2025-11-24&amp;ServiceDateTo=2025-11-24&amp;DumpsterInvNr=13-L-315886", "13-L-315886")</f>
        <v>13-L-315886</v>
      </c>
      <c r="C9221">
        <v>1.1000000000000001</v>
      </c>
      <c r="D9221" t="s">
        <v>12442</v>
      </c>
      <c r="E9221" t="s">
        <v>11</v>
      </c>
      <c r="G9221" t="s">
        <v>9</v>
      </c>
      <c r="H9221" t="s">
        <v>14</v>
      </c>
    </row>
    <row r="9222" spans="1:8" hidden="1" x14ac:dyDescent="0.25">
      <c r="A9222" t="s">
        <v>12494</v>
      </c>
      <c r="B9222" s="1" t="str">
        <f>HYPERLINK("https://asmlis.vasa.lt/Dashboard/Served?ServiceDateFrom=2025-11-24&amp;ServiceDateTo=2025-11-24&amp;DumpsterInvNr=13-M-205179", "13-M-205179")</f>
        <v>13-M-205179</v>
      </c>
      <c r="C9222">
        <v>0.12</v>
      </c>
      <c r="D9222" t="s">
        <v>12495</v>
      </c>
      <c r="E9222" t="s">
        <v>11</v>
      </c>
      <c r="G9222" t="s">
        <v>4876</v>
      </c>
      <c r="H9222" t="s">
        <v>938</v>
      </c>
    </row>
    <row r="9223" spans="1:8" hidden="1" x14ac:dyDescent="0.25">
      <c r="A9223" t="s">
        <v>12494</v>
      </c>
      <c r="B9223" s="1" t="str">
        <f>HYPERLINK("https://asmlis.vasa.lt/Dashboard/Served?ServiceDateFrom=2025-11-24&amp;ServiceDateTo=2025-11-24&amp;DumpsterInvNr=13-L-227251", "13-L-227251")</f>
        <v>13-L-227251</v>
      </c>
      <c r="C9223">
        <v>0.24</v>
      </c>
      <c r="D9223" t="s">
        <v>9968</v>
      </c>
      <c r="E9223" t="s">
        <v>11</v>
      </c>
      <c r="F9223" t="s">
        <v>1209</v>
      </c>
      <c r="G9223" t="s">
        <v>936</v>
      </c>
      <c r="H9223" t="s">
        <v>938</v>
      </c>
    </row>
    <row r="9224" spans="1:8" hidden="1" x14ac:dyDescent="0.25">
      <c r="A9224" t="s">
        <v>12496</v>
      </c>
      <c r="B9224" s="1" t="str">
        <f>HYPERLINK("https://asmlis.vasa.lt/Dashboard/Served?ServiceDateFrom=2025-11-24&amp;ServiceDateTo=2025-11-24&amp;DumpsterInvNr=13-P-211534", "13-P-211534")</f>
        <v>13-P-211534</v>
      </c>
      <c r="C9224">
        <v>0.24</v>
      </c>
      <c r="D9224" t="s">
        <v>10924</v>
      </c>
      <c r="E9224" t="s">
        <v>11</v>
      </c>
      <c r="G9224" t="s">
        <v>234</v>
      </c>
      <c r="H9224" t="s">
        <v>14</v>
      </c>
    </row>
    <row r="9225" spans="1:8" hidden="1" x14ac:dyDescent="0.25">
      <c r="A9225" t="s">
        <v>12497</v>
      </c>
      <c r="B9225" s="1" t="str">
        <f>HYPERLINK("https://asmlis.vasa.lt/Dashboard/Served?ServiceDateFrom=2025-11-24&amp;ServiceDateTo=2025-11-24&amp;DumpsterInvNr=13-L-422504", "13-L-422504")</f>
        <v>13-L-422504</v>
      </c>
      <c r="C9225">
        <v>0.12</v>
      </c>
      <c r="D9225" t="s">
        <v>7500</v>
      </c>
      <c r="E9225" t="s">
        <v>11</v>
      </c>
      <c r="F9225" t="s">
        <v>1209</v>
      </c>
      <c r="G9225" t="s">
        <v>74</v>
      </c>
      <c r="H9225" t="s">
        <v>14</v>
      </c>
    </row>
    <row r="9226" spans="1:8" hidden="1" x14ac:dyDescent="0.25">
      <c r="A9226" t="s">
        <v>12498</v>
      </c>
      <c r="B9226" s="1" t="str">
        <f>HYPERLINK("https://asmlis.vasa.lt/Dashboard/Served?ServiceDateFrom=2025-11-24&amp;ServiceDateTo=2025-11-24&amp;DumpsterInvNr=13-L-137333", "13-L-137333")</f>
        <v>13-L-137333</v>
      </c>
      <c r="C9226">
        <v>5</v>
      </c>
      <c r="D9226" t="s">
        <v>11035</v>
      </c>
      <c r="E9226" t="s">
        <v>11</v>
      </c>
      <c r="F9226" t="s">
        <v>13</v>
      </c>
      <c r="G9226" t="s">
        <v>430</v>
      </c>
      <c r="H9226" t="s">
        <v>432</v>
      </c>
    </row>
    <row r="9227" spans="1:8" hidden="1" x14ac:dyDescent="0.25">
      <c r="A9227" t="s">
        <v>11101</v>
      </c>
      <c r="B9227" s="1" t="str">
        <f>HYPERLINK("https://asmlis.vasa.lt/Dashboard/Served?ServiceDateFrom=2025-11-24&amp;ServiceDateTo=2025-11-24&amp;DumpsterInvNr=13-L-112131", "13-L-112131")</f>
        <v>13-L-112131</v>
      </c>
      <c r="C9227">
        <v>0.12</v>
      </c>
      <c r="D9227" t="s">
        <v>12470</v>
      </c>
      <c r="E9227" t="s">
        <v>11</v>
      </c>
      <c r="G9227" t="s">
        <v>1912</v>
      </c>
      <c r="H9227" t="s">
        <v>432</v>
      </c>
    </row>
    <row r="9228" spans="1:8" hidden="1" x14ac:dyDescent="0.25">
      <c r="A9228" t="s">
        <v>12499</v>
      </c>
      <c r="B9228" s="1" t="str">
        <f>HYPERLINK("https://asmlis.vasa.lt/Dashboard/Served?ServiceDateFrom=2025-11-24&amp;ServiceDateTo=2025-11-24&amp;DumpsterInvNr=13-L-138396", "13-L-138396")</f>
        <v>13-L-138396</v>
      </c>
      <c r="C9228">
        <v>0.24</v>
      </c>
      <c r="D9228" t="s">
        <v>12500</v>
      </c>
      <c r="E9228" t="s">
        <v>11</v>
      </c>
      <c r="G9228" t="s">
        <v>1912</v>
      </c>
      <c r="H9228" t="s">
        <v>432</v>
      </c>
    </row>
    <row r="9229" spans="1:8" hidden="1" x14ac:dyDescent="0.25">
      <c r="A9229" t="s">
        <v>12502</v>
      </c>
      <c r="B9229" s="1" t="str">
        <f>HYPERLINK("https://asmlis.vasa.lt/Dashboard/Served?ServiceDateFrom=2025-11-24&amp;ServiceDateTo=2025-11-24&amp;DumpsterInvNr=13-P-103492", "13-P-103492")</f>
        <v>13-P-103492</v>
      </c>
      <c r="C9229">
        <v>0.24</v>
      </c>
      <c r="D9229" t="s">
        <v>12500</v>
      </c>
      <c r="E9229" t="s">
        <v>11</v>
      </c>
      <c r="F9229" t="s">
        <v>1209</v>
      </c>
      <c r="G9229" t="s">
        <v>1917</v>
      </c>
      <c r="H9229" t="s">
        <v>432</v>
      </c>
    </row>
    <row r="9230" spans="1:8" hidden="1" x14ac:dyDescent="0.25">
      <c r="A9230" t="s">
        <v>12503</v>
      </c>
      <c r="B9230" s="1" t="str">
        <f>HYPERLINK("https://asmlis.vasa.lt/Dashboard/Served?ServiceDateFrom=2025-11-24&amp;ServiceDateTo=2025-11-24&amp;DumpsterInvNr=13-P-506930", "13-P-506930")</f>
        <v>13-P-506930</v>
      </c>
      <c r="C9230">
        <v>0.24</v>
      </c>
      <c r="D9230" t="s">
        <v>12504</v>
      </c>
      <c r="E9230" t="s">
        <v>11</v>
      </c>
      <c r="G9230" t="s">
        <v>2178</v>
      </c>
      <c r="H9230" t="s">
        <v>432</v>
      </c>
    </row>
    <row r="9231" spans="1:8" hidden="1" x14ac:dyDescent="0.25">
      <c r="A9231" t="s">
        <v>12503</v>
      </c>
      <c r="B9231" s="1" t="str">
        <f>HYPERLINK("https://asmlis.vasa.lt/Dashboard/Served?ServiceDateFrom=2025-11-24&amp;ServiceDateTo=2025-11-24&amp;DumpsterInvNr=13-P-506562", "13-P-506562")</f>
        <v>13-P-506562</v>
      </c>
      <c r="C9231">
        <v>0.24</v>
      </c>
      <c r="D9231" t="s">
        <v>12505</v>
      </c>
      <c r="E9231" t="s">
        <v>11</v>
      </c>
      <c r="G9231" t="s">
        <v>2178</v>
      </c>
      <c r="H9231" t="s">
        <v>432</v>
      </c>
    </row>
    <row r="9232" spans="1:8" hidden="1" x14ac:dyDescent="0.25">
      <c r="A9232" t="s">
        <v>12479</v>
      </c>
      <c r="B9232" s="1" t="str">
        <f>HYPERLINK("https://asmlis.vasa.lt/Dashboard/Served?ServiceDateFrom=2025-11-24&amp;ServiceDateTo=2025-11-24&amp;DumpsterInvNr=13-S-103151", "13-S-103151")</f>
        <v>13-S-103151</v>
      </c>
      <c r="C9232">
        <v>0.12</v>
      </c>
      <c r="D9232" t="s">
        <v>12483</v>
      </c>
      <c r="E9232" t="s">
        <v>11</v>
      </c>
      <c r="F9232" t="s">
        <v>1209</v>
      </c>
      <c r="G9232" t="s">
        <v>1917</v>
      </c>
      <c r="H9232" t="s">
        <v>432</v>
      </c>
    </row>
    <row r="9233" spans="1:8" hidden="1" x14ac:dyDescent="0.25">
      <c r="A9233" t="s">
        <v>12126</v>
      </c>
      <c r="B9233" s="1" t="str">
        <f>HYPERLINK("https://asmlis.vasa.lt/Dashboard/Served?ServiceDateFrom=2025-11-24&amp;ServiceDateTo=2025-11-24&amp;DumpsterInvNr=13-L-128465", "13-L-128465")</f>
        <v>13-L-128465</v>
      </c>
      <c r="C9233">
        <v>0.12</v>
      </c>
      <c r="D9233" t="s">
        <v>12504</v>
      </c>
      <c r="E9233" t="s">
        <v>11</v>
      </c>
      <c r="G9233" t="s">
        <v>430</v>
      </c>
      <c r="H9233" t="s">
        <v>432</v>
      </c>
    </row>
    <row r="9234" spans="1:8" hidden="1" x14ac:dyDescent="0.25">
      <c r="A9234" t="s">
        <v>12138</v>
      </c>
      <c r="B9234" s="1" t="str">
        <f>HYPERLINK("https://asmlis.vasa.lt/Dashboard/Served?ServiceDateFrom=2025-11-24&amp;ServiceDateTo=2025-11-24&amp;DumpsterInvNr=13-P-400578", "13-P-400578")</f>
        <v>13-P-400578</v>
      </c>
      <c r="C9234">
        <v>5</v>
      </c>
      <c r="D9234" t="s">
        <v>7629</v>
      </c>
      <c r="E9234" t="s">
        <v>11</v>
      </c>
      <c r="F9234" t="s">
        <v>13</v>
      </c>
      <c r="G9234" t="s">
        <v>264</v>
      </c>
      <c r="H9234" t="s">
        <v>14</v>
      </c>
    </row>
    <row r="9235" spans="1:8" hidden="1" x14ac:dyDescent="0.25">
      <c r="A9235" t="s">
        <v>12145</v>
      </c>
      <c r="B9235" s="1" t="str">
        <f>HYPERLINK("https://asmlis.vasa.lt/Dashboard/Served?ServiceDateFrom=2025-11-24&amp;ServiceDateTo=2025-11-24&amp;DumpsterInvNr=13-S-103199", "13-S-103199")</f>
        <v>13-S-103199</v>
      </c>
      <c r="C9235">
        <v>0.12</v>
      </c>
      <c r="D9235" t="s">
        <v>12500</v>
      </c>
      <c r="E9235" t="s">
        <v>11</v>
      </c>
      <c r="F9235" t="s">
        <v>1209</v>
      </c>
      <c r="G9235" t="s">
        <v>1917</v>
      </c>
      <c r="H9235" t="s">
        <v>432</v>
      </c>
    </row>
    <row r="9236" spans="1:8" hidden="1" x14ac:dyDescent="0.25">
      <c r="A9236" t="s">
        <v>12161</v>
      </c>
      <c r="B9236" s="1" t="str">
        <f>HYPERLINK("https://asmlis.vasa.lt/Dashboard/Served?ServiceDateFrom=2025-11-24&amp;ServiceDateTo=2025-11-24&amp;DumpsterInvNr=13-M-202447", "13-M-202447")</f>
        <v>13-M-202447</v>
      </c>
      <c r="C9236">
        <v>0.12</v>
      </c>
      <c r="D9236" t="s">
        <v>12507</v>
      </c>
      <c r="E9236" t="s">
        <v>11</v>
      </c>
      <c r="G9236" t="s">
        <v>4876</v>
      </c>
      <c r="H9236" t="s">
        <v>938</v>
      </c>
    </row>
    <row r="9237" spans="1:8" hidden="1" x14ac:dyDescent="0.25">
      <c r="A9237" t="s">
        <v>12189</v>
      </c>
      <c r="B9237" s="1" t="str">
        <f>HYPERLINK("https://asmlis.vasa.lt/Dashboard/Served?ServiceDateFrom=2025-11-24&amp;ServiceDateTo=2025-11-24&amp;DumpsterInvNr=13-S-505136", "13-S-505136")</f>
        <v>13-S-505136</v>
      </c>
      <c r="C9237">
        <v>0.12</v>
      </c>
      <c r="D9237" t="s">
        <v>12504</v>
      </c>
      <c r="E9237" t="s">
        <v>11</v>
      </c>
      <c r="F9237" t="s">
        <v>1209</v>
      </c>
      <c r="G9237" t="s">
        <v>2178</v>
      </c>
      <c r="H9237" t="s">
        <v>432</v>
      </c>
    </row>
    <row r="9238" spans="1:8" hidden="1" x14ac:dyDescent="0.25">
      <c r="A9238" t="s">
        <v>11279</v>
      </c>
      <c r="B9238" s="1" t="str">
        <f>HYPERLINK("https://asmlis.vasa.lt/Dashboard/Served?ServiceDateFrom=2025-11-24&amp;ServiceDateTo=2025-11-24&amp;DumpsterInvNr=13-P-114677", "13-P-114677")</f>
        <v>13-P-114677</v>
      </c>
      <c r="C9238">
        <v>0.12</v>
      </c>
      <c r="D9238" t="s">
        <v>12508</v>
      </c>
      <c r="E9238" t="s">
        <v>11</v>
      </c>
      <c r="F9238" t="s">
        <v>1209</v>
      </c>
      <c r="G9238" t="s">
        <v>1917</v>
      </c>
      <c r="H9238" t="s">
        <v>432</v>
      </c>
    </row>
    <row r="9239" spans="1:8" hidden="1" x14ac:dyDescent="0.25">
      <c r="A9239" t="s">
        <v>12265</v>
      </c>
      <c r="B9239" s="1" t="str">
        <f>HYPERLINK("https://asmlis.vasa.lt/Dashboard/Served?ServiceDateFrom=2025-11-24&amp;ServiceDateTo=2025-11-24&amp;DumpsterInvNr=13-P-302309", "13-P-302309")</f>
        <v>13-P-302309</v>
      </c>
      <c r="C9239">
        <v>3</v>
      </c>
      <c r="D9239" t="s">
        <v>12509</v>
      </c>
      <c r="E9239" t="s">
        <v>11</v>
      </c>
      <c r="G9239" t="s">
        <v>412</v>
      </c>
      <c r="H9239" t="s">
        <v>14</v>
      </c>
    </row>
    <row r="9240" spans="1:8" hidden="1" x14ac:dyDescent="0.25">
      <c r="A9240" t="s">
        <v>12265</v>
      </c>
      <c r="B9240" s="1" t="str">
        <f>HYPERLINK("https://asmlis.vasa.lt/Dashboard/Served?ServiceDateFrom=2025-11-24&amp;ServiceDateTo=2025-11-24&amp;DumpsterInvNr=13-S-103200", "13-S-103200")</f>
        <v>13-S-103200</v>
      </c>
      <c r="C9240">
        <v>0.12</v>
      </c>
      <c r="D9240" t="s">
        <v>12462</v>
      </c>
      <c r="E9240" t="s">
        <v>11</v>
      </c>
      <c r="F9240" t="s">
        <v>1209</v>
      </c>
      <c r="G9240" t="s">
        <v>1917</v>
      </c>
      <c r="H9240" t="s">
        <v>432</v>
      </c>
    </row>
    <row r="9241" spans="1:8" hidden="1" x14ac:dyDescent="0.25">
      <c r="A9241" t="s">
        <v>12265</v>
      </c>
      <c r="B9241" s="1" t="str">
        <f>HYPERLINK("https://asmlis.vasa.lt/Dashboard/Served?ServiceDateFrom=2025-11-24&amp;ServiceDateTo=2025-11-24&amp;DumpsterInvNr=13-P-205449", "13-P-205449")</f>
        <v>13-P-205449</v>
      </c>
      <c r="C9241">
        <v>0.12</v>
      </c>
      <c r="D9241" t="s">
        <v>11570</v>
      </c>
      <c r="E9241" t="s">
        <v>11</v>
      </c>
      <c r="G9241" t="s">
        <v>234</v>
      </c>
      <c r="H9241" t="s">
        <v>14</v>
      </c>
    </row>
    <row r="9242" spans="1:8" hidden="1" x14ac:dyDescent="0.25">
      <c r="A9242" t="s">
        <v>12273</v>
      </c>
      <c r="B9242" s="1" t="str">
        <f>HYPERLINK("https://asmlis.vasa.lt/Dashboard/Served?ServiceDateFrom=2025-11-24&amp;ServiceDateTo=2025-11-24&amp;DumpsterInvNr=13-L-125919", "13-L-125919")</f>
        <v>13-L-125919</v>
      </c>
      <c r="C9242">
        <v>0.24</v>
      </c>
      <c r="D9242" t="s">
        <v>12505</v>
      </c>
      <c r="E9242" t="s">
        <v>11</v>
      </c>
      <c r="F9242" t="s">
        <v>1209</v>
      </c>
      <c r="G9242" t="s">
        <v>430</v>
      </c>
      <c r="H9242" t="s">
        <v>432</v>
      </c>
    </row>
    <row r="9243" spans="1:8" hidden="1" x14ac:dyDescent="0.25">
      <c r="A9243" t="s">
        <v>12275</v>
      </c>
      <c r="B9243" s="1" t="str">
        <f>HYPERLINK("https://asmlis.vasa.lt/Dashboard/Served?ServiceDateFrom=2025-11-24&amp;ServiceDateTo=2025-11-24&amp;DumpsterInvNr=13-S-505172", "13-S-505172")</f>
        <v>13-S-505172</v>
      </c>
      <c r="C9243">
        <v>0.12</v>
      </c>
      <c r="D9243" t="s">
        <v>12505</v>
      </c>
      <c r="E9243" t="s">
        <v>11</v>
      </c>
      <c r="F9243" t="s">
        <v>1209</v>
      </c>
      <c r="G9243" t="s">
        <v>2178</v>
      </c>
      <c r="H9243" t="s">
        <v>432</v>
      </c>
    </row>
    <row r="9244" spans="1:8" hidden="1" x14ac:dyDescent="0.25">
      <c r="A9244" t="s">
        <v>8944</v>
      </c>
      <c r="B9244" s="1" t="str">
        <f>HYPERLINK("https://asmlis.vasa.lt/Dashboard/Served?ServiceDateFrom=2025-11-24&amp;ServiceDateTo=2025-11-24&amp;DumpsterInvNr=13-L-203556", "13-L-203556")</f>
        <v>13-L-203556</v>
      </c>
      <c r="C9244">
        <v>0.24</v>
      </c>
      <c r="D9244" t="s">
        <v>9658</v>
      </c>
      <c r="E9244" t="s">
        <v>11</v>
      </c>
      <c r="G9244" t="s">
        <v>936</v>
      </c>
      <c r="H9244" t="s">
        <v>938</v>
      </c>
    </row>
    <row r="9245" spans="1:8" hidden="1" x14ac:dyDescent="0.25">
      <c r="A9245" t="s">
        <v>8944</v>
      </c>
      <c r="B9245" s="1" t="str">
        <f>HYPERLINK("https://asmlis.vasa.lt/Dashboard/Served?ServiceDateFrom=2025-11-24&amp;ServiceDateTo=2025-11-24&amp;DumpsterInvNr=13-S-100962", "13-S-100962")</f>
        <v>13-S-100962</v>
      </c>
      <c r="C9245">
        <v>0.12</v>
      </c>
      <c r="D9245" t="s">
        <v>12508</v>
      </c>
      <c r="E9245" t="s">
        <v>11</v>
      </c>
      <c r="F9245" t="s">
        <v>1209</v>
      </c>
      <c r="G9245" t="s">
        <v>1917</v>
      </c>
      <c r="H9245" t="s">
        <v>432</v>
      </c>
    </row>
    <row r="9246" spans="1:8" hidden="1" x14ac:dyDescent="0.25">
      <c r="A9246" t="s">
        <v>11099</v>
      </c>
      <c r="B9246" s="1" t="str">
        <f>HYPERLINK("https://asmlis.vasa.lt/Dashboard/Served?ServiceDateFrom=2025-11-24&amp;ServiceDateTo=2025-11-24&amp;DumpsterInvNr=13-P-509532", "13-P-509532")</f>
        <v>13-P-509532</v>
      </c>
      <c r="C9246">
        <v>1.1000000000000001</v>
      </c>
      <c r="D9246" t="s">
        <v>10997</v>
      </c>
      <c r="E9246" t="s">
        <v>12</v>
      </c>
      <c r="F9246" t="s">
        <v>13</v>
      </c>
      <c r="H9246" t="s">
        <v>432</v>
      </c>
    </row>
    <row r="9247" spans="1:8" hidden="1" x14ac:dyDescent="0.25">
      <c r="A9247" t="s">
        <v>12379</v>
      </c>
      <c r="B9247" s="1" t="str">
        <f>HYPERLINK("https://asmlis.vasa.lt/Dashboard/Served?ServiceDateFrom=2025-11-24&amp;ServiceDateTo=2025-11-24&amp;DumpsterInvNr=13-P-505959", "13-P-505959")</f>
        <v>13-P-505959</v>
      </c>
      <c r="C9247">
        <v>0.24</v>
      </c>
      <c r="D9247" t="s">
        <v>10729</v>
      </c>
      <c r="E9247" t="s">
        <v>11</v>
      </c>
      <c r="F9247" t="s">
        <v>1209</v>
      </c>
      <c r="G9247" t="s">
        <v>2178</v>
      </c>
      <c r="H9247" t="s">
        <v>432</v>
      </c>
    </row>
    <row r="9248" spans="1:8" hidden="1" x14ac:dyDescent="0.25">
      <c r="A9248" t="s">
        <v>12382</v>
      </c>
      <c r="B9248" s="1" t="str">
        <f>HYPERLINK("https://asmlis.vasa.lt/Dashboard/Served?ServiceDateFrom=2025-11-24&amp;ServiceDateTo=2025-11-24&amp;DumpsterInvNr=13-L-138393", "13-L-138393")</f>
        <v>13-L-138393</v>
      </c>
      <c r="C9248">
        <v>0.24</v>
      </c>
      <c r="D9248" t="s">
        <v>12508</v>
      </c>
      <c r="E9248" t="s">
        <v>11</v>
      </c>
      <c r="F9248" t="s">
        <v>1209</v>
      </c>
      <c r="G9248" t="s">
        <v>1912</v>
      </c>
      <c r="H9248" t="s">
        <v>432</v>
      </c>
    </row>
    <row r="9249" spans="1:8" hidden="1" x14ac:dyDescent="0.25">
      <c r="A9249" t="s">
        <v>12513</v>
      </c>
      <c r="B9249" s="1" t="str">
        <f>HYPERLINK("https://asmlis.vasa.lt/Dashboard/Served?ServiceDateFrom=2025-11-24&amp;ServiceDateTo=2025-11-24&amp;DumpsterInvNr=13-S-502754", "13-S-502754")</f>
        <v>13-S-502754</v>
      </c>
      <c r="C9249">
        <v>0.12</v>
      </c>
      <c r="D9249" t="s">
        <v>10729</v>
      </c>
      <c r="E9249" t="s">
        <v>11</v>
      </c>
      <c r="F9249" t="s">
        <v>1209</v>
      </c>
      <c r="G9249" t="s">
        <v>2178</v>
      </c>
      <c r="H9249" t="s">
        <v>432</v>
      </c>
    </row>
    <row r="9250" spans="1:8" hidden="1" x14ac:dyDescent="0.25">
      <c r="A9250" t="s">
        <v>12409</v>
      </c>
      <c r="B9250" s="1" t="str">
        <f>HYPERLINK("https://asmlis.vasa.lt/Dashboard/Served?ServiceDateFrom=2025-11-24&amp;ServiceDateTo=2025-11-24&amp;DumpsterInvNr=13-P-103520", "13-P-103520")</f>
        <v>13-P-103520</v>
      </c>
      <c r="C9250">
        <v>0.24</v>
      </c>
      <c r="D9250" t="s">
        <v>12483</v>
      </c>
      <c r="E9250" t="s">
        <v>11</v>
      </c>
      <c r="F9250" t="s">
        <v>1209</v>
      </c>
      <c r="G9250" t="s">
        <v>1917</v>
      </c>
      <c r="H9250" t="s">
        <v>432</v>
      </c>
    </row>
    <row r="9251" spans="1:8" hidden="1" x14ac:dyDescent="0.25">
      <c r="A9251" t="s">
        <v>12414</v>
      </c>
      <c r="B9251" s="1" t="str">
        <f>HYPERLINK("https://asmlis.vasa.lt/Dashboard/Served?ServiceDateFrom=2025-11-24&amp;ServiceDateTo=2025-11-24&amp;DumpsterInvNr=13-S-411060", "13-S-411060")</f>
        <v>13-S-411060</v>
      </c>
      <c r="C9251">
        <v>0.12</v>
      </c>
      <c r="D9251" t="s">
        <v>1646</v>
      </c>
      <c r="E9251" t="s">
        <v>11</v>
      </c>
      <c r="G9251" t="s">
        <v>264</v>
      </c>
      <c r="H9251" t="s">
        <v>14</v>
      </c>
    </row>
    <row r="9252" spans="1:8" hidden="1" x14ac:dyDescent="0.25">
      <c r="A9252" t="s">
        <v>12418</v>
      </c>
      <c r="B9252" s="1" t="str">
        <f>HYPERLINK("https://asmlis.vasa.lt/Dashboard/Served?ServiceDateFrom=2025-11-24&amp;ServiceDateTo=2025-11-24&amp;DumpsterInvNr=13-P-211452", "13-P-211452")</f>
        <v>13-P-211452</v>
      </c>
      <c r="C9252">
        <v>0.24</v>
      </c>
      <c r="D9252" t="s">
        <v>11574</v>
      </c>
      <c r="E9252" t="s">
        <v>11</v>
      </c>
      <c r="F9252" t="s">
        <v>1209</v>
      </c>
      <c r="G9252" t="s">
        <v>234</v>
      </c>
      <c r="H9252" t="s">
        <v>14</v>
      </c>
    </row>
    <row r="9253" spans="1:8" hidden="1" x14ac:dyDescent="0.25">
      <c r="A9253" t="s">
        <v>12451</v>
      </c>
      <c r="B9253" s="1" t="str">
        <f>HYPERLINK("https://asmlis.vasa.lt/Dashboard/Served?ServiceDateFrom=2025-11-24&amp;ServiceDateTo=2025-11-24&amp;DumpsterInvNr=13-L-404699", "13-L-404699")</f>
        <v>13-L-404699</v>
      </c>
      <c r="C9253">
        <v>0.12</v>
      </c>
      <c r="D9253" t="s">
        <v>7511</v>
      </c>
      <c r="E9253" t="s">
        <v>11</v>
      </c>
      <c r="G9253" t="s">
        <v>74</v>
      </c>
      <c r="H9253" t="s">
        <v>14</v>
      </c>
    </row>
    <row r="9254" spans="1:8" hidden="1" x14ac:dyDescent="0.25">
      <c r="A9254" t="s">
        <v>12455</v>
      </c>
      <c r="B9254" s="1" t="str">
        <f>HYPERLINK("https://asmlis.vasa.lt/Dashboard/Served?ServiceDateFrom=2025-11-24&amp;ServiceDateTo=2025-11-24&amp;DumpsterInvNr=13-L-203558", "13-L-203558")</f>
        <v>13-L-203558</v>
      </c>
      <c r="C9254">
        <v>0.12</v>
      </c>
      <c r="D9254" t="s">
        <v>9630</v>
      </c>
      <c r="E9254" t="s">
        <v>11</v>
      </c>
      <c r="G9254" t="s">
        <v>936</v>
      </c>
      <c r="H9254" t="s">
        <v>938</v>
      </c>
    </row>
    <row r="9255" spans="1:8" hidden="1" x14ac:dyDescent="0.25">
      <c r="A9255" t="s">
        <v>12514</v>
      </c>
      <c r="B9255" s="1" t="str">
        <f>HYPERLINK("https://asmlis.vasa.lt/Dashboard/Served?ServiceDateFrom=2025-11-24&amp;ServiceDateTo=2025-11-24&amp;DumpsterInvNr=13-L-128382", "13-L-128382")</f>
        <v>13-L-128382</v>
      </c>
      <c r="C9255">
        <v>0.12</v>
      </c>
      <c r="D9255" t="s">
        <v>12515</v>
      </c>
      <c r="E9255" t="s">
        <v>11</v>
      </c>
      <c r="F9255" t="s">
        <v>1209</v>
      </c>
      <c r="G9255" t="s">
        <v>1912</v>
      </c>
      <c r="H9255" t="s">
        <v>432</v>
      </c>
    </row>
    <row r="9256" spans="1:8" hidden="1" x14ac:dyDescent="0.25">
      <c r="A9256" t="s">
        <v>12516</v>
      </c>
      <c r="B9256" s="1" t="str">
        <f>HYPERLINK("https://asmlis.vasa.lt/Dashboard/Served?ServiceDateFrom=2025-11-24&amp;ServiceDateTo=2025-11-24&amp;DumpsterInvNr=13-P-405328", "13-P-405328")</f>
        <v>13-P-405328</v>
      </c>
      <c r="C9256">
        <v>0.24</v>
      </c>
      <c r="D9256" t="s">
        <v>1646</v>
      </c>
      <c r="E9256" t="s">
        <v>11</v>
      </c>
      <c r="G9256" t="s">
        <v>264</v>
      </c>
      <c r="H9256" t="s">
        <v>14</v>
      </c>
    </row>
    <row r="9257" spans="1:8" hidden="1" x14ac:dyDescent="0.25">
      <c r="A9257" t="s">
        <v>12517</v>
      </c>
      <c r="B9257" s="1" t="str">
        <f>HYPERLINK("https://asmlis.vasa.lt/Dashboard/Served?ServiceDateFrom=2025-11-24&amp;ServiceDateTo=2025-11-24&amp;DumpsterInvNr=13-L-315851", "13-L-315851")</f>
        <v>13-L-315851</v>
      </c>
      <c r="C9257">
        <v>1.1000000000000001</v>
      </c>
      <c r="D9257" t="s">
        <v>12157</v>
      </c>
      <c r="E9257" t="s">
        <v>11</v>
      </c>
      <c r="F9257" t="s">
        <v>13</v>
      </c>
      <c r="G9257" t="s">
        <v>9</v>
      </c>
      <c r="H9257" t="s">
        <v>14</v>
      </c>
    </row>
    <row r="9258" spans="1:8" hidden="1" x14ac:dyDescent="0.25">
      <c r="A9258" t="s">
        <v>12518</v>
      </c>
      <c r="B9258" s="1" t="str">
        <f>HYPERLINK("https://asmlis.vasa.lt/Dashboard/Served?ServiceDateFrom=2025-11-24&amp;ServiceDateTo=2025-11-24&amp;DumpsterInvNr=13-P-405483", "13-P-405483")</f>
        <v>13-P-405483</v>
      </c>
      <c r="C9258">
        <v>0.24</v>
      </c>
      <c r="D9258" t="s">
        <v>1631</v>
      </c>
      <c r="E9258" t="s">
        <v>11</v>
      </c>
      <c r="G9258" t="s">
        <v>264</v>
      </c>
      <c r="H9258" t="s">
        <v>14</v>
      </c>
    </row>
    <row r="9259" spans="1:8" hidden="1" x14ac:dyDescent="0.25">
      <c r="A9259" t="s">
        <v>12519</v>
      </c>
      <c r="B9259" s="1" t="str">
        <f>HYPERLINK("https://asmlis.vasa.lt/Dashboard/Served?ServiceDateFrom=2025-11-24&amp;ServiceDateTo=2025-11-24&amp;DumpsterInvNr=13-P-408752", "13-P-408752")</f>
        <v>13-P-408752</v>
      </c>
      <c r="C9259">
        <v>1.1000000000000001</v>
      </c>
      <c r="D9259" t="s">
        <v>12520</v>
      </c>
      <c r="E9259" t="s">
        <v>11</v>
      </c>
      <c r="G9259" t="s">
        <v>264</v>
      </c>
      <c r="H9259" t="s">
        <v>14</v>
      </c>
    </row>
    <row r="9260" spans="1:8" hidden="1" x14ac:dyDescent="0.25">
      <c r="A9260" t="s">
        <v>12521</v>
      </c>
      <c r="B9260" s="1" t="str">
        <f>HYPERLINK("https://asmlis.vasa.lt/Dashboard/Served?ServiceDateFrom=2025-11-24&amp;ServiceDateTo=2025-11-24&amp;DumpsterInvNr=13-M-205170", "13-M-205170")</f>
        <v>13-M-205170</v>
      </c>
      <c r="C9260">
        <v>0.12</v>
      </c>
      <c r="D9260" t="s">
        <v>12522</v>
      </c>
      <c r="E9260" t="s">
        <v>11</v>
      </c>
      <c r="G9260" t="s">
        <v>4876</v>
      </c>
      <c r="H9260" t="s">
        <v>938</v>
      </c>
    </row>
    <row r="9261" spans="1:8" hidden="1" x14ac:dyDescent="0.25">
      <c r="A9261" t="s">
        <v>12521</v>
      </c>
      <c r="B9261" s="1" t="str">
        <f>HYPERLINK("https://asmlis.vasa.lt/Dashboard/Served?ServiceDateFrom=2025-11-24&amp;ServiceDateTo=2025-11-24&amp;DumpsterInvNr=13-L-313832", "13-L-313832")</f>
        <v>13-L-313832</v>
      </c>
      <c r="C9261">
        <v>1.1000000000000001</v>
      </c>
      <c r="D9261" t="s">
        <v>12442</v>
      </c>
      <c r="E9261" t="s">
        <v>11</v>
      </c>
      <c r="F9261" t="s">
        <v>13</v>
      </c>
      <c r="G9261" t="s">
        <v>9</v>
      </c>
      <c r="H9261" t="s">
        <v>14</v>
      </c>
    </row>
    <row r="9262" spans="1:8" hidden="1" x14ac:dyDescent="0.25">
      <c r="A9262" t="s">
        <v>12523</v>
      </c>
      <c r="B9262" s="1" t="str">
        <f>HYPERLINK("https://asmlis.vasa.lt/Dashboard/Served?ServiceDateFrom=2025-11-24&amp;ServiceDateTo=2025-11-24&amp;DumpsterInvNr=13-L-223326", "13-L-223326")</f>
        <v>13-L-223326</v>
      </c>
      <c r="C9262">
        <v>0.12</v>
      </c>
      <c r="D9262" t="s">
        <v>12524</v>
      </c>
      <c r="E9262" t="s">
        <v>11</v>
      </c>
      <c r="G9262" t="s">
        <v>936</v>
      </c>
      <c r="H9262" t="s">
        <v>938</v>
      </c>
    </row>
    <row r="9263" spans="1:8" hidden="1" x14ac:dyDescent="0.25">
      <c r="A9263" t="s">
        <v>12525</v>
      </c>
      <c r="B9263" s="1" t="str">
        <f>HYPERLINK("https://asmlis.vasa.lt/Dashboard/Served?ServiceDateFrom=2025-11-24&amp;ServiceDateTo=2025-11-24&amp;DumpsterInvNr=13-P-212506", "13-P-212506")</f>
        <v>13-P-212506</v>
      </c>
      <c r="C9263">
        <v>0.24</v>
      </c>
      <c r="D9263" t="s">
        <v>11570</v>
      </c>
      <c r="E9263" t="s">
        <v>11</v>
      </c>
      <c r="G9263" t="s">
        <v>234</v>
      </c>
      <c r="H9263" t="s">
        <v>14</v>
      </c>
    </row>
    <row r="9264" spans="1:8" hidden="1" x14ac:dyDescent="0.25">
      <c r="A9264" t="s">
        <v>12526</v>
      </c>
      <c r="B9264" s="1" t="str">
        <f>HYPERLINK("https://asmlis.vasa.lt/Dashboard/Served?ServiceDateFrom=2025-11-24&amp;ServiceDateTo=2025-11-24&amp;DumpsterInvNr=13-L-212415", "13-L-212415")</f>
        <v>13-L-212415</v>
      </c>
      <c r="C9264">
        <v>0.24</v>
      </c>
      <c r="D9264" t="s">
        <v>9632</v>
      </c>
      <c r="E9264" t="s">
        <v>11</v>
      </c>
      <c r="G9264" t="s">
        <v>936</v>
      </c>
      <c r="H9264" t="s">
        <v>938</v>
      </c>
    </row>
    <row r="9265" spans="1:8" hidden="1" x14ac:dyDescent="0.25">
      <c r="A9265" t="s">
        <v>12527</v>
      </c>
      <c r="B9265" s="1" t="str">
        <f>HYPERLINK("https://asmlis.vasa.lt/Dashboard/Served?ServiceDateFrom=2025-11-24&amp;ServiceDateTo=2025-11-24&amp;DumpsterInvNr=13-P-405484", "13-P-405484")</f>
        <v>13-P-405484</v>
      </c>
      <c r="C9265">
        <v>0.24</v>
      </c>
      <c r="D9265" t="s">
        <v>1622</v>
      </c>
      <c r="E9265" t="s">
        <v>11</v>
      </c>
      <c r="G9265" t="s">
        <v>264</v>
      </c>
      <c r="H9265" t="s">
        <v>14</v>
      </c>
    </row>
    <row r="9266" spans="1:8" hidden="1" x14ac:dyDescent="0.25">
      <c r="A9266" t="s">
        <v>12528</v>
      </c>
      <c r="B9266" s="1" t="str">
        <f>HYPERLINK("https://asmlis.vasa.lt/Dashboard/Served?ServiceDateFrom=2025-11-24&amp;ServiceDateTo=2025-11-24&amp;DumpsterInvNr=13-L-126365", "13-L-126365")</f>
        <v>13-L-126365</v>
      </c>
      <c r="C9266">
        <v>0.12</v>
      </c>
      <c r="D9266" t="s">
        <v>12529</v>
      </c>
      <c r="E9266" t="s">
        <v>11</v>
      </c>
      <c r="G9266" t="s">
        <v>430</v>
      </c>
      <c r="H9266" t="s">
        <v>432</v>
      </c>
    </row>
    <row r="9267" spans="1:8" hidden="1" x14ac:dyDescent="0.25">
      <c r="A9267" t="s">
        <v>12530</v>
      </c>
      <c r="B9267" s="1" t="str">
        <f>HYPERLINK("https://asmlis.vasa.lt/Dashboard/Served?ServiceDateFrom=2025-11-24&amp;ServiceDateTo=2025-11-24&amp;DumpsterInvNr=13-P-405486", "13-P-405486")</f>
        <v>13-P-405486</v>
      </c>
      <c r="C9267">
        <v>0.24</v>
      </c>
      <c r="D9267" t="s">
        <v>1605</v>
      </c>
      <c r="E9267" t="s">
        <v>11</v>
      </c>
      <c r="G9267" t="s">
        <v>264</v>
      </c>
      <c r="H9267" t="s">
        <v>14</v>
      </c>
    </row>
    <row r="9268" spans="1:8" hidden="1" x14ac:dyDescent="0.25">
      <c r="A9268" t="s">
        <v>12530</v>
      </c>
      <c r="B9268" s="1" t="str">
        <f>HYPERLINK("https://asmlis.vasa.lt/Dashboard/Served?ServiceDateFrom=2025-11-24&amp;ServiceDateTo=2025-11-24&amp;DumpsterInvNr=13-L-141482", "13-L-141482")</f>
        <v>13-L-141482</v>
      </c>
      <c r="C9268">
        <v>0.24</v>
      </c>
      <c r="D9268" t="s">
        <v>12531</v>
      </c>
      <c r="E9268" t="s">
        <v>11</v>
      </c>
      <c r="G9268" t="s">
        <v>430</v>
      </c>
      <c r="H9268" t="s">
        <v>432</v>
      </c>
    </row>
    <row r="9269" spans="1:8" hidden="1" x14ac:dyDescent="0.25">
      <c r="A9269" t="s">
        <v>12532</v>
      </c>
      <c r="B9269" s="1" t="str">
        <f>HYPERLINK("https://asmlis.vasa.lt/Dashboard/Served?ServiceDateFrom=2025-11-24&amp;ServiceDateTo=2025-11-24&amp;DumpsterInvNr=13-P-502773", "13-P-502773")</f>
        <v>13-P-502773</v>
      </c>
      <c r="C9269">
        <v>0.24</v>
      </c>
      <c r="D9269" t="s">
        <v>12533</v>
      </c>
      <c r="E9269" t="s">
        <v>11</v>
      </c>
      <c r="G9269" t="s">
        <v>2178</v>
      </c>
      <c r="H9269" t="s">
        <v>432</v>
      </c>
    </row>
    <row r="9270" spans="1:8" hidden="1" x14ac:dyDescent="0.25">
      <c r="A9270" t="s">
        <v>12532</v>
      </c>
      <c r="B9270" s="1" t="str">
        <f>HYPERLINK("https://asmlis.vasa.lt/Dashboard/Served?ServiceDateFrom=2025-11-24&amp;ServiceDateTo=2025-11-24&amp;DumpsterInvNr=13-P-509532", "13-P-509532")</f>
        <v>13-P-509532</v>
      </c>
      <c r="C9270">
        <v>1.1000000000000001</v>
      </c>
      <c r="D9270" t="s">
        <v>10997</v>
      </c>
      <c r="E9270" t="s">
        <v>12</v>
      </c>
      <c r="F9270" t="s">
        <v>13</v>
      </c>
      <c r="H9270" t="s">
        <v>432</v>
      </c>
    </row>
    <row r="9271" spans="1:8" hidden="1" x14ac:dyDescent="0.25">
      <c r="A9271" t="s">
        <v>12534</v>
      </c>
      <c r="B9271" s="1" t="str">
        <f>HYPERLINK("https://asmlis.vasa.lt/Dashboard/Served?ServiceDateFrom=2025-11-24&amp;ServiceDateTo=2025-11-24&amp;DumpsterInvNr=13-L-208576", "13-L-208576")</f>
        <v>13-L-208576</v>
      </c>
      <c r="C9271">
        <v>0.24</v>
      </c>
      <c r="D9271" t="s">
        <v>10003</v>
      </c>
      <c r="E9271" t="s">
        <v>11</v>
      </c>
      <c r="G9271" t="s">
        <v>936</v>
      </c>
      <c r="H9271" t="s">
        <v>938</v>
      </c>
    </row>
    <row r="9272" spans="1:8" hidden="1" x14ac:dyDescent="0.25">
      <c r="A9272" t="s">
        <v>12534</v>
      </c>
      <c r="B9272" s="1" t="str">
        <f>HYPERLINK("https://asmlis.vasa.lt/Dashboard/Served?ServiceDateFrom=2025-11-24&amp;ServiceDateTo=2025-11-24&amp;DumpsterInvNr=13-M-205173", "13-M-205173")</f>
        <v>13-M-205173</v>
      </c>
      <c r="C9272">
        <v>0.12</v>
      </c>
      <c r="D9272" t="s">
        <v>12535</v>
      </c>
      <c r="E9272" t="s">
        <v>11</v>
      </c>
      <c r="F9272" t="s">
        <v>1209</v>
      </c>
      <c r="G9272" t="s">
        <v>4876</v>
      </c>
      <c r="H9272" t="s">
        <v>938</v>
      </c>
    </row>
    <row r="9273" spans="1:8" hidden="1" x14ac:dyDescent="0.25">
      <c r="A9273" t="s">
        <v>12537</v>
      </c>
      <c r="B9273" s="1" t="str">
        <f>HYPERLINK("https://asmlis.vasa.lt/Dashboard/Served?ServiceDateFrom=2025-11-24&amp;ServiceDateTo=2025-11-24&amp;DumpsterInvNr=13-L-422034", "13-L-422034")</f>
        <v>13-L-422034</v>
      </c>
      <c r="C9273">
        <v>5</v>
      </c>
      <c r="D9273" t="s">
        <v>2001</v>
      </c>
      <c r="E9273" t="s">
        <v>11</v>
      </c>
      <c r="G9273" t="s">
        <v>74</v>
      </c>
      <c r="H9273" t="s">
        <v>14</v>
      </c>
    </row>
    <row r="9274" spans="1:8" hidden="1" x14ac:dyDescent="0.25">
      <c r="A9274" t="s">
        <v>12538</v>
      </c>
      <c r="B9274" s="1" t="str">
        <f>HYPERLINK("https://asmlis.vasa.lt/Dashboard/Served?ServiceDateFrom=2025-11-24&amp;ServiceDateTo=2025-11-24&amp;DumpsterInvNr=13-L-404700", "13-L-404700")</f>
        <v>13-L-404700</v>
      </c>
      <c r="C9274">
        <v>0.12</v>
      </c>
      <c r="D9274" t="s">
        <v>7529</v>
      </c>
      <c r="E9274" t="s">
        <v>11</v>
      </c>
      <c r="G9274" t="s">
        <v>74</v>
      </c>
      <c r="H9274" t="s">
        <v>14</v>
      </c>
    </row>
    <row r="9275" spans="1:8" hidden="1" x14ac:dyDescent="0.25">
      <c r="A9275" t="s">
        <v>12539</v>
      </c>
      <c r="B9275" s="1" t="str">
        <f>HYPERLINK("https://asmlis.vasa.lt/Dashboard/Served?ServiceDateFrom=2025-11-24&amp;ServiceDateTo=2025-11-24&amp;DumpsterInvNr=13-L-424111", "13-L-424111")</f>
        <v>13-L-424111</v>
      </c>
      <c r="C9275">
        <v>5</v>
      </c>
      <c r="D9275" t="s">
        <v>12540</v>
      </c>
      <c r="E9275" t="s">
        <v>11</v>
      </c>
      <c r="G9275" t="s">
        <v>74</v>
      </c>
      <c r="H9275" t="s">
        <v>14</v>
      </c>
    </row>
    <row r="9276" spans="1:8" hidden="1" x14ac:dyDescent="0.25">
      <c r="A9276" t="s">
        <v>12539</v>
      </c>
      <c r="B9276" s="1" t="str">
        <f>HYPERLINK("https://asmlis.vasa.lt/Dashboard/Served?ServiceDateFrom=2025-11-24&amp;ServiceDateTo=2025-11-24&amp;DumpsterInvNr=13-P-302403", "13-P-302403")</f>
        <v>13-P-302403</v>
      </c>
      <c r="C9276">
        <v>3</v>
      </c>
      <c r="D9276" t="s">
        <v>12509</v>
      </c>
      <c r="E9276" t="s">
        <v>11</v>
      </c>
      <c r="G9276" t="s">
        <v>412</v>
      </c>
      <c r="H9276" t="s">
        <v>14</v>
      </c>
    </row>
    <row r="9277" spans="1:8" hidden="1" x14ac:dyDescent="0.25">
      <c r="A9277" t="s">
        <v>12541</v>
      </c>
      <c r="B9277" s="1" t="str">
        <f>HYPERLINK("https://asmlis.vasa.lt/Dashboard/Served?ServiceDateFrom=2025-11-24&amp;ServiceDateTo=2025-11-24&amp;DumpsterInvNr=13-S-506508", "13-S-506508")</f>
        <v>13-S-506508</v>
      </c>
      <c r="C9277">
        <v>0.24</v>
      </c>
      <c r="D9277" t="s">
        <v>10997</v>
      </c>
      <c r="E9277" t="s">
        <v>12</v>
      </c>
      <c r="F9277" t="s">
        <v>13</v>
      </c>
      <c r="H9277" t="s">
        <v>432</v>
      </c>
    </row>
    <row r="9278" spans="1:8" hidden="1" x14ac:dyDescent="0.25">
      <c r="A9278" t="s">
        <v>12542</v>
      </c>
      <c r="B9278" s="1" t="str">
        <f>HYPERLINK("https://asmlis.vasa.lt/Dashboard/Served?ServiceDateFrom=2025-11-24&amp;ServiceDateTo=2025-11-24&amp;DumpsterInvNr=13-P-405491", "13-P-405491")</f>
        <v>13-P-405491</v>
      </c>
      <c r="C9278">
        <v>0.24</v>
      </c>
      <c r="D9278" t="s">
        <v>1593</v>
      </c>
      <c r="E9278" t="s">
        <v>11</v>
      </c>
      <c r="G9278" t="s">
        <v>264</v>
      </c>
      <c r="H9278" t="s">
        <v>14</v>
      </c>
    </row>
    <row r="9279" spans="1:8" hidden="1" x14ac:dyDescent="0.25">
      <c r="A9279" t="s">
        <v>12251</v>
      </c>
      <c r="B9279" s="1" t="str">
        <f>HYPERLINK("https://asmlis.vasa.lt/Dashboard/Served?ServiceDateFrom=2025-11-24&amp;ServiceDateTo=2025-11-24&amp;DumpsterInvNr=13-P-504051", "13-P-504051")</f>
        <v>13-P-504051</v>
      </c>
      <c r="C9279">
        <v>1.1000000000000001</v>
      </c>
      <c r="D9279" t="s">
        <v>4603</v>
      </c>
      <c r="E9279" t="s">
        <v>11</v>
      </c>
      <c r="G9279" t="s">
        <v>2178</v>
      </c>
      <c r="H9279" t="s">
        <v>432</v>
      </c>
    </row>
    <row r="9280" spans="1:8" hidden="1" x14ac:dyDescent="0.25">
      <c r="A9280" t="s">
        <v>12392</v>
      </c>
      <c r="B9280" s="1" t="str">
        <f>HYPERLINK("https://asmlis.vasa.lt/Dashboard/Served?ServiceDateFrom=2025-11-24&amp;ServiceDateTo=2025-11-24&amp;DumpsterInvNr=13-L-129417", "13-L-129417")</f>
        <v>13-L-129417</v>
      </c>
      <c r="C9280">
        <v>1.1000000000000001</v>
      </c>
      <c r="D9280" t="s">
        <v>12544</v>
      </c>
      <c r="E9280" t="s">
        <v>11</v>
      </c>
      <c r="G9280" t="s">
        <v>1912</v>
      </c>
      <c r="H9280" t="s">
        <v>432</v>
      </c>
    </row>
    <row r="9281" spans="1:8" hidden="1" x14ac:dyDescent="0.25">
      <c r="A9281" t="s">
        <v>12257</v>
      </c>
      <c r="B9281" s="1" t="str">
        <f>HYPERLINK("https://asmlis.vasa.lt/Dashboard/Served?ServiceDateFrom=2025-11-24&amp;ServiceDateTo=2025-11-24&amp;DumpsterInvNr=13-P-209397", "13-P-209397")</f>
        <v>13-P-209397</v>
      </c>
      <c r="C9281">
        <v>0.24</v>
      </c>
      <c r="D9281" t="s">
        <v>11584</v>
      </c>
      <c r="E9281" t="s">
        <v>11</v>
      </c>
      <c r="F9281" t="s">
        <v>1209</v>
      </c>
      <c r="G9281" t="s">
        <v>234</v>
      </c>
      <c r="H9281" t="s">
        <v>14</v>
      </c>
    </row>
    <row r="9282" spans="1:8" hidden="1" x14ac:dyDescent="0.25">
      <c r="A9282" t="s">
        <v>12394</v>
      </c>
      <c r="B9282" s="1" t="str">
        <f>HYPERLINK("https://asmlis.vasa.lt/Dashboard/Served?ServiceDateFrom=2025-11-24&amp;ServiceDateTo=2025-11-24&amp;DumpsterInvNr=13-L-223328", "13-L-223328")</f>
        <v>13-L-223328</v>
      </c>
      <c r="C9282">
        <v>0.12</v>
      </c>
      <c r="D9282" t="s">
        <v>12524</v>
      </c>
      <c r="E9282" t="s">
        <v>11</v>
      </c>
      <c r="G9282" t="s">
        <v>936</v>
      </c>
      <c r="H9282" t="s">
        <v>938</v>
      </c>
    </row>
    <row r="9283" spans="1:8" hidden="1" x14ac:dyDescent="0.25">
      <c r="A9283" t="s">
        <v>12545</v>
      </c>
      <c r="B9283" s="1" t="str">
        <f>HYPERLINK("https://asmlis.vasa.lt/Dashboard/Served?ServiceDateFrom=2025-11-24&amp;ServiceDateTo=2025-11-24&amp;DumpsterInvNr=13-P-405329", "13-P-405329")</f>
        <v>13-P-405329</v>
      </c>
      <c r="C9283">
        <v>0.24</v>
      </c>
      <c r="D9283" t="s">
        <v>1582</v>
      </c>
      <c r="E9283" t="s">
        <v>11</v>
      </c>
      <c r="G9283" t="s">
        <v>264</v>
      </c>
      <c r="H9283" t="s">
        <v>14</v>
      </c>
    </row>
    <row r="9284" spans="1:8" hidden="1" x14ac:dyDescent="0.25">
      <c r="A9284" t="s">
        <v>12545</v>
      </c>
      <c r="B9284" s="1" t="str">
        <f>HYPERLINK("https://asmlis.vasa.lt/Dashboard/Served?ServiceDateFrom=2025-11-24&amp;ServiceDateTo=2025-11-24&amp;DumpsterInvNr=13-P-105222", "13-P-105222")</f>
        <v>13-P-105222</v>
      </c>
      <c r="C9284">
        <v>4</v>
      </c>
      <c r="D9284" t="s">
        <v>12546</v>
      </c>
      <c r="E9284" t="s">
        <v>11</v>
      </c>
      <c r="F9284" t="s">
        <v>13</v>
      </c>
      <c r="G9284" t="s">
        <v>1917</v>
      </c>
      <c r="H9284" t="s">
        <v>432</v>
      </c>
    </row>
    <row r="9285" spans="1:8" hidden="1" x14ac:dyDescent="0.25">
      <c r="A9285" t="s">
        <v>12280</v>
      </c>
      <c r="B9285" s="1" t="str">
        <f>HYPERLINK("https://asmlis.vasa.lt/Dashboard/Served?ServiceDateFrom=2025-11-24&amp;ServiceDateTo=2025-11-24&amp;DumpsterInvNr=13-L-137457", "13-L-137457")</f>
        <v>13-L-137457</v>
      </c>
      <c r="C9285">
        <v>0.24</v>
      </c>
      <c r="D9285" t="s">
        <v>12547</v>
      </c>
      <c r="E9285" t="s">
        <v>11</v>
      </c>
      <c r="G9285" t="s">
        <v>430</v>
      </c>
      <c r="H9285" t="s">
        <v>432</v>
      </c>
    </row>
    <row r="9286" spans="1:8" hidden="1" x14ac:dyDescent="0.25">
      <c r="A9286" t="s">
        <v>12280</v>
      </c>
      <c r="B9286" s="1" t="str">
        <f>HYPERLINK("https://asmlis.vasa.lt/Dashboard/Served?ServiceDateFrom=2025-11-24&amp;ServiceDateTo=2025-11-24&amp;DumpsterInvNr=13-L-144917", "13-L-144917")</f>
        <v>13-L-144917</v>
      </c>
      <c r="C9286">
        <v>0.24</v>
      </c>
      <c r="D9286" t="s">
        <v>12533</v>
      </c>
      <c r="E9286" t="s">
        <v>11</v>
      </c>
      <c r="G9286" t="s">
        <v>430</v>
      </c>
      <c r="H9286" t="s">
        <v>432</v>
      </c>
    </row>
    <row r="9287" spans="1:8" hidden="1" x14ac:dyDescent="0.25">
      <c r="A9287" t="s">
        <v>12550</v>
      </c>
      <c r="B9287" s="1" t="str">
        <f>HYPERLINK("https://asmlis.vasa.lt/Dashboard/Served?ServiceDateFrom=2025-11-24&amp;ServiceDateTo=2025-11-24&amp;DumpsterInvNr=13-P-506564", "13-P-506564")</f>
        <v>13-P-506564</v>
      </c>
      <c r="C9287">
        <v>0.24</v>
      </c>
      <c r="D9287" t="s">
        <v>12547</v>
      </c>
      <c r="E9287" t="s">
        <v>11</v>
      </c>
      <c r="G9287" t="s">
        <v>2178</v>
      </c>
      <c r="H9287" t="s">
        <v>432</v>
      </c>
    </row>
    <row r="9288" spans="1:8" hidden="1" x14ac:dyDescent="0.25">
      <c r="A9288" t="s">
        <v>12536</v>
      </c>
      <c r="B9288" s="1" t="str">
        <f>HYPERLINK("https://asmlis.vasa.lt/Dashboard/Served?ServiceDateFrom=2025-11-24&amp;ServiceDateTo=2025-11-24&amp;DumpsterInvNr=13-L-135231", "13-L-135231")</f>
        <v>13-L-135231</v>
      </c>
      <c r="C9288">
        <v>0.24</v>
      </c>
      <c r="D9288" t="s">
        <v>12551</v>
      </c>
      <c r="E9288" t="s">
        <v>11</v>
      </c>
      <c r="G9288" t="s">
        <v>1912</v>
      </c>
      <c r="H9288" t="s">
        <v>432</v>
      </c>
    </row>
    <row r="9289" spans="1:8" hidden="1" x14ac:dyDescent="0.25">
      <c r="A9289" t="s">
        <v>12553</v>
      </c>
      <c r="B9289" s="1" t="str">
        <f>HYPERLINK("https://asmlis.vasa.lt/Dashboard/Served?ServiceDateFrom=2025-11-24&amp;ServiceDateTo=2025-11-24&amp;DumpsterInvNr=13-P-405487", "13-P-405487")</f>
        <v>13-P-405487</v>
      </c>
      <c r="C9289">
        <v>0.24</v>
      </c>
      <c r="D9289" t="s">
        <v>1583</v>
      </c>
      <c r="E9289" t="s">
        <v>11</v>
      </c>
      <c r="G9289" t="s">
        <v>264</v>
      </c>
      <c r="H9289" t="s">
        <v>14</v>
      </c>
    </row>
    <row r="9290" spans="1:8" hidden="1" x14ac:dyDescent="0.25">
      <c r="A9290" t="s">
        <v>12553</v>
      </c>
      <c r="B9290" s="1" t="str">
        <f>HYPERLINK("https://asmlis.vasa.lt/Dashboard/Served?ServiceDateFrom=2025-11-24&amp;ServiceDateTo=2025-11-24&amp;DumpsterInvNr=13-S-505031", "13-S-505031")</f>
        <v>13-S-505031</v>
      </c>
      <c r="C9290">
        <v>0.12</v>
      </c>
      <c r="D9290" t="s">
        <v>12554</v>
      </c>
      <c r="E9290" t="s">
        <v>11</v>
      </c>
      <c r="F9290" t="s">
        <v>1209</v>
      </c>
      <c r="G9290" t="s">
        <v>2178</v>
      </c>
      <c r="H9290" t="s">
        <v>432</v>
      </c>
    </row>
    <row r="9291" spans="1:8" hidden="1" x14ac:dyDescent="0.25">
      <c r="A9291" t="s">
        <v>12555</v>
      </c>
      <c r="B9291" s="1" t="str">
        <f>HYPERLINK("https://asmlis.vasa.lt/Dashboard/Served?ServiceDateFrom=2025-11-24&amp;ServiceDateTo=2025-11-24&amp;DumpsterInvNr=13-P-211197", "13-P-211197")</f>
        <v>13-P-211197</v>
      </c>
      <c r="C9291">
        <v>0.24</v>
      </c>
      <c r="D9291" t="s">
        <v>11594</v>
      </c>
      <c r="E9291" t="s">
        <v>11</v>
      </c>
      <c r="G9291" t="s">
        <v>234</v>
      </c>
      <c r="H9291" t="s">
        <v>14</v>
      </c>
    </row>
    <row r="9292" spans="1:8" hidden="1" x14ac:dyDescent="0.25">
      <c r="A9292" t="s">
        <v>12556</v>
      </c>
      <c r="B9292" s="1" t="str">
        <f>HYPERLINK("https://asmlis.vasa.lt/Dashboard/Served?ServiceDateFrom=2025-11-24&amp;ServiceDateTo=2025-11-24&amp;DumpsterInvNr=13-L-411710", "13-L-411710")</f>
        <v>13-L-411710</v>
      </c>
      <c r="C9292">
        <v>0.12</v>
      </c>
      <c r="D9292" t="s">
        <v>7546</v>
      </c>
      <c r="E9292" t="s">
        <v>11</v>
      </c>
      <c r="G9292" t="s">
        <v>74</v>
      </c>
      <c r="H9292" t="s">
        <v>14</v>
      </c>
    </row>
    <row r="9293" spans="1:8" hidden="1" x14ac:dyDescent="0.25">
      <c r="A9293" t="s">
        <v>12557</v>
      </c>
      <c r="B9293" s="1" t="str">
        <f>HYPERLINK("https://asmlis.vasa.lt/Dashboard/Served?ServiceDateFrom=2025-11-24&amp;ServiceDateTo=2025-11-24&amp;DumpsterInvNr=13-L-203555", "13-L-203555")</f>
        <v>13-L-203555</v>
      </c>
      <c r="C9293">
        <v>0.12</v>
      </c>
      <c r="D9293" t="s">
        <v>9689</v>
      </c>
      <c r="E9293" t="s">
        <v>11</v>
      </c>
      <c r="G9293" t="s">
        <v>936</v>
      </c>
      <c r="H9293" t="s">
        <v>938</v>
      </c>
    </row>
    <row r="9294" spans="1:8" hidden="1" x14ac:dyDescent="0.25">
      <c r="A9294" t="s">
        <v>12557</v>
      </c>
      <c r="B9294" s="1" t="str">
        <f>HYPERLINK("https://asmlis.vasa.lt/Dashboard/Served?ServiceDateFrom=2025-11-24&amp;ServiceDateTo=2025-11-24&amp;DumpsterInvNr=13-L-223327", "13-L-223327")</f>
        <v>13-L-223327</v>
      </c>
      <c r="C9294">
        <v>0.12</v>
      </c>
      <c r="D9294" t="s">
        <v>12524</v>
      </c>
      <c r="E9294" t="s">
        <v>11</v>
      </c>
      <c r="G9294" t="s">
        <v>936</v>
      </c>
      <c r="H9294" t="s">
        <v>938</v>
      </c>
    </row>
    <row r="9295" spans="1:8" hidden="1" x14ac:dyDescent="0.25">
      <c r="A9295" t="s">
        <v>12558</v>
      </c>
      <c r="B9295" s="1" t="str">
        <f>HYPERLINK("https://asmlis.vasa.lt/Dashboard/Served?ServiceDateFrom=2025-11-24&amp;ServiceDateTo=2025-11-24&amp;DumpsterInvNr=13-P-506528", "13-P-506528")</f>
        <v>13-P-506528</v>
      </c>
      <c r="C9295">
        <v>0.24</v>
      </c>
      <c r="D9295" t="s">
        <v>12554</v>
      </c>
      <c r="E9295" t="s">
        <v>11</v>
      </c>
      <c r="F9295" t="s">
        <v>1209</v>
      </c>
      <c r="G9295" t="s">
        <v>2178</v>
      </c>
      <c r="H9295" t="s">
        <v>432</v>
      </c>
    </row>
    <row r="9296" spans="1:8" hidden="1" x14ac:dyDescent="0.25">
      <c r="A9296" t="s">
        <v>12559</v>
      </c>
      <c r="B9296" s="1" t="str">
        <f>HYPERLINK("https://asmlis.vasa.lt/Dashboard/Served?ServiceDateFrom=2025-11-24&amp;ServiceDateTo=2025-11-24&amp;DumpsterInvNr=13-L-136608", "13-L-136608")</f>
        <v>13-L-136608</v>
      </c>
      <c r="C9296">
        <v>1.1000000000000001</v>
      </c>
      <c r="D9296" t="s">
        <v>12560</v>
      </c>
      <c r="E9296" t="s">
        <v>11</v>
      </c>
      <c r="G9296" t="s">
        <v>430</v>
      </c>
      <c r="H9296" t="s">
        <v>432</v>
      </c>
    </row>
    <row r="9297" spans="1:8" hidden="1" x14ac:dyDescent="0.25">
      <c r="A9297" t="s">
        <v>12561</v>
      </c>
      <c r="B9297" s="1" t="str">
        <f>HYPERLINK("https://asmlis.vasa.lt/Dashboard/Served?ServiceDateFrom=2025-11-24&amp;ServiceDateTo=2025-11-24&amp;DumpsterInvNr=13-S-500844", "13-S-500844")</f>
        <v>13-S-500844</v>
      </c>
      <c r="C9297">
        <v>0.12</v>
      </c>
      <c r="D9297" t="s">
        <v>12533</v>
      </c>
      <c r="E9297" t="s">
        <v>11</v>
      </c>
      <c r="F9297" t="s">
        <v>1209</v>
      </c>
      <c r="G9297" t="s">
        <v>2178</v>
      </c>
      <c r="H9297" t="s">
        <v>432</v>
      </c>
    </row>
    <row r="9298" spans="1:8" hidden="1" x14ac:dyDescent="0.25">
      <c r="A9298" t="s">
        <v>12562</v>
      </c>
      <c r="B9298" s="1" t="str">
        <f>HYPERLINK("https://asmlis.vasa.lt/Dashboard/Served?ServiceDateFrom=2025-11-24&amp;ServiceDateTo=2025-11-24&amp;DumpsterInvNr=13-P-209398", "13-P-209398")</f>
        <v>13-P-209398</v>
      </c>
      <c r="C9298">
        <v>0.24</v>
      </c>
      <c r="D9298" t="s">
        <v>11597</v>
      </c>
      <c r="E9298" t="s">
        <v>11</v>
      </c>
      <c r="F9298" t="s">
        <v>1209</v>
      </c>
      <c r="G9298" t="s">
        <v>234</v>
      </c>
      <c r="H9298" t="s">
        <v>14</v>
      </c>
    </row>
    <row r="9299" spans="1:8" hidden="1" x14ac:dyDescent="0.25">
      <c r="A9299" t="s">
        <v>12562</v>
      </c>
      <c r="B9299" s="1" t="str">
        <f>HYPERLINK("https://asmlis.vasa.lt/Dashboard/Served?ServiceDateFrom=2025-11-24&amp;ServiceDateTo=2025-11-24&amp;DumpsterInvNr=13-P-506661", "13-P-506661")</f>
        <v>13-P-506661</v>
      </c>
      <c r="C9299">
        <v>0.24</v>
      </c>
      <c r="D9299" t="s">
        <v>12531</v>
      </c>
      <c r="E9299" t="s">
        <v>11</v>
      </c>
      <c r="F9299" t="s">
        <v>1209</v>
      </c>
      <c r="G9299" t="s">
        <v>2178</v>
      </c>
      <c r="H9299" t="s">
        <v>432</v>
      </c>
    </row>
    <row r="9300" spans="1:8" hidden="1" x14ac:dyDescent="0.25">
      <c r="A9300" t="s">
        <v>12563</v>
      </c>
      <c r="B9300" s="1" t="str">
        <f>HYPERLINK("https://asmlis.vasa.lt/Dashboard/Served?ServiceDateFrom=2025-11-24&amp;ServiceDateTo=2025-11-24&amp;DumpsterInvNr=13-L-126212", "13-L-126212")</f>
        <v>13-L-126212</v>
      </c>
      <c r="C9300">
        <v>0.12</v>
      </c>
      <c r="D9300" t="s">
        <v>12533</v>
      </c>
      <c r="E9300" t="s">
        <v>11</v>
      </c>
      <c r="F9300" t="s">
        <v>1209</v>
      </c>
      <c r="G9300" t="s">
        <v>430</v>
      </c>
      <c r="H9300" t="s">
        <v>432</v>
      </c>
    </row>
    <row r="9301" spans="1:8" hidden="1" x14ac:dyDescent="0.25">
      <c r="A9301" t="s">
        <v>12563</v>
      </c>
      <c r="B9301" s="1" t="str">
        <f>HYPERLINK("https://asmlis.vasa.lt/Dashboard/Served?ServiceDateFrom=2025-11-24&amp;ServiceDateTo=2025-11-24&amp;DumpsterInvNr=13-P-400650", "13-P-400650")</f>
        <v>13-P-400650</v>
      </c>
      <c r="C9301">
        <v>5</v>
      </c>
      <c r="D9301" t="s">
        <v>7691</v>
      </c>
      <c r="E9301" t="s">
        <v>11</v>
      </c>
      <c r="F9301" t="s">
        <v>13</v>
      </c>
      <c r="G9301" t="s">
        <v>264</v>
      </c>
      <c r="H9301" t="s">
        <v>14</v>
      </c>
    </row>
    <row r="9302" spans="1:8" hidden="1" x14ac:dyDescent="0.25">
      <c r="A9302" t="s">
        <v>12564</v>
      </c>
      <c r="B9302" s="1" t="str">
        <f>HYPERLINK("https://asmlis.vasa.lt/Dashboard/Served?ServiceDateFrom=2025-11-24&amp;ServiceDateTo=2025-11-24&amp;DumpsterInvNr=13-L-203559", "13-L-203559")</f>
        <v>13-L-203559</v>
      </c>
      <c r="C9302">
        <v>0.24</v>
      </c>
      <c r="D9302" t="s">
        <v>9691</v>
      </c>
      <c r="E9302" t="s">
        <v>11</v>
      </c>
      <c r="F9302" t="s">
        <v>1209</v>
      </c>
      <c r="G9302" t="s">
        <v>936</v>
      </c>
      <c r="H9302" t="s">
        <v>938</v>
      </c>
    </row>
    <row r="9303" spans="1:8" hidden="1" x14ac:dyDescent="0.25">
      <c r="A9303" t="s">
        <v>12565</v>
      </c>
      <c r="B9303" s="1" t="str">
        <f>HYPERLINK("https://asmlis.vasa.lt/Dashboard/Served?ServiceDateFrom=2025-11-24&amp;ServiceDateTo=2025-11-24&amp;DumpsterInvNr=13-L-102715", "13-L-102715")</f>
        <v>13-L-102715</v>
      </c>
      <c r="C9303">
        <v>0.77</v>
      </c>
      <c r="D9303" t="s">
        <v>12566</v>
      </c>
      <c r="E9303" t="s">
        <v>11</v>
      </c>
      <c r="G9303" t="s">
        <v>1912</v>
      </c>
      <c r="H9303" t="s">
        <v>432</v>
      </c>
    </row>
    <row r="9304" spans="1:8" hidden="1" x14ac:dyDescent="0.25">
      <c r="A9304" t="s">
        <v>12567</v>
      </c>
      <c r="B9304" s="1" t="str">
        <f>HYPERLINK("https://asmlis.vasa.lt/Dashboard/Served?ServiceDateFrom=2025-11-24&amp;ServiceDateTo=2025-11-24&amp;DumpsterInvNr=13-P-506569", "13-P-506569")</f>
        <v>13-P-506569</v>
      </c>
      <c r="C9304">
        <v>0.24</v>
      </c>
      <c r="D9304" t="s">
        <v>12568</v>
      </c>
      <c r="E9304" t="s">
        <v>11</v>
      </c>
      <c r="F9304" t="s">
        <v>1209</v>
      </c>
      <c r="G9304" t="s">
        <v>2178</v>
      </c>
      <c r="H9304" t="s">
        <v>432</v>
      </c>
    </row>
    <row r="9305" spans="1:8" hidden="1" x14ac:dyDescent="0.25">
      <c r="A9305" t="s">
        <v>12569</v>
      </c>
      <c r="B9305" s="1" t="str">
        <f>HYPERLINK("https://asmlis.vasa.lt/Dashboard/Served?ServiceDateFrom=2025-11-24&amp;ServiceDateTo=2025-11-24&amp;DumpsterInvNr=13-L-219553", "13-L-219553")</f>
        <v>13-L-219553</v>
      </c>
      <c r="C9305">
        <v>0.24</v>
      </c>
      <c r="D9305" t="s">
        <v>9693</v>
      </c>
      <c r="E9305" t="s">
        <v>11</v>
      </c>
      <c r="F9305" t="s">
        <v>1209</v>
      </c>
      <c r="G9305" t="s">
        <v>936</v>
      </c>
      <c r="H9305" t="s">
        <v>938</v>
      </c>
    </row>
    <row r="9306" spans="1:8" hidden="1" x14ac:dyDescent="0.25">
      <c r="A9306" t="s">
        <v>12570</v>
      </c>
      <c r="B9306" s="1" t="str">
        <f>HYPERLINK("https://asmlis.vasa.lt/Dashboard/Served?ServiceDateFrom=2025-11-24&amp;ServiceDateTo=2025-11-24&amp;DumpsterInvNr=13-P-206871", "13-P-206871")</f>
        <v>13-P-206871</v>
      </c>
      <c r="C9306">
        <v>0.24</v>
      </c>
      <c r="D9306" t="s">
        <v>11605</v>
      </c>
      <c r="E9306" t="s">
        <v>11</v>
      </c>
      <c r="G9306" t="s">
        <v>234</v>
      </c>
      <c r="H9306" t="s">
        <v>14</v>
      </c>
    </row>
    <row r="9307" spans="1:8" hidden="1" x14ac:dyDescent="0.25">
      <c r="A9307" t="s">
        <v>12571</v>
      </c>
      <c r="B9307" s="1" t="str">
        <f>HYPERLINK("https://asmlis.vasa.lt/Dashboard/Served?ServiceDateFrom=2025-11-24&amp;ServiceDateTo=2025-11-24&amp;DumpsterInvNr=13-L-128466", "13-L-128466")</f>
        <v>13-L-128466</v>
      </c>
      <c r="C9307">
        <v>0.12</v>
      </c>
      <c r="D9307" t="s">
        <v>12568</v>
      </c>
      <c r="E9307" t="s">
        <v>11</v>
      </c>
      <c r="F9307" t="s">
        <v>1209</v>
      </c>
      <c r="G9307" t="s">
        <v>430</v>
      </c>
      <c r="H9307" t="s">
        <v>432</v>
      </c>
    </row>
    <row r="9308" spans="1:8" hidden="1" x14ac:dyDescent="0.25">
      <c r="A9308" t="s">
        <v>12572</v>
      </c>
      <c r="B9308" s="1" t="str">
        <f>HYPERLINK("https://asmlis.vasa.lt/Dashboard/Served?ServiceDateFrom=2025-11-24&amp;ServiceDateTo=2025-11-24&amp;DumpsterInvNr=13-L-207494", "13-L-207494")</f>
        <v>13-L-207494</v>
      </c>
      <c r="C9308">
        <v>0.12</v>
      </c>
      <c r="D9308" t="s">
        <v>9660</v>
      </c>
      <c r="E9308" t="s">
        <v>11</v>
      </c>
      <c r="F9308" t="s">
        <v>1209</v>
      </c>
      <c r="G9308" t="s">
        <v>936</v>
      </c>
      <c r="H9308" t="s">
        <v>938</v>
      </c>
    </row>
    <row r="9309" spans="1:8" hidden="1" x14ac:dyDescent="0.25">
      <c r="A9309" t="s">
        <v>12572</v>
      </c>
      <c r="B9309" s="1" t="str">
        <f>HYPERLINK("https://asmlis.vasa.lt/Dashboard/Served?ServiceDateFrom=2025-11-24&amp;ServiceDateTo=2025-11-24&amp;DumpsterInvNr=13-M-202286", "13-M-202286")</f>
        <v>13-M-202286</v>
      </c>
      <c r="C9309">
        <v>0.12</v>
      </c>
      <c r="D9309" t="s">
        <v>12574</v>
      </c>
      <c r="E9309" t="s">
        <v>11</v>
      </c>
      <c r="G9309" t="s">
        <v>4876</v>
      </c>
      <c r="H9309" t="s">
        <v>938</v>
      </c>
    </row>
    <row r="9310" spans="1:8" hidden="1" x14ac:dyDescent="0.25">
      <c r="A9310" t="s">
        <v>12575</v>
      </c>
      <c r="B9310" s="1" t="str">
        <f>HYPERLINK("https://asmlis.vasa.lt/Dashboard/Served?ServiceDateFrom=2025-11-24&amp;ServiceDateTo=2025-11-24&amp;DumpsterInvNr=13-L-136609", "13-L-136609")</f>
        <v>13-L-136609</v>
      </c>
      <c r="C9310">
        <v>1.1000000000000001</v>
      </c>
      <c r="D9310" t="s">
        <v>12560</v>
      </c>
      <c r="E9310" t="s">
        <v>11</v>
      </c>
      <c r="G9310" t="s">
        <v>430</v>
      </c>
      <c r="H9310" t="s">
        <v>432</v>
      </c>
    </row>
    <row r="9311" spans="1:8" hidden="1" x14ac:dyDescent="0.25">
      <c r="A9311" t="s">
        <v>12576</v>
      </c>
      <c r="B9311" s="1" t="str">
        <f>HYPERLINK("https://asmlis.vasa.lt/Dashboard/Served?ServiceDateFrom=2025-11-24&amp;ServiceDateTo=2025-11-24&amp;DumpsterInvNr=13-P-506954", "13-P-506954")</f>
        <v>13-P-506954</v>
      </c>
      <c r="C9311">
        <v>0.24</v>
      </c>
      <c r="D9311" t="s">
        <v>12529</v>
      </c>
      <c r="E9311" t="s">
        <v>11</v>
      </c>
      <c r="F9311" t="s">
        <v>1209</v>
      </c>
      <c r="G9311" t="s">
        <v>2178</v>
      </c>
      <c r="H9311" t="s">
        <v>432</v>
      </c>
    </row>
    <row r="9312" spans="1:8" hidden="1" x14ac:dyDescent="0.25">
      <c r="A9312" t="s">
        <v>12577</v>
      </c>
      <c r="B9312" s="1" t="str">
        <f>HYPERLINK("https://asmlis.vasa.lt/Dashboard/Served?ServiceDateFrom=2025-11-24&amp;ServiceDateTo=2025-11-24&amp;DumpsterInvNr=13-L-208381", "13-L-208381")</f>
        <v>13-L-208381</v>
      </c>
      <c r="C9312">
        <v>0.12</v>
      </c>
      <c r="D9312" t="s">
        <v>9993</v>
      </c>
      <c r="E9312" t="s">
        <v>11</v>
      </c>
      <c r="F9312" t="s">
        <v>1209</v>
      </c>
      <c r="G9312" t="s">
        <v>936</v>
      </c>
      <c r="H9312" t="s">
        <v>938</v>
      </c>
    </row>
    <row r="9313" spans="1:8" hidden="1" x14ac:dyDescent="0.25">
      <c r="A9313" t="s">
        <v>12579</v>
      </c>
      <c r="B9313" s="1" t="str">
        <f>HYPERLINK("https://asmlis.vasa.lt/Dashboard/Served?ServiceDateFrom=2025-11-24&amp;ServiceDateTo=2025-11-24&amp;DumpsterInvNr=13-L-318335", "13-L-318335")</f>
        <v>13-L-318335</v>
      </c>
      <c r="C9313">
        <v>0.77</v>
      </c>
      <c r="D9313" t="s">
        <v>12580</v>
      </c>
      <c r="E9313" t="s">
        <v>11</v>
      </c>
      <c r="G9313" t="s">
        <v>9</v>
      </c>
      <c r="H9313" t="s">
        <v>14</v>
      </c>
    </row>
    <row r="9314" spans="1:8" hidden="1" x14ac:dyDescent="0.25">
      <c r="A9314" t="s">
        <v>12581</v>
      </c>
      <c r="B9314" s="1" t="str">
        <f>HYPERLINK("https://asmlis.vasa.lt/Dashboard/Served?ServiceDateFrom=2025-11-24&amp;ServiceDateTo=2025-11-24&amp;DumpsterInvNr=13-S-505137", "13-S-505137")</f>
        <v>13-S-505137</v>
      </c>
      <c r="C9314">
        <v>0.12</v>
      </c>
      <c r="D9314" t="s">
        <v>12529</v>
      </c>
      <c r="E9314" t="s">
        <v>11</v>
      </c>
      <c r="F9314" t="s">
        <v>1209</v>
      </c>
      <c r="G9314" t="s">
        <v>2178</v>
      </c>
      <c r="H9314" t="s">
        <v>432</v>
      </c>
    </row>
    <row r="9315" spans="1:8" hidden="1" x14ac:dyDescent="0.25">
      <c r="A9315" t="s">
        <v>12583</v>
      </c>
      <c r="B9315" s="1" t="str">
        <f>HYPERLINK("https://asmlis.vasa.lt/Dashboard/Served?ServiceDateFrom=2025-11-24&amp;ServiceDateTo=2025-11-24&amp;DumpsterInvNr=13-L-404645", "13-L-404645")</f>
        <v>13-L-404645</v>
      </c>
      <c r="C9315">
        <v>0.12</v>
      </c>
      <c r="D9315" t="s">
        <v>7569</v>
      </c>
      <c r="E9315" t="s">
        <v>11</v>
      </c>
      <c r="G9315" t="s">
        <v>74</v>
      </c>
      <c r="H9315" t="s">
        <v>14</v>
      </c>
    </row>
    <row r="9316" spans="1:8" hidden="1" x14ac:dyDescent="0.25">
      <c r="A9316" t="s">
        <v>12583</v>
      </c>
      <c r="B9316" s="1" t="str">
        <f>HYPERLINK("https://asmlis.vasa.lt/Dashboard/Served?ServiceDateFrom=2025-11-24&amp;ServiceDateTo=2025-11-24&amp;DumpsterInvNr=13-M-204352", "13-M-204352")</f>
        <v>13-M-204352</v>
      </c>
      <c r="C9316">
        <v>0.12</v>
      </c>
      <c r="D9316" t="s">
        <v>12585</v>
      </c>
      <c r="E9316" t="s">
        <v>11</v>
      </c>
      <c r="F9316" t="s">
        <v>1209</v>
      </c>
      <c r="G9316" t="s">
        <v>4876</v>
      </c>
      <c r="H9316" t="s">
        <v>938</v>
      </c>
    </row>
    <row r="9317" spans="1:8" hidden="1" x14ac:dyDescent="0.25">
      <c r="A9317" t="s">
        <v>12586</v>
      </c>
      <c r="B9317" s="1" t="str">
        <f>HYPERLINK("https://asmlis.vasa.lt/Dashboard/Served?ServiceDateFrom=2025-11-24&amp;ServiceDateTo=2025-11-24&amp;DumpsterInvNr=13-M-204934", "13-M-204934")</f>
        <v>13-M-204934</v>
      </c>
      <c r="C9317">
        <v>0.12</v>
      </c>
      <c r="D9317" t="s">
        <v>12587</v>
      </c>
      <c r="E9317" t="s">
        <v>11</v>
      </c>
      <c r="F9317" t="s">
        <v>1209</v>
      </c>
      <c r="G9317" t="s">
        <v>4876</v>
      </c>
      <c r="H9317" t="s">
        <v>938</v>
      </c>
    </row>
    <row r="9318" spans="1:8" hidden="1" x14ac:dyDescent="0.25">
      <c r="A9318" t="s">
        <v>12588</v>
      </c>
      <c r="B9318" s="1" t="str">
        <f>HYPERLINK("https://asmlis.vasa.lt/Dashboard/Served?ServiceDateFrom=2025-11-24&amp;ServiceDateTo=2025-11-24&amp;DumpsterInvNr=13-L-415867", "13-L-415867")</f>
        <v>13-L-415867</v>
      </c>
      <c r="C9318">
        <v>1.1000000000000001</v>
      </c>
      <c r="D9318" t="s">
        <v>12589</v>
      </c>
      <c r="E9318" t="s">
        <v>11</v>
      </c>
      <c r="G9318" t="s">
        <v>74</v>
      </c>
      <c r="H9318" t="s">
        <v>14</v>
      </c>
    </row>
    <row r="9319" spans="1:8" hidden="1" x14ac:dyDescent="0.25">
      <c r="A9319" t="s">
        <v>12590</v>
      </c>
      <c r="B9319" s="1" t="str">
        <f>HYPERLINK("https://asmlis.vasa.lt/Dashboard/Served?ServiceDateFrom=2025-11-24&amp;ServiceDateTo=2025-11-24&amp;DumpsterInvNr=13-P-115424", "13-P-115424")</f>
        <v>13-P-115424</v>
      </c>
      <c r="C9319">
        <v>1.1000000000000001</v>
      </c>
      <c r="D9319" t="s">
        <v>12591</v>
      </c>
      <c r="E9319" t="s">
        <v>11</v>
      </c>
      <c r="G9319" t="s">
        <v>1917</v>
      </c>
      <c r="H9319" t="s">
        <v>432</v>
      </c>
    </row>
    <row r="9320" spans="1:8" hidden="1" x14ac:dyDescent="0.25">
      <c r="A9320" t="s">
        <v>12592</v>
      </c>
      <c r="B9320" s="1" t="str">
        <f>HYPERLINK("https://asmlis.vasa.lt/Dashboard/Served?ServiceDateFrom=2025-11-24&amp;ServiceDateTo=2025-11-24&amp;DumpsterInvNr=13-L-136611", "13-L-136611")</f>
        <v>13-L-136611</v>
      </c>
      <c r="C9320">
        <v>1.1000000000000001</v>
      </c>
      <c r="D9320" t="s">
        <v>12560</v>
      </c>
      <c r="E9320" t="s">
        <v>11</v>
      </c>
      <c r="G9320" t="s">
        <v>430</v>
      </c>
      <c r="H9320" t="s">
        <v>432</v>
      </c>
    </row>
    <row r="9321" spans="1:8" hidden="1" x14ac:dyDescent="0.25">
      <c r="A9321" t="s">
        <v>12594</v>
      </c>
      <c r="B9321" s="1" t="str">
        <f>HYPERLINK("https://asmlis.vasa.lt/Dashboard/Served?ServiceDateFrom=2025-11-24&amp;ServiceDateTo=2025-11-24&amp;DumpsterInvNr=13-L-318334", "13-L-318334")</f>
        <v>13-L-318334</v>
      </c>
      <c r="C9321">
        <v>0.66</v>
      </c>
      <c r="D9321" t="s">
        <v>12580</v>
      </c>
      <c r="E9321" t="s">
        <v>11</v>
      </c>
      <c r="G9321" t="s">
        <v>9</v>
      </c>
      <c r="H9321" t="s">
        <v>14</v>
      </c>
    </row>
    <row r="9322" spans="1:8" hidden="1" x14ac:dyDescent="0.25">
      <c r="A9322" t="s">
        <v>12595</v>
      </c>
      <c r="B9322" s="1" t="str">
        <f>HYPERLINK("https://asmlis.vasa.lt/Dashboard/Served?ServiceDateFrom=2025-11-24&amp;ServiceDateTo=2025-11-24&amp;DumpsterInvNr=13-P-211300", "13-P-211300")</f>
        <v>13-P-211300</v>
      </c>
      <c r="C9322">
        <v>0.24</v>
      </c>
      <c r="D9322" t="s">
        <v>11612</v>
      </c>
      <c r="E9322" t="s">
        <v>11</v>
      </c>
      <c r="G9322" t="s">
        <v>234</v>
      </c>
      <c r="H9322" t="s">
        <v>14</v>
      </c>
    </row>
    <row r="9323" spans="1:8" hidden="1" x14ac:dyDescent="0.25">
      <c r="A9323" t="s">
        <v>12596</v>
      </c>
      <c r="B9323" s="1" t="str">
        <f>HYPERLINK("https://asmlis.vasa.lt/Dashboard/Served?ServiceDateFrom=2025-11-24&amp;ServiceDateTo=2025-11-24&amp;DumpsterInvNr=13-P-302605", "13-P-302605")</f>
        <v>13-P-302605</v>
      </c>
      <c r="C9323">
        <v>5</v>
      </c>
      <c r="D9323" t="s">
        <v>2341</v>
      </c>
      <c r="E9323" t="s">
        <v>11</v>
      </c>
      <c r="G9323" t="s">
        <v>412</v>
      </c>
      <c r="H9323" t="s">
        <v>14</v>
      </c>
    </row>
    <row r="9324" spans="1:8" hidden="1" x14ac:dyDescent="0.25">
      <c r="A9324" t="s">
        <v>12597</v>
      </c>
      <c r="B9324" s="1" t="str">
        <f>HYPERLINK("https://asmlis.vasa.lt/Dashboard/Served?ServiceDateFrom=2025-11-24&amp;ServiceDateTo=2025-11-24&amp;DumpsterInvNr=13-L-143836", "13-L-143836")</f>
        <v>13-L-143836</v>
      </c>
      <c r="C9324">
        <v>3</v>
      </c>
      <c r="D9324" t="s">
        <v>12598</v>
      </c>
      <c r="E9324" t="s">
        <v>11</v>
      </c>
      <c r="F9324" t="s">
        <v>13</v>
      </c>
      <c r="G9324" t="s">
        <v>430</v>
      </c>
      <c r="H9324" t="s">
        <v>432</v>
      </c>
    </row>
    <row r="9325" spans="1:8" hidden="1" x14ac:dyDescent="0.25">
      <c r="A9325" t="s">
        <v>12600</v>
      </c>
      <c r="B9325" s="1" t="str">
        <f>HYPERLINK("https://asmlis.vasa.lt/Dashboard/Served?ServiceDateFrom=2025-11-24&amp;ServiceDateTo=2025-11-24&amp;DumpsterInvNr=13-L-143835", "13-L-143835")</f>
        <v>13-L-143835</v>
      </c>
      <c r="C9325">
        <v>3</v>
      </c>
      <c r="D9325" t="s">
        <v>12598</v>
      </c>
      <c r="E9325" t="s">
        <v>11</v>
      </c>
      <c r="F9325" t="s">
        <v>13</v>
      </c>
      <c r="G9325" t="s">
        <v>430</v>
      </c>
      <c r="H9325" t="s">
        <v>432</v>
      </c>
    </row>
    <row r="9326" spans="1:8" hidden="1" x14ac:dyDescent="0.25">
      <c r="A9326" t="s">
        <v>12600</v>
      </c>
      <c r="B9326" s="1" t="str">
        <f>HYPERLINK("https://asmlis.vasa.lt/Dashboard/Served?ServiceDateFrom=2025-11-24&amp;ServiceDateTo=2025-11-24&amp;DumpsterInvNr=13-L-136152", "13-L-136152")</f>
        <v>13-L-136152</v>
      </c>
      <c r="C9326">
        <v>1.1000000000000001</v>
      </c>
      <c r="D9326" t="s">
        <v>12602</v>
      </c>
      <c r="E9326" t="s">
        <v>12</v>
      </c>
      <c r="F9326" t="s">
        <v>13</v>
      </c>
      <c r="H9326" t="s">
        <v>432</v>
      </c>
    </row>
    <row r="9327" spans="1:8" hidden="1" x14ac:dyDescent="0.25">
      <c r="A9327" t="s">
        <v>12603</v>
      </c>
      <c r="B9327" s="1" t="str">
        <f>HYPERLINK("https://asmlis.vasa.lt/Dashboard/Served?ServiceDateFrom=2025-11-24&amp;ServiceDateTo=2025-11-24&amp;DumpsterInvNr=13-L-137973", "13-L-137973")</f>
        <v>13-L-137973</v>
      </c>
      <c r="C9327">
        <v>1.1000000000000001</v>
      </c>
      <c r="D9327" t="s">
        <v>12604</v>
      </c>
      <c r="E9327" t="s">
        <v>12</v>
      </c>
      <c r="F9327" t="s">
        <v>13</v>
      </c>
      <c r="H9327" t="s">
        <v>432</v>
      </c>
    </row>
    <row r="9328" spans="1:8" hidden="1" x14ac:dyDescent="0.25">
      <c r="A9328" t="s">
        <v>12605</v>
      </c>
      <c r="B9328" s="1" t="str">
        <f>HYPERLINK("https://asmlis.vasa.lt/Dashboard/Served?ServiceDateFrom=2025-11-24&amp;ServiceDateTo=2025-11-24&amp;DumpsterInvNr=13-L-126502", "13-L-126502")</f>
        <v>13-L-126502</v>
      </c>
      <c r="C9328">
        <v>0.24</v>
      </c>
      <c r="D9328" t="s">
        <v>12606</v>
      </c>
      <c r="E9328" t="s">
        <v>11</v>
      </c>
      <c r="G9328" t="s">
        <v>430</v>
      </c>
      <c r="H9328" t="s">
        <v>432</v>
      </c>
    </row>
    <row r="9329" spans="1:10" hidden="1" x14ac:dyDescent="0.25">
      <c r="A9329" t="s">
        <v>12605</v>
      </c>
      <c r="B9329" s="1" t="str">
        <f>HYPERLINK("https://asmlis.vasa.lt/Dashboard/Served?ServiceDateFrom=2025-11-24&amp;ServiceDateTo=2025-11-24&amp;DumpsterInvNr=13-L-136610", "13-L-136610")</f>
        <v>13-L-136610</v>
      </c>
      <c r="C9329">
        <v>1.1000000000000001</v>
      </c>
      <c r="D9329" t="s">
        <v>12560</v>
      </c>
      <c r="E9329" t="s">
        <v>11</v>
      </c>
      <c r="G9329" t="s">
        <v>430</v>
      </c>
      <c r="H9329" t="s">
        <v>432</v>
      </c>
    </row>
    <row r="9330" spans="1:10" hidden="1" x14ac:dyDescent="0.25">
      <c r="A9330" t="s">
        <v>12605</v>
      </c>
      <c r="B9330" s="1" t="str">
        <f>HYPERLINK("https://asmlis.vasa.lt/Dashboard/Served?ServiceDateFrom=2025-11-24&amp;ServiceDateTo=2025-11-24&amp;DumpsterInvNr=13-P-506659", "13-P-506659")</f>
        <v>13-P-506659</v>
      </c>
      <c r="C9330">
        <v>0.24</v>
      </c>
      <c r="D9330" t="s">
        <v>12607</v>
      </c>
      <c r="E9330" t="s">
        <v>11</v>
      </c>
      <c r="G9330" t="s">
        <v>2178</v>
      </c>
      <c r="H9330" t="s">
        <v>432</v>
      </c>
    </row>
    <row r="9331" spans="1:10" hidden="1" x14ac:dyDescent="0.25">
      <c r="A9331" t="s">
        <v>12608</v>
      </c>
      <c r="B9331" s="1" t="str">
        <f>HYPERLINK("https://asmlis.vasa.lt/Dashboard/Served?ServiceDateFrom=2025-11-24&amp;ServiceDateTo=2025-11-24&amp;DumpsterInvNr=13-T-000254", "13-T-000254")</f>
        <v>13-T-000254</v>
      </c>
      <c r="C9331">
        <v>2.5</v>
      </c>
      <c r="D9331" t="s">
        <v>12609</v>
      </c>
      <c r="E9331" t="s">
        <v>11</v>
      </c>
      <c r="F9331" t="s">
        <v>13</v>
      </c>
      <c r="G9331" t="s">
        <v>1899</v>
      </c>
      <c r="H9331" t="s">
        <v>432</v>
      </c>
    </row>
    <row r="9332" spans="1:10" x14ac:dyDescent="0.25">
      <c r="A9332" t="s">
        <v>12610</v>
      </c>
      <c r="B9332" s="1" t="str">
        <f>HYPERLINK("https://asmlis.vasa.lt/Dashboard/Served?ServiceDateFrom=2025-11-24&amp;ServiceDateTo=2025-11-24&amp;DumpsterInvNr=13-L-133359", "13-L-133359")</f>
        <v>13-L-133359</v>
      </c>
      <c r="C9332">
        <v>0.24</v>
      </c>
      <c r="D9332" t="s">
        <v>12611</v>
      </c>
      <c r="E9332" t="s">
        <v>11</v>
      </c>
      <c r="F9332" t="s">
        <v>2556</v>
      </c>
      <c r="G9332" t="s">
        <v>1912</v>
      </c>
      <c r="H9332" t="s">
        <v>432</v>
      </c>
      <c r="J9332" t="s">
        <v>17511</v>
      </c>
    </row>
    <row r="9333" spans="1:10" hidden="1" x14ac:dyDescent="0.25">
      <c r="A9333" t="s">
        <v>12612</v>
      </c>
      <c r="B9333" s="1" t="str">
        <f>HYPERLINK("https://asmlis.vasa.lt/Dashboard/Served?ServiceDateFrom=2025-11-24&amp;ServiceDateTo=2025-11-24&amp;DumpsterInvNr=13-L-404646", "13-L-404646")</f>
        <v>13-L-404646</v>
      </c>
      <c r="C9333">
        <v>0.12</v>
      </c>
      <c r="D9333" t="s">
        <v>7607</v>
      </c>
      <c r="E9333" t="s">
        <v>11</v>
      </c>
      <c r="G9333" t="s">
        <v>74</v>
      </c>
      <c r="H9333" t="s">
        <v>14</v>
      </c>
    </row>
    <row r="9334" spans="1:10" hidden="1" x14ac:dyDescent="0.25">
      <c r="A9334" t="s">
        <v>12614</v>
      </c>
      <c r="B9334" s="1" t="str">
        <f>HYPERLINK("https://asmlis.vasa.lt/Dashboard/Served?ServiceDateFrom=2025-11-24&amp;ServiceDateTo=2025-11-24&amp;DumpsterInvNr=13-P-204666", "13-P-204666")</f>
        <v>13-P-204666</v>
      </c>
      <c r="C9334">
        <v>0.24</v>
      </c>
      <c r="D9334" t="s">
        <v>11462</v>
      </c>
      <c r="E9334" t="s">
        <v>11</v>
      </c>
      <c r="G9334" t="s">
        <v>234</v>
      </c>
      <c r="H9334" t="s">
        <v>14</v>
      </c>
    </row>
    <row r="9335" spans="1:10" hidden="1" x14ac:dyDescent="0.25">
      <c r="A9335" t="s">
        <v>12615</v>
      </c>
      <c r="B9335" s="1" t="str">
        <f>HYPERLINK("https://asmlis.vasa.lt/Dashboard/Served?ServiceDateFrom=2025-11-24&amp;ServiceDateTo=2025-11-24&amp;DumpsterInvNr=13-L-425252", "13-L-425252")</f>
        <v>13-L-425252</v>
      </c>
      <c r="C9335">
        <v>5</v>
      </c>
      <c r="D9335" t="s">
        <v>12616</v>
      </c>
      <c r="E9335" t="s">
        <v>11</v>
      </c>
      <c r="G9335" t="s">
        <v>74</v>
      </c>
      <c r="H9335" t="s">
        <v>14</v>
      </c>
    </row>
    <row r="9336" spans="1:10" hidden="1" x14ac:dyDescent="0.25">
      <c r="A9336" t="s">
        <v>12617</v>
      </c>
      <c r="B9336" s="1" t="str">
        <f>HYPERLINK("https://asmlis.vasa.lt/Dashboard/Served?ServiceDateFrom=2025-11-24&amp;ServiceDateTo=2025-11-24&amp;DumpsterInvNr=13-L-140383", "13-L-140383")</f>
        <v>13-L-140383</v>
      </c>
      <c r="C9336">
        <v>1.1000000000000001</v>
      </c>
      <c r="D9336" t="s">
        <v>12618</v>
      </c>
      <c r="E9336" t="s">
        <v>11</v>
      </c>
      <c r="G9336" t="s">
        <v>430</v>
      </c>
      <c r="H9336" t="s">
        <v>432</v>
      </c>
    </row>
    <row r="9337" spans="1:10" hidden="1" x14ac:dyDescent="0.25">
      <c r="A9337" t="s">
        <v>12617</v>
      </c>
      <c r="B9337" s="1" t="str">
        <f>HYPERLINK("https://asmlis.vasa.lt/Dashboard/Served?ServiceDateFrom=2025-11-24&amp;ServiceDateTo=2025-11-24&amp;DumpsterInvNr=13-S-505134", "13-S-505134")</f>
        <v>13-S-505134</v>
      </c>
      <c r="C9337">
        <v>0.12</v>
      </c>
      <c r="D9337" t="s">
        <v>12606</v>
      </c>
      <c r="E9337" t="s">
        <v>11</v>
      </c>
      <c r="G9337" t="s">
        <v>2178</v>
      </c>
      <c r="H9337" t="s">
        <v>432</v>
      </c>
    </row>
    <row r="9338" spans="1:10" x14ac:dyDescent="0.25">
      <c r="A9338" t="s">
        <v>12621</v>
      </c>
      <c r="B9338" s="1" t="str">
        <f>HYPERLINK("https://asmlis.vasa.lt/Dashboard/Served?ServiceDateFrom=2025-11-24&amp;ServiceDateTo=2025-11-24&amp;DumpsterInvNr=13-L-132681", "13-L-132681")</f>
        <v>13-L-132681</v>
      </c>
      <c r="C9338">
        <v>0.77</v>
      </c>
      <c r="D9338" t="s">
        <v>12622</v>
      </c>
      <c r="E9338" t="s">
        <v>11</v>
      </c>
      <c r="F9338" t="s">
        <v>2556</v>
      </c>
      <c r="G9338" t="s">
        <v>1912</v>
      </c>
      <c r="H9338" t="s">
        <v>432</v>
      </c>
      <c r="J9338" t="s">
        <v>17511</v>
      </c>
    </row>
    <row r="9339" spans="1:10" hidden="1" x14ac:dyDescent="0.25">
      <c r="A9339" t="s">
        <v>12623</v>
      </c>
      <c r="B9339" s="1" t="str">
        <f>HYPERLINK("https://asmlis.vasa.lt/Dashboard/Served?ServiceDateFrom=2025-11-24&amp;ServiceDateTo=2025-11-24&amp;DumpsterInvNr=13-S-411057", "13-S-411057")</f>
        <v>13-S-411057</v>
      </c>
      <c r="C9339">
        <v>0.12</v>
      </c>
      <c r="D9339" t="s">
        <v>1631</v>
      </c>
      <c r="E9339" t="s">
        <v>11</v>
      </c>
      <c r="G9339" t="s">
        <v>264</v>
      </c>
      <c r="H9339" t="s">
        <v>14</v>
      </c>
    </row>
    <row r="9340" spans="1:10" hidden="1" x14ac:dyDescent="0.25">
      <c r="A9340" t="s">
        <v>12624</v>
      </c>
      <c r="B9340" s="1" t="str">
        <f>HYPERLINK("https://asmlis.vasa.lt/Dashboard/Served?ServiceDateFrom=2025-11-24&amp;ServiceDateTo=2025-11-24&amp;DumpsterInvNr=13-P-506558", "13-P-506558")</f>
        <v>13-P-506558</v>
      </c>
      <c r="C9340">
        <v>0.24</v>
      </c>
      <c r="D9340" t="s">
        <v>12606</v>
      </c>
      <c r="E9340" t="s">
        <v>11</v>
      </c>
      <c r="G9340" t="s">
        <v>2178</v>
      </c>
      <c r="H9340" t="s">
        <v>432</v>
      </c>
    </row>
    <row r="9341" spans="1:10" hidden="1" x14ac:dyDescent="0.25">
      <c r="A9341" t="s">
        <v>12625</v>
      </c>
      <c r="B9341" s="1" t="str">
        <f>HYPERLINK("https://asmlis.vasa.lt/Dashboard/Served?ServiceDateFrom=2025-11-24&amp;ServiceDateTo=2025-11-24&amp;DumpsterInvNr=13-L-141490", "13-L-141490")</f>
        <v>13-L-141490</v>
      </c>
      <c r="C9341">
        <v>0.24</v>
      </c>
      <c r="D9341" t="s">
        <v>12606</v>
      </c>
      <c r="E9341" t="s">
        <v>11</v>
      </c>
      <c r="G9341" t="s">
        <v>430</v>
      </c>
      <c r="H9341" t="s">
        <v>432</v>
      </c>
    </row>
    <row r="9342" spans="1:10" hidden="1" x14ac:dyDescent="0.25">
      <c r="A9342" t="s">
        <v>12627</v>
      </c>
      <c r="B9342" s="1" t="str">
        <f>HYPERLINK("https://asmlis.vasa.lt/Dashboard/Served?ServiceDateFrom=2025-11-24&amp;ServiceDateTo=2025-11-24&amp;DumpsterInvNr=13-M-202320", "13-M-202320")</f>
        <v>13-M-202320</v>
      </c>
      <c r="C9342">
        <v>0.12</v>
      </c>
      <c r="D9342" t="s">
        <v>12628</v>
      </c>
      <c r="E9342" t="s">
        <v>11</v>
      </c>
      <c r="G9342" t="s">
        <v>4876</v>
      </c>
      <c r="H9342" t="s">
        <v>938</v>
      </c>
    </row>
    <row r="9343" spans="1:10" hidden="1" x14ac:dyDescent="0.25">
      <c r="A9343" t="s">
        <v>12629</v>
      </c>
      <c r="B9343" s="1" t="str">
        <f>HYPERLINK("https://asmlis.vasa.lt/Dashboard/Served?ServiceDateFrom=2025-11-24&amp;ServiceDateTo=2025-11-24&amp;DumpsterInvNr=13-L-419368", "13-L-419368")</f>
        <v>13-L-419368</v>
      </c>
      <c r="C9343">
        <v>0.12</v>
      </c>
      <c r="D9343" t="s">
        <v>12630</v>
      </c>
      <c r="E9343" t="s">
        <v>11</v>
      </c>
      <c r="G9343" t="s">
        <v>74</v>
      </c>
      <c r="H9343" t="s">
        <v>14</v>
      </c>
    </row>
    <row r="9344" spans="1:10" hidden="1" x14ac:dyDescent="0.25">
      <c r="A9344" t="s">
        <v>12631</v>
      </c>
      <c r="B9344" s="1" t="str">
        <f>HYPERLINK("https://asmlis.vasa.lt/Dashboard/Served?ServiceDateFrom=2025-11-24&amp;ServiceDateTo=2025-11-24&amp;DumpsterInvNr=13-L-141350", "13-L-141350")</f>
        <v>13-L-141350</v>
      </c>
      <c r="C9344">
        <v>0.24</v>
      </c>
      <c r="D9344" t="s">
        <v>12632</v>
      </c>
      <c r="E9344" t="s">
        <v>11</v>
      </c>
      <c r="G9344" t="s">
        <v>430</v>
      </c>
      <c r="H9344" t="s">
        <v>432</v>
      </c>
    </row>
    <row r="9345" spans="1:10" x14ac:dyDescent="0.25">
      <c r="A9345" t="s">
        <v>12631</v>
      </c>
      <c r="B9345" s="1" t="str">
        <f>HYPERLINK("https://asmlis.vasa.lt/Dashboard/Served?ServiceDateFrom=2025-11-24&amp;ServiceDateTo=2025-11-24&amp;DumpsterInvNr=13-P-103416", "13-P-103416")</f>
        <v>13-P-103416</v>
      </c>
      <c r="C9345">
        <v>0.24</v>
      </c>
      <c r="D9345" t="s">
        <v>12611</v>
      </c>
      <c r="E9345" t="s">
        <v>11</v>
      </c>
      <c r="F9345" t="s">
        <v>2556</v>
      </c>
      <c r="G9345" t="s">
        <v>1917</v>
      </c>
      <c r="H9345" t="s">
        <v>432</v>
      </c>
      <c r="J9345" t="s">
        <v>17511</v>
      </c>
    </row>
    <row r="9346" spans="1:10" hidden="1" x14ac:dyDescent="0.25">
      <c r="A9346" t="s">
        <v>12634</v>
      </c>
      <c r="B9346" s="1" t="str">
        <f>HYPERLINK("https://asmlis.vasa.lt/Dashboard/Served?ServiceDateFrom=2025-11-24&amp;ServiceDateTo=2025-11-24&amp;DumpsterInvNr=13-P-210969", "13-P-210969")</f>
        <v>13-P-210969</v>
      </c>
      <c r="C9346">
        <v>0.24</v>
      </c>
      <c r="D9346" t="s">
        <v>12635</v>
      </c>
      <c r="E9346" t="s">
        <v>11</v>
      </c>
      <c r="G9346" t="s">
        <v>234</v>
      </c>
      <c r="H9346" t="s">
        <v>14</v>
      </c>
    </row>
    <row r="9347" spans="1:10" hidden="1" x14ac:dyDescent="0.25">
      <c r="A9347" t="s">
        <v>12636</v>
      </c>
      <c r="B9347" s="1" t="str">
        <f>HYPERLINK("https://asmlis.vasa.lt/Dashboard/Served?ServiceDateFrom=2025-11-24&amp;ServiceDateTo=2025-11-24&amp;DumpsterInvNr=13-L-317965", "13-L-317965")</f>
        <v>13-L-317965</v>
      </c>
      <c r="C9347">
        <v>5</v>
      </c>
      <c r="D9347" t="s">
        <v>7420</v>
      </c>
      <c r="E9347" t="s">
        <v>11</v>
      </c>
      <c r="F9347" t="s">
        <v>13</v>
      </c>
      <c r="G9347" t="s">
        <v>9</v>
      </c>
      <c r="H9347" t="s">
        <v>14</v>
      </c>
    </row>
    <row r="9348" spans="1:10" hidden="1" x14ac:dyDescent="0.25">
      <c r="A9348" t="s">
        <v>12637</v>
      </c>
      <c r="B9348" s="1" t="str">
        <f>HYPERLINK("https://asmlis.vasa.lt/Dashboard/Served?ServiceDateFrom=2025-11-24&amp;ServiceDateTo=2025-11-24&amp;DumpsterInvNr=13-L-423500", "13-L-423500")</f>
        <v>13-L-423500</v>
      </c>
      <c r="C9348">
        <v>0.12</v>
      </c>
      <c r="D9348" t="s">
        <v>7593</v>
      </c>
      <c r="E9348" t="s">
        <v>11</v>
      </c>
      <c r="F9348" t="s">
        <v>1209</v>
      </c>
      <c r="G9348" t="s">
        <v>74</v>
      </c>
      <c r="H9348" t="s">
        <v>14</v>
      </c>
    </row>
    <row r="9349" spans="1:10" hidden="1" x14ac:dyDescent="0.25">
      <c r="A9349" t="s">
        <v>12638</v>
      </c>
      <c r="B9349" s="1" t="str">
        <f>HYPERLINK("https://asmlis.vasa.lt/Dashboard/Served?ServiceDateFrom=2025-11-24&amp;ServiceDateTo=2025-11-24&amp;DumpsterInvNr=13-P-302451", "13-P-302451")</f>
        <v>13-P-302451</v>
      </c>
      <c r="C9349">
        <v>5</v>
      </c>
      <c r="D9349" t="s">
        <v>12639</v>
      </c>
      <c r="E9349" t="s">
        <v>11</v>
      </c>
      <c r="G9349" t="s">
        <v>412</v>
      </c>
      <c r="H9349" t="s">
        <v>14</v>
      </c>
    </row>
    <row r="9350" spans="1:10" x14ac:dyDescent="0.25">
      <c r="A9350" t="s">
        <v>12640</v>
      </c>
      <c r="B9350" s="1" t="str">
        <f>HYPERLINK("https://asmlis.vasa.lt/Dashboard/Served?ServiceDateFrom=2025-11-24&amp;ServiceDateTo=2025-11-24&amp;DumpsterInvNr=13-P-101119", "13-P-101119")</f>
        <v>13-P-101119</v>
      </c>
      <c r="C9350">
        <v>0.24</v>
      </c>
      <c r="D9350" t="s">
        <v>12641</v>
      </c>
      <c r="E9350" t="s">
        <v>11</v>
      </c>
      <c r="F9350" t="s">
        <v>2556</v>
      </c>
      <c r="G9350" t="s">
        <v>1917</v>
      </c>
      <c r="H9350" t="s">
        <v>432</v>
      </c>
      <c r="J9350" t="s">
        <v>17511</v>
      </c>
    </row>
    <row r="9351" spans="1:10" hidden="1" x14ac:dyDescent="0.25">
      <c r="A9351" t="s">
        <v>12642</v>
      </c>
      <c r="B9351" s="1" t="str">
        <f>HYPERLINK("https://asmlis.vasa.lt/Dashboard/Served?ServiceDateFrom=2025-11-24&amp;ServiceDateTo=2025-11-24&amp;DumpsterInvNr=13-S-505135", "13-S-505135")</f>
        <v>13-S-505135</v>
      </c>
      <c r="C9351">
        <v>0.12</v>
      </c>
      <c r="D9351" t="s">
        <v>12632</v>
      </c>
      <c r="E9351" t="s">
        <v>11</v>
      </c>
      <c r="F9351" t="s">
        <v>1209</v>
      </c>
      <c r="G9351" t="s">
        <v>2178</v>
      </c>
      <c r="H9351" t="s">
        <v>432</v>
      </c>
    </row>
    <row r="9352" spans="1:10" hidden="1" x14ac:dyDescent="0.25">
      <c r="A9352" t="s">
        <v>12644</v>
      </c>
      <c r="B9352" s="1" t="str">
        <f>HYPERLINK("https://asmlis.vasa.lt/Dashboard/Served?ServiceDateFrom=2025-11-24&amp;ServiceDateTo=2025-11-24&amp;DumpsterInvNr=13-L-124114", "13-L-124114")</f>
        <v>13-L-124114</v>
      </c>
      <c r="C9352">
        <v>1.1000000000000001</v>
      </c>
      <c r="D9352" t="s">
        <v>12618</v>
      </c>
      <c r="E9352" t="s">
        <v>11</v>
      </c>
      <c r="G9352" t="s">
        <v>430</v>
      </c>
      <c r="H9352" t="s">
        <v>432</v>
      </c>
    </row>
    <row r="9353" spans="1:10" hidden="1" x14ac:dyDescent="0.25">
      <c r="A9353" t="s">
        <v>12645</v>
      </c>
      <c r="B9353" s="1" t="str">
        <f>HYPERLINK("https://asmlis.vasa.lt/Dashboard/Served?ServiceDateFrom=2025-11-24&amp;ServiceDateTo=2025-11-24&amp;DumpsterInvNr=13-L-132745", "13-L-132745")</f>
        <v>13-L-132745</v>
      </c>
      <c r="C9353">
        <v>0.24</v>
      </c>
      <c r="D9353" t="s">
        <v>12607</v>
      </c>
      <c r="E9353" t="s">
        <v>11</v>
      </c>
      <c r="F9353" t="s">
        <v>1209</v>
      </c>
      <c r="G9353" t="s">
        <v>430</v>
      </c>
      <c r="H9353" t="s">
        <v>432</v>
      </c>
    </row>
    <row r="9354" spans="1:10" x14ac:dyDescent="0.25">
      <c r="A9354" t="s">
        <v>12646</v>
      </c>
      <c r="B9354" s="1" t="str">
        <f>HYPERLINK("https://asmlis.vasa.lt/Dashboard/Served?ServiceDateFrom=2025-11-24&amp;ServiceDateTo=2025-11-24&amp;DumpsterInvNr=13-L-133896", "13-L-133896")</f>
        <v>13-L-133896</v>
      </c>
      <c r="C9354">
        <v>0.24</v>
      </c>
      <c r="D9354" t="s">
        <v>12641</v>
      </c>
      <c r="E9354" t="s">
        <v>11</v>
      </c>
      <c r="F9354" t="s">
        <v>2556</v>
      </c>
      <c r="G9354" t="s">
        <v>1912</v>
      </c>
      <c r="H9354" t="s">
        <v>432</v>
      </c>
      <c r="J9354" t="s">
        <v>17511</v>
      </c>
    </row>
    <row r="9355" spans="1:10" hidden="1" x14ac:dyDescent="0.25">
      <c r="A9355" t="s">
        <v>12647</v>
      </c>
      <c r="B9355" s="1" t="str">
        <f>HYPERLINK("https://asmlis.vasa.lt/Dashboard/Served?ServiceDateFrom=2025-11-24&amp;ServiceDateTo=2025-11-24&amp;DumpsterInvNr=13-P-208765", "13-P-208765")</f>
        <v>13-P-208765</v>
      </c>
      <c r="C9355">
        <v>0.24</v>
      </c>
      <c r="D9355" t="s">
        <v>12648</v>
      </c>
      <c r="E9355" t="s">
        <v>11</v>
      </c>
      <c r="G9355" t="s">
        <v>234</v>
      </c>
      <c r="H9355" t="s">
        <v>14</v>
      </c>
    </row>
    <row r="9356" spans="1:10" hidden="1" x14ac:dyDescent="0.25">
      <c r="A9356" t="s">
        <v>12647</v>
      </c>
      <c r="B9356" s="1" t="str">
        <f>HYPERLINK("https://asmlis.vasa.lt/Dashboard/Served?ServiceDateFrom=2025-11-24&amp;ServiceDateTo=2025-11-24&amp;DumpsterInvNr=13-P-209395", "13-P-209395")</f>
        <v>13-P-209395</v>
      </c>
      <c r="C9356">
        <v>0.24</v>
      </c>
      <c r="D9356" t="s">
        <v>11633</v>
      </c>
      <c r="E9356" t="s">
        <v>11</v>
      </c>
      <c r="G9356" t="s">
        <v>234</v>
      </c>
      <c r="H9356" t="s">
        <v>14</v>
      </c>
    </row>
    <row r="9357" spans="1:10" hidden="1" x14ac:dyDescent="0.25">
      <c r="A9357" t="s">
        <v>12647</v>
      </c>
      <c r="B9357" s="1" t="str">
        <f>HYPERLINK("https://asmlis.vasa.lt/Dashboard/Served?ServiceDateFrom=2025-11-24&amp;ServiceDateTo=2025-11-24&amp;DumpsterInvNr=13-P-506557", "13-P-506557")</f>
        <v>13-P-506557</v>
      </c>
      <c r="C9357">
        <v>0.24</v>
      </c>
      <c r="D9357" t="s">
        <v>12632</v>
      </c>
      <c r="E9357" t="s">
        <v>11</v>
      </c>
      <c r="F9357" t="s">
        <v>1209</v>
      </c>
      <c r="G9357" t="s">
        <v>2178</v>
      </c>
      <c r="H9357" t="s">
        <v>432</v>
      </c>
    </row>
    <row r="9358" spans="1:10" hidden="1" x14ac:dyDescent="0.25">
      <c r="A9358" t="s">
        <v>12649</v>
      </c>
      <c r="B9358" s="1" t="str">
        <f>HYPERLINK("https://asmlis.vasa.lt/Dashboard/Served?ServiceDateFrom=2025-11-24&amp;ServiceDateTo=2025-11-24&amp;DumpsterInvNr=13-L-141291", "13-L-141291")</f>
        <v>13-L-141291</v>
      </c>
      <c r="C9358">
        <v>0.24</v>
      </c>
      <c r="D9358" t="s">
        <v>12650</v>
      </c>
      <c r="E9358" t="s">
        <v>11</v>
      </c>
      <c r="F9358" t="s">
        <v>1209</v>
      </c>
      <c r="G9358" t="s">
        <v>430</v>
      </c>
      <c r="H9358" t="s">
        <v>432</v>
      </c>
    </row>
    <row r="9359" spans="1:10" hidden="1" x14ac:dyDescent="0.25">
      <c r="A9359" t="s">
        <v>12649</v>
      </c>
      <c r="B9359" s="1" t="str">
        <f>HYPERLINK("https://asmlis.vasa.lt/Dashboard/Served?ServiceDateFrom=2025-11-24&amp;ServiceDateTo=2025-11-24&amp;DumpsterInvNr=13-P-203701", "13-P-203701")</f>
        <v>13-P-203701</v>
      </c>
      <c r="C9359">
        <v>0.24</v>
      </c>
      <c r="D9359" t="s">
        <v>11635</v>
      </c>
      <c r="E9359" t="s">
        <v>11</v>
      </c>
      <c r="F9359" t="s">
        <v>1209</v>
      </c>
      <c r="G9359" t="s">
        <v>234</v>
      </c>
      <c r="H9359" t="s">
        <v>14</v>
      </c>
    </row>
    <row r="9360" spans="1:10" x14ac:dyDescent="0.25">
      <c r="A9360" t="s">
        <v>12651</v>
      </c>
      <c r="B9360" s="1" t="str">
        <f>HYPERLINK("https://asmlis.vasa.lt/Dashboard/Served?ServiceDateFrom=2025-11-24&amp;ServiceDateTo=2025-11-24&amp;DumpsterInvNr=13-P-103518", "13-P-103518")</f>
        <v>13-P-103518</v>
      </c>
      <c r="C9360">
        <v>0.24</v>
      </c>
      <c r="D9360" t="s">
        <v>12652</v>
      </c>
      <c r="E9360" t="s">
        <v>11</v>
      </c>
      <c r="F9360" t="s">
        <v>2556</v>
      </c>
      <c r="G9360" t="s">
        <v>1917</v>
      </c>
      <c r="H9360" t="s">
        <v>432</v>
      </c>
      <c r="J9360" t="s">
        <v>17511</v>
      </c>
    </row>
    <row r="9361" spans="1:10" hidden="1" x14ac:dyDescent="0.25">
      <c r="A9361" t="s">
        <v>12653</v>
      </c>
      <c r="B9361" s="1" t="str">
        <f>HYPERLINK("https://asmlis.vasa.lt/Dashboard/Served?ServiceDateFrom=2025-11-24&amp;ServiceDateTo=2025-11-24&amp;DumpsterInvNr=13-P-300547", "13-P-300547")</f>
        <v>13-P-300547</v>
      </c>
      <c r="C9361">
        <v>1.1000000000000001</v>
      </c>
      <c r="D9361" t="s">
        <v>7070</v>
      </c>
      <c r="E9361" t="s">
        <v>11</v>
      </c>
      <c r="G9361" t="s">
        <v>412</v>
      </c>
      <c r="H9361" t="s">
        <v>14</v>
      </c>
    </row>
    <row r="9362" spans="1:10" hidden="1" x14ac:dyDescent="0.25">
      <c r="A9362" t="s">
        <v>12654</v>
      </c>
      <c r="B9362" s="1" t="str">
        <f>HYPERLINK("https://asmlis.vasa.lt/Dashboard/Served?ServiceDateFrom=2025-11-24&amp;ServiceDateTo=2025-11-24&amp;DumpsterInvNr=13-P-500468", "13-P-500468")</f>
        <v>13-P-500468</v>
      </c>
      <c r="C9362">
        <v>5</v>
      </c>
      <c r="D9362" t="s">
        <v>8539</v>
      </c>
      <c r="E9362" t="s">
        <v>11</v>
      </c>
      <c r="F9362" t="s">
        <v>13</v>
      </c>
      <c r="G9362" t="s">
        <v>2178</v>
      </c>
      <c r="H9362" t="s">
        <v>432</v>
      </c>
    </row>
    <row r="9363" spans="1:10" hidden="1" x14ac:dyDescent="0.25">
      <c r="A9363" t="s">
        <v>12655</v>
      </c>
      <c r="B9363" s="1" t="str">
        <f>HYPERLINK("https://asmlis.vasa.lt/Dashboard/Served?ServiceDateFrom=2025-11-24&amp;ServiceDateTo=2025-11-24&amp;DumpsterInvNr=13-M-206060", "13-M-206060")</f>
        <v>13-M-206060</v>
      </c>
      <c r="C9363">
        <v>0.12</v>
      </c>
      <c r="D9363" t="s">
        <v>12656</v>
      </c>
      <c r="E9363" t="s">
        <v>11</v>
      </c>
      <c r="G9363" t="s">
        <v>4876</v>
      </c>
      <c r="H9363" t="s">
        <v>938</v>
      </c>
    </row>
    <row r="9364" spans="1:10" hidden="1" x14ac:dyDescent="0.25">
      <c r="A9364" t="s">
        <v>12657</v>
      </c>
      <c r="B9364" s="1" t="str">
        <f>HYPERLINK("https://asmlis.vasa.lt/Dashboard/Served?ServiceDateFrom=2025-11-24&amp;ServiceDateTo=2025-11-24&amp;DumpsterInvNr=13-L-416727", "13-L-416727")</f>
        <v>13-L-416727</v>
      </c>
      <c r="C9364">
        <v>0.24</v>
      </c>
      <c r="D9364" t="s">
        <v>12658</v>
      </c>
      <c r="E9364" t="s">
        <v>11</v>
      </c>
      <c r="G9364" t="s">
        <v>74</v>
      </c>
      <c r="H9364" t="s">
        <v>14</v>
      </c>
    </row>
    <row r="9365" spans="1:10" hidden="1" x14ac:dyDescent="0.25">
      <c r="A9365" t="s">
        <v>12659</v>
      </c>
      <c r="B9365" s="1" t="str">
        <f>HYPERLINK("https://asmlis.vasa.lt/Dashboard/Served?ServiceDateFrom=2025-11-24&amp;ServiceDateTo=2025-11-24&amp;DumpsterInvNr=13-L-124115", "13-L-124115")</f>
        <v>13-L-124115</v>
      </c>
      <c r="C9365">
        <v>1.1000000000000001</v>
      </c>
      <c r="D9365" t="s">
        <v>12618</v>
      </c>
      <c r="E9365" t="s">
        <v>11</v>
      </c>
      <c r="G9365" t="s">
        <v>430</v>
      </c>
      <c r="H9365" t="s">
        <v>432</v>
      </c>
    </row>
    <row r="9366" spans="1:10" x14ac:dyDescent="0.25">
      <c r="A9366" t="s">
        <v>12661</v>
      </c>
      <c r="B9366" s="1" t="str">
        <f>HYPERLINK("https://asmlis.vasa.lt/Dashboard/Served?ServiceDateFrom=2025-11-24&amp;ServiceDateTo=2025-11-24&amp;DumpsterInvNr=13-L-133165", "13-L-133165")</f>
        <v>13-L-133165</v>
      </c>
      <c r="C9366">
        <v>0.12</v>
      </c>
      <c r="D9366" t="s">
        <v>12662</v>
      </c>
      <c r="E9366" t="s">
        <v>11</v>
      </c>
      <c r="F9366" t="s">
        <v>2556</v>
      </c>
      <c r="G9366" t="s">
        <v>1912</v>
      </c>
      <c r="H9366" t="s">
        <v>432</v>
      </c>
      <c r="J9366" t="s">
        <v>17511</v>
      </c>
    </row>
    <row r="9367" spans="1:10" x14ac:dyDescent="0.25">
      <c r="A9367" t="s">
        <v>12663</v>
      </c>
      <c r="B9367" s="1" t="str">
        <f>HYPERLINK("https://asmlis.vasa.lt/Dashboard/Served?ServiceDateFrom=2025-11-24&amp;ServiceDateTo=2025-11-24&amp;DumpsterInvNr=13-P-105621", "13-P-105621")</f>
        <v>13-P-105621</v>
      </c>
      <c r="C9367">
        <v>4</v>
      </c>
      <c r="D9367" t="s">
        <v>12546</v>
      </c>
      <c r="E9367" t="s">
        <v>11</v>
      </c>
      <c r="F9367" t="s">
        <v>12664</v>
      </c>
      <c r="G9367" t="s">
        <v>1917</v>
      </c>
      <c r="H9367" t="s">
        <v>432</v>
      </c>
      <c r="J9367" t="s">
        <v>17511</v>
      </c>
    </row>
    <row r="9368" spans="1:10" x14ac:dyDescent="0.25">
      <c r="A9368" t="s">
        <v>12665</v>
      </c>
      <c r="B9368" s="1" t="str">
        <f>HYPERLINK("https://asmlis.vasa.lt/Dashboard/Served?ServiceDateFrom=2025-11-24&amp;ServiceDateTo=2025-11-24&amp;DumpsterInvNr=13-L-139444", "13-L-139444")</f>
        <v>13-L-139444</v>
      </c>
      <c r="C9368">
        <v>0.24</v>
      </c>
      <c r="D9368" t="s">
        <v>12652</v>
      </c>
      <c r="E9368" t="s">
        <v>11</v>
      </c>
      <c r="F9368" t="s">
        <v>2556</v>
      </c>
      <c r="G9368" t="s">
        <v>1912</v>
      </c>
      <c r="H9368" t="s">
        <v>432</v>
      </c>
      <c r="J9368" t="s">
        <v>17511</v>
      </c>
    </row>
    <row r="9369" spans="1:10" x14ac:dyDescent="0.25">
      <c r="A9369" t="s">
        <v>12667</v>
      </c>
      <c r="B9369" s="1" t="str">
        <f>HYPERLINK("https://asmlis.vasa.lt/Dashboard/Served?ServiceDateFrom=2025-11-24&amp;ServiceDateTo=2025-11-24&amp;DumpsterInvNr=13-P-105530", "13-P-105530")</f>
        <v>13-P-105530</v>
      </c>
      <c r="C9369">
        <v>4</v>
      </c>
      <c r="D9369" t="s">
        <v>12546</v>
      </c>
      <c r="E9369" t="s">
        <v>11</v>
      </c>
      <c r="F9369" t="s">
        <v>12664</v>
      </c>
      <c r="G9369" t="s">
        <v>1917</v>
      </c>
      <c r="H9369" t="s">
        <v>432</v>
      </c>
      <c r="J9369" t="s">
        <v>17511</v>
      </c>
    </row>
    <row r="9370" spans="1:10" hidden="1" x14ac:dyDescent="0.25">
      <c r="A9370" t="s">
        <v>12666</v>
      </c>
      <c r="B9370" s="1" t="str">
        <f>HYPERLINK("https://asmlis.vasa.lt/Dashboard/Served?ServiceDateFrom=2025-11-24&amp;ServiceDateTo=2025-11-24&amp;DumpsterInvNr=13-P-300342", "13-P-300342")</f>
        <v>13-P-300342</v>
      </c>
      <c r="C9370">
        <v>1.1000000000000001</v>
      </c>
      <c r="D9370" t="s">
        <v>7070</v>
      </c>
      <c r="E9370" t="s">
        <v>11</v>
      </c>
      <c r="F9370" t="s">
        <v>13</v>
      </c>
      <c r="G9370" t="s">
        <v>412</v>
      </c>
      <c r="H9370" t="s">
        <v>14</v>
      </c>
    </row>
    <row r="9371" spans="1:10" hidden="1" x14ac:dyDescent="0.25">
      <c r="A9371" t="s">
        <v>12668</v>
      </c>
      <c r="B9371" s="1" t="str">
        <f>HYPERLINK("https://asmlis.vasa.lt/Dashboard/Served?ServiceDateFrom=2025-11-24&amp;ServiceDateTo=2025-11-24&amp;DumpsterInvNr=13-P-211255", "13-P-211255")</f>
        <v>13-P-211255</v>
      </c>
      <c r="C9371">
        <v>0.24</v>
      </c>
      <c r="D9371" t="s">
        <v>11647</v>
      </c>
      <c r="E9371" t="s">
        <v>11</v>
      </c>
      <c r="G9371" t="s">
        <v>234</v>
      </c>
      <c r="H9371" t="s">
        <v>14</v>
      </c>
    </row>
    <row r="9372" spans="1:10" x14ac:dyDescent="0.25">
      <c r="A9372" t="s">
        <v>12669</v>
      </c>
      <c r="B9372" s="1" t="str">
        <f>HYPERLINK("https://asmlis.vasa.lt/Dashboard/Served?ServiceDateFrom=2025-11-24&amp;ServiceDateTo=2025-11-24&amp;DumpsterInvNr=13-P-103500", "13-P-103500")</f>
        <v>13-P-103500</v>
      </c>
      <c r="C9372">
        <v>0.24</v>
      </c>
      <c r="D9372" t="s">
        <v>12662</v>
      </c>
      <c r="E9372" t="s">
        <v>11</v>
      </c>
      <c r="F9372" t="s">
        <v>2556</v>
      </c>
      <c r="G9372" t="s">
        <v>1917</v>
      </c>
      <c r="H9372" t="s">
        <v>432</v>
      </c>
      <c r="J9372" t="s">
        <v>17511</v>
      </c>
    </row>
    <row r="9373" spans="1:10" hidden="1" x14ac:dyDescent="0.25">
      <c r="A9373" t="s">
        <v>12670</v>
      </c>
      <c r="B9373" s="1" t="str">
        <f>HYPERLINK("https://asmlis.vasa.lt/Dashboard/Served?ServiceDateFrom=2025-11-24&amp;ServiceDateTo=2025-11-24&amp;DumpsterInvNr=13-M-205176", "13-M-205176")</f>
        <v>13-M-205176</v>
      </c>
      <c r="C9373">
        <v>0.12</v>
      </c>
      <c r="D9373" t="s">
        <v>12671</v>
      </c>
      <c r="E9373" t="s">
        <v>11</v>
      </c>
      <c r="F9373" t="s">
        <v>1209</v>
      </c>
      <c r="G9373" t="s">
        <v>4876</v>
      </c>
      <c r="H9373" t="s">
        <v>938</v>
      </c>
    </row>
    <row r="9374" spans="1:10" hidden="1" x14ac:dyDescent="0.25">
      <c r="A9374" t="s">
        <v>12672</v>
      </c>
      <c r="B9374" s="1" t="str">
        <f>HYPERLINK("https://asmlis.vasa.lt/Dashboard/Served?ServiceDateFrom=2025-11-24&amp;ServiceDateTo=2025-11-24&amp;DumpsterInvNr=13-L-404638", "13-L-404638")</f>
        <v>13-L-404638</v>
      </c>
      <c r="C9374">
        <v>0.24</v>
      </c>
      <c r="D9374" t="s">
        <v>12673</v>
      </c>
      <c r="E9374" t="s">
        <v>11</v>
      </c>
      <c r="G9374" t="s">
        <v>74</v>
      </c>
      <c r="H9374" t="s">
        <v>14</v>
      </c>
    </row>
    <row r="9375" spans="1:10" hidden="1" x14ac:dyDescent="0.25">
      <c r="A9375" t="s">
        <v>12672</v>
      </c>
      <c r="B9375" s="1" t="str">
        <f>HYPERLINK("https://asmlis.vasa.lt/Dashboard/Served?ServiceDateFrom=2025-11-24&amp;ServiceDateTo=2025-11-24&amp;DumpsterInvNr=13-S-404884", "13-S-404884")</f>
        <v>13-S-404884</v>
      </c>
      <c r="C9375">
        <v>0.12</v>
      </c>
      <c r="D9375" t="s">
        <v>1633</v>
      </c>
      <c r="E9375" t="s">
        <v>11</v>
      </c>
      <c r="G9375" t="s">
        <v>264</v>
      </c>
      <c r="H9375" t="s">
        <v>14</v>
      </c>
    </row>
    <row r="9376" spans="1:10" x14ac:dyDescent="0.25">
      <c r="A9376" t="s">
        <v>12674</v>
      </c>
      <c r="B9376" s="1" t="str">
        <f>HYPERLINK("https://asmlis.vasa.lt/Dashboard/Served?ServiceDateFrom=2025-11-24&amp;ServiceDateTo=2025-11-24&amp;DumpsterInvNr=13-S-103196", "13-S-103196")</f>
        <v>13-S-103196</v>
      </c>
      <c r="C9376">
        <v>0.12</v>
      </c>
      <c r="D9376" t="s">
        <v>12662</v>
      </c>
      <c r="E9376" t="s">
        <v>11</v>
      </c>
      <c r="F9376" t="s">
        <v>2556</v>
      </c>
      <c r="G9376" t="s">
        <v>1917</v>
      </c>
      <c r="H9376" t="s">
        <v>432</v>
      </c>
      <c r="J9376" t="s">
        <v>17511</v>
      </c>
    </row>
    <row r="9377" spans="1:10" hidden="1" x14ac:dyDescent="0.25">
      <c r="A9377" t="s">
        <v>12675</v>
      </c>
      <c r="B9377" s="1" t="str">
        <f>HYPERLINK("https://asmlis.vasa.lt/Dashboard/Served?ServiceDateFrom=2025-11-24&amp;ServiceDateTo=2025-11-24&amp;DumpsterInvNr=13-L-425303", "13-L-425303")</f>
        <v>13-L-425303</v>
      </c>
      <c r="C9377">
        <v>5</v>
      </c>
      <c r="D9377" t="s">
        <v>12676</v>
      </c>
      <c r="E9377" t="s">
        <v>11</v>
      </c>
      <c r="G9377" t="s">
        <v>74</v>
      </c>
      <c r="H9377" t="s">
        <v>14</v>
      </c>
    </row>
    <row r="9378" spans="1:10" hidden="1" x14ac:dyDescent="0.25">
      <c r="A9378" t="s">
        <v>12675</v>
      </c>
      <c r="B9378" s="1" t="str">
        <f>HYPERLINK("https://asmlis.vasa.lt/Dashboard/Served?ServiceDateFrom=2025-11-24&amp;ServiceDateTo=2025-11-24&amp;DumpsterInvNr=13-P-400546", "13-P-400546")</f>
        <v>13-P-400546</v>
      </c>
      <c r="C9378">
        <v>5</v>
      </c>
      <c r="D9378" t="s">
        <v>7396</v>
      </c>
      <c r="E9378" t="s">
        <v>11</v>
      </c>
      <c r="G9378" t="s">
        <v>264</v>
      </c>
      <c r="H9378" t="s">
        <v>14</v>
      </c>
    </row>
    <row r="9379" spans="1:10" hidden="1" x14ac:dyDescent="0.25">
      <c r="A9379" t="s">
        <v>12677</v>
      </c>
      <c r="B9379" s="1" t="str">
        <f>HYPERLINK("https://asmlis.vasa.lt/Dashboard/Served?ServiceDateFrom=2025-11-24&amp;ServiceDateTo=2025-11-24&amp;DumpsterInvNr=13-L-416733", "13-L-416733")</f>
        <v>13-L-416733</v>
      </c>
      <c r="C9379">
        <v>0.66</v>
      </c>
      <c r="D9379" t="s">
        <v>12658</v>
      </c>
      <c r="E9379" t="s">
        <v>11</v>
      </c>
      <c r="G9379" t="s">
        <v>74</v>
      </c>
      <c r="H9379" t="s">
        <v>14</v>
      </c>
    </row>
    <row r="9380" spans="1:10" hidden="1" x14ac:dyDescent="0.25">
      <c r="A9380" t="s">
        <v>12678</v>
      </c>
      <c r="B9380" s="1" t="str">
        <f>HYPERLINK("https://asmlis.vasa.lt/Dashboard/Served?ServiceDateFrom=2025-11-24&amp;ServiceDateTo=2025-11-24&amp;DumpsterInvNr=13-P-206876", "13-P-206876")</f>
        <v>13-P-206876</v>
      </c>
      <c r="C9380">
        <v>0.24</v>
      </c>
      <c r="D9380" t="s">
        <v>11653</v>
      </c>
      <c r="E9380" t="s">
        <v>11</v>
      </c>
      <c r="F9380" t="s">
        <v>1209</v>
      </c>
      <c r="G9380" t="s">
        <v>234</v>
      </c>
      <c r="H9380" t="s">
        <v>14</v>
      </c>
    </row>
    <row r="9381" spans="1:10" hidden="1" x14ac:dyDescent="0.25">
      <c r="A9381" t="s">
        <v>12680</v>
      </c>
      <c r="B9381" s="1" t="str">
        <f>HYPERLINK("https://asmlis.vasa.lt/Dashboard/Served?ServiceDateFrom=2025-11-24&amp;ServiceDateTo=2025-11-24&amp;DumpsterInvNr=13-P-208761", "13-P-208761")</f>
        <v>13-P-208761</v>
      </c>
      <c r="C9381">
        <v>0.24</v>
      </c>
      <c r="D9381" t="s">
        <v>11655</v>
      </c>
      <c r="E9381" t="s">
        <v>11</v>
      </c>
      <c r="F9381" t="s">
        <v>1209</v>
      </c>
      <c r="G9381" t="s">
        <v>234</v>
      </c>
      <c r="H9381" t="s">
        <v>14</v>
      </c>
    </row>
    <row r="9382" spans="1:10" hidden="1" x14ac:dyDescent="0.25">
      <c r="A9382" t="s">
        <v>12681</v>
      </c>
      <c r="B9382" s="1" t="str">
        <f>HYPERLINK("https://asmlis.vasa.lt/Dashboard/Served?ServiceDateFrom=2025-11-24&amp;ServiceDateTo=2025-11-24&amp;DumpsterInvNr=13-L-316434", "13-L-316434")</f>
        <v>13-L-316434</v>
      </c>
      <c r="C9382">
        <v>1.1000000000000001</v>
      </c>
      <c r="D9382" t="s">
        <v>9117</v>
      </c>
      <c r="E9382" t="s">
        <v>11</v>
      </c>
      <c r="G9382" t="s">
        <v>9</v>
      </c>
      <c r="H9382" t="s">
        <v>14</v>
      </c>
    </row>
    <row r="9383" spans="1:10" x14ac:dyDescent="0.25">
      <c r="A9383" t="s">
        <v>12683</v>
      </c>
      <c r="B9383" s="1" t="str">
        <f>HYPERLINK("https://asmlis.vasa.lt/Dashboard/Served?ServiceDateFrom=2025-11-24&amp;ServiceDateTo=2025-11-24&amp;DumpsterInvNr=13-S-102387", "13-S-102387")</f>
        <v>13-S-102387</v>
      </c>
      <c r="C9383">
        <v>0.12</v>
      </c>
      <c r="D9383" t="s">
        <v>12684</v>
      </c>
      <c r="E9383" t="s">
        <v>11</v>
      </c>
      <c r="F9383" t="s">
        <v>2556</v>
      </c>
      <c r="G9383" t="s">
        <v>1917</v>
      </c>
      <c r="H9383" t="s">
        <v>432</v>
      </c>
      <c r="J9383" t="s">
        <v>17511</v>
      </c>
    </row>
    <row r="9384" spans="1:10" hidden="1" x14ac:dyDescent="0.25">
      <c r="A9384" t="s">
        <v>12685</v>
      </c>
      <c r="B9384" s="1" t="str">
        <f>HYPERLINK("https://asmlis.vasa.lt/Dashboard/Served?ServiceDateFrom=2025-11-24&amp;ServiceDateTo=2025-11-24&amp;DumpsterInvNr=13-L-317783", "13-L-317783")</f>
        <v>13-L-317783</v>
      </c>
      <c r="C9384">
        <v>1.1000000000000001</v>
      </c>
      <c r="D9384" t="s">
        <v>12686</v>
      </c>
      <c r="E9384" t="s">
        <v>11</v>
      </c>
      <c r="G9384" t="s">
        <v>9</v>
      </c>
      <c r="H9384" t="s">
        <v>14</v>
      </c>
    </row>
    <row r="9385" spans="1:10" hidden="1" x14ac:dyDescent="0.25">
      <c r="A9385" t="s">
        <v>12685</v>
      </c>
      <c r="B9385" s="1" t="str">
        <f>HYPERLINK("https://asmlis.vasa.lt/Dashboard/Served?ServiceDateFrom=2025-11-24&amp;ServiceDateTo=2025-11-24&amp;DumpsterInvNr=13-L-317898", "13-L-317898")</f>
        <v>13-L-317898</v>
      </c>
      <c r="C9385">
        <v>1.1000000000000001</v>
      </c>
      <c r="D9385" t="s">
        <v>12686</v>
      </c>
      <c r="E9385" t="s">
        <v>11</v>
      </c>
      <c r="G9385" t="s">
        <v>9</v>
      </c>
      <c r="H9385" t="s">
        <v>14</v>
      </c>
    </row>
    <row r="9386" spans="1:10" hidden="1" x14ac:dyDescent="0.25">
      <c r="A9386" t="s">
        <v>12687</v>
      </c>
      <c r="B9386" s="1" t="str">
        <f>HYPERLINK("https://asmlis.vasa.lt/Dashboard/Served?ServiceDateFrom=2025-11-24&amp;ServiceDateTo=2025-11-24&amp;DumpsterInvNr=13-P-409047", "13-P-409047")</f>
        <v>13-P-409047</v>
      </c>
      <c r="C9386">
        <v>0.77</v>
      </c>
      <c r="D9386" t="s">
        <v>12689</v>
      </c>
      <c r="E9386" t="s">
        <v>11</v>
      </c>
      <c r="F9386" t="s">
        <v>13</v>
      </c>
      <c r="G9386" t="s">
        <v>264</v>
      </c>
      <c r="H9386" t="s">
        <v>14</v>
      </c>
    </row>
    <row r="9387" spans="1:10" hidden="1" x14ac:dyDescent="0.25">
      <c r="A9387" t="s">
        <v>12690</v>
      </c>
      <c r="B9387" s="1" t="str">
        <f>HYPERLINK("https://asmlis.vasa.lt/Dashboard/Served?ServiceDateFrom=2025-11-24&amp;ServiceDateTo=2025-11-24&amp;DumpsterInvNr=13-M-202383", "13-M-202383")</f>
        <v>13-M-202383</v>
      </c>
      <c r="C9387">
        <v>0.12</v>
      </c>
      <c r="D9387" t="s">
        <v>12691</v>
      </c>
      <c r="E9387" t="s">
        <v>11</v>
      </c>
      <c r="G9387" t="s">
        <v>4876</v>
      </c>
      <c r="H9387" t="s">
        <v>938</v>
      </c>
    </row>
    <row r="9388" spans="1:10" x14ac:dyDescent="0.25">
      <c r="A9388" t="s">
        <v>12692</v>
      </c>
      <c r="B9388" s="1" t="str">
        <f>HYPERLINK("https://asmlis.vasa.lt/Dashboard/Served?ServiceDateFrom=2025-11-24&amp;ServiceDateTo=2025-11-24&amp;DumpsterInvNr=13-P-101082", "13-P-101082")</f>
        <v>13-P-101082</v>
      </c>
      <c r="C9388">
        <v>0.12</v>
      </c>
      <c r="D9388" t="s">
        <v>12684</v>
      </c>
      <c r="E9388" t="s">
        <v>11</v>
      </c>
      <c r="F9388" t="s">
        <v>2556</v>
      </c>
      <c r="G9388" t="s">
        <v>1917</v>
      </c>
      <c r="H9388" t="s">
        <v>432</v>
      </c>
      <c r="J9388" t="s">
        <v>17511</v>
      </c>
    </row>
    <row r="9389" spans="1:10" hidden="1" x14ac:dyDescent="0.25">
      <c r="A9389" t="s">
        <v>12694</v>
      </c>
      <c r="B9389" s="1" t="str">
        <f>HYPERLINK("https://asmlis.vasa.lt/Dashboard/Served?ServiceDateFrom=2025-11-24&amp;ServiceDateTo=2025-11-24&amp;DumpsterInvNr=13-L-424293", "13-L-424293")</f>
        <v>13-L-424293</v>
      </c>
      <c r="C9389">
        <v>0.24</v>
      </c>
      <c r="D9389" t="s">
        <v>12695</v>
      </c>
      <c r="E9389" t="s">
        <v>11</v>
      </c>
      <c r="G9389" t="s">
        <v>74</v>
      </c>
      <c r="H9389" t="s">
        <v>14</v>
      </c>
    </row>
    <row r="9390" spans="1:10" hidden="1" x14ac:dyDescent="0.25">
      <c r="A9390" t="s">
        <v>12693</v>
      </c>
      <c r="B9390" s="1" t="str">
        <f>HYPERLINK("https://asmlis.vasa.lt/Dashboard/Served?ServiceDateFrom=2025-11-24&amp;ServiceDateTo=2025-11-24&amp;DumpsterInvNr=13-L-125222", "13-L-125222")</f>
        <v>13-L-125222</v>
      </c>
      <c r="C9390">
        <v>0.24</v>
      </c>
      <c r="D9390" t="s">
        <v>12696</v>
      </c>
      <c r="E9390" t="s">
        <v>11</v>
      </c>
      <c r="G9390" t="s">
        <v>430</v>
      </c>
      <c r="H9390" t="s">
        <v>432</v>
      </c>
    </row>
    <row r="9391" spans="1:10" hidden="1" x14ac:dyDescent="0.25">
      <c r="A9391" t="s">
        <v>12693</v>
      </c>
      <c r="B9391" s="1" t="str">
        <f>HYPERLINK("https://asmlis.vasa.lt/Dashboard/Served?ServiceDateFrom=2025-11-24&amp;ServiceDateTo=2025-11-24&amp;DumpsterInvNr=13-P-506559", "13-P-506559")</f>
        <v>13-P-506559</v>
      </c>
      <c r="C9391">
        <v>0.24</v>
      </c>
      <c r="D9391" t="s">
        <v>12696</v>
      </c>
      <c r="E9391" t="s">
        <v>11</v>
      </c>
      <c r="G9391" t="s">
        <v>2178</v>
      </c>
      <c r="H9391" t="s">
        <v>432</v>
      </c>
    </row>
    <row r="9392" spans="1:10" hidden="1" x14ac:dyDescent="0.25">
      <c r="A9392" t="s">
        <v>12697</v>
      </c>
      <c r="B9392" s="1" t="str">
        <f>HYPERLINK("https://asmlis.vasa.lt/Dashboard/Served?ServiceDateFrom=2025-11-24&amp;ServiceDateTo=2025-11-24&amp;DumpsterInvNr=13-P-505810", "13-P-505810")</f>
        <v>13-P-505810</v>
      </c>
      <c r="C9392">
        <v>0.24</v>
      </c>
      <c r="D9392" t="s">
        <v>12698</v>
      </c>
      <c r="E9392" t="s">
        <v>11</v>
      </c>
      <c r="F9392" t="s">
        <v>1209</v>
      </c>
      <c r="G9392" t="s">
        <v>2178</v>
      </c>
      <c r="H9392" t="s">
        <v>432</v>
      </c>
    </row>
    <row r="9393" spans="1:8" hidden="1" x14ac:dyDescent="0.25">
      <c r="A9393" t="s">
        <v>12699</v>
      </c>
      <c r="B9393" s="1" t="str">
        <f>HYPERLINK("https://asmlis.vasa.lt/Dashboard/Served?ServiceDateFrom=2025-11-24&amp;ServiceDateTo=2025-11-24&amp;DumpsterInvNr=13-P-208610", "13-P-208610")</f>
        <v>13-P-208610</v>
      </c>
      <c r="C9393">
        <v>0.24</v>
      </c>
      <c r="D9393" t="s">
        <v>11694</v>
      </c>
      <c r="E9393" t="s">
        <v>11</v>
      </c>
      <c r="G9393" t="s">
        <v>234</v>
      </c>
      <c r="H9393" t="s">
        <v>14</v>
      </c>
    </row>
    <row r="9394" spans="1:8" hidden="1" x14ac:dyDescent="0.25">
      <c r="A9394" t="s">
        <v>12699</v>
      </c>
      <c r="B9394" s="1" t="str">
        <f>HYPERLINK("https://asmlis.vasa.lt/Dashboard/Served?ServiceDateFrom=2025-11-24&amp;ServiceDateTo=2025-11-24&amp;DumpsterInvNr=13-S-502224", "13-S-502224")</f>
        <v>13-S-502224</v>
      </c>
      <c r="C9394">
        <v>0.12</v>
      </c>
      <c r="D9394" t="s">
        <v>12698</v>
      </c>
      <c r="E9394" t="s">
        <v>11</v>
      </c>
      <c r="F9394" t="s">
        <v>1209</v>
      </c>
      <c r="G9394" t="s">
        <v>2178</v>
      </c>
      <c r="H9394" t="s">
        <v>432</v>
      </c>
    </row>
    <row r="9395" spans="1:8" hidden="1" x14ac:dyDescent="0.25">
      <c r="A9395" t="s">
        <v>12701</v>
      </c>
      <c r="B9395" s="1" t="str">
        <f>HYPERLINK("https://asmlis.vasa.lt/Dashboard/Served?ServiceDateFrom=2025-11-24&amp;ServiceDateTo=2025-11-24&amp;DumpsterInvNr=13-L-313543", "13-L-313543")</f>
        <v>13-L-313543</v>
      </c>
      <c r="C9395">
        <v>1.1000000000000001</v>
      </c>
      <c r="D9395" t="s">
        <v>12686</v>
      </c>
      <c r="E9395" t="s">
        <v>11</v>
      </c>
      <c r="G9395" t="s">
        <v>9</v>
      </c>
      <c r="H9395" t="s">
        <v>14</v>
      </c>
    </row>
    <row r="9396" spans="1:8" hidden="1" x14ac:dyDescent="0.25">
      <c r="A9396" t="s">
        <v>12701</v>
      </c>
      <c r="B9396" s="1" t="str">
        <f>HYPERLINK("https://asmlis.vasa.lt/Dashboard/Served?ServiceDateFrom=2025-11-24&amp;ServiceDateTo=2025-11-24&amp;DumpsterInvNr=13-P-413758", "13-P-413758")</f>
        <v>13-P-413758</v>
      </c>
      <c r="C9396">
        <v>0.24</v>
      </c>
      <c r="D9396" t="s">
        <v>1645</v>
      </c>
      <c r="E9396" t="s">
        <v>11</v>
      </c>
      <c r="G9396" t="s">
        <v>264</v>
      </c>
      <c r="H9396" t="s">
        <v>14</v>
      </c>
    </row>
    <row r="9397" spans="1:8" hidden="1" x14ac:dyDescent="0.25">
      <c r="A9397" t="s">
        <v>12701</v>
      </c>
      <c r="B9397" s="1" t="str">
        <f>HYPERLINK("https://asmlis.vasa.lt/Dashboard/Served?ServiceDateFrom=2025-11-24&amp;ServiceDateTo=2025-11-24&amp;DumpsterInvNr=13-P-413625", "13-P-413625")</f>
        <v>13-P-413625</v>
      </c>
      <c r="C9397">
        <v>0.24</v>
      </c>
      <c r="D9397" t="s">
        <v>1633</v>
      </c>
      <c r="E9397" t="s">
        <v>11</v>
      </c>
      <c r="F9397" t="s">
        <v>1209</v>
      </c>
      <c r="G9397" t="s">
        <v>264</v>
      </c>
      <c r="H9397" t="s">
        <v>14</v>
      </c>
    </row>
    <row r="9398" spans="1:8" hidden="1" x14ac:dyDescent="0.25">
      <c r="A9398" t="s">
        <v>12701</v>
      </c>
      <c r="B9398" s="1" t="str">
        <f>HYPERLINK("https://asmlis.vasa.lt/Dashboard/Served?ServiceDateFrom=2025-11-24&amp;ServiceDateTo=2025-11-24&amp;DumpsterInvNr=13-L-132660", "13-L-132660")</f>
        <v>13-L-132660</v>
      </c>
      <c r="C9398">
        <v>0.24</v>
      </c>
      <c r="D9398" t="s">
        <v>12698</v>
      </c>
      <c r="E9398" t="s">
        <v>11</v>
      </c>
      <c r="F9398" t="s">
        <v>1209</v>
      </c>
      <c r="G9398" t="s">
        <v>430</v>
      </c>
      <c r="H9398" t="s">
        <v>432</v>
      </c>
    </row>
    <row r="9399" spans="1:8" hidden="1" x14ac:dyDescent="0.25">
      <c r="A9399" t="s">
        <v>12702</v>
      </c>
      <c r="B9399" s="1" t="str">
        <f>HYPERLINK("https://asmlis.vasa.lt/Dashboard/Served?ServiceDateFrom=2025-11-24&amp;ServiceDateTo=2025-11-24&amp;DumpsterInvNr=13-P-506560", "13-P-506560")</f>
        <v>13-P-506560</v>
      </c>
      <c r="C9399">
        <v>0.24</v>
      </c>
      <c r="D9399" t="s">
        <v>12650</v>
      </c>
      <c r="E9399" t="s">
        <v>11</v>
      </c>
      <c r="F9399" t="s">
        <v>1209</v>
      </c>
      <c r="G9399" t="s">
        <v>2178</v>
      </c>
      <c r="H9399" t="s">
        <v>432</v>
      </c>
    </row>
    <row r="9400" spans="1:8" hidden="1" x14ac:dyDescent="0.25">
      <c r="A9400" t="s">
        <v>12703</v>
      </c>
      <c r="B9400" s="1" t="str">
        <f>HYPERLINK("https://asmlis.vasa.lt/Dashboard/Served?ServiceDateFrom=2025-11-24&amp;ServiceDateTo=2025-11-24&amp;DumpsterInvNr=13-M-202288", "13-M-202288")</f>
        <v>13-M-202288</v>
      </c>
      <c r="C9400">
        <v>0.12</v>
      </c>
      <c r="D9400" t="s">
        <v>12704</v>
      </c>
      <c r="E9400" t="s">
        <v>11</v>
      </c>
      <c r="G9400" t="s">
        <v>4876</v>
      </c>
      <c r="H9400" t="s">
        <v>938</v>
      </c>
    </row>
    <row r="9401" spans="1:8" hidden="1" x14ac:dyDescent="0.25">
      <c r="A9401" t="s">
        <v>12703</v>
      </c>
      <c r="B9401" s="1" t="str">
        <f>HYPERLINK("https://asmlis.vasa.lt/Dashboard/Served?ServiceDateFrom=2025-11-24&amp;ServiceDateTo=2025-11-24&amp;DumpsterInvNr=13-S-505132", "13-S-505132")</f>
        <v>13-S-505132</v>
      </c>
      <c r="C9401">
        <v>0.12</v>
      </c>
      <c r="D9401" t="s">
        <v>12650</v>
      </c>
      <c r="E9401" t="s">
        <v>11</v>
      </c>
      <c r="F9401" t="s">
        <v>1209</v>
      </c>
      <c r="G9401" t="s">
        <v>2178</v>
      </c>
      <c r="H9401" t="s">
        <v>432</v>
      </c>
    </row>
    <row r="9402" spans="1:8" hidden="1" x14ac:dyDescent="0.25">
      <c r="A9402" t="s">
        <v>12706</v>
      </c>
      <c r="B9402" s="1" t="str">
        <f>HYPERLINK("https://asmlis.vasa.lt/Dashboard/Served?ServiceDateFrom=2025-11-24&amp;ServiceDateTo=2025-11-24&amp;DumpsterInvNr=13-L-318728", "13-L-318728")</f>
        <v>13-L-318728</v>
      </c>
      <c r="C9402">
        <v>1.1000000000000001</v>
      </c>
      <c r="D9402" t="s">
        <v>12707</v>
      </c>
      <c r="E9402" t="s">
        <v>11</v>
      </c>
      <c r="G9402" t="s">
        <v>9</v>
      </c>
      <c r="H9402" t="s">
        <v>14</v>
      </c>
    </row>
    <row r="9403" spans="1:8" hidden="1" x14ac:dyDescent="0.25">
      <c r="A9403" t="s">
        <v>12708</v>
      </c>
      <c r="B9403" s="1" t="str">
        <f>HYPERLINK("https://asmlis.vasa.lt/Dashboard/Served?ServiceDateFrom=2025-11-24&amp;ServiceDateTo=2025-11-24&amp;DumpsterInvNr=13-S-411059", "13-S-411059")</f>
        <v>13-S-411059</v>
      </c>
      <c r="C9403">
        <v>0.12</v>
      </c>
      <c r="D9403" t="s">
        <v>1622</v>
      </c>
      <c r="E9403" t="s">
        <v>11</v>
      </c>
      <c r="F9403" t="s">
        <v>1209</v>
      </c>
      <c r="G9403" t="s">
        <v>264</v>
      </c>
      <c r="H9403" t="s">
        <v>14</v>
      </c>
    </row>
    <row r="9404" spans="1:8" hidden="1" x14ac:dyDescent="0.25">
      <c r="A9404" t="s">
        <v>12711</v>
      </c>
      <c r="B9404" s="1" t="str">
        <f>HYPERLINK("https://asmlis.vasa.lt/Dashboard/Served?ServiceDateFrom=2025-11-24&amp;ServiceDateTo=2025-11-24&amp;DumpsterInvNr=13-L-128444", "13-L-128444")</f>
        <v>13-L-128444</v>
      </c>
      <c r="C9404">
        <v>5</v>
      </c>
      <c r="D9404" t="s">
        <v>12712</v>
      </c>
      <c r="E9404" t="s">
        <v>11</v>
      </c>
      <c r="F9404" t="s">
        <v>13</v>
      </c>
      <c r="G9404" t="s">
        <v>430</v>
      </c>
      <c r="H9404" t="s">
        <v>432</v>
      </c>
    </row>
    <row r="9405" spans="1:8" hidden="1" x14ac:dyDescent="0.25">
      <c r="A9405" t="s">
        <v>12711</v>
      </c>
      <c r="B9405" s="1" t="str">
        <f>HYPERLINK("https://asmlis.vasa.lt/Dashboard/Served?ServiceDateFrom=2025-11-24&amp;ServiceDateTo=2025-11-24&amp;DumpsterInvNr=13-P-103207", "13-P-103207")</f>
        <v>13-P-103207</v>
      </c>
      <c r="C9405">
        <v>0.24</v>
      </c>
      <c r="D9405" t="s">
        <v>12470</v>
      </c>
      <c r="E9405" t="s">
        <v>11</v>
      </c>
      <c r="F9405" t="s">
        <v>1209</v>
      </c>
      <c r="G9405" t="s">
        <v>1917</v>
      </c>
      <c r="H9405" t="s">
        <v>432</v>
      </c>
    </row>
    <row r="9406" spans="1:8" hidden="1" x14ac:dyDescent="0.25">
      <c r="A9406" t="s">
        <v>12714</v>
      </c>
      <c r="B9406" s="1" t="str">
        <f>HYPERLINK("https://asmlis.vasa.lt/Dashboard/Served?ServiceDateFrom=2025-11-24&amp;ServiceDateTo=2025-11-24&amp;DumpsterInvNr=13-P-209489", "13-P-209489")</f>
        <v>13-P-209489</v>
      </c>
      <c r="C9406">
        <v>0.24</v>
      </c>
      <c r="D9406" t="s">
        <v>12715</v>
      </c>
      <c r="E9406" t="s">
        <v>11</v>
      </c>
      <c r="G9406" t="s">
        <v>234</v>
      </c>
      <c r="H9406" t="s">
        <v>14</v>
      </c>
    </row>
    <row r="9407" spans="1:8" hidden="1" x14ac:dyDescent="0.25">
      <c r="A9407" t="s">
        <v>12716</v>
      </c>
      <c r="B9407" s="1" t="str">
        <f>HYPERLINK("https://asmlis.vasa.lt/Dashboard/Served?ServiceDateFrom=2025-11-24&amp;ServiceDateTo=2025-11-24&amp;DumpsterInvNr=13-P-103531", "13-P-103531")</f>
        <v>13-P-103531</v>
      </c>
      <c r="C9407">
        <v>0.24</v>
      </c>
      <c r="D9407" t="s">
        <v>12551</v>
      </c>
      <c r="E9407" t="s">
        <v>11</v>
      </c>
      <c r="F9407" t="s">
        <v>1209</v>
      </c>
      <c r="G9407" t="s">
        <v>1917</v>
      </c>
      <c r="H9407" t="s">
        <v>432</v>
      </c>
    </row>
    <row r="9408" spans="1:8" hidden="1" x14ac:dyDescent="0.25">
      <c r="A9408" t="s">
        <v>12085</v>
      </c>
      <c r="B9408" s="1" t="str">
        <f>HYPERLINK("https://asmlis.vasa.lt/Dashboard/Served?ServiceDateFrom=2025-11-24&amp;ServiceDateTo=2025-11-24&amp;DumpsterInvNr=13-L-120441", "13-L-120441")</f>
        <v>13-L-120441</v>
      </c>
      <c r="C9408">
        <v>0.77</v>
      </c>
      <c r="D9408" t="s">
        <v>12717</v>
      </c>
      <c r="E9408" t="s">
        <v>11</v>
      </c>
      <c r="G9408" t="s">
        <v>1912</v>
      </c>
      <c r="H9408" t="s">
        <v>432</v>
      </c>
    </row>
    <row r="9409" spans="1:10" hidden="1" x14ac:dyDescent="0.25">
      <c r="A9409" t="s">
        <v>12085</v>
      </c>
      <c r="B9409" s="1" t="str">
        <f>HYPERLINK("https://asmlis.vasa.lt/Dashboard/Served?ServiceDateFrom=2025-11-24&amp;ServiceDateTo=2025-11-24&amp;DumpsterInvNr=13-L-128443", "13-L-128443")</f>
        <v>13-L-128443</v>
      </c>
      <c r="C9409">
        <v>5</v>
      </c>
      <c r="D9409" t="s">
        <v>12712</v>
      </c>
      <c r="E9409" t="s">
        <v>11</v>
      </c>
      <c r="F9409" t="s">
        <v>13</v>
      </c>
      <c r="G9409" t="s">
        <v>430</v>
      </c>
      <c r="H9409" t="s">
        <v>432</v>
      </c>
    </row>
    <row r="9410" spans="1:10" hidden="1" x14ac:dyDescent="0.25">
      <c r="A9410" t="s">
        <v>12679</v>
      </c>
      <c r="B9410" s="1" t="str">
        <f>HYPERLINK("https://asmlis.vasa.lt/Dashboard/Served?ServiceDateFrom=2025-11-24&amp;ServiceDateTo=2025-11-24&amp;DumpsterInvNr=13-S-103135", "13-S-103135")</f>
        <v>13-S-103135</v>
      </c>
      <c r="C9410">
        <v>0.12</v>
      </c>
      <c r="D9410" t="s">
        <v>12551</v>
      </c>
      <c r="E9410" t="s">
        <v>11</v>
      </c>
      <c r="F9410" t="s">
        <v>1209</v>
      </c>
      <c r="G9410" t="s">
        <v>1917</v>
      </c>
      <c r="H9410" t="s">
        <v>432</v>
      </c>
    </row>
    <row r="9411" spans="1:10" hidden="1" x14ac:dyDescent="0.25">
      <c r="A9411" t="s">
        <v>12720</v>
      </c>
      <c r="B9411" s="1" t="str">
        <f>HYPERLINK("https://asmlis.vasa.lt/Dashboard/Served?ServiceDateFrom=2025-11-24&amp;ServiceDateTo=2025-11-24&amp;DumpsterInvNr=13-L-412115", "13-L-412115")</f>
        <v>13-L-412115</v>
      </c>
      <c r="C9411">
        <v>0.24</v>
      </c>
      <c r="D9411" t="s">
        <v>7703</v>
      </c>
      <c r="E9411" t="s">
        <v>11</v>
      </c>
      <c r="G9411" t="s">
        <v>74</v>
      </c>
      <c r="H9411" t="s">
        <v>14</v>
      </c>
    </row>
    <row r="9412" spans="1:10" hidden="1" x14ac:dyDescent="0.25">
      <c r="A9412" t="s">
        <v>12720</v>
      </c>
      <c r="B9412" s="1" t="str">
        <f>HYPERLINK("https://asmlis.vasa.lt/Dashboard/Served?ServiceDateFrom=2025-11-24&amp;ServiceDateTo=2025-11-24&amp;DumpsterInvNr=13-L-318646", "13-L-318646")</f>
        <v>13-L-318646</v>
      </c>
      <c r="C9412">
        <v>1.1000000000000001</v>
      </c>
      <c r="D9412" t="s">
        <v>9117</v>
      </c>
      <c r="E9412" t="s">
        <v>11</v>
      </c>
      <c r="F9412" t="s">
        <v>13</v>
      </c>
      <c r="G9412" t="s">
        <v>9</v>
      </c>
      <c r="H9412" t="s">
        <v>14</v>
      </c>
    </row>
    <row r="9413" spans="1:10" hidden="1" x14ac:dyDescent="0.25">
      <c r="A9413" t="s">
        <v>12721</v>
      </c>
      <c r="B9413" s="1" t="str">
        <f>HYPERLINK("https://asmlis.vasa.lt/Dashboard/Served?ServiceDateFrom=2025-11-24&amp;ServiceDateTo=2025-11-24&amp;DumpsterInvNr=13-P-101081", "13-P-101081")</f>
        <v>13-P-101081</v>
      </c>
      <c r="C9413">
        <v>0.24</v>
      </c>
      <c r="D9413" t="s">
        <v>12515</v>
      </c>
      <c r="E9413" t="s">
        <v>11</v>
      </c>
      <c r="F9413" t="s">
        <v>1209</v>
      </c>
      <c r="G9413" t="s">
        <v>1917</v>
      </c>
      <c r="H9413" t="s">
        <v>432</v>
      </c>
    </row>
    <row r="9414" spans="1:10" x14ac:dyDescent="0.25">
      <c r="A9414" t="s">
        <v>12722</v>
      </c>
      <c r="B9414" s="1" t="str">
        <f>HYPERLINK("https://asmlis.vasa.lt/Dashboard/Served?ServiceDateFrom=2025-11-24&amp;ServiceDateTo=2025-11-24&amp;DumpsterInvNr=13-P-105349", "13-P-105349")</f>
        <v>13-P-105349</v>
      </c>
      <c r="C9414">
        <v>0.77</v>
      </c>
      <c r="D9414" t="s">
        <v>2999</v>
      </c>
      <c r="E9414" t="s">
        <v>11</v>
      </c>
      <c r="F9414" t="s">
        <v>2491</v>
      </c>
      <c r="G9414" t="s">
        <v>1917</v>
      </c>
      <c r="H9414" t="s">
        <v>432</v>
      </c>
      <c r="J9414" t="s">
        <v>17511</v>
      </c>
    </row>
    <row r="9415" spans="1:10" hidden="1" x14ac:dyDescent="0.25">
      <c r="A9415" t="s">
        <v>12723</v>
      </c>
      <c r="B9415" s="1" t="str">
        <f>HYPERLINK("https://asmlis.vasa.lt/Dashboard/Served?ServiceDateFrom=2025-11-24&amp;ServiceDateTo=2025-11-24&amp;DumpsterInvNr=13-L-316435", "13-L-316435")</f>
        <v>13-L-316435</v>
      </c>
      <c r="C9415">
        <v>1.1000000000000001</v>
      </c>
      <c r="D9415" t="s">
        <v>9117</v>
      </c>
      <c r="E9415" t="s">
        <v>11</v>
      </c>
      <c r="F9415" t="s">
        <v>13</v>
      </c>
      <c r="G9415" t="s">
        <v>9</v>
      </c>
      <c r="H9415" t="s">
        <v>14</v>
      </c>
    </row>
    <row r="9416" spans="1:10" hidden="1" x14ac:dyDescent="0.25">
      <c r="A9416" t="s">
        <v>12723</v>
      </c>
      <c r="B9416" s="1" t="str">
        <f>HYPERLINK("https://asmlis.vasa.lt/Dashboard/Served?ServiceDateFrom=2025-11-24&amp;ServiceDateTo=2025-11-24&amp;DumpsterInvNr=13-L-144511", "13-L-144511")</f>
        <v>13-L-144511</v>
      </c>
      <c r="C9416">
        <v>5</v>
      </c>
      <c r="D9416" t="s">
        <v>12724</v>
      </c>
      <c r="E9416" t="s">
        <v>11</v>
      </c>
      <c r="F9416" t="s">
        <v>13</v>
      </c>
      <c r="G9416" t="s">
        <v>430</v>
      </c>
      <c r="H9416" t="s">
        <v>432</v>
      </c>
    </row>
    <row r="9417" spans="1:10" hidden="1" x14ac:dyDescent="0.25">
      <c r="A9417" t="s">
        <v>12725</v>
      </c>
      <c r="B9417" s="1" t="str">
        <f>HYPERLINK("https://asmlis.vasa.lt/Dashboard/Served?ServiceDateFrom=2025-11-24&amp;ServiceDateTo=2025-11-24&amp;DumpsterInvNr=13-L-422095", "13-L-422095")</f>
        <v>13-L-422095</v>
      </c>
      <c r="C9417">
        <v>5</v>
      </c>
      <c r="D9417" t="s">
        <v>12726</v>
      </c>
      <c r="E9417" t="s">
        <v>11</v>
      </c>
      <c r="G9417" t="s">
        <v>74</v>
      </c>
      <c r="H9417" t="s">
        <v>14</v>
      </c>
    </row>
    <row r="9418" spans="1:10" hidden="1" x14ac:dyDescent="0.25">
      <c r="A9418" t="s">
        <v>12725</v>
      </c>
      <c r="B9418" s="1" t="str">
        <f>HYPERLINK("https://asmlis.vasa.lt/Dashboard/Served?ServiceDateFrom=2025-11-24&amp;ServiceDateTo=2025-11-24&amp;DumpsterInvNr=13-S-103070", "13-S-103070")</f>
        <v>13-S-103070</v>
      </c>
      <c r="C9418">
        <v>0.12</v>
      </c>
      <c r="D9418" t="s">
        <v>12515</v>
      </c>
      <c r="E9418" t="s">
        <v>11</v>
      </c>
      <c r="F9418" t="s">
        <v>1209</v>
      </c>
      <c r="G9418" t="s">
        <v>1917</v>
      </c>
      <c r="H9418" t="s">
        <v>432</v>
      </c>
    </row>
    <row r="9419" spans="1:10" hidden="1" x14ac:dyDescent="0.25">
      <c r="A9419" t="s">
        <v>12727</v>
      </c>
      <c r="B9419" s="1" t="str">
        <f>HYPERLINK("https://asmlis.vasa.lt/Dashboard/Served?ServiceDateFrom=2025-11-24&amp;ServiceDateTo=2025-11-24&amp;DumpsterInvNr=13-L-318938", "13-L-318938")</f>
        <v>13-L-318938</v>
      </c>
      <c r="C9419">
        <v>1.1000000000000001</v>
      </c>
      <c r="D9419" t="s">
        <v>12707</v>
      </c>
      <c r="E9419" t="s">
        <v>11</v>
      </c>
      <c r="G9419" t="s">
        <v>9</v>
      </c>
      <c r="H9419" t="s">
        <v>14</v>
      </c>
    </row>
    <row r="9420" spans="1:10" hidden="1" x14ac:dyDescent="0.25">
      <c r="A9420" t="s">
        <v>12728</v>
      </c>
      <c r="B9420" s="1" t="str">
        <f>HYPERLINK("https://asmlis.vasa.lt/Dashboard/Served?ServiceDateFrom=2025-11-24&amp;ServiceDateTo=2025-11-24&amp;DumpsterInvNr=13-L-113006", "13-L-113006")</f>
        <v>13-L-113006</v>
      </c>
      <c r="C9420">
        <v>0.24</v>
      </c>
      <c r="D9420" t="s">
        <v>12729</v>
      </c>
      <c r="E9420" t="s">
        <v>11</v>
      </c>
      <c r="G9420" t="s">
        <v>430</v>
      </c>
      <c r="H9420" t="s">
        <v>432</v>
      </c>
    </row>
    <row r="9421" spans="1:10" hidden="1" x14ac:dyDescent="0.25">
      <c r="A9421" t="s">
        <v>12728</v>
      </c>
      <c r="B9421" s="1" t="str">
        <f>HYPERLINK("https://asmlis.vasa.lt/Dashboard/Served?ServiceDateFrom=2025-11-24&amp;ServiceDateTo=2025-11-24&amp;DumpsterInvNr=13-P-500456", "13-P-500456")</f>
        <v>13-P-500456</v>
      </c>
      <c r="C9421">
        <v>5</v>
      </c>
      <c r="D9421" t="s">
        <v>8647</v>
      </c>
      <c r="E9421" t="s">
        <v>11</v>
      </c>
      <c r="F9421" t="s">
        <v>13</v>
      </c>
      <c r="G9421" t="s">
        <v>2178</v>
      </c>
      <c r="H9421" t="s">
        <v>432</v>
      </c>
    </row>
    <row r="9422" spans="1:10" hidden="1" x14ac:dyDescent="0.25">
      <c r="A9422" t="s">
        <v>12460</v>
      </c>
      <c r="B9422" s="1" t="str">
        <f>HYPERLINK("https://asmlis.vasa.lt/Dashboard/Served?ServiceDateFrom=2025-11-24&amp;ServiceDateTo=2025-11-24&amp;DumpsterInvNr=13-P-208617", "13-P-208617")</f>
        <v>13-P-208617</v>
      </c>
      <c r="C9422">
        <v>0.24</v>
      </c>
      <c r="D9422" t="s">
        <v>11713</v>
      </c>
      <c r="E9422" t="s">
        <v>11</v>
      </c>
      <c r="G9422" t="s">
        <v>234</v>
      </c>
      <c r="H9422" t="s">
        <v>14</v>
      </c>
    </row>
    <row r="9423" spans="1:10" hidden="1" x14ac:dyDescent="0.25">
      <c r="A9423" t="s">
        <v>12460</v>
      </c>
      <c r="B9423" s="1" t="str">
        <f>HYPERLINK("https://asmlis.vasa.lt/Dashboard/Served?ServiceDateFrom=2025-11-24&amp;ServiceDateTo=2025-11-24&amp;DumpsterInvNr=13-P-506660", "13-P-506660")</f>
        <v>13-P-506660</v>
      </c>
      <c r="C9423">
        <v>0.24</v>
      </c>
      <c r="D9423" t="s">
        <v>12729</v>
      </c>
      <c r="E9423" t="s">
        <v>11</v>
      </c>
      <c r="G9423" t="s">
        <v>2178</v>
      </c>
      <c r="H9423" t="s">
        <v>432</v>
      </c>
    </row>
    <row r="9424" spans="1:10" hidden="1" x14ac:dyDescent="0.25">
      <c r="A9424" t="s">
        <v>12730</v>
      </c>
      <c r="B9424" s="1" t="str">
        <f>HYPERLINK("https://asmlis.vasa.lt/Dashboard/Served?ServiceDateFrom=2025-11-24&amp;ServiceDateTo=2025-11-24&amp;DumpsterInvNr=13-L-314614", "13-L-314614")</f>
        <v>13-L-314614</v>
      </c>
      <c r="C9424">
        <v>1.1000000000000001</v>
      </c>
      <c r="D9424" t="s">
        <v>9142</v>
      </c>
      <c r="E9424" t="s">
        <v>11</v>
      </c>
      <c r="G9424" t="s">
        <v>9</v>
      </c>
      <c r="H9424" t="s">
        <v>14</v>
      </c>
    </row>
    <row r="9425" spans="1:8" hidden="1" x14ac:dyDescent="0.25">
      <c r="A9425" t="s">
        <v>12730</v>
      </c>
      <c r="B9425" s="1" t="str">
        <f>HYPERLINK("https://asmlis.vasa.lt/Dashboard/Served?ServiceDateFrom=2025-11-24&amp;ServiceDateTo=2025-11-24&amp;DumpsterInvNr=13-M-206073", "13-M-206073")</f>
        <v>13-M-206073</v>
      </c>
      <c r="C9425">
        <v>0.12</v>
      </c>
      <c r="D9425" t="s">
        <v>12731</v>
      </c>
      <c r="E9425" t="s">
        <v>11</v>
      </c>
      <c r="G9425" t="s">
        <v>4876</v>
      </c>
      <c r="H9425" t="s">
        <v>938</v>
      </c>
    </row>
    <row r="9426" spans="1:8" hidden="1" x14ac:dyDescent="0.25">
      <c r="A9426" t="s">
        <v>12732</v>
      </c>
      <c r="B9426" s="1" t="str">
        <f>HYPERLINK("https://asmlis.vasa.lt/Dashboard/Served?ServiceDateFrom=2025-11-24&amp;ServiceDateTo=2025-11-24&amp;DumpsterInvNr=13-L-224020", "13-L-224020")</f>
        <v>13-L-224020</v>
      </c>
      <c r="C9426">
        <v>1.1000000000000001</v>
      </c>
      <c r="D9426" t="s">
        <v>12733</v>
      </c>
      <c r="E9426" t="s">
        <v>11</v>
      </c>
      <c r="G9426" t="s">
        <v>936</v>
      </c>
      <c r="H9426" t="s">
        <v>938</v>
      </c>
    </row>
    <row r="9427" spans="1:8" hidden="1" x14ac:dyDescent="0.25">
      <c r="A9427" t="s">
        <v>12734</v>
      </c>
      <c r="B9427" s="1" t="str">
        <f>HYPERLINK("https://asmlis.vasa.lt/Dashboard/Served?ServiceDateFrom=2025-11-24&amp;ServiceDateTo=2025-11-24&amp;DumpsterInvNr=13-L-314571", "13-L-314571")</f>
        <v>13-L-314571</v>
      </c>
      <c r="C9427">
        <v>1.1000000000000001</v>
      </c>
      <c r="D9427" t="s">
        <v>9142</v>
      </c>
      <c r="E9427" t="s">
        <v>11</v>
      </c>
      <c r="G9427" t="s">
        <v>9</v>
      </c>
      <c r="H9427" t="s">
        <v>14</v>
      </c>
    </row>
    <row r="9428" spans="1:8" hidden="1" x14ac:dyDescent="0.25">
      <c r="A9428" t="s">
        <v>12734</v>
      </c>
      <c r="B9428" s="1" t="str">
        <f>HYPERLINK("https://asmlis.vasa.lt/Dashboard/Served?ServiceDateFrom=2025-11-24&amp;ServiceDateTo=2025-11-24&amp;DumpsterInvNr=13-M-204943", "13-M-204943")</f>
        <v>13-M-204943</v>
      </c>
      <c r="C9428">
        <v>0.12</v>
      </c>
      <c r="D9428" t="s">
        <v>12735</v>
      </c>
      <c r="E9428" t="s">
        <v>11</v>
      </c>
      <c r="G9428" t="s">
        <v>4876</v>
      </c>
      <c r="H9428" t="s">
        <v>938</v>
      </c>
    </row>
    <row r="9429" spans="1:8" hidden="1" x14ac:dyDescent="0.25">
      <c r="A9429" t="s">
        <v>12734</v>
      </c>
      <c r="B9429" s="1" t="str">
        <f>HYPERLINK("https://asmlis.vasa.lt/Dashboard/Served?ServiceDateFrom=2025-11-24&amp;ServiceDateTo=2025-11-24&amp;DumpsterInvNr=13-S-505154", "13-S-505154")</f>
        <v>13-S-505154</v>
      </c>
      <c r="C9429">
        <v>0.12</v>
      </c>
      <c r="D9429" t="s">
        <v>12729</v>
      </c>
      <c r="E9429" t="s">
        <v>11</v>
      </c>
      <c r="G9429" t="s">
        <v>2178</v>
      </c>
      <c r="H9429" t="s">
        <v>432</v>
      </c>
    </row>
    <row r="9430" spans="1:8" hidden="1" x14ac:dyDescent="0.25">
      <c r="A9430" t="s">
        <v>12736</v>
      </c>
      <c r="B9430" s="1" t="str">
        <f>HYPERLINK("https://asmlis.vasa.lt/Dashboard/Served?ServiceDateFrom=2025-11-24&amp;ServiceDateTo=2025-11-24&amp;DumpsterInvNr=13-L-142466", "13-L-142466")</f>
        <v>13-L-142466</v>
      </c>
      <c r="C9430">
        <v>0.24</v>
      </c>
      <c r="D9430" t="s">
        <v>12738</v>
      </c>
      <c r="E9430" t="s">
        <v>11</v>
      </c>
      <c r="F9430" t="s">
        <v>1209</v>
      </c>
      <c r="G9430" t="s">
        <v>430</v>
      </c>
      <c r="H9430" t="s">
        <v>432</v>
      </c>
    </row>
    <row r="9431" spans="1:8" hidden="1" x14ac:dyDescent="0.25">
      <c r="A9431" t="s">
        <v>12739</v>
      </c>
      <c r="B9431" s="1" t="str">
        <f>HYPERLINK("https://asmlis.vasa.lt/Dashboard/Served?ServiceDateFrom=2025-11-24&amp;ServiceDateTo=2025-11-24&amp;DumpsterInvNr=13-P-505754", "13-P-505754")</f>
        <v>13-P-505754</v>
      </c>
      <c r="C9431">
        <v>0.24</v>
      </c>
      <c r="D9431" t="s">
        <v>12738</v>
      </c>
      <c r="E9431" t="s">
        <v>11</v>
      </c>
      <c r="F9431" t="s">
        <v>1209</v>
      </c>
      <c r="G9431" t="s">
        <v>2178</v>
      </c>
      <c r="H9431" t="s">
        <v>432</v>
      </c>
    </row>
    <row r="9432" spans="1:8" hidden="1" x14ac:dyDescent="0.25">
      <c r="A9432" t="s">
        <v>12740</v>
      </c>
      <c r="B9432" s="1" t="str">
        <f>HYPERLINK("https://asmlis.vasa.lt/Dashboard/Served?ServiceDateFrom=2025-11-24&amp;ServiceDateTo=2025-11-24&amp;DumpsterInvNr=13-S-502192", "13-S-502192")</f>
        <v>13-S-502192</v>
      </c>
      <c r="C9432">
        <v>0.12</v>
      </c>
      <c r="D9432" t="s">
        <v>12738</v>
      </c>
      <c r="E9432" t="s">
        <v>11</v>
      </c>
      <c r="F9432" t="s">
        <v>1209</v>
      </c>
      <c r="G9432" t="s">
        <v>2178</v>
      </c>
      <c r="H9432" t="s">
        <v>432</v>
      </c>
    </row>
    <row r="9433" spans="1:8" hidden="1" x14ac:dyDescent="0.25">
      <c r="A9433" t="s">
        <v>12741</v>
      </c>
      <c r="B9433" s="1" t="str">
        <f>HYPERLINK("https://asmlis.vasa.lt/Dashboard/Served?ServiceDateFrom=2025-11-24&amp;ServiceDateTo=2025-11-24&amp;DumpsterInvNr=13-L-417731", "13-L-417731")</f>
        <v>13-L-417731</v>
      </c>
      <c r="C9433">
        <v>0.24</v>
      </c>
      <c r="D9433" t="s">
        <v>12742</v>
      </c>
      <c r="E9433" t="s">
        <v>11</v>
      </c>
      <c r="G9433" t="s">
        <v>74</v>
      </c>
      <c r="H9433" t="s">
        <v>14</v>
      </c>
    </row>
    <row r="9434" spans="1:8" hidden="1" x14ac:dyDescent="0.25">
      <c r="A9434" t="s">
        <v>12743</v>
      </c>
      <c r="B9434" s="1" t="str">
        <f>HYPERLINK("https://asmlis.vasa.lt/Dashboard/Served?ServiceDateFrom=2025-11-24&amp;ServiceDateTo=2025-11-24&amp;DumpsterInvNr=13-P-211168", "13-P-211168")</f>
        <v>13-P-211168</v>
      </c>
      <c r="C9434">
        <v>0.24</v>
      </c>
      <c r="D9434" t="s">
        <v>11725</v>
      </c>
      <c r="E9434" t="s">
        <v>11</v>
      </c>
      <c r="G9434" t="s">
        <v>234</v>
      </c>
      <c r="H9434" t="s">
        <v>14</v>
      </c>
    </row>
    <row r="9435" spans="1:8" hidden="1" x14ac:dyDescent="0.25">
      <c r="A9435" t="s">
        <v>12744</v>
      </c>
      <c r="B9435" s="1" t="str">
        <f>HYPERLINK("https://asmlis.vasa.lt/Dashboard/Served?ServiceDateFrom=2025-11-24&amp;ServiceDateTo=2025-11-24&amp;DumpsterInvNr=13-P-415737", "13-P-415737")</f>
        <v>13-P-415737</v>
      </c>
      <c r="C9435">
        <v>0.24</v>
      </c>
      <c r="D9435" t="s">
        <v>1533</v>
      </c>
      <c r="E9435" t="s">
        <v>11</v>
      </c>
      <c r="G9435" t="s">
        <v>264</v>
      </c>
      <c r="H9435" t="s">
        <v>14</v>
      </c>
    </row>
    <row r="9436" spans="1:8" hidden="1" x14ac:dyDescent="0.25">
      <c r="A9436" t="s">
        <v>12744</v>
      </c>
      <c r="B9436" s="1" t="str">
        <f>HYPERLINK("https://asmlis.vasa.lt/Dashboard/Served?ServiceDateFrom=2025-11-24&amp;ServiceDateTo=2025-11-24&amp;DumpsterInvNr=13-P-408987", "13-P-408987")</f>
        <v>13-P-408987</v>
      </c>
      <c r="C9436">
        <v>0.24</v>
      </c>
      <c r="D9436" t="s">
        <v>1534</v>
      </c>
      <c r="E9436" t="s">
        <v>11</v>
      </c>
      <c r="G9436" t="s">
        <v>264</v>
      </c>
      <c r="H9436" t="s">
        <v>14</v>
      </c>
    </row>
    <row r="9437" spans="1:8" hidden="1" x14ac:dyDescent="0.25">
      <c r="A9437" t="s">
        <v>12745</v>
      </c>
      <c r="B9437" s="1" t="str">
        <f>HYPERLINK("https://asmlis.vasa.lt/Dashboard/Served?ServiceDateFrom=2025-11-24&amp;ServiceDateTo=2025-11-24&amp;DumpsterInvNr=13-L-128648", "13-L-128648")</f>
        <v>13-L-128648</v>
      </c>
      <c r="C9437">
        <v>0.24</v>
      </c>
      <c r="D9437" t="s">
        <v>12746</v>
      </c>
      <c r="E9437" t="s">
        <v>11</v>
      </c>
      <c r="G9437" t="s">
        <v>430</v>
      </c>
      <c r="H9437" t="s">
        <v>432</v>
      </c>
    </row>
    <row r="9438" spans="1:8" hidden="1" x14ac:dyDescent="0.25">
      <c r="A9438" t="s">
        <v>12747</v>
      </c>
      <c r="B9438" s="1" t="str">
        <f>HYPERLINK("https://asmlis.vasa.lt/Dashboard/Served?ServiceDateFrom=2025-11-24&amp;ServiceDateTo=2025-11-24&amp;DumpsterInvNr=13-L-222241", "13-L-222241")</f>
        <v>13-L-222241</v>
      </c>
      <c r="C9438">
        <v>1.1000000000000001</v>
      </c>
      <c r="D9438" t="s">
        <v>12733</v>
      </c>
      <c r="E9438" t="s">
        <v>11</v>
      </c>
      <c r="G9438" t="s">
        <v>936</v>
      </c>
      <c r="H9438" t="s">
        <v>938</v>
      </c>
    </row>
    <row r="9439" spans="1:8" hidden="1" x14ac:dyDescent="0.25">
      <c r="A9439" t="s">
        <v>12748</v>
      </c>
      <c r="B9439" s="1" t="str">
        <f>HYPERLINK("https://asmlis.vasa.lt/Dashboard/Served?ServiceDateFrom=2025-11-24&amp;ServiceDateTo=2025-11-24&amp;DumpsterInvNr=13-P-209474", "13-P-209474")</f>
        <v>13-P-209474</v>
      </c>
      <c r="C9439">
        <v>0.24</v>
      </c>
      <c r="D9439" t="s">
        <v>11717</v>
      </c>
      <c r="E9439" t="s">
        <v>11</v>
      </c>
      <c r="F9439" t="s">
        <v>1209</v>
      </c>
      <c r="G9439" t="s">
        <v>234</v>
      </c>
      <c r="H9439" t="s">
        <v>14</v>
      </c>
    </row>
    <row r="9440" spans="1:8" hidden="1" x14ac:dyDescent="0.25">
      <c r="A9440" t="s">
        <v>12748</v>
      </c>
      <c r="B9440" s="1" t="str">
        <f>HYPERLINK("https://asmlis.vasa.lt/Dashboard/Served?ServiceDateFrom=2025-11-24&amp;ServiceDateTo=2025-11-24&amp;DumpsterInvNr=13-P-506948", "13-P-506948")</f>
        <v>13-P-506948</v>
      </c>
      <c r="C9440">
        <v>0.24</v>
      </c>
      <c r="D9440" t="s">
        <v>12746</v>
      </c>
      <c r="E9440" t="s">
        <v>11</v>
      </c>
      <c r="G9440" t="s">
        <v>2178</v>
      </c>
      <c r="H9440" t="s">
        <v>432</v>
      </c>
    </row>
    <row r="9441" spans="1:10" hidden="1" x14ac:dyDescent="0.25">
      <c r="A9441" t="s">
        <v>12751</v>
      </c>
      <c r="B9441" s="1" t="str">
        <f>HYPERLINK("https://asmlis.vasa.lt/Dashboard/Served?ServiceDateFrom=2025-11-24&amp;ServiceDateTo=2025-11-24&amp;DumpsterInvNr=13-P-302400", "13-P-302400")</f>
        <v>13-P-302400</v>
      </c>
      <c r="C9441">
        <v>5</v>
      </c>
      <c r="D9441" t="s">
        <v>12752</v>
      </c>
      <c r="E9441" t="s">
        <v>11</v>
      </c>
      <c r="F9441" t="s">
        <v>13</v>
      </c>
      <c r="G9441" t="s">
        <v>412</v>
      </c>
      <c r="H9441" t="s">
        <v>14</v>
      </c>
    </row>
    <row r="9442" spans="1:10" hidden="1" x14ac:dyDescent="0.25">
      <c r="A9442" t="s">
        <v>12613</v>
      </c>
      <c r="B9442" s="1" t="str">
        <f>HYPERLINK("https://asmlis.vasa.lt/Dashboard/Served?ServiceDateFrom=2025-11-24&amp;ServiceDateTo=2025-11-24&amp;DumpsterInvNr=13-L-420625", "13-L-420625")</f>
        <v>13-L-420625</v>
      </c>
      <c r="C9442">
        <v>0.24</v>
      </c>
      <c r="D9442" t="s">
        <v>7752</v>
      </c>
      <c r="E9442" t="s">
        <v>11</v>
      </c>
      <c r="G9442" t="s">
        <v>74</v>
      </c>
      <c r="H9442" t="s">
        <v>14</v>
      </c>
    </row>
    <row r="9443" spans="1:10" hidden="1" x14ac:dyDescent="0.25">
      <c r="A9443" t="s">
        <v>12613</v>
      </c>
      <c r="B9443" s="1" t="str">
        <f>HYPERLINK("https://asmlis.vasa.lt/Dashboard/Served?ServiceDateFrom=2025-11-24&amp;ServiceDateTo=2025-11-24&amp;DumpsterInvNr=13-M-206059", "13-M-206059")</f>
        <v>13-M-206059</v>
      </c>
      <c r="C9443">
        <v>0.12</v>
      </c>
      <c r="D9443" t="s">
        <v>12753</v>
      </c>
      <c r="E9443" t="s">
        <v>11</v>
      </c>
      <c r="G9443" t="s">
        <v>4876</v>
      </c>
      <c r="H9443" t="s">
        <v>938</v>
      </c>
    </row>
    <row r="9444" spans="1:10" hidden="1" x14ac:dyDescent="0.25">
      <c r="A9444" t="s">
        <v>12754</v>
      </c>
      <c r="B9444" s="1" t="str">
        <f>HYPERLINK("https://asmlis.vasa.lt/Dashboard/Served?ServiceDateFrom=2025-11-24&amp;ServiceDateTo=2025-11-24&amp;DumpsterInvNr=13-M-202287", "13-M-202287")</f>
        <v>13-M-202287</v>
      </c>
      <c r="C9444">
        <v>0.12</v>
      </c>
      <c r="D9444" t="s">
        <v>12755</v>
      </c>
      <c r="E9444" t="s">
        <v>11</v>
      </c>
      <c r="F9444" t="s">
        <v>1209</v>
      </c>
      <c r="G9444" t="s">
        <v>4876</v>
      </c>
      <c r="H9444" t="s">
        <v>938</v>
      </c>
    </row>
    <row r="9445" spans="1:10" hidden="1" x14ac:dyDescent="0.25">
      <c r="A9445" t="s">
        <v>12756</v>
      </c>
      <c r="B9445" s="1" t="str">
        <f>HYPERLINK("https://asmlis.vasa.lt/Dashboard/Served?ServiceDateFrom=2025-11-24&amp;ServiceDateTo=2025-11-24&amp;DumpsterInvNr=13-L-220331", "13-L-220331")</f>
        <v>13-L-220331</v>
      </c>
      <c r="C9445">
        <v>0.24</v>
      </c>
      <c r="D9445" t="s">
        <v>12757</v>
      </c>
      <c r="E9445" t="s">
        <v>11</v>
      </c>
      <c r="G9445" t="s">
        <v>936</v>
      </c>
      <c r="H9445" t="s">
        <v>938</v>
      </c>
    </row>
    <row r="9446" spans="1:10" hidden="1" x14ac:dyDescent="0.25">
      <c r="A9446" t="s">
        <v>12758</v>
      </c>
      <c r="B9446" s="1" t="str">
        <f>HYPERLINK("https://asmlis.vasa.lt/Dashboard/Served?ServiceDateFrom=2025-11-24&amp;ServiceDateTo=2025-11-24&amp;DumpsterInvNr=13-L-420906", "13-L-420906")</f>
        <v>13-L-420906</v>
      </c>
      <c r="C9446">
        <v>2.5</v>
      </c>
      <c r="D9446" t="s">
        <v>12759</v>
      </c>
      <c r="E9446" t="s">
        <v>11</v>
      </c>
      <c r="G9446" t="s">
        <v>74</v>
      </c>
      <c r="H9446" t="s">
        <v>14</v>
      </c>
    </row>
    <row r="9447" spans="1:10" hidden="1" x14ac:dyDescent="0.25">
      <c r="A9447" t="s">
        <v>12760</v>
      </c>
      <c r="B9447" s="1" t="str">
        <f>HYPERLINK("https://asmlis.vasa.lt/Dashboard/Served?ServiceDateFrom=2025-11-24&amp;ServiceDateTo=2025-11-24&amp;DumpsterInvNr=13-P-206919", "13-P-206919")</f>
        <v>13-P-206919</v>
      </c>
      <c r="C9447">
        <v>0.24</v>
      </c>
      <c r="D9447" t="s">
        <v>11749</v>
      </c>
      <c r="E9447" t="s">
        <v>11</v>
      </c>
      <c r="G9447" t="s">
        <v>234</v>
      </c>
      <c r="H9447" t="s">
        <v>14</v>
      </c>
    </row>
    <row r="9448" spans="1:10" hidden="1" x14ac:dyDescent="0.25">
      <c r="A9448" t="s">
        <v>12761</v>
      </c>
      <c r="B9448" s="1" t="str">
        <f>HYPERLINK("https://asmlis.vasa.lt/Dashboard/Served?ServiceDateFrom=2025-11-24&amp;ServiceDateTo=2025-11-24&amp;DumpsterInvNr=13-P-411505", "13-P-411505")</f>
        <v>13-P-411505</v>
      </c>
      <c r="C9448">
        <v>0.24</v>
      </c>
      <c r="D9448" t="s">
        <v>1539</v>
      </c>
      <c r="E9448" t="s">
        <v>11</v>
      </c>
      <c r="F9448" t="s">
        <v>1209</v>
      </c>
      <c r="G9448" t="s">
        <v>264</v>
      </c>
      <c r="H9448" t="s">
        <v>14</v>
      </c>
    </row>
    <row r="9449" spans="1:10" hidden="1" x14ac:dyDescent="0.25">
      <c r="A9449" t="s">
        <v>12762</v>
      </c>
      <c r="B9449" s="1" t="str">
        <f>HYPERLINK("https://asmlis.vasa.lt/Dashboard/Served?ServiceDateFrom=2025-11-24&amp;ServiceDateTo=2025-11-24&amp;DumpsterInvNr=13-L-407283", "13-L-407283")</f>
        <v>13-L-407283</v>
      </c>
      <c r="C9449">
        <v>0.77</v>
      </c>
      <c r="D9449" t="s">
        <v>2167</v>
      </c>
      <c r="E9449" t="s">
        <v>11</v>
      </c>
      <c r="F9449" t="s">
        <v>871</v>
      </c>
      <c r="G9449" t="s">
        <v>74</v>
      </c>
      <c r="H9449" t="s">
        <v>14</v>
      </c>
      <c r="J9449" t="s">
        <v>17512</v>
      </c>
    </row>
    <row r="9450" spans="1:10" hidden="1" x14ac:dyDescent="0.25">
      <c r="A9450" t="s">
        <v>12762</v>
      </c>
      <c r="B9450" s="1" t="str">
        <f>HYPERLINK("https://asmlis.vasa.lt/Dashboard/Served?ServiceDateFrom=2025-11-24&amp;ServiceDateTo=2025-11-24&amp;DumpsterInvNr=13-S-404392", "13-S-404392")</f>
        <v>13-S-404392</v>
      </c>
      <c r="C9450">
        <v>0.12</v>
      </c>
      <c r="D9450" t="s">
        <v>1539</v>
      </c>
      <c r="E9450" t="s">
        <v>11</v>
      </c>
      <c r="F9450" t="s">
        <v>1209</v>
      </c>
      <c r="G9450" t="s">
        <v>264</v>
      </c>
      <c r="H9450" t="s">
        <v>14</v>
      </c>
    </row>
    <row r="9451" spans="1:10" hidden="1" x14ac:dyDescent="0.25">
      <c r="A9451" t="s">
        <v>12763</v>
      </c>
      <c r="B9451" s="1" t="str">
        <f>HYPERLINK("https://asmlis.vasa.lt/Dashboard/Served?ServiceDateFrom=2025-11-24&amp;ServiceDateTo=2025-11-24&amp;DumpsterInvNr=13-L-111236", "13-L-111236")</f>
        <v>13-L-111236</v>
      </c>
      <c r="C9451">
        <v>0.24</v>
      </c>
      <c r="D9451" t="s">
        <v>12764</v>
      </c>
      <c r="E9451" t="s">
        <v>11</v>
      </c>
      <c r="G9451" t="s">
        <v>1912</v>
      </c>
      <c r="H9451" t="s">
        <v>432</v>
      </c>
    </row>
    <row r="9452" spans="1:10" hidden="1" x14ac:dyDescent="0.25">
      <c r="A9452" t="s">
        <v>12765</v>
      </c>
      <c r="B9452" s="1" t="str">
        <f>HYPERLINK("https://asmlis.vasa.lt/Dashboard/Served?ServiceDateFrom=2025-11-24&amp;ServiceDateTo=2025-11-24&amp;DumpsterInvNr=13-P-101093", "13-P-101093")</f>
        <v>13-P-101093</v>
      </c>
      <c r="C9452">
        <v>0.12</v>
      </c>
      <c r="D9452" t="s">
        <v>12764</v>
      </c>
      <c r="E9452" t="s">
        <v>11</v>
      </c>
      <c r="G9452" t="s">
        <v>1917</v>
      </c>
      <c r="H9452" t="s">
        <v>432</v>
      </c>
    </row>
    <row r="9453" spans="1:10" hidden="1" x14ac:dyDescent="0.25">
      <c r="A9453" t="s">
        <v>12766</v>
      </c>
      <c r="B9453" s="1" t="str">
        <f>HYPERLINK("https://asmlis.vasa.lt/Dashboard/Served?ServiceDateFrom=2025-11-24&amp;ServiceDateTo=2025-11-24&amp;DumpsterInvNr=13-S-404420", "13-S-404420")</f>
        <v>13-S-404420</v>
      </c>
      <c r="C9453">
        <v>0.12</v>
      </c>
      <c r="D9453" t="s">
        <v>1536</v>
      </c>
      <c r="E9453" t="s">
        <v>11</v>
      </c>
      <c r="F9453" t="s">
        <v>1209</v>
      </c>
      <c r="G9453" t="s">
        <v>264</v>
      </c>
      <c r="H9453" t="s">
        <v>14</v>
      </c>
    </row>
    <row r="9454" spans="1:10" hidden="1" x14ac:dyDescent="0.25">
      <c r="A9454" t="s">
        <v>12766</v>
      </c>
      <c r="B9454" s="1" t="str">
        <f>HYPERLINK("https://asmlis.vasa.lt/Dashboard/Served?ServiceDateFrom=2025-11-24&amp;ServiceDateTo=2025-11-24&amp;DumpsterInvNr=13-P-412396", "13-P-412396")</f>
        <v>13-P-412396</v>
      </c>
      <c r="C9454">
        <v>0.24</v>
      </c>
      <c r="D9454" t="s">
        <v>1536</v>
      </c>
      <c r="E9454" t="s">
        <v>11</v>
      </c>
      <c r="F9454" t="s">
        <v>1209</v>
      </c>
      <c r="G9454" t="s">
        <v>264</v>
      </c>
      <c r="H9454" t="s">
        <v>14</v>
      </c>
    </row>
    <row r="9455" spans="1:10" hidden="1" x14ac:dyDescent="0.25">
      <c r="A9455" t="s">
        <v>12767</v>
      </c>
      <c r="B9455" s="1" t="str">
        <f>HYPERLINK("https://asmlis.vasa.lt/Dashboard/Served?ServiceDateFrom=2025-11-24&amp;ServiceDateTo=2025-11-24&amp;DumpsterInvNr=13-L-148426", "13-L-148426")</f>
        <v>13-L-148426</v>
      </c>
      <c r="C9455">
        <v>0.24</v>
      </c>
      <c r="D9455" t="s">
        <v>12768</v>
      </c>
      <c r="E9455" t="s">
        <v>11</v>
      </c>
      <c r="G9455" t="s">
        <v>430</v>
      </c>
      <c r="H9455" t="s">
        <v>432</v>
      </c>
    </row>
    <row r="9456" spans="1:10" hidden="1" x14ac:dyDescent="0.25">
      <c r="A9456" t="s">
        <v>12593</v>
      </c>
      <c r="B9456" s="1" t="str">
        <f>HYPERLINK("https://asmlis.vasa.lt/Dashboard/Served?ServiceDateFrom=2025-11-24&amp;ServiceDateTo=2025-11-24&amp;DumpsterInvNr=13-L-415886", "13-L-415886")</f>
        <v>13-L-415886</v>
      </c>
      <c r="C9456">
        <v>0.77</v>
      </c>
      <c r="D9456" t="s">
        <v>2167</v>
      </c>
      <c r="E9456" t="s">
        <v>11</v>
      </c>
      <c r="F9456" t="s">
        <v>871</v>
      </c>
      <c r="G9456" t="s">
        <v>74</v>
      </c>
      <c r="H9456" t="s">
        <v>14</v>
      </c>
      <c r="J9456" t="s">
        <v>17512</v>
      </c>
    </row>
    <row r="9457" spans="1:8" hidden="1" x14ac:dyDescent="0.25">
      <c r="A9457" t="s">
        <v>12593</v>
      </c>
      <c r="B9457" s="1" t="str">
        <f>HYPERLINK("https://asmlis.vasa.lt/Dashboard/Served?ServiceDateFrom=2025-11-24&amp;ServiceDateTo=2025-11-24&amp;DumpsterInvNr=13-M-204948", "13-M-204948")</f>
        <v>13-M-204948</v>
      </c>
      <c r="C9457">
        <v>0.12</v>
      </c>
      <c r="D9457" t="s">
        <v>12772</v>
      </c>
      <c r="E9457" t="s">
        <v>11</v>
      </c>
      <c r="G9457" t="s">
        <v>4876</v>
      </c>
      <c r="H9457" t="s">
        <v>938</v>
      </c>
    </row>
    <row r="9458" spans="1:8" hidden="1" x14ac:dyDescent="0.25">
      <c r="A9458" t="s">
        <v>12773</v>
      </c>
      <c r="B9458" s="1" t="str">
        <f>HYPERLINK("https://asmlis.vasa.lt/Dashboard/Served?ServiceDateFrom=2025-11-24&amp;ServiceDateTo=2025-11-24&amp;DumpsterInvNr=13-L-133358", "13-L-133358")</f>
        <v>13-L-133358</v>
      </c>
      <c r="C9458">
        <v>0.12</v>
      </c>
      <c r="D9458" t="s">
        <v>12774</v>
      </c>
      <c r="E9458" t="s">
        <v>11</v>
      </c>
      <c r="G9458" t="s">
        <v>1912</v>
      </c>
      <c r="H9458" t="s">
        <v>432</v>
      </c>
    </row>
    <row r="9459" spans="1:8" hidden="1" x14ac:dyDescent="0.25">
      <c r="A9459" t="s">
        <v>12775</v>
      </c>
      <c r="B9459" s="1" t="str">
        <f>HYPERLINK("https://asmlis.vasa.lt/Dashboard/Served?ServiceDateFrom=2025-11-24&amp;ServiceDateTo=2025-11-24&amp;DumpsterInvNr=13-L-119847", "13-L-119847")</f>
        <v>13-L-119847</v>
      </c>
      <c r="C9459">
        <v>0.24</v>
      </c>
      <c r="D9459" t="s">
        <v>12768</v>
      </c>
      <c r="E9459" t="s">
        <v>11</v>
      </c>
      <c r="G9459" t="s">
        <v>430</v>
      </c>
      <c r="H9459" t="s">
        <v>432</v>
      </c>
    </row>
    <row r="9460" spans="1:8" hidden="1" x14ac:dyDescent="0.25">
      <c r="A9460" t="s">
        <v>12775</v>
      </c>
      <c r="B9460" s="1" t="str">
        <f>HYPERLINK("https://asmlis.vasa.lt/Dashboard/Served?ServiceDateFrom=2025-11-24&amp;ServiceDateTo=2025-11-24&amp;DumpsterInvNr=13-P-506662", "13-P-506662")</f>
        <v>13-P-506662</v>
      </c>
      <c r="C9460">
        <v>0.24</v>
      </c>
      <c r="D9460" t="s">
        <v>12768</v>
      </c>
      <c r="E9460" t="s">
        <v>11</v>
      </c>
      <c r="G9460" t="s">
        <v>2178</v>
      </c>
      <c r="H9460" t="s">
        <v>432</v>
      </c>
    </row>
    <row r="9461" spans="1:8" hidden="1" x14ac:dyDescent="0.25">
      <c r="A9461" t="s">
        <v>12770</v>
      </c>
      <c r="B9461" s="1" t="str">
        <f>HYPERLINK("https://asmlis.vasa.lt/Dashboard/Served?ServiceDateFrom=2025-11-24&amp;ServiceDateTo=2025-11-24&amp;DumpsterInvNr=13-P-306842", "13-P-306842")</f>
        <v>13-P-306842</v>
      </c>
      <c r="C9461">
        <v>1.1000000000000001</v>
      </c>
      <c r="D9461" t="s">
        <v>1069</v>
      </c>
      <c r="E9461" t="s">
        <v>11</v>
      </c>
      <c r="G9461" t="s">
        <v>412</v>
      </c>
      <c r="H9461" t="s">
        <v>14</v>
      </c>
    </row>
    <row r="9462" spans="1:8" hidden="1" x14ac:dyDescent="0.25">
      <c r="A9462" t="s">
        <v>12776</v>
      </c>
      <c r="B9462" s="1" t="str">
        <f>HYPERLINK("https://asmlis.vasa.lt/Dashboard/Served?ServiceDateFrom=2025-11-24&amp;ServiceDateTo=2025-11-24&amp;DumpsterInvNr=13-L-418796", "13-L-418796")</f>
        <v>13-L-418796</v>
      </c>
      <c r="C9462">
        <v>0.24</v>
      </c>
      <c r="D9462" t="s">
        <v>7769</v>
      </c>
      <c r="E9462" t="s">
        <v>11</v>
      </c>
      <c r="G9462" t="s">
        <v>74</v>
      </c>
      <c r="H9462" t="s">
        <v>14</v>
      </c>
    </row>
    <row r="9463" spans="1:8" hidden="1" x14ac:dyDescent="0.25">
      <c r="A9463" t="s">
        <v>12776</v>
      </c>
      <c r="B9463" s="1" t="str">
        <f>HYPERLINK("https://asmlis.vasa.lt/Dashboard/Served?ServiceDateFrom=2025-11-24&amp;ServiceDateTo=2025-11-24&amp;DumpsterInvNr=13-L-317978", "13-L-317978")</f>
        <v>13-L-317978</v>
      </c>
      <c r="C9463">
        <v>1.1000000000000001</v>
      </c>
      <c r="D9463" t="s">
        <v>9142</v>
      </c>
      <c r="E9463" t="s">
        <v>11</v>
      </c>
      <c r="G9463" t="s">
        <v>9</v>
      </c>
      <c r="H9463" t="s">
        <v>14</v>
      </c>
    </row>
    <row r="9464" spans="1:8" hidden="1" x14ac:dyDescent="0.25">
      <c r="A9464" t="s">
        <v>12776</v>
      </c>
      <c r="B9464" s="1" t="str">
        <f>HYPERLINK("https://asmlis.vasa.lt/Dashboard/Served?ServiceDateFrom=2025-11-24&amp;ServiceDateTo=2025-11-24&amp;DumpsterInvNr=13-L-313793", "13-L-313793")</f>
        <v>13-L-313793</v>
      </c>
      <c r="C9464">
        <v>1.1000000000000001</v>
      </c>
      <c r="D9464" t="s">
        <v>12777</v>
      </c>
      <c r="E9464" t="s">
        <v>11</v>
      </c>
      <c r="G9464" t="s">
        <v>9</v>
      </c>
      <c r="H9464" t="s">
        <v>14</v>
      </c>
    </row>
    <row r="9465" spans="1:8" hidden="1" x14ac:dyDescent="0.25">
      <c r="A9465" t="s">
        <v>12776</v>
      </c>
      <c r="B9465" s="1" t="str">
        <f>HYPERLINK("https://asmlis.vasa.lt/Dashboard/Served?ServiceDateFrom=2025-11-24&amp;ServiceDateTo=2025-11-24&amp;DumpsterInvNr=13-L-228228", "13-L-228228")</f>
        <v>13-L-228228</v>
      </c>
      <c r="C9465">
        <v>0.24</v>
      </c>
      <c r="D9465" t="s">
        <v>12778</v>
      </c>
      <c r="E9465" t="s">
        <v>11</v>
      </c>
      <c r="G9465" t="s">
        <v>936</v>
      </c>
      <c r="H9465" t="s">
        <v>938</v>
      </c>
    </row>
    <row r="9466" spans="1:8" hidden="1" x14ac:dyDescent="0.25">
      <c r="A9466" t="s">
        <v>12474</v>
      </c>
      <c r="B9466" s="1" t="str">
        <f>HYPERLINK("https://asmlis.vasa.lt/Dashboard/Served?ServiceDateFrom=2025-11-24&amp;ServiceDateTo=2025-11-24&amp;DumpsterInvNr=13-P-209510", "13-P-209510")</f>
        <v>13-P-209510</v>
      </c>
      <c r="C9466">
        <v>0.24</v>
      </c>
      <c r="D9466" t="s">
        <v>11747</v>
      </c>
      <c r="E9466" t="s">
        <v>11</v>
      </c>
      <c r="G9466" t="s">
        <v>234</v>
      </c>
      <c r="H9466" t="s">
        <v>14</v>
      </c>
    </row>
    <row r="9467" spans="1:8" hidden="1" x14ac:dyDescent="0.25">
      <c r="A9467" t="s">
        <v>12599</v>
      </c>
      <c r="B9467" s="1" t="str">
        <f>HYPERLINK("https://asmlis.vasa.lt/Dashboard/Served?ServiceDateFrom=2025-11-24&amp;ServiceDateTo=2025-11-24&amp;DumpsterInvNr=13-L-317727", "13-L-317727")</f>
        <v>13-L-317727</v>
      </c>
      <c r="C9467">
        <v>1.1000000000000001</v>
      </c>
      <c r="D9467" t="s">
        <v>12777</v>
      </c>
      <c r="E9467" t="s">
        <v>11</v>
      </c>
      <c r="F9467" t="s">
        <v>13</v>
      </c>
      <c r="G9467" t="s">
        <v>9</v>
      </c>
      <c r="H9467" t="s">
        <v>14</v>
      </c>
    </row>
    <row r="9468" spans="1:8" hidden="1" x14ac:dyDescent="0.25">
      <c r="A9468" t="s">
        <v>12601</v>
      </c>
      <c r="B9468" s="1" t="str">
        <f>HYPERLINK("https://asmlis.vasa.lt/Dashboard/Served?ServiceDateFrom=2025-11-24&amp;ServiceDateTo=2025-11-24&amp;DumpsterInvNr=13-P-108935", "13-P-108935")</f>
        <v>13-P-108935</v>
      </c>
      <c r="C9468">
        <v>1.1000000000000001</v>
      </c>
      <c r="D9468" t="s">
        <v>3157</v>
      </c>
      <c r="E9468" t="s">
        <v>11</v>
      </c>
      <c r="G9468" t="s">
        <v>1917</v>
      </c>
      <c r="H9468" t="s">
        <v>432</v>
      </c>
    </row>
    <row r="9469" spans="1:8" hidden="1" x14ac:dyDescent="0.25">
      <c r="A9469" t="s">
        <v>12779</v>
      </c>
      <c r="B9469" s="1" t="str">
        <f>HYPERLINK("https://asmlis.vasa.lt/Dashboard/Served?ServiceDateFrom=2025-11-24&amp;ServiceDateTo=2025-11-24&amp;DumpsterInvNr=13-L-103076", "13-L-103076")</f>
        <v>13-L-103076</v>
      </c>
      <c r="C9469">
        <v>1.1000000000000001</v>
      </c>
      <c r="D9469" t="s">
        <v>12780</v>
      </c>
      <c r="E9469" t="s">
        <v>11</v>
      </c>
      <c r="G9469" t="s">
        <v>430</v>
      </c>
      <c r="H9469" t="s">
        <v>432</v>
      </c>
    </row>
    <row r="9470" spans="1:8" hidden="1" x14ac:dyDescent="0.25">
      <c r="A9470" t="s">
        <v>12779</v>
      </c>
      <c r="B9470" s="1" t="str">
        <f>HYPERLINK("https://asmlis.vasa.lt/Dashboard/Served?ServiceDateFrom=2025-11-24&amp;ServiceDateTo=2025-11-24&amp;DumpsterInvNr=13-P-416381", "13-P-416381")</f>
        <v>13-P-416381</v>
      </c>
      <c r="C9470">
        <v>1.1000000000000001</v>
      </c>
      <c r="D9470" t="s">
        <v>12781</v>
      </c>
      <c r="E9470" t="s">
        <v>11</v>
      </c>
      <c r="G9470" t="s">
        <v>264</v>
      </c>
      <c r="H9470" t="s">
        <v>14</v>
      </c>
    </row>
    <row r="9471" spans="1:8" hidden="1" x14ac:dyDescent="0.25">
      <c r="A9471" t="s">
        <v>12501</v>
      </c>
      <c r="B9471" s="1" t="str">
        <f>HYPERLINK("https://asmlis.vasa.lt/Dashboard/Served?ServiceDateFrom=2025-11-24&amp;ServiceDateTo=2025-11-24&amp;DumpsterInvNr=13-L-310686", "13-L-310686")</f>
        <v>13-L-310686</v>
      </c>
      <c r="C9471">
        <v>1.1000000000000001</v>
      </c>
      <c r="D9471" t="s">
        <v>9142</v>
      </c>
      <c r="E9471" t="s">
        <v>11</v>
      </c>
      <c r="F9471" t="s">
        <v>13</v>
      </c>
      <c r="G9471" t="s">
        <v>9</v>
      </c>
      <c r="H9471" t="s">
        <v>14</v>
      </c>
    </row>
    <row r="9472" spans="1:8" hidden="1" x14ac:dyDescent="0.25">
      <c r="A9472" t="s">
        <v>12782</v>
      </c>
      <c r="B9472" s="1" t="str">
        <f>HYPERLINK("https://asmlis.vasa.lt/Dashboard/Served?ServiceDateFrom=2025-11-24&amp;ServiceDateTo=2025-11-24&amp;DumpsterInvNr=13-L-223274", "13-L-223274")</f>
        <v>13-L-223274</v>
      </c>
      <c r="C9472">
        <v>1.1000000000000001</v>
      </c>
      <c r="D9472" t="s">
        <v>12783</v>
      </c>
      <c r="E9472" t="s">
        <v>11</v>
      </c>
      <c r="G9472" t="s">
        <v>936</v>
      </c>
      <c r="H9472" t="s">
        <v>938</v>
      </c>
    </row>
    <row r="9473" spans="1:10" hidden="1" x14ac:dyDescent="0.25">
      <c r="A9473" t="s">
        <v>12510</v>
      </c>
      <c r="B9473" s="1" t="str">
        <f>HYPERLINK("https://asmlis.vasa.lt/Dashboard/Served?ServiceDateFrom=2025-11-24&amp;ServiceDateTo=2025-11-24&amp;DumpsterInvNr=13-L-210549", "13-L-210549")</f>
        <v>13-L-210549</v>
      </c>
      <c r="C9473">
        <v>0.24</v>
      </c>
      <c r="D9473" t="s">
        <v>12784</v>
      </c>
      <c r="E9473" t="s">
        <v>11</v>
      </c>
      <c r="F9473" t="s">
        <v>1209</v>
      </c>
      <c r="G9473" t="s">
        <v>936</v>
      </c>
      <c r="H9473" t="s">
        <v>938</v>
      </c>
    </row>
    <row r="9474" spans="1:10" hidden="1" x14ac:dyDescent="0.25">
      <c r="A9474" t="s">
        <v>12510</v>
      </c>
      <c r="B9474" s="1" t="str">
        <f>HYPERLINK("https://asmlis.vasa.lt/Dashboard/Served?ServiceDateFrom=2025-11-24&amp;ServiceDateTo=2025-11-24&amp;DumpsterInvNr=13-P-500457", "13-P-500457")</f>
        <v>13-P-500457</v>
      </c>
      <c r="C9474">
        <v>5</v>
      </c>
      <c r="D9474" t="s">
        <v>8781</v>
      </c>
      <c r="E9474" t="s">
        <v>11</v>
      </c>
      <c r="F9474" t="s">
        <v>13</v>
      </c>
      <c r="G9474" t="s">
        <v>2178</v>
      </c>
      <c r="H9474" t="s">
        <v>432</v>
      </c>
    </row>
    <row r="9475" spans="1:10" hidden="1" x14ac:dyDescent="0.25">
      <c r="A9475" t="s">
        <v>12512</v>
      </c>
      <c r="B9475" s="1" t="str">
        <f>HYPERLINK("https://asmlis.vasa.lt/Dashboard/Served?ServiceDateFrom=2025-11-24&amp;ServiceDateTo=2025-11-24&amp;DumpsterInvNr=13-P-300293", "13-P-300293")</f>
        <v>13-P-300293</v>
      </c>
      <c r="C9475">
        <v>1.1000000000000001</v>
      </c>
      <c r="D9475" t="s">
        <v>1069</v>
      </c>
      <c r="E9475" t="s">
        <v>11</v>
      </c>
      <c r="G9475" t="s">
        <v>412</v>
      </c>
      <c r="H9475" t="s">
        <v>14</v>
      </c>
    </row>
    <row r="9476" spans="1:10" x14ac:dyDescent="0.25">
      <c r="A9476" t="s">
        <v>12552</v>
      </c>
      <c r="B9476" s="1" t="str">
        <f>HYPERLINK("https://asmlis.vasa.lt/Dashboard/Served?ServiceDateFrom=2025-11-24&amp;ServiceDateTo=2025-11-24&amp;DumpsterInvNr=13-L-424022", "13-L-424022")</f>
        <v>13-L-424022</v>
      </c>
      <c r="C9476">
        <v>0.24</v>
      </c>
      <c r="D9476" t="s">
        <v>12787</v>
      </c>
      <c r="E9476" t="s">
        <v>11</v>
      </c>
      <c r="F9476" t="s">
        <v>1215</v>
      </c>
      <c r="G9476" t="s">
        <v>74</v>
      </c>
      <c r="H9476" t="s">
        <v>14</v>
      </c>
      <c r="J9476" t="s">
        <v>17511</v>
      </c>
    </row>
    <row r="9477" spans="1:10" hidden="1" x14ac:dyDescent="0.25">
      <c r="A9477" t="s">
        <v>11382</v>
      </c>
      <c r="B9477" s="1" t="str">
        <f>HYPERLINK("https://asmlis.vasa.lt/Dashboard/Served?ServiceDateFrom=2025-11-24&amp;ServiceDateTo=2025-11-24&amp;DumpsterInvNr=13-P-302331", "13-P-302331")</f>
        <v>13-P-302331</v>
      </c>
      <c r="C9477">
        <v>5</v>
      </c>
      <c r="D9477" t="s">
        <v>12788</v>
      </c>
      <c r="E9477" t="s">
        <v>11</v>
      </c>
      <c r="G9477" t="s">
        <v>412</v>
      </c>
      <c r="H9477" t="s">
        <v>14</v>
      </c>
    </row>
    <row r="9478" spans="1:10" hidden="1" x14ac:dyDescent="0.25">
      <c r="A9478" t="s">
        <v>11690</v>
      </c>
      <c r="B9478" s="1" t="str">
        <f>HYPERLINK("https://asmlis.vasa.lt/Dashboard/Served?ServiceDateFrom=2025-11-24&amp;ServiceDateTo=2025-11-24&amp;DumpsterInvNr=13-P-208600", "13-P-208600")</f>
        <v>13-P-208600</v>
      </c>
      <c r="C9478">
        <v>0.12</v>
      </c>
      <c r="D9478" t="s">
        <v>11863</v>
      </c>
      <c r="E9478" t="s">
        <v>11</v>
      </c>
      <c r="G9478" t="s">
        <v>234</v>
      </c>
      <c r="H9478" t="s">
        <v>14</v>
      </c>
    </row>
    <row r="9479" spans="1:10" hidden="1" x14ac:dyDescent="0.25">
      <c r="A9479" t="s">
        <v>11690</v>
      </c>
      <c r="B9479" s="1" t="str">
        <f>HYPERLINK("https://asmlis.vasa.lt/Dashboard/Served?ServiceDateFrom=2025-11-24&amp;ServiceDateTo=2025-11-24&amp;DumpsterInvNr=13-L-424458", "13-L-424458")</f>
        <v>13-L-424458</v>
      </c>
      <c r="C9479">
        <v>5</v>
      </c>
      <c r="D9479" t="s">
        <v>10654</v>
      </c>
      <c r="E9479" t="s">
        <v>11</v>
      </c>
      <c r="G9479" t="s">
        <v>74</v>
      </c>
      <c r="H9479" t="s">
        <v>14</v>
      </c>
    </row>
    <row r="9480" spans="1:10" hidden="1" x14ac:dyDescent="0.25">
      <c r="A9480" t="s">
        <v>12709</v>
      </c>
      <c r="B9480" s="1" t="str">
        <f>HYPERLINK("https://asmlis.vasa.lt/Dashboard/Served?ServiceDateFrom=2025-11-24&amp;ServiceDateTo=2025-11-24&amp;DumpsterInvNr=13-P-506932", "13-P-506932")</f>
        <v>13-P-506932</v>
      </c>
      <c r="C9480">
        <v>0.24</v>
      </c>
      <c r="D9480" t="s">
        <v>12790</v>
      </c>
      <c r="E9480" t="s">
        <v>11</v>
      </c>
      <c r="G9480" t="s">
        <v>2178</v>
      </c>
      <c r="H9480" t="s">
        <v>432</v>
      </c>
    </row>
    <row r="9481" spans="1:10" hidden="1" x14ac:dyDescent="0.25">
      <c r="A9481" t="s">
        <v>12792</v>
      </c>
      <c r="B9481" s="1" t="str">
        <f>HYPERLINK("https://asmlis.vasa.lt/Dashboard/Served?ServiceDateFrom=2025-11-24&amp;ServiceDateTo=2025-11-24&amp;DumpsterInvNr=13-L-113196", "13-L-113196")</f>
        <v>13-L-113196</v>
      </c>
      <c r="C9481">
        <v>0.24</v>
      </c>
      <c r="D9481" t="s">
        <v>12790</v>
      </c>
      <c r="E9481" t="s">
        <v>11</v>
      </c>
      <c r="G9481" t="s">
        <v>430</v>
      </c>
      <c r="H9481" t="s">
        <v>432</v>
      </c>
    </row>
    <row r="9482" spans="1:10" hidden="1" x14ac:dyDescent="0.25">
      <c r="A9482" t="s">
        <v>12793</v>
      </c>
      <c r="B9482" s="1" t="str">
        <f>HYPERLINK("https://asmlis.vasa.lt/Dashboard/Served?ServiceDateFrom=2025-11-24&amp;ServiceDateTo=2025-11-24&amp;DumpsterInvNr=13-P-102443", "13-P-102443")</f>
        <v>13-P-102443</v>
      </c>
      <c r="C9482">
        <v>5</v>
      </c>
      <c r="D9482" t="s">
        <v>12794</v>
      </c>
      <c r="E9482" t="s">
        <v>11</v>
      </c>
      <c r="F9482" t="s">
        <v>13</v>
      </c>
      <c r="G9482" t="s">
        <v>1917</v>
      </c>
      <c r="H9482" t="s">
        <v>432</v>
      </c>
    </row>
    <row r="9483" spans="1:10" x14ac:dyDescent="0.25">
      <c r="A9483" t="s">
        <v>12795</v>
      </c>
      <c r="B9483" s="1" t="str">
        <f>HYPERLINK("https://asmlis.vasa.lt/Dashboard/Served?ServiceDateFrom=2025-11-24&amp;ServiceDateTo=2025-11-24&amp;DumpsterInvNr=13-L-416401", "13-L-416401")</f>
        <v>13-L-416401</v>
      </c>
      <c r="C9483">
        <v>0.24</v>
      </c>
      <c r="D9483" t="s">
        <v>12796</v>
      </c>
      <c r="E9483" t="s">
        <v>11</v>
      </c>
      <c r="F9483" t="s">
        <v>1215</v>
      </c>
      <c r="G9483" t="s">
        <v>74</v>
      </c>
      <c r="H9483" t="s">
        <v>14</v>
      </c>
      <c r="J9483" t="s">
        <v>17511</v>
      </c>
    </row>
    <row r="9484" spans="1:10" hidden="1" x14ac:dyDescent="0.25">
      <c r="A9484" t="s">
        <v>12795</v>
      </c>
      <c r="B9484" s="1" t="str">
        <f>HYPERLINK("https://asmlis.vasa.lt/Dashboard/Served?ServiceDateFrom=2025-11-24&amp;ServiceDateTo=2025-11-24&amp;DumpsterInvNr=13-L-113194", "13-L-113194")</f>
        <v>13-L-113194</v>
      </c>
      <c r="C9484">
        <v>0.12</v>
      </c>
      <c r="D9484" t="s">
        <v>12790</v>
      </c>
      <c r="E9484" t="s">
        <v>11</v>
      </c>
      <c r="G9484" t="s">
        <v>430</v>
      </c>
      <c r="H9484" t="s">
        <v>432</v>
      </c>
    </row>
    <row r="9485" spans="1:10" hidden="1" x14ac:dyDescent="0.25">
      <c r="A9485" t="s">
        <v>11589</v>
      </c>
      <c r="B9485" s="1" t="str">
        <f>HYPERLINK("https://asmlis.vasa.lt/Dashboard/Served?ServiceDateFrom=2025-11-24&amp;ServiceDateTo=2025-11-24&amp;DumpsterInvNr=13-P-506924", "13-P-506924")</f>
        <v>13-P-506924</v>
      </c>
      <c r="C9485">
        <v>0.24</v>
      </c>
      <c r="D9485" t="s">
        <v>12790</v>
      </c>
      <c r="E9485" t="s">
        <v>11</v>
      </c>
      <c r="G9485" t="s">
        <v>2178</v>
      </c>
      <c r="H9485" t="s">
        <v>432</v>
      </c>
    </row>
    <row r="9486" spans="1:10" x14ac:dyDescent="0.25">
      <c r="A9486" t="s">
        <v>11589</v>
      </c>
      <c r="B9486" s="1" t="str">
        <f>HYPERLINK("https://asmlis.vasa.lt/Dashboard/Served?ServiceDateFrom=2025-11-24&amp;ServiceDateTo=2025-11-24&amp;DumpsterInvNr=13-L-129580", "13-L-129580")</f>
        <v>13-L-129580</v>
      </c>
      <c r="C9486">
        <v>1.1000000000000001</v>
      </c>
      <c r="D9486" t="s">
        <v>12797</v>
      </c>
      <c r="E9486" t="s">
        <v>11</v>
      </c>
      <c r="F9486" t="s">
        <v>10536</v>
      </c>
      <c r="G9486" t="s">
        <v>1912</v>
      </c>
      <c r="H9486" t="s">
        <v>432</v>
      </c>
      <c r="J9486" t="s">
        <v>17511</v>
      </c>
    </row>
    <row r="9487" spans="1:10" hidden="1" x14ac:dyDescent="0.25">
      <c r="A9487" t="s">
        <v>12798</v>
      </c>
      <c r="B9487" s="1" t="str">
        <f>HYPERLINK("https://asmlis.vasa.lt/Dashboard/Served?ServiceDateFrom=2025-11-24&amp;ServiceDateTo=2025-11-24&amp;DumpsterInvNr=13-P-302168", "13-P-302168")</f>
        <v>13-P-302168</v>
      </c>
      <c r="C9487">
        <v>1.1000000000000001</v>
      </c>
      <c r="D9487" t="s">
        <v>1073</v>
      </c>
      <c r="E9487" t="s">
        <v>11</v>
      </c>
      <c r="G9487" t="s">
        <v>412</v>
      </c>
      <c r="H9487" t="s">
        <v>14</v>
      </c>
    </row>
    <row r="9488" spans="1:10" hidden="1" x14ac:dyDescent="0.25">
      <c r="A9488" t="s">
        <v>12799</v>
      </c>
      <c r="B9488" s="1" t="str">
        <f>HYPERLINK("https://asmlis.vasa.lt/Dashboard/Served?ServiceDateFrom=2025-11-24&amp;ServiceDateTo=2025-11-24&amp;DumpsterInvNr=13-L-207154", "13-L-207154")</f>
        <v>13-L-207154</v>
      </c>
      <c r="C9488">
        <v>0.12</v>
      </c>
      <c r="D9488" t="s">
        <v>10146</v>
      </c>
      <c r="E9488" t="s">
        <v>11</v>
      </c>
      <c r="G9488" t="s">
        <v>936</v>
      </c>
      <c r="H9488" t="s">
        <v>938</v>
      </c>
    </row>
    <row r="9489" spans="1:10" hidden="1" x14ac:dyDescent="0.25">
      <c r="A9489" t="s">
        <v>12800</v>
      </c>
      <c r="B9489" s="1" t="str">
        <f>HYPERLINK("https://asmlis.vasa.lt/Dashboard/Served?ServiceDateFrom=2025-11-24&amp;ServiceDateTo=2025-11-24&amp;DumpsterInvNr=13-P-211535", "13-P-211535")</f>
        <v>13-P-211535</v>
      </c>
      <c r="C9489">
        <v>0.24</v>
      </c>
      <c r="D9489" t="s">
        <v>11883</v>
      </c>
      <c r="E9489" t="s">
        <v>11</v>
      </c>
      <c r="G9489" t="s">
        <v>234</v>
      </c>
      <c r="H9489" t="s">
        <v>14</v>
      </c>
    </row>
    <row r="9490" spans="1:10" hidden="1" x14ac:dyDescent="0.25">
      <c r="A9490" t="s">
        <v>12801</v>
      </c>
      <c r="B9490" s="1" t="str">
        <f>HYPERLINK("https://asmlis.vasa.lt/Dashboard/Served?ServiceDateFrom=2025-11-24&amp;ServiceDateTo=2025-11-24&amp;DumpsterInvNr=13-P-112046", "13-P-112046")</f>
        <v>13-P-112046</v>
      </c>
      <c r="C9490">
        <v>0.24</v>
      </c>
      <c r="D9490" t="s">
        <v>12803</v>
      </c>
      <c r="E9490" t="s">
        <v>11</v>
      </c>
      <c r="G9490" t="s">
        <v>1917</v>
      </c>
      <c r="H9490" t="s">
        <v>432</v>
      </c>
    </row>
    <row r="9491" spans="1:10" hidden="1" x14ac:dyDescent="0.25">
      <c r="A9491" t="s">
        <v>12804</v>
      </c>
      <c r="B9491" s="1" t="str">
        <f>HYPERLINK("https://asmlis.vasa.lt/Dashboard/Served?ServiceDateFrom=2025-11-24&amp;ServiceDateTo=2025-11-24&amp;DumpsterInvNr=13-L-111237", "13-L-111237")</f>
        <v>13-L-111237</v>
      </c>
      <c r="C9491">
        <v>0.24</v>
      </c>
      <c r="D9491" t="s">
        <v>12803</v>
      </c>
      <c r="E9491" t="s">
        <v>11</v>
      </c>
      <c r="G9491" t="s">
        <v>1912</v>
      </c>
      <c r="H9491" t="s">
        <v>432</v>
      </c>
    </row>
    <row r="9492" spans="1:10" hidden="1" x14ac:dyDescent="0.25">
      <c r="A9492" t="s">
        <v>12489</v>
      </c>
      <c r="B9492" s="1" t="str">
        <f>HYPERLINK("https://asmlis.vasa.lt/Dashboard/Served?ServiceDateFrom=2025-11-24&amp;ServiceDateTo=2025-11-24&amp;DumpsterInvNr=13-L-111637", "13-L-111637")</f>
        <v>13-L-111637</v>
      </c>
      <c r="C9492">
        <v>5</v>
      </c>
      <c r="D9492" t="s">
        <v>11945</v>
      </c>
      <c r="E9492" t="s">
        <v>11</v>
      </c>
      <c r="F9492" t="s">
        <v>13</v>
      </c>
      <c r="G9492" t="s">
        <v>430</v>
      </c>
      <c r="H9492" t="s">
        <v>432</v>
      </c>
    </row>
    <row r="9493" spans="1:10" hidden="1" x14ac:dyDescent="0.25">
      <c r="A9493" t="s">
        <v>12506</v>
      </c>
      <c r="B9493" s="1" t="str">
        <f>HYPERLINK("https://asmlis.vasa.lt/Dashboard/Served?ServiceDateFrom=2025-11-24&amp;ServiceDateTo=2025-11-24&amp;DumpsterInvNr=13-L-318393", "13-L-318393")</f>
        <v>13-L-318393</v>
      </c>
      <c r="C9493">
        <v>1.1000000000000001</v>
      </c>
      <c r="D9493" t="s">
        <v>12805</v>
      </c>
      <c r="E9493" t="s">
        <v>11</v>
      </c>
      <c r="F9493" t="s">
        <v>2960</v>
      </c>
      <c r="G9493" t="s">
        <v>9</v>
      </c>
      <c r="H9493" t="s">
        <v>14</v>
      </c>
      <c r="J9493" t="s">
        <v>17519</v>
      </c>
    </row>
    <row r="9494" spans="1:10" x14ac:dyDescent="0.25">
      <c r="A9494" t="s">
        <v>12511</v>
      </c>
      <c r="B9494" s="1" t="str">
        <f>HYPERLINK("https://asmlis.vasa.lt/Dashboard/Served?ServiceDateFrom=2025-11-24&amp;ServiceDateTo=2025-11-24&amp;DumpsterInvNr=13-L-139660", "13-L-139660")</f>
        <v>13-L-139660</v>
      </c>
      <c r="C9494">
        <v>0.24</v>
      </c>
      <c r="D9494" t="s">
        <v>12806</v>
      </c>
      <c r="E9494" t="s">
        <v>11</v>
      </c>
      <c r="F9494" t="s">
        <v>10536</v>
      </c>
      <c r="G9494" t="s">
        <v>1912</v>
      </c>
      <c r="H9494" t="s">
        <v>432</v>
      </c>
      <c r="J9494" t="s">
        <v>17511</v>
      </c>
    </row>
    <row r="9495" spans="1:10" hidden="1" x14ac:dyDescent="0.25">
      <c r="A9495" t="s">
        <v>12511</v>
      </c>
      <c r="B9495" s="1" t="str">
        <f>HYPERLINK("https://asmlis.vasa.lt/Dashboard/Served?ServiceDateFrom=2025-11-24&amp;ServiceDateTo=2025-11-24&amp;DumpsterInvNr=13-M-206048", "13-M-206048")</f>
        <v>13-M-206048</v>
      </c>
      <c r="C9495">
        <v>0.12</v>
      </c>
      <c r="D9495" t="s">
        <v>12808</v>
      </c>
      <c r="E9495" t="s">
        <v>11</v>
      </c>
      <c r="F9495" t="s">
        <v>1209</v>
      </c>
      <c r="G9495" t="s">
        <v>4876</v>
      </c>
      <c r="H9495" t="s">
        <v>938</v>
      </c>
    </row>
    <row r="9496" spans="1:10" hidden="1" x14ac:dyDescent="0.25">
      <c r="A9496" t="s">
        <v>12549</v>
      </c>
      <c r="B9496" s="1" t="str">
        <f>HYPERLINK("https://asmlis.vasa.lt/Dashboard/Served?ServiceDateFrom=2025-11-24&amp;ServiceDateTo=2025-11-24&amp;DumpsterInvNr=13-M-206034", "13-M-206034")</f>
        <v>13-M-206034</v>
      </c>
      <c r="C9496">
        <v>0.12</v>
      </c>
      <c r="D9496" t="s">
        <v>12810</v>
      </c>
      <c r="E9496" t="s">
        <v>11</v>
      </c>
      <c r="F9496" t="s">
        <v>1209</v>
      </c>
      <c r="G9496" t="s">
        <v>4876</v>
      </c>
      <c r="H9496" t="s">
        <v>938</v>
      </c>
    </row>
    <row r="9497" spans="1:10" hidden="1" x14ac:dyDescent="0.25">
      <c r="A9497" t="s">
        <v>12549</v>
      </c>
      <c r="B9497" s="1" t="str">
        <f>HYPERLINK("https://asmlis.vasa.lt/Dashboard/Served?ServiceDateFrom=2025-11-24&amp;ServiceDateTo=2025-11-24&amp;DumpsterInvNr=13-L-113192", "13-L-113192")</f>
        <v>13-L-113192</v>
      </c>
      <c r="C9497">
        <v>0.24</v>
      </c>
      <c r="D9497" t="s">
        <v>12811</v>
      </c>
      <c r="E9497" t="s">
        <v>11</v>
      </c>
      <c r="G9497" t="s">
        <v>430</v>
      </c>
      <c r="H9497" t="s">
        <v>432</v>
      </c>
    </row>
    <row r="9498" spans="1:10" hidden="1" x14ac:dyDescent="0.25">
      <c r="A9498" t="s">
        <v>12548</v>
      </c>
      <c r="B9498" s="1" t="str">
        <f>HYPERLINK("https://asmlis.vasa.lt/Dashboard/Served?ServiceDateFrom=2025-11-24&amp;ServiceDateTo=2025-11-24&amp;DumpsterInvNr=13-L-314968", "13-L-314968")</f>
        <v>13-L-314968</v>
      </c>
      <c r="C9498">
        <v>5</v>
      </c>
      <c r="D9498" t="s">
        <v>12813</v>
      </c>
      <c r="E9498" t="s">
        <v>11</v>
      </c>
      <c r="F9498" t="s">
        <v>13</v>
      </c>
      <c r="G9498" t="s">
        <v>9</v>
      </c>
      <c r="H9498" t="s">
        <v>14</v>
      </c>
    </row>
    <row r="9499" spans="1:10" hidden="1" x14ac:dyDescent="0.25">
      <c r="A9499" t="s">
        <v>12548</v>
      </c>
      <c r="B9499" s="1" t="str">
        <f>HYPERLINK("https://asmlis.vasa.lt/Dashboard/Served?ServiceDateFrom=2025-11-24&amp;ServiceDateTo=2025-11-24&amp;DumpsterInvNr=13-P-300758", "13-P-300758")</f>
        <v>13-P-300758</v>
      </c>
      <c r="C9499">
        <v>5</v>
      </c>
      <c r="D9499" t="s">
        <v>11212</v>
      </c>
      <c r="E9499" t="s">
        <v>11</v>
      </c>
      <c r="F9499" t="s">
        <v>12814</v>
      </c>
      <c r="G9499" t="s">
        <v>412</v>
      </c>
      <c r="H9499" t="s">
        <v>14</v>
      </c>
      <c r="J9499" t="s">
        <v>17530</v>
      </c>
    </row>
    <row r="9500" spans="1:10" hidden="1" x14ac:dyDescent="0.25">
      <c r="A9500" t="s">
        <v>12816</v>
      </c>
      <c r="B9500" s="1" t="str">
        <f>HYPERLINK("https://asmlis.vasa.lt/Dashboard/Served?ServiceDateFrom=2025-11-24&amp;ServiceDateTo=2025-11-24&amp;DumpsterInvNr=13-P-506913", "13-P-506913")</f>
        <v>13-P-506913</v>
      </c>
      <c r="C9500">
        <v>0.24</v>
      </c>
      <c r="D9500" t="s">
        <v>12811</v>
      </c>
      <c r="E9500" t="s">
        <v>11</v>
      </c>
      <c r="F9500" t="s">
        <v>1209</v>
      </c>
      <c r="G9500" t="s">
        <v>2178</v>
      </c>
      <c r="H9500" t="s">
        <v>432</v>
      </c>
    </row>
    <row r="9501" spans="1:10" hidden="1" x14ac:dyDescent="0.25">
      <c r="A9501" t="s">
        <v>12817</v>
      </c>
      <c r="B9501" s="1" t="str">
        <f>HYPERLINK("https://asmlis.vasa.lt/Dashboard/Served?ServiceDateFrom=2025-11-24&amp;ServiceDateTo=2025-11-24&amp;DumpsterInvNr=13-L-318394", "13-L-318394")</f>
        <v>13-L-318394</v>
      </c>
      <c r="C9501">
        <v>1.1000000000000001</v>
      </c>
      <c r="D9501" t="s">
        <v>12805</v>
      </c>
      <c r="E9501" t="s">
        <v>11</v>
      </c>
      <c r="F9501" t="s">
        <v>1209</v>
      </c>
      <c r="G9501" t="s">
        <v>9</v>
      </c>
      <c r="H9501" t="s">
        <v>14</v>
      </c>
    </row>
    <row r="9502" spans="1:10" hidden="1" x14ac:dyDescent="0.25">
      <c r="A9502" t="s">
        <v>12818</v>
      </c>
      <c r="B9502" s="1" t="str">
        <f>HYPERLINK("https://asmlis.vasa.lt/Dashboard/Served?ServiceDateFrom=2025-11-24&amp;ServiceDateTo=2025-11-24&amp;DumpsterInvNr=13-P-302004", "13-P-302004")</f>
        <v>13-P-302004</v>
      </c>
      <c r="C9502">
        <v>1.1000000000000001</v>
      </c>
      <c r="D9502" t="s">
        <v>12819</v>
      </c>
      <c r="E9502" t="s">
        <v>11</v>
      </c>
      <c r="F9502" t="s">
        <v>13</v>
      </c>
      <c r="G9502" t="s">
        <v>412</v>
      </c>
      <c r="H9502" t="s">
        <v>14</v>
      </c>
    </row>
    <row r="9503" spans="1:10" hidden="1" x14ac:dyDescent="0.25">
      <c r="A9503" t="s">
        <v>12818</v>
      </c>
      <c r="B9503" s="1" t="str">
        <f>HYPERLINK("https://asmlis.vasa.lt/Dashboard/Served?ServiceDateFrom=2025-11-24&amp;ServiceDateTo=2025-11-24&amp;DumpsterInvNr=13-S-505273", "13-S-505273")</f>
        <v>13-S-505273</v>
      </c>
      <c r="C9503">
        <v>0.12</v>
      </c>
      <c r="D9503" t="s">
        <v>12811</v>
      </c>
      <c r="E9503" t="s">
        <v>11</v>
      </c>
      <c r="F9503" t="s">
        <v>1209</v>
      </c>
      <c r="G9503" t="s">
        <v>2178</v>
      </c>
      <c r="H9503" t="s">
        <v>432</v>
      </c>
    </row>
    <row r="9504" spans="1:10" hidden="1" x14ac:dyDescent="0.25">
      <c r="A9504" t="s">
        <v>12820</v>
      </c>
      <c r="B9504" s="1" t="str">
        <f>HYPERLINK("https://asmlis.vasa.lt/Dashboard/Served?ServiceDateFrom=2025-11-24&amp;ServiceDateTo=2025-11-24&amp;DumpsterInvNr=13-L-126501", "13-L-126501")</f>
        <v>13-L-126501</v>
      </c>
      <c r="C9504">
        <v>0.24</v>
      </c>
      <c r="D9504" t="s">
        <v>12811</v>
      </c>
      <c r="E9504" t="s">
        <v>11</v>
      </c>
      <c r="F9504" t="s">
        <v>1209</v>
      </c>
      <c r="G9504" t="s">
        <v>430</v>
      </c>
      <c r="H9504" t="s">
        <v>432</v>
      </c>
    </row>
    <row r="9505" spans="1:8" hidden="1" x14ac:dyDescent="0.25">
      <c r="A9505" t="s">
        <v>12821</v>
      </c>
      <c r="B9505" s="1" t="str">
        <f>HYPERLINK("https://asmlis.vasa.lt/Dashboard/Served?ServiceDateFrom=2025-11-24&amp;ServiceDateTo=2025-11-24&amp;DumpsterInvNr=13-P-506926", "13-P-506926")</f>
        <v>13-P-506926</v>
      </c>
      <c r="C9505">
        <v>0.24</v>
      </c>
      <c r="D9505" t="s">
        <v>12822</v>
      </c>
      <c r="E9505" t="s">
        <v>11</v>
      </c>
      <c r="F9505" t="s">
        <v>1209</v>
      </c>
      <c r="G9505" t="s">
        <v>2178</v>
      </c>
      <c r="H9505" t="s">
        <v>432</v>
      </c>
    </row>
    <row r="9506" spans="1:8" hidden="1" x14ac:dyDescent="0.25">
      <c r="A9506" t="s">
        <v>12821</v>
      </c>
      <c r="B9506" s="1" t="str">
        <f>HYPERLINK("https://asmlis.vasa.lt/Dashboard/Served?ServiceDateFrom=2025-11-24&amp;ServiceDateTo=2025-11-24&amp;DumpsterInvNr=13-S-103210", "13-S-103210")</f>
        <v>13-S-103210</v>
      </c>
      <c r="C9506">
        <v>0.12</v>
      </c>
      <c r="D9506" t="s">
        <v>12823</v>
      </c>
      <c r="E9506" t="s">
        <v>11</v>
      </c>
      <c r="G9506" t="s">
        <v>1917</v>
      </c>
      <c r="H9506" t="s">
        <v>432</v>
      </c>
    </row>
    <row r="9507" spans="1:8" hidden="1" x14ac:dyDescent="0.25">
      <c r="A9507" t="s">
        <v>12825</v>
      </c>
      <c r="B9507" s="1" t="str">
        <f>HYPERLINK("https://asmlis.vasa.lt/Dashboard/Served?ServiceDateFrom=2025-11-24&amp;ServiceDateTo=2025-11-24&amp;DumpsterInvNr=13-L-222478", "13-L-222478")</f>
        <v>13-L-222478</v>
      </c>
      <c r="C9507">
        <v>0.12</v>
      </c>
      <c r="D9507" t="s">
        <v>10091</v>
      </c>
      <c r="E9507" t="s">
        <v>11</v>
      </c>
      <c r="G9507" t="s">
        <v>936</v>
      </c>
      <c r="H9507" t="s">
        <v>938</v>
      </c>
    </row>
    <row r="9508" spans="1:8" hidden="1" x14ac:dyDescent="0.25">
      <c r="A9508" t="s">
        <v>12825</v>
      </c>
      <c r="B9508" s="1" t="str">
        <f>HYPERLINK("https://asmlis.vasa.lt/Dashboard/Served?ServiceDateFrom=2025-11-24&amp;ServiceDateTo=2025-11-24&amp;DumpsterInvNr=13-L-143169", "13-L-143169")</f>
        <v>13-L-143169</v>
      </c>
      <c r="C9508">
        <v>0.24</v>
      </c>
      <c r="D9508" t="s">
        <v>12822</v>
      </c>
      <c r="E9508" t="s">
        <v>11</v>
      </c>
      <c r="F9508" t="s">
        <v>1209</v>
      </c>
      <c r="G9508" t="s">
        <v>430</v>
      </c>
      <c r="H9508" t="s">
        <v>432</v>
      </c>
    </row>
    <row r="9509" spans="1:8" hidden="1" x14ac:dyDescent="0.25">
      <c r="A9509" t="s">
        <v>12815</v>
      </c>
      <c r="B9509" s="1" t="str">
        <f>HYPERLINK("https://asmlis.vasa.lt/Dashboard/Served?ServiceDateFrom=2025-11-24&amp;ServiceDateTo=2025-11-24&amp;DumpsterInvNr=13-P-208726", "13-P-208726")</f>
        <v>13-P-208726</v>
      </c>
      <c r="C9509">
        <v>0.24</v>
      </c>
      <c r="D9509" t="s">
        <v>11881</v>
      </c>
      <c r="E9509" t="s">
        <v>11</v>
      </c>
      <c r="G9509" t="s">
        <v>234</v>
      </c>
      <c r="H9509" t="s">
        <v>14</v>
      </c>
    </row>
    <row r="9510" spans="1:8" hidden="1" x14ac:dyDescent="0.25">
      <c r="A9510" t="s">
        <v>12826</v>
      </c>
      <c r="B9510" s="1" t="str">
        <f>HYPERLINK("https://asmlis.vasa.lt/Dashboard/Served?ServiceDateFrom=2025-11-24&amp;ServiceDateTo=2025-11-24&amp;DumpsterInvNr=13-P-301842", "13-P-301842")</f>
        <v>13-P-301842</v>
      </c>
      <c r="C9510">
        <v>1.1000000000000001</v>
      </c>
      <c r="D9510" t="s">
        <v>12819</v>
      </c>
      <c r="E9510" t="s">
        <v>11</v>
      </c>
      <c r="F9510" t="s">
        <v>13</v>
      </c>
      <c r="G9510" t="s">
        <v>412</v>
      </c>
      <c r="H9510" t="s">
        <v>14</v>
      </c>
    </row>
    <row r="9511" spans="1:8" hidden="1" x14ac:dyDescent="0.25">
      <c r="A9511" t="s">
        <v>12826</v>
      </c>
      <c r="B9511" s="1" t="str">
        <f>HYPERLINK("https://asmlis.vasa.lt/Dashboard/Served?ServiceDateFrom=2025-11-24&amp;ServiceDateTo=2025-11-24&amp;DumpsterInvNr=13-M-202127", "13-M-202127")</f>
        <v>13-M-202127</v>
      </c>
      <c r="C9511">
        <v>0.12</v>
      </c>
      <c r="D9511" t="s">
        <v>12827</v>
      </c>
      <c r="E9511" t="s">
        <v>11</v>
      </c>
      <c r="G9511" t="s">
        <v>4876</v>
      </c>
      <c r="H9511" t="s">
        <v>938</v>
      </c>
    </row>
    <row r="9512" spans="1:8" hidden="1" x14ac:dyDescent="0.25">
      <c r="A9512" t="s">
        <v>12828</v>
      </c>
      <c r="B9512" s="1" t="str">
        <f>HYPERLINK("https://asmlis.vasa.lt/Dashboard/Served?ServiceDateFrom=2025-11-24&amp;ServiceDateTo=2025-11-24&amp;DumpsterInvNr=13-P-300735", "13-P-300735")</f>
        <v>13-P-300735</v>
      </c>
      <c r="C9512">
        <v>5</v>
      </c>
      <c r="D9512" t="s">
        <v>11212</v>
      </c>
      <c r="E9512" t="s">
        <v>11</v>
      </c>
      <c r="F9512" t="s">
        <v>13</v>
      </c>
      <c r="G9512" t="s">
        <v>412</v>
      </c>
      <c r="H9512" t="s">
        <v>14</v>
      </c>
    </row>
    <row r="9513" spans="1:8" hidden="1" x14ac:dyDescent="0.25">
      <c r="A9513" t="s">
        <v>12828</v>
      </c>
      <c r="B9513" s="1" t="str">
        <f>HYPERLINK("https://asmlis.vasa.lt/Dashboard/Served?ServiceDateFrom=2025-11-24&amp;ServiceDateTo=2025-11-24&amp;DumpsterInvNr=13-M-204569", "13-M-204569")</f>
        <v>13-M-204569</v>
      </c>
      <c r="C9513">
        <v>0.12</v>
      </c>
      <c r="D9513" t="s">
        <v>12829</v>
      </c>
      <c r="E9513" t="s">
        <v>11</v>
      </c>
      <c r="F9513" t="s">
        <v>1209</v>
      </c>
      <c r="G9513" t="s">
        <v>4876</v>
      </c>
      <c r="H9513" t="s">
        <v>938</v>
      </c>
    </row>
    <row r="9514" spans="1:8" hidden="1" x14ac:dyDescent="0.25">
      <c r="A9514" t="s">
        <v>12830</v>
      </c>
      <c r="B9514" s="1" t="str">
        <f>HYPERLINK("https://asmlis.vasa.lt/Dashboard/Served?ServiceDateFrom=2025-11-24&amp;ServiceDateTo=2025-11-24&amp;DumpsterInvNr=13-M-206029", "13-M-206029")</f>
        <v>13-M-206029</v>
      </c>
      <c r="C9514">
        <v>0.12</v>
      </c>
      <c r="D9514" t="s">
        <v>12831</v>
      </c>
      <c r="E9514" t="s">
        <v>11</v>
      </c>
      <c r="F9514" t="s">
        <v>1209</v>
      </c>
      <c r="G9514" t="s">
        <v>4876</v>
      </c>
      <c r="H9514" t="s">
        <v>938</v>
      </c>
    </row>
    <row r="9515" spans="1:8" hidden="1" x14ac:dyDescent="0.25">
      <c r="A9515" t="s">
        <v>12832</v>
      </c>
      <c r="B9515" s="1" t="str">
        <f>HYPERLINK("https://asmlis.vasa.lt/Dashboard/Served?ServiceDateFrom=2025-11-24&amp;ServiceDateTo=2025-11-24&amp;DumpsterInvNr=13-M-204954", "13-M-204954")</f>
        <v>13-M-204954</v>
      </c>
      <c r="C9515">
        <v>0.12</v>
      </c>
      <c r="D9515" t="s">
        <v>12833</v>
      </c>
      <c r="E9515" t="s">
        <v>11</v>
      </c>
      <c r="F9515" t="s">
        <v>1209</v>
      </c>
      <c r="G9515" t="s">
        <v>4876</v>
      </c>
      <c r="H9515" t="s">
        <v>938</v>
      </c>
    </row>
    <row r="9516" spans="1:8" hidden="1" x14ac:dyDescent="0.25">
      <c r="A9516" t="s">
        <v>12835</v>
      </c>
      <c r="B9516" s="1" t="str">
        <f>HYPERLINK("https://asmlis.vasa.lt/Dashboard/Served?ServiceDateFrom=2025-11-24&amp;ServiceDateTo=2025-11-24&amp;DumpsterInvNr=13-M-205175", "13-M-205175")</f>
        <v>13-M-205175</v>
      </c>
      <c r="C9516">
        <v>0.12</v>
      </c>
      <c r="D9516" t="s">
        <v>12836</v>
      </c>
      <c r="E9516" t="s">
        <v>11</v>
      </c>
      <c r="F9516" t="s">
        <v>1209</v>
      </c>
      <c r="G9516" t="s">
        <v>4876</v>
      </c>
      <c r="H9516" t="s">
        <v>938</v>
      </c>
    </row>
    <row r="9517" spans="1:8" hidden="1" x14ac:dyDescent="0.25">
      <c r="A9517" t="s">
        <v>12837</v>
      </c>
      <c r="B9517" s="1" t="str">
        <f>HYPERLINK("https://asmlis.vasa.lt/Dashboard/Served?ServiceDateFrom=2025-11-24&amp;ServiceDateTo=2025-11-24&amp;DumpsterInvNr=13-L-300581", "13-L-300581")</f>
        <v>13-L-300581</v>
      </c>
      <c r="C9517">
        <v>1.1000000000000001</v>
      </c>
      <c r="D9517" t="s">
        <v>12838</v>
      </c>
      <c r="E9517" t="s">
        <v>11</v>
      </c>
      <c r="G9517" t="s">
        <v>9</v>
      </c>
      <c r="H9517" t="s">
        <v>14</v>
      </c>
    </row>
    <row r="9518" spans="1:8" hidden="1" x14ac:dyDescent="0.25">
      <c r="A9518" t="s">
        <v>12582</v>
      </c>
      <c r="B9518" s="1" t="str">
        <f>HYPERLINK("https://asmlis.vasa.lt/Dashboard/Served?ServiceDateFrom=2025-11-24&amp;ServiceDateTo=2025-11-24&amp;DumpsterInvNr=13-P-500459", "13-P-500459")</f>
        <v>13-P-500459</v>
      </c>
      <c r="C9518">
        <v>5</v>
      </c>
      <c r="D9518" t="s">
        <v>8935</v>
      </c>
      <c r="E9518" t="s">
        <v>11</v>
      </c>
      <c r="F9518" t="s">
        <v>13</v>
      </c>
      <c r="G9518" t="s">
        <v>2178</v>
      </c>
      <c r="H9518" t="s">
        <v>432</v>
      </c>
    </row>
    <row r="9519" spans="1:8" hidden="1" x14ac:dyDescent="0.25">
      <c r="A9519" t="s">
        <v>12620</v>
      </c>
      <c r="B9519" s="1" t="str">
        <f>HYPERLINK("https://asmlis.vasa.lt/Dashboard/Served?ServiceDateFrom=2025-11-24&amp;ServiceDateTo=2025-11-24&amp;DumpsterInvNr=13-P-500224", "13-P-500224")</f>
        <v>13-P-500224</v>
      </c>
      <c r="C9519">
        <v>2.5</v>
      </c>
      <c r="D9519" t="s">
        <v>12839</v>
      </c>
      <c r="E9519" t="s">
        <v>11</v>
      </c>
      <c r="F9519" t="s">
        <v>13</v>
      </c>
      <c r="G9519" t="s">
        <v>2178</v>
      </c>
      <c r="H9519" t="s">
        <v>432</v>
      </c>
    </row>
    <row r="9520" spans="1:8" hidden="1" x14ac:dyDescent="0.25">
      <c r="A9520" t="s">
        <v>12626</v>
      </c>
      <c r="B9520" s="1" t="str">
        <f>HYPERLINK("https://asmlis.vasa.lt/Dashboard/Served?ServiceDateFrom=2025-11-24&amp;ServiceDateTo=2025-11-24&amp;DumpsterInvNr=13-T-000267", "13-T-000267")</f>
        <v>13-T-000267</v>
      </c>
      <c r="C9520">
        <v>2.5</v>
      </c>
      <c r="D9520" t="s">
        <v>12840</v>
      </c>
      <c r="E9520" t="s">
        <v>11</v>
      </c>
      <c r="F9520" t="s">
        <v>13</v>
      </c>
      <c r="G9520" t="s">
        <v>1899</v>
      </c>
      <c r="H9520" t="s">
        <v>432</v>
      </c>
    </row>
    <row r="9521" spans="1:8" hidden="1" x14ac:dyDescent="0.25">
      <c r="A9521" t="s">
        <v>12633</v>
      </c>
      <c r="B9521" s="1" t="str">
        <f>HYPERLINK("https://asmlis.vasa.lt/Dashboard/Served?ServiceDateFrom=2025-11-24&amp;ServiceDateTo=2025-11-24&amp;DumpsterInvNr=13-L-426414", "13-L-426414")</f>
        <v>13-L-426414</v>
      </c>
      <c r="C9521">
        <v>0.77</v>
      </c>
      <c r="D9521" t="s">
        <v>7806</v>
      </c>
      <c r="E9521" t="s">
        <v>11</v>
      </c>
      <c r="G9521" t="s">
        <v>74</v>
      </c>
      <c r="H9521" t="s">
        <v>14</v>
      </c>
    </row>
    <row r="9522" spans="1:8" hidden="1" x14ac:dyDescent="0.25">
      <c r="A9522" t="s">
        <v>12841</v>
      </c>
      <c r="B9522" s="1" t="str">
        <f>HYPERLINK("https://asmlis.vasa.lt/Dashboard/Served?ServiceDateFrom=2025-11-24&amp;ServiceDateTo=2025-11-24&amp;DumpsterInvNr=13-P-204075", "13-P-204075")</f>
        <v>13-P-204075</v>
      </c>
      <c r="C9522">
        <v>0.24</v>
      </c>
      <c r="D9522" t="s">
        <v>11947</v>
      </c>
      <c r="E9522" t="s">
        <v>11</v>
      </c>
      <c r="G9522" t="s">
        <v>234</v>
      </c>
      <c r="H9522" t="s">
        <v>14</v>
      </c>
    </row>
    <row r="9523" spans="1:8" hidden="1" x14ac:dyDescent="0.25">
      <c r="A9523" t="s">
        <v>12643</v>
      </c>
      <c r="B9523" s="1" t="str">
        <f>HYPERLINK("https://asmlis.vasa.lt/Dashboard/Served?ServiceDateFrom=2025-11-24&amp;ServiceDateTo=2025-11-24&amp;DumpsterInvNr=13-L-318403", "13-L-318403")</f>
        <v>13-L-318403</v>
      </c>
      <c r="C9523">
        <v>0.66</v>
      </c>
      <c r="D9523" t="s">
        <v>12842</v>
      </c>
      <c r="E9523" t="s">
        <v>11</v>
      </c>
      <c r="G9523" t="s">
        <v>9</v>
      </c>
      <c r="H9523" t="s">
        <v>14</v>
      </c>
    </row>
    <row r="9524" spans="1:8" hidden="1" x14ac:dyDescent="0.25">
      <c r="A9524" t="s">
        <v>12843</v>
      </c>
      <c r="B9524" s="1" t="str">
        <f>HYPERLINK("https://asmlis.vasa.lt/Dashboard/Served?ServiceDateFrom=2025-11-24&amp;ServiceDateTo=2025-11-24&amp;DumpsterInvNr=13-L-300599", "13-L-300599")</f>
        <v>13-L-300599</v>
      </c>
      <c r="C9524">
        <v>1.1000000000000001</v>
      </c>
      <c r="D9524" t="s">
        <v>12838</v>
      </c>
      <c r="E9524" t="s">
        <v>11</v>
      </c>
      <c r="G9524" t="s">
        <v>9</v>
      </c>
      <c r="H9524" t="s">
        <v>14</v>
      </c>
    </row>
    <row r="9525" spans="1:8" hidden="1" x14ac:dyDescent="0.25">
      <c r="A9525" t="s">
        <v>12843</v>
      </c>
      <c r="B9525" s="1" t="str">
        <f>HYPERLINK("https://asmlis.vasa.lt/Dashboard/Served?ServiceDateFrom=2025-11-24&amp;ServiceDateTo=2025-11-24&amp;DumpsterInvNr=13-L-224740", "13-L-224740")</f>
        <v>13-L-224740</v>
      </c>
      <c r="C9525">
        <v>1.1000000000000001</v>
      </c>
      <c r="D9525" t="s">
        <v>12844</v>
      </c>
      <c r="E9525" t="s">
        <v>11</v>
      </c>
      <c r="G9525" t="s">
        <v>936</v>
      </c>
      <c r="H9525" t="s">
        <v>938</v>
      </c>
    </row>
    <row r="9526" spans="1:8" hidden="1" x14ac:dyDescent="0.25">
      <c r="A9526" t="s">
        <v>12543</v>
      </c>
      <c r="B9526" s="1" t="str">
        <f>HYPERLINK("https://asmlis.vasa.lt/Dashboard/Served?ServiceDateFrom=2025-11-24&amp;ServiceDateTo=2025-11-24&amp;DumpsterInvNr=13-L-114805", "13-L-114805")</f>
        <v>13-L-114805</v>
      </c>
      <c r="C9526">
        <v>0.12</v>
      </c>
      <c r="D9526" t="s">
        <v>12823</v>
      </c>
      <c r="E9526" t="s">
        <v>11</v>
      </c>
      <c r="G9526" t="s">
        <v>1912</v>
      </c>
      <c r="H9526" t="s">
        <v>432</v>
      </c>
    </row>
    <row r="9527" spans="1:8" hidden="1" x14ac:dyDescent="0.25">
      <c r="A9527" t="s">
        <v>12786</v>
      </c>
      <c r="B9527" s="1" t="str">
        <f>HYPERLINK("https://asmlis.vasa.lt/Dashboard/Served?ServiceDateFrom=2025-11-24&amp;ServiceDateTo=2025-11-24&amp;DumpsterInvNr=13-T-000268", "13-T-000268")</f>
        <v>13-T-000268</v>
      </c>
      <c r="C9527">
        <v>2.5</v>
      </c>
      <c r="D9527" t="s">
        <v>12840</v>
      </c>
      <c r="E9527" t="s">
        <v>11</v>
      </c>
      <c r="F9527" t="s">
        <v>13</v>
      </c>
      <c r="G9527" t="s">
        <v>1899</v>
      </c>
      <c r="H9527" t="s">
        <v>432</v>
      </c>
    </row>
    <row r="9528" spans="1:8" hidden="1" x14ac:dyDescent="0.25">
      <c r="A9528" t="s">
        <v>12700</v>
      </c>
      <c r="B9528" s="1" t="str">
        <f>HYPERLINK("https://asmlis.vasa.lt/Dashboard/Served?ServiceDateFrom=2025-11-24&amp;ServiceDateTo=2025-11-24&amp;DumpsterInvNr=13-P-103200", "13-P-103200")</f>
        <v>13-P-103200</v>
      </c>
      <c r="C9528">
        <v>0.24</v>
      </c>
      <c r="D9528" t="s">
        <v>12823</v>
      </c>
      <c r="E9528" t="s">
        <v>11</v>
      </c>
      <c r="G9528" t="s">
        <v>1917</v>
      </c>
      <c r="H9528" t="s">
        <v>432</v>
      </c>
    </row>
    <row r="9529" spans="1:8" hidden="1" x14ac:dyDescent="0.25">
      <c r="A9529" t="s">
        <v>12846</v>
      </c>
      <c r="B9529" s="1" t="str">
        <f>HYPERLINK("https://asmlis.vasa.lt/Dashboard/Served?ServiceDateFrom=2025-11-24&amp;ServiceDateTo=2025-11-24&amp;DumpsterInvNr=13-L-424234", "13-L-424234")</f>
        <v>13-L-424234</v>
      </c>
      <c r="C9529">
        <v>5</v>
      </c>
      <c r="D9529" t="s">
        <v>6099</v>
      </c>
      <c r="E9529" t="s">
        <v>11</v>
      </c>
      <c r="G9529" t="s">
        <v>74</v>
      </c>
      <c r="H9529" t="s">
        <v>14</v>
      </c>
    </row>
    <row r="9530" spans="1:8" hidden="1" x14ac:dyDescent="0.25">
      <c r="A9530" t="s">
        <v>12705</v>
      </c>
      <c r="B9530" s="1" t="str">
        <f>HYPERLINK("https://asmlis.vasa.lt/Dashboard/Served?ServiceDateFrom=2025-11-24&amp;ServiceDateTo=2025-11-24&amp;DumpsterInvNr=13-L-225918", "13-L-225918")</f>
        <v>13-L-225918</v>
      </c>
      <c r="C9530">
        <v>1.1000000000000001</v>
      </c>
      <c r="D9530" t="s">
        <v>12847</v>
      </c>
      <c r="E9530" t="s">
        <v>11</v>
      </c>
      <c r="G9530" t="s">
        <v>936</v>
      </c>
      <c r="H9530" t="s">
        <v>938</v>
      </c>
    </row>
    <row r="9531" spans="1:8" hidden="1" x14ac:dyDescent="0.25">
      <c r="A9531" t="s">
        <v>12848</v>
      </c>
      <c r="B9531" s="1" t="str">
        <f>HYPERLINK("https://asmlis.vasa.lt/Dashboard/Served?ServiceDateFrom=2025-11-24&amp;ServiceDateTo=2025-11-24&amp;DumpsterInvNr=13-L-131585", "13-L-131585")</f>
        <v>13-L-131585</v>
      </c>
      <c r="C9531">
        <v>3</v>
      </c>
      <c r="D9531" t="s">
        <v>12849</v>
      </c>
      <c r="E9531" t="s">
        <v>11</v>
      </c>
      <c r="F9531" t="s">
        <v>13</v>
      </c>
      <c r="G9531" t="s">
        <v>430</v>
      </c>
      <c r="H9531" t="s">
        <v>432</v>
      </c>
    </row>
    <row r="9532" spans="1:8" hidden="1" x14ac:dyDescent="0.25">
      <c r="A9532" t="s">
        <v>12851</v>
      </c>
      <c r="B9532" s="1" t="str">
        <f>HYPERLINK("https://asmlis.vasa.lt/Dashboard/Served?ServiceDateFrom=2025-11-24&amp;ServiceDateTo=2025-11-24&amp;DumpsterInvNr=13-P-415971", "13-P-415971")</f>
        <v>13-P-415971</v>
      </c>
      <c r="C9532">
        <v>1.1000000000000001</v>
      </c>
      <c r="D9532" t="s">
        <v>12853</v>
      </c>
      <c r="E9532" t="s">
        <v>11</v>
      </c>
      <c r="F9532" t="s">
        <v>13</v>
      </c>
      <c r="G9532" t="s">
        <v>264</v>
      </c>
      <c r="H9532" t="s">
        <v>14</v>
      </c>
    </row>
    <row r="9533" spans="1:8" hidden="1" x14ac:dyDescent="0.25">
      <c r="A9533" t="s">
        <v>12854</v>
      </c>
      <c r="B9533" s="1" t="str">
        <f>HYPERLINK("https://asmlis.vasa.lt/Dashboard/Served?ServiceDateFrom=2025-11-24&amp;ServiceDateTo=2025-11-24&amp;DumpsterInvNr=13-L-143067", "13-L-143067")</f>
        <v>13-L-143067</v>
      </c>
      <c r="C9533">
        <v>1.1000000000000001</v>
      </c>
      <c r="D9533" t="s">
        <v>12855</v>
      </c>
      <c r="E9533" t="s">
        <v>11</v>
      </c>
      <c r="G9533" t="s">
        <v>430</v>
      </c>
      <c r="H9533" t="s">
        <v>432</v>
      </c>
    </row>
    <row r="9534" spans="1:8" hidden="1" x14ac:dyDescent="0.25">
      <c r="A9534" t="s">
        <v>12857</v>
      </c>
      <c r="B9534" s="1" t="str">
        <f>HYPERLINK("https://asmlis.vasa.lt/Dashboard/Served?ServiceDateFrom=2025-11-24&amp;ServiceDateTo=2025-11-24&amp;DumpsterInvNr=13-L-203551", "13-L-203551")</f>
        <v>13-L-203551</v>
      </c>
      <c r="C9534">
        <v>0.12</v>
      </c>
      <c r="D9534" t="s">
        <v>10115</v>
      </c>
      <c r="E9534" t="s">
        <v>11</v>
      </c>
      <c r="F9534" t="s">
        <v>1209</v>
      </c>
      <c r="G9534" t="s">
        <v>936</v>
      </c>
      <c r="H9534" t="s">
        <v>938</v>
      </c>
    </row>
    <row r="9535" spans="1:8" hidden="1" x14ac:dyDescent="0.25">
      <c r="A9535" t="s">
        <v>12858</v>
      </c>
      <c r="B9535" s="1" t="str">
        <f>HYPERLINK("https://asmlis.vasa.lt/Dashboard/Served?ServiceDateFrom=2025-11-24&amp;ServiceDateTo=2025-11-24&amp;DumpsterInvNr=13-P-112014", "13-P-112014")</f>
        <v>13-P-112014</v>
      </c>
      <c r="C9535">
        <v>0.24</v>
      </c>
      <c r="D9535" t="s">
        <v>12859</v>
      </c>
      <c r="E9535" t="s">
        <v>11</v>
      </c>
      <c r="G9535" t="s">
        <v>1917</v>
      </c>
      <c r="H9535" t="s">
        <v>432</v>
      </c>
    </row>
    <row r="9536" spans="1:8" hidden="1" x14ac:dyDescent="0.25">
      <c r="A9536" t="s">
        <v>12861</v>
      </c>
      <c r="B9536" s="1" t="str">
        <f>HYPERLINK("https://asmlis.vasa.lt/Dashboard/Served?ServiceDateFrom=2025-11-24&amp;ServiceDateTo=2025-11-24&amp;DumpsterInvNr=13-S-108441", "13-S-108441")</f>
        <v>13-S-108441</v>
      </c>
      <c r="C9536">
        <v>0.12</v>
      </c>
      <c r="D9536" t="s">
        <v>12862</v>
      </c>
      <c r="E9536" t="s">
        <v>11</v>
      </c>
      <c r="G9536" t="s">
        <v>1917</v>
      </c>
      <c r="H9536" t="s">
        <v>432</v>
      </c>
    </row>
    <row r="9537" spans="1:8" hidden="1" x14ac:dyDescent="0.25">
      <c r="A9537" t="s">
        <v>12861</v>
      </c>
      <c r="B9537" s="1" t="str">
        <f>HYPERLINK("https://asmlis.vasa.lt/Dashboard/Served?ServiceDateFrom=2025-11-24&amp;ServiceDateTo=2025-11-24&amp;DumpsterInvNr=13-M-202324", "13-M-202324")</f>
        <v>13-M-202324</v>
      </c>
      <c r="C9537">
        <v>0.12</v>
      </c>
      <c r="D9537" t="s">
        <v>12863</v>
      </c>
      <c r="E9537" t="s">
        <v>11</v>
      </c>
      <c r="F9537" t="s">
        <v>1209</v>
      </c>
      <c r="G9537" t="s">
        <v>4876</v>
      </c>
      <c r="H9537" t="s">
        <v>938</v>
      </c>
    </row>
    <row r="9538" spans="1:8" hidden="1" x14ac:dyDescent="0.25">
      <c r="A9538" t="s">
        <v>12864</v>
      </c>
      <c r="B9538" s="1" t="str">
        <f>HYPERLINK("https://asmlis.vasa.lt/Dashboard/Served?ServiceDateFrom=2025-11-24&amp;ServiceDateTo=2025-11-24&amp;DumpsterInvNr=13-L-126499", "13-L-126499")</f>
        <v>13-L-126499</v>
      </c>
      <c r="C9538">
        <v>0.24</v>
      </c>
      <c r="D9538" t="s">
        <v>12865</v>
      </c>
      <c r="E9538" t="s">
        <v>11</v>
      </c>
      <c r="F9538" t="s">
        <v>1209</v>
      </c>
      <c r="G9538" t="s">
        <v>430</v>
      </c>
      <c r="H9538" t="s">
        <v>432</v>
      </c>
    </row>
    <row r="9539" spans="1:8" hidden="1" x14ac:dyDescent="0.25">
      <c r="A9539" t="s">
        <v>12866</v>
      </c>
      <c r="B9539" s="1" t="str">
        <f>HYPERLINK("https://asmlis.vasa.lt/Dashboard/Served?ServiceDateFrom=2025-11-24&amp;ServiceDateTo=2025-11-24&amp;DumpsterInvNr=13-L-226350", "13-L-226350")</f>
        <v>13-L-226350</v>
      </c>
      <c r="C9539">
        <v>1.1000000000000001</v>
      </c>
      <c r="D9539" t="s">
        <v>12847</v>
      </c>
      <c r="E9539" t="s">
        <v>11</v>
      </c>
      <c r="G9539" t="s">
        <v>936</v>
      </c>
      <c r="H9539" t="s">
        <v>938</v>
      </c>
    </row>
    <row r="9540" spans="1:8" hidden="1" x14ac:dyDescent="0.25">
      <c r="A9540" t="s">
        <v>12866</v>
      </c>
      <c r="B9540" s="1" t="str">
        <f>HYPERLINK("https://asmlis.vasa.lt/Dashboard/Served?ServiceDateFrom=2025-11-24&amp;ServiceDateTo=2025-11-24&amp;DumpsterInvNr=13-L-224741", "13-L-224741")</f>
        <v>13-L-224741</v>
      </c>
      <c r="C9540">
        <v>1.1000000000000001</v>
      </c>
      <c r="D9540" t="s">
        <v>12844</v>
      </c>
      <c r="E9540" t="s">
        <v>11</v>
      </c>
      <c r="G9540" t="s">
        <v>936</v>
      </c>
      <c r="H9540" t="s">
        <v>938</v>
      </c>
    </row>
    <row r="9541" spans="1:8" hidden="1" x14ac:dyDescent="0.25">
      <c r="A9541" t="s">
        <v>12867</v>
      </c>
      <c r="B9541" s="1" t="str">
        <f>HYPERLINK("https://asmlis.vasa.lt/Dashboard/Served?ServiceDateFrom=2025-11-24&amp;ServiceDateTo=2025-11-24&amp;DumpsterInvNr=13-S-502207", "13-S-502207")</f>
        <v>13-S-502207</v>
      </c>
      <c r="C9541">
        <v>0.12</v>
      </c>
      <c r="D9541" t="s">
        <v>12865</v>
      </c>
      <c r="E9541" t="s">
        <v>11</v>
      </c>
      <c r="F9541" t="s">
        <v>1209</v>
      </c>
      <c r="G9541" t="s">
        <v>2178</v>
      </c>
      <c r="H9541" t="s">
        <v>432</v>
      </c>
    </row>
    <row r="9542" spans="1:8" hidden="1" x14ac:dyDescent="0.25">
      <c r="A9542" t="s">
        <v>12869</v>
      </c>
      <c r="B9542" s="1" t="str">
        <f>HYPERLINK("https://asmlis.vasa.lt/Dashboard/Served?ServiceDateFrom=2025-11-24&amp;ServiceDateTo=2025-11-24&amp;DumpsterInvNr=13-P-505917", "13-P-505917")</f>
        <v>13-P-505917</v>
      </c>
      <c r="C9542">
        <v>0.24</v>
      </c>
      <c r="D9542" t="s">
        <v>12865</v>
      </c>
      <c r="E9542" t="s">
        <v>11</v>
      </c>
      <c r="F9542" t="s">
        <v>1209</v>
      </c>
      <c r="G9542" t="s">
        <v>2178</v>
      </c>
      <c r="H9542" t="s">
        <v>432</v>
      </c>
    </row>
    <row r="9543" spans="1:8" hidden="1" x14ac:dyDescent="0.25">
      <c r="A9543" t="s">
        <v>12870</v>
      </c>
      <c r="B9543" s="1" t="str">
        <f>HYPERLINK("https://asmlis.vasa.lt/Dashboard/Served?ServiceDateFrom=2025-11-24&amp;ServiceDateTo=2025-11-24&amp;DumpsterInvNr=13-L-404635", "13-L-404635")</f>
        <v>13-L-404635</v>
      </c>
      <c r="C9543">
        <v>0.12</v>
      </c>
      <c r="D9543" t="s">
        <v>12871</v>
      </c>
      <c r="E9543" t="s">
        <v>11</v>
      </c>
      <c r="G9543" t="s">
        <v>74</v>
      </c>
      <c r="H9543" t="s">
        <v>14</v>
      </c>
    </row>
    <row r="9544" spans="1:8" hidden="1" x14ac:dyDescent="0.25">
      <c r="A9544" t="s">
        <v>12872</v>
      </c>
      <c r="B9544" s="1" t="str">
        <f>HYPERLINK("https://asmlis.vasa.lt/Dashboard/Served?ServiceDateFrom=2025-11-24&amp;ServiceDateTo=2025-11-24&amp;DumpsterInvNr=13-P-400517", "13-P-400517")</f>
        <v>13-P-400517</v>
      </c>
      <c r="C9544">
        <v>5</v>
      </c>
      <c r="D9544" t="s">
        <v>1858</v>
      </c>
      <c r="E9544" t="s">
        <v>11</v>
      </c>
      <c r="F9544" t="s">
        <v>13</v>
      </c>
      <c r="G9544" t="s">
        <v>264</v>
      </c>
      <c r="H9544" t="s">
        <v>14</v>
      </c>
    </row>
    <row r="9545" spans="1:8" hidden="1" x14ac:dyDescent="0.25">
      <c r="A9545" t="s">
        <v>12872</v>
      </c>
      <c r="B9545" s="1" t="str">
        <f>HYPERLINK("https://asmlis.vasa.lt/Dashboard/Served?ServiceDateFrom=2025-11-24&amp;ServiceDateTo=2025-11-24&amp;DumpsterInvNr=13-P-209554", "13-P-209554")</f>
        <v>13-P-209554</v>
      </c>
      <c r="C9545">
        <v>0.24</v>
      </c>
      <c r="D9545" t="s">
        <v>12873</v>
      </c>
      <c r="E9545" t="s">
        <v>11</v>
      </c>
      <c r="F9545" t="s">
        <v>1209</v>
      </c>
      <c r="G9545" t="s">
        <v>234</v>
      </c>
      <c r="H9545" t="s">
        <v>14</v>
      </c>
    </row>
    <row r="9546" spans="1:8" hidden="1" x14ac:dyDescent="0.25">
      <c r="A9546" t="s">
        <v>12874</v>
      </c>
      <c r="B9546" s="1" t="str">
        <f>HYPERLINK("https://asmlis.vasa.lt/Dashboard/Served?ServiceDateFrom=2025-11-24&amp;ServiceDateTo=2025-11-24&amp;DumpsterInvNr=13-L-422053", "13-L-422053")</f>
        <v>13-L-422053</v>
      </c>
      <c r="C9546">
        <v>5</v>
      </c>
      <c r="D9546" t="s">
        <v>10707</v>
      </c>
      <c r="E9546" t="s">
        <v>11</v>
      </c>
      <c r="G9546" t="s">
        <v>74</v>
      </c>
      <c r="H9546" t="s">
        <v>14</v>
      </c>
    </row>
    <row r="9547" spans="1:8" hidden="1" x14ac:dyDescent="0.25">
      <c r="A9547" t="s">
        <v>12875</v>
      </c>
      <c r="B9547" s="1" t="str">
        <f>HYPERLINK("https://asmlis.vasa.lt/Dashboard/Served?ServiceDateFrom=2025-11-24&amp;ServiceDateTo=2025-11-24&amp;DumpsterInvNr=13-L-111638", "13-L-111638")</f>
        <v>13-L-111638</v>
      </c>
      <c r="C9547">
        <v>5</v>
      </c>
      <c r="D9547" t="s">
        <v>12876</v>
      </c>
      <c r="E9547" t="s">
        <v>11</v>
      </c>
      <c r="F9547" t="s">
        <v>13</v>
      </c>
      <c r="G9547" t="s">
        <v>430</v>
      </c>
      <c r="H9547" t="s">
        <v>432</v>
      </c>
    </row>
    <row r="9548" spans="1:8" hidden="1" x14ac:dyDescent="0.25">
      <c r="A9548" t="s">
        <v>12877</v>
      </c>
      <c r="B9548" s="1" t="str">
        <f>HYPERLINK("https://asmlis.vasa.lt/Dashboard/Served?ServiceDateFrom=2025-11-24&amp;ServiceDateTo=2025-11-24&amp;DumpsterInvNr=13-P-103206", "13-P-103206")</f>
        <v>13-P-103206</v>
      </c>
      <c r="C9548">
        <v>0.24</v>
      </c>
      <c r="D9548" t="s">
        <v>12878</v>
      </c>
      <c r="E9548" t="s">
        <v>11</v>
      </c>
      <c r="F9548" t="s">
        <v>1209</v>
      </c>
      <c r="G9548" t="s">
        <v>1917</v>
      </c>
      <c r="H9548" t="s">
        <v>432</v>
      </c>
    </row>
    <row r="9549" spans="1:8" hidden="1" x14ac:dyDescent="0.25">
      <c r="A9549" t="s">
        <v>12880</v>
      </c>
      <c r="B9549" s="1" t="str">
        <f>HYPERLINK("https://asmlis.vasa.lt/Dashboard/Served?ServiceDateFrom=2025-11-24&amp;ServiceDateTo=2025-11-24&amp;DumpsterInvNr=13-L-224751", "13-L-224751")</f>
        <v>13-L-224751</v>
      </c>
      <c r="C9549">
        <v>1.1000000000000001</v>
      </c>
      <c r="D9549" t="s">
        <v>12847</v>
      </c>
      <c r="E9549" t="s">
        <v>11</v>
      </c>
      <c r="G9549" t="s">
        <v>936</v>
      </c>
      <c r="H9549" t="s">
        <v>938</v>
      </c>
    </row>
    <row r="9550" spans="1:8" hidden="1" x14ac:dyDescent="0.25">
      <c r="A9550" t="s">
        <v>12881</v>
      </c>
      <c r="B9550" s="1" t="str">
        <f>HYPERLINK("https://asmlis.vasa.lt/Dashboard/Served?ServiceDateFrom=2025-11-24&amp;ServiceDateTo=2025-11-24&amp;DumpsterInvNr=13-L-130750", "13-L-130750")</f>
        <v>13-L-130750</v>
      </c>
      <c r="C9550">
        <v>0.12</v>
      </c>
      <c r="D9550" t="s">
        <v>12774</v>
      </c>
      <c r="E9550" t="s">
        <v>11</v>
      </c>
      <c r="F9550" t="s">
        <v>1209</v>
      </c>
      <c r="G9550" t="s">
        <v>1912</v>
      </c>
      <c r="H9550" t="s">
        <v>432</v>
      </c>
    </row>
    <row r="9551" spans="1:8" hidden="1" x14ac:dyDescent="0.25">
      <c r="A9551" t="s">
        <v>12883</v>
      </c>
      <c r="B9551" s="1" t="str">
        <f>HYPERLINK("https://asmlis.vasa.lt/Dashboard/Served?ServiceDateFrom=2025-11-24&amp;ServiceDateTo=2025-11-24&amp;DumpsterInvNr=13-L-129858", "13-L-129858")</f>
        <v>13-L-129858</v>
      </c>
      <c r="C9551">
        <v>1.1000000000000001</v>
      </c>
      <c r="D9551" t="s">
        <v>4585</v>
      </c>
      <c r="E9551" t="s">
        <v>11</v>
      </c>
      <c r="G9551" t="s">
        <v>430</v>
      </c>
      <c r="H9551" t="s">
        <v>432</v>
      </c>
    </row>
    <row r="9552" spans="1:8" hidden="1" x14ac:dyDescent="0.25">
      <c r="A9552" t="s">
        <v>12884</v>
      </c>
      <c r="B9552" s="1" t="str">
        <f>HYPERLINK("https://asmlis.vasa.lt/Dashboard/Served?ServiceDateFrom=2025-11-24&amp;ServiceDateTo=2025-11-24&amp;DumpsterInvNr=13-L-213542", "13-L-213542")</f>
        <v>13-L-213542</v>
      </c>
      <c r="C9552">
        <v>0.12</v>
      </c>
      <c r="D9552" t="s">
        <v>10022</v>
      </c>
      <c r="E9552" t="s">
        <v>11</v>
      </c>
      <c r="G9552" t="s">
        <v>936</v>
      </c>
      <c r="H9552" t="s">
        <v>938</v>
      </c>
    </row>
    <row r="9553" spans="1:8" hidden="1" x14ac:dyDescent="0.25">
      <c r="A9553" t="s">
        <v>12750</v>
      </c>
      <c r="B9553" s="1" t="str">
        <f>HYPERLINK("https://asmlis.vasa.lt/Dashboard/Served?ServiceDateFrom=2025-11-24&amp;ServiceDateTo=2025-11-24&amp;DumpsterInvNr=13-P-115423", "13-P-115423")</f>
        <v>13-P-115423</v>
      </c>
      <c r="C9553">
        <v>1.1000000000000001</v>
      </c>
      <c r="D9553" t="s">
        <v>3235</v>
      </c>
      <c r="E9553" t="s">
        <v>11</v>
      </c>
      <c r="G9553" t="s">
        <v>1917</v>
      </c>
      <c r="H9553" t="s">
        <v>432</v>
      </c>
    </row>
    <row r="9554" spans="1:8" hidden="1" x14ac:dyDescent="0.25">
      <c r="A9554" t="s">
        <v>12769</v>
      </c>
      <c r="B9554" s="1" t="str">
        <f>HYPERLINK("https://asmlis.vasa.lt/Dashboard/Served?ServiceDateFrom=2025-11-24&amp;ServiceDateTo=2025-11-24&amp;DumpsterInvNr=13-P-113360", "13-P-113360")</f>
        <v>13-P-113360</v>
      </c>
      <c r="C9554">
        <v>0.24</v>
      </c>
      <c r="D9554" t="s">
        <v>12862</v>
      </c>
      <c r="E9554" t="s">
        <v>11</v>
      </c>
      <c r="G9554" t="s">
        <v>1917</v>
      </c>
      <c r="H9554" t="s">
        <v>432</v>
      </c>
    </row>
    <row r="9555" spans="1:8" hidden="1" x14ac:dyDescent="0.25">
      <c r="A9555" t="s">
        <v>12619</v>
      </c>
      <c r="B9555" s="1" t="str">
        <f>HYPERLINK("https://asmlis.vasa.lt/Dashboard/Served?ServiceDateFrom=2025-11-24&amp;ServiceDateTo=2025-11-24&amp;DumpsterInvNr=13-S-106993", "13-S-106993")</f>
        <v>13-S-106993</v>
      </c>
      <c r="C9555">
        <v>0.12</v>
      </c>
      <c r="D9555" t="s">
        <v>12774</v>
      </c>
      <c r="E9555" t="s">
        <v>11</v>
      </c>
      <c r="F9555" t="s">
        <v>1209</v>
      </c>
      <c r="G9555" t="s">
        <v>1917</v>
      </c>
      <c r="H9555" t="s">
        <v>432</v>
      </c>
    </row>
    <row r="9556" spans="1:8" hidden="1" x14ac:dyDescent="0.25">
      <c r="A9556" t="s">
        <v>12886</v>
      </c>
      <c r="B9556" s="1" t="str">
        <f>HYPERLINK("https://asmlis.vasa.lt/Dashboard/Served?ServiceDateFrom=2025-11-24&amp;ServiceDateTo=2025-11-24&amp;DumpsterInvNr=13-S-103206", "13-S-103206")</f>
        <v>13-S-103206</v>
      </c>
      <c r="C9556">
        <v>0.12</v>
      </c>
      <c r="D9556" t="s">
        <v>12878</v>
      </c>
      <c r="E9556" t="s">
        <v>11</v>
      </c>
      <c r="F9556" t="s">
        <v>1209</v>
      </c>
      <c r="G9556" t="s">
        <v>1917</v>
      </c>
      <c r="H9556" t="s">
        <v>432</v>
      </c>
    </row>
    <row r="9557" spans="1:8" hidden="1" x14ac:dyDescent="0.25">
      <c r="A9557" t="s">
        <v>12660</v>
      </c>
      <c r="B9557" s="1" t="str">
        <f>HYPERLINK("https://asmlis.vasa.lt/Dashboard/Served?ServiceDateFrom=2025-11-24&amp;ServiceDateTo=2025-11-24&amp;DumpsterInvNr=13-L-213535", "13-L-213535")</f>
        <v>13-L-213535</v>
      </c>
      <c r="C9557">
        <v>0.24</v>
      </c>
      <c r="D9557" t="s">
        <v>10115</v>
      </c>
      <c r="E9557" t="s">
        <v>11</v>
      </c>
      <c r="F9557" t="s">
        <v>1209</v>
      </c>
      <c r="G9557" t="s">
        <v>936</v>
      </c>
      <c r="H9557" t="s">
        <v>938</v>
      </c>
    </row>
    <row r="9558" spans="1:8" hidden="1" x14ac:dyDescent="0.25">
      <c r="A9558" t="s">
        <v>12660</v>
      </c>
      <c r="B9558" s="1" t="str">
        <f>HYPERLINK("https://asmlis.vasa.lt/Dashboard/Served?ServiceDateFrom=2025-11-24&amp;ServiceDateTo=2025-11-24&amp;DumpsterInvNr=13-P-103205", "13-P-103205")</f>
        <v>13-P-103205</v>
      </c>
      <c r="C9558">
        <v>0.24</v>
      </c>
      <c r="D9558" t="s">
        <v>12887</v>
      </c>
      <c r="E9558" t="s">
        <v>11</v>
      </c>
      <c r="F9558" t="s">
        <v>1209</v>
      </c>
      <c r="G9558" t="s">
        <v>1917</v>
      </c>
      <c r="H9558" t="s">
        <v>432</v>
      </c>
    </row>
    <row r="9559" spans="1:8" hidden="1" x14ac:dyDescent="0.25">
      <c r="A9559" t="s">
        <v>12856</v>
      </c>
      <c r="B9559" s="1" t="str">
        <f>HYPERLINK("https://asmlis.vasa.lt/Dashboard/Served?ServiceDateFrom=2025-11-24&amp;ServiceDateTo=2025-11-24&amp;DumpsterInvNr=13-L-125397", "13-L-125397")</f>
        <v>13-L-125397</v>
      </c>
      <c r="C9559">
        <v>0.24</v>
      </c>
      <c r="D9559" t="s">
        <v>12859</v>
      </c>
      <c r="E9559" t="s">
        <v>11</v>
      </c>
      <c r="F9559" t="s">
        <v>1209</v>
      </c>
      <c r="G9559" t="s">
        <v>1912</v>
      </c>
      <c r="H9559" t="s">
        <v>432</v>
      </c>
    </row>
    <row r="9560" spans="1:8" hidden="1" x14ac:dyDescent="0.25">
      <c r="A9560" t="s">
        <v>12493</v>
      </c>
      <c r="B9560" s="1" t="str">
        <f>HYPERLINK("https://asmlis.vasa.lt/Dashboard/Served?ServiceDateFrom=2025-11-24&amp;ServiceDateTo=2025-11-24&amp;DumpsterInvNr=13-S-107003", "13-S-107003")</f>
        <v>13-S-107003</v>
      </c>
      <c r="C9560">
        <v>0.12</v>
      </c>
      <c r="D9560" t="s">
        <v>12859</v>
      </c>
      <c r="E9560" t="s">
        <v>11</v>
      </c>
      <c r="F9560" t="s">
        <v>1209</v>
      </c>
      <c r="G9560" t="s">
        <v>1917</v>
      </c>
      <c r="H9560" t="s">
        <v>432</v>
      </c>
    </row>
    <row r="9561" spans="1:8" hidden="1" x14ac:dyDescent="0.25">
      <c r="A9561" t="s">
        <v>12713</v>
      </c>
      <c r="B9561" s="1" t="str">
        <f>HYPERLINK("https://asmlis.vasa.lt/Dashboard/Served?ServiceDateFrom=2025-11-24&amp;ServiceDateTo=2025-11-24&amp;DumpsterInvNr=13-L-120427", "13-L-120427")</f>
        <v>13-L-120427</v>
      </c>
      <c r="C9561">
        <v>0.24</v>
      </c>
      <c r="D9561" t="s">
        <v>12887</v>
      </c>
      <c r="E9561" t="s">
        <v>11</v>
      </c>
      <c r="F9561" t="s">
        <v>1209</v>
      </c>
      <c r="G9561" t="s">
        <v>1912</v>
      </c>
      <c r="H9561" t="s">
        <v>432</v>
      </c>
    </row>
    <row r="9562" spans="1:8" hidden="1" x14ac:dyDescent="0.25">
      <c r="A9562" t="s">
        <v>12713</v>
      </c>
      <c r="B9562" s="1" t="str">
        <f>HYPERLINK("https://asmlis.vasa.lt/Dashboard/Served?ServiceDateFrom=2025-11-24&amp;ServiceDateTo=2025-11-24&amp;DumpsterInvNr=13-L-216875", "13-L-216875")</f>
        <v>13-L-216875</v>
      </c>
      <c r="C9562">
        <v>0.12</v>
      </c>
      <c r="D9562" t="s">
        <v>10028</v>
      </c>
      <c r="E9562" t="s">
        <v>11</v>
      </c>
      <c r="F9562" t="s">
        <v>1209</v>
      </c>
      <c r="G9562" t="s">
        <v>936</v>
      </c>
      <c r="H9562" t="s">
        <v>938</v>
      </c>
    </row>
    <row r="9563" spans="1:8" hidden="1" x14ac:dyDescent="0.25">
      <c r="A9563" t="s">
        <v>12718</v>
      </c>
      <c r="B9563" s="1" t="str">
        <f>HYPERLINK("https://asmlis.vasa.lt/Dashboard/Served?ServiceDateFrom=2025-11-24&amp;ServiceDateTo=2025-11-24&amp;DumpsterInvNr=13-S-103209", "13-S-103209")</f>
        <v>13-S-103209</v>
      </c>
      <c r="C9563">
        <v>0.12</v>
      </c>
      <c r="D9563" t="s">
        <v>12887</v>
      </c>
      <c r="E9563" t="s">
        <v>11</v>
      </c>
      <c r="F9563" t="s">
        <v>1209</v>
      </c>
      <c r="G9563" t="s">
        <v>1917</v>
      </c>
      <c r="H9563" t="s">
        <v>432</v>
      </c>
    </row>
    <row r="9564" spans="1:8" hidden="1" x14ac:dyDescent="0.25">
      <c r="A9564" t="s">
        <v>12850</v>
      </c>
      <c r="B9564" s="1" t="str">
        <f>HYPERLINK("https://asmlis.vasa.lt/Dashboard/Served?ServiceDateFrom=2025-11-24&amp;ServiceDateTo=2025-11-24&amp;DumpsterInvNr=13-L-102694", "13-L-102694")</f>
        <v>13-L-102694</v>
      </c>
      <c r="C9564">
        <v>0.24</v>
      </c>
      <c r="D9564" t="s">
        <v>12803</v>
      </c>
      <c r="E9564" t="s">
        <v>11</v>
      </c>
      <c r="G9564" t="s">
        <v>1912</v>
      </c>
      <c r="H9564" t="s">
        <v>432</v>
      </c>
    </row>
    <row r="9565" spans="1:8" hidden="1" x14ac:dyDescent="0.25">
      <c r="A9565" t="s">
        <v>12850</v>
      </c>
      <c r="B9565" s="1" t="str">
        <f>HYPERLINK("https://asmlis.vasa.lt/Dashboard/Served?ServiceDateFrom=2025-11-24&amp;ServiceDateTo=2025-11-24&amp;DumpsterInvNr=13-L-316908", "13-L-316908")</f>
        <v>13-L-316908</v>
      </c>
      <c r="C9565">
        <v>5</v>
      </c>
      <c r="D9565" t="s">
        <v>12888</v>
      </c>
      <c r="E9565" t="s">
        <v>11</v>
      </c>
      <c r="F9565" t="s">
        <v>13</v>
      </c>
      <c r="G9565" t="s">
        <v>9</v>
      </c>
      <c r="H9565" t="s">
        <v>14</v>
      </c>
    </row>
    <row r="9566" spans="1:8" hidden="1" x14ac:dyDescent="0.25">
      <c r="A9566" t="s">
        <v>12889</v>
      </c>
      <c r="B9566" s="1" t="str">
        <f>HYPERLINK("https://asmlis.vasa.lt/Dashboard/Served?ServiceDateFrom=2025-11-24&amp;ServiceDateTo=2025-11-24&amp;DumpsterInvNr=13-L-213533", "13-L-213533")</f>
        <v>13-L-213533</v>
      </c>
      <c r="C9566">
        <v>0.12</v>
      </c>
      <c r="D9566" t="s">
        <v>10137</v>
      </c>
      <c r="E9566" t="s">
        <v>11</v>
      </c>
      <c r="F9566" t="s">
        <v>1209</v>
      </c>
      <c r="G9566" t="s">
        <v>936</v>
      </c>
      <c r="H9566" t="s">
        <v>938</v>
      </c>
    </row>
    <row r="9567" spans="1:8" hidden="1" x14ac:dyDescent="0.25">
      <c r="A9567" t="s">
        <v>12889</v>
      </c>
      <c r="B9567" s="1" t="str">
        <f>HYPERLINK("https://asmlis.vasa.lt/Dashboard/Served?ServiceDateFrom=2025-11-24&amp;ServiceDateTo=2025-11-24&amp;DumpsterInvNr=13-P-112048", "13-P-112048")</f>
        <v>13-P-112048</v>
      </c>
      <c r="C9567">
        <v>0.24</v>
      </c>
      <c r="D9567" t="s">
        <v>12774</v>
      </c>
      <c r="E9567" t="s">
        <v>11</v>
      </c>
      <c r="F9567" t="s">
        <v>1209</v>
      </c>
      <c r="G9567" t="s">
        <v>1917</v>
      </c>
      <c r="H9567" t="s">
        <v>432</v>
      </c>
    </row>
    <row r="9568" spans="1:8" hidden="1" x14ac:dyDescent="0.25">
      <c r="A9568" t="s">
        <v>12889</v>
      </c>
      <c r="B9568" s="1" t="str">
        <f>HYPERLINK("https://asmlis.vasa.lt/Dashboard/Served?ServiceDateFrom=2025-11-24&amp;ServiceDateTo=2025-11-24&amp;DumpsterInvNr=13-T-000110", "13-T-000110")</f>
        <v>13-T-000110</v>
      </c>
      <c r="C9568">
        <v>2.5</v>
      </c>
      <c r="D9568" t="s">
        <v>564</v>
      </c>
      <c r="E9568" t="s">
        <v>11</v>
      </c>
      <c r="F9568" t="s">
        <v>13</v>
      </c>
      <c r="G9568" t="s">
        <v>1899</v>
      </c>
      <c r="H9568" t="s">
        <v>432</v>
      </c>
    </row>
    <row r="9569" spans="1:8" hidden="1" x14ac:dyDescent="0.25">
      <c r="A9569" t="s">
        <v>12890</v>
      </c>
      <c r="B9569" s="1" t="str">
        <f>HYPERLINK("https://asmlis.vasa.lt/Dashboard/Served?ServiceDateFrom=2025-11-24&amp;ServiceDateTo=2025-11-24&amp;DumpsterInvNr=13-M-204958", "13-M-204958")</f>
        <v>13-M-204958</v>
      </c>
      <c r="C9569">
        <v>0.12</v>
      </c>
      <c r="D9569" t="s">
        <v>12891</v>
      </c>
      <c r="E9569" t="s">
        <v>11</v>
      </c>
      <c r="G9569" t="s">
        <v>4876</v>
      </c>
      <c r="H9569" t="s">
        <v>938</v>
      </c>
    </row>
    <row r="9570" spans="1:8" hidden="1" x14ac:dyDescent="0.25">
      <c r="A9570" t="s">
        <v>12892</v>
      </c>
      <c r="B9570" s="1" t="str">
        <f>HYPERLINK("https://asmlis.vasa.lt/Dashboard/Served?ServiceDateFrom=2025-11-24&amp;ServiceDateTo=2025-11-24&amp;DumpsterInvNr=13-P-300340", "13-P-300340")</f>
        <v>13-P-300340</v>
      </c>
      <c r="C9570">
        <v>1.1000000000000001</v>
      </c>
      <c r="D9570" t="s">
        <v>12893</v>
      </c>
      <c r="E9570" t="s">
        <v>11</v>
      </c>
      <c r="F9570" t="s">
        <v>13</v>
      </c>
      <c r="G9570" t="s">
        <v>412</v>
      </c>
      <c r="H9570" t="s">
        <v>14</v>
      </c>
    </row>
    <row r="9571" spans="1:8" hidden="1" x14ac:dyDescent="0.25">
      <c r="A9571" t="s">
        <v>12894</v>
      </c>
      <c r="B9571" s="1" t="str">
        <f>HYPERLINK("https://asmlis.vasa.lt/Dashboard/Served?ServiceDateFrom=2025-11-24&amp;ServiceDateTo=2025-11-24&amp;DumpsterInvNr=13-L-213539", "13-L-213539")</f>
        <v>13-L-213539</v>
      </c>
      <c r="C9571">
        <v>0.24</v>
      </c>
      <c r="D9571" t="s">
        <v>10034</v>
      </c>
      <c r="E9571" t="s">
        <v>11</v>
      </c>
      <c r="F9571" t="s">
        <v>1209</v>
      </c>
      <c r="G9571" t="s">
        <v>936</v>
      </c>
      <c r="H9571" t="s">
        <v>938</v>
      </c>
    </row>
    <row r="9572" spans="1:8" hidden="1" x14ac:dyDescent="0.25">
      <c r="A9572" t="s">
        <v>12894</v>
      </c>
      <c r="B9572" s="1" t="str">
        <f>HYPERLINK("https://asmlis.vasa.lt/Dashboard/Served?ServiceDateFrom=2025-11-24&amp;ServiceDateTo=2025-11-24&amp;DumpsterInvNr=13-P-300351", "13-P-300351")</f>
        <v>13-P-300351</v>
      </c>
      <c r="C9572">
        <v>1.1000000000000001</v>
      </c>
      <c r="D9572" t="s">
        <v>12896</v>
      </c>
      <c r="E9572" t="s">
        <v>11</v>
      </c>
      <c r="F9572" t="s">
        <v>13</v>
      </c>
      <c r="G9572" t="s">
        <v>412</v>
      </c>
      <c r="H9572" t="s">
        <v>14</v>
      </c>
    </row>
    <row r="9573" spans="1:8" hidden="1" x14ac:dyDescent="0.25">
      <c r="A9573" t="s">
        <v>12897</v>
      </c>
      <c r="B9573" s="1" t="str">
        <f>HYPERLINK("https://asmlis.vasa.lt/Dashboard/Served?ServiceDateFrom=2025-11-24&amp;ServiceDateTo=2025-11-24&amp;DumpsterInvNr=13-L-102716", "13-L-102716")</f>
        <v>13-L-102716</v>
      </c>
      <c r="C9573">
        <v>0.24</v>
      </c>
      <c r="D9573" t="s">
        <v>12862</v>
      </c>
      <c r="E9573" t="s">
        <v>11</v>
      </c>
      <c r="F9573" t="s">
        <v>1209</v>
      </c>
      <c r="G9573" t="s">
        <v>1912</v>
      </c>
      <c r="H9573" t="s">
        <v>432</v>
      </c>
    </row>
    <row r="9574" spans="1:8" hidden="1" x14ac:dyDescent="0.25">
      <c r="A9574" t="s">
        <v>12898</v>
      </c>
      <c r="B9574" s="1" t="str">
        <f>HYPERLINK("https://asmlis.vasa.lt/Dashboard/Served?ServiceDateFrom=2025-11-24&amp;ServiceDateTo=2025-11-24&amp;DumpsterInvNr=13-T-000135", "13-T-000135")</f>
        <v>13-T-000135</v>
      </c>
      <c r="C9574">
        <v>2.5</v>
      </c>
      <c r="D9574" t="s">
        <v>564</v>
      </c>
      <c r="E9574" t="s">
        <v>11</v>
      </c>
      <c r="F9574" t="s">
        <v>13</v>
      </c>
      <c r="G9574" t="s">
        <v>1899</v>
      </c>
      <c r="H9574" t="s">
        <v>432</v>
      </c>
    </row>
    <row r="9575" spans="1:8" hidden="1" x14ac:dyDescent="0.25">
      <c r="A9575" t="s">
        <v>12899</v>
      </c>
      <c r="B9575" s="1" t="str">
        <f>HYPERLINK("https://asmlis.vasa.lt/Dashboard/Served?ServiceDateFrom=2025-11-24&amp;ServiceDateTo=2025-11-24&amp;DumpsterInvNr=13-S-106995", "13-S-106995")</f>
        <v>13-S-106995</v>
      </c>
      <c r="C9575">
        <v>0.12</v>
      </c>
      <c r="D9575" t="s">
        <v>12803</v>
      </c>
      <c r="E9575" t="s">
        <v>11</v>
      </c>
      <c r="F9575" t="s">
        <v>1209</v>
      </c>
      <c r="G9575" t="s">
        <v>1917</v>
      </c>
      <c r="H9575" t="s">
        <v>432</v>
      </c>
    </row>
    <row r="9576" spans="1:8" hidden="1" x14ac:dyDescent="0.25">
      <c r="A9576" t="s">
        <v>12900</v>
      </c>
      <c r="B9576" s="1" t="str">
        <f>HYPERLINK("https://asmlis.vasa.lt/Dashboard/Served?ServiceDateFrom=2025-11-24&amp;ServiceDateTo=2025-11-24&amp;DumpsterInvNr=13-L-418114", "13-L-418114")</f>
        <v>13-L-418114</v>
      </c>
      <c r="C9576">
        <v>1.1000000000000001</v>
      </c>
      <c r="D9576" t="s">
        <v>12901</v>
      </c>
      <c r="E9576" t="s">
        <v>11</v>
      </c>
      <c r="G9576" t="s">
        <v>74</v>
      </c>
      <c r="H9576" t="s">
        <v>14</v>
      </c>
    </row>
    <row r="9577" spans="1:8" hidden="1" x14ac:dyDescent="0.25">
      <c r="A9577" t="s">
        <v>12900</v>
      </c>
      <c r="B9577" s="1" t="str">
        <f>HYPERLINK("https://asmlis.vasa.lt/Dashboard/Served?ServiceDateFrom=2025-11-24&amp;ServiceDateTo=2025-11-24&amp;DumpsterInvNr=13-L-134920", "13-L-134920")</f>
        <v>13-L-134920</v>
      </c>
      <c r="C9577">
        <v>0.24</v>
      </c>
      <c r="D9577" t="s">
        <v>12902</v>
      </c>
      <c r="E9577" t="s">
        <v>11</v>
      </c>
      <c r="G9577" t="s">
        <v>430</v>
      </c>
      <c r="H9577" t="s">
        <v>432</v>
      </c>
    </row>
    <row r="9578" spans="1:8" hidden="1" x14ac:dyDescent="0.25">
      <c r="A9578" t="s">
        <v>12904</v>
      </c>
      <c r="B9578" s="1" t="str">
        <f>HYPERLINK("https://asmlis.vasa.lt/Dashboard/Served?ServiceDateFrom=2025-11-24&amp;ServiceDateTo=2025-11-24&amp;DumpsterInvNr=13-P-500458", "13-P-500458")</f>
        <v>13-P-500458</v>
      </c>
      <c r="C9578">
        <v>5</v>
      </c>
      <c r="D9578" t="s">
        <v>8998</v>
      </c>
      <c r="E9578" t="s">
        <v>11</v>
      </c>
      <c r="F9578" t="s">
        <v>13</v>
      </c>
      <c r="G9578" t="s">
        <v>2178</v>
      </c>
      <c r="H9578" t="s">
        <v>432</v>
      </c>
    </row>
    <row r="9579" spans="1:8" hidden="1" x14ac:dyDescent="0.25">
      <c r="A9579" t="s">
        <v>12719</v>
      </c>
      <c r="B9579" s="1" t="str">
        <f>HYPERLINK("https://asmlis.vasa.lt/Dashboard/Served?ServiceDateFrom=2025-11-24&amp;ServiceDateTo=2025-11-24&amp;DumpsterInvNr=13-P-212946", "13-P-212946")</f>
        <v>13-P-212946</v>
      </c>
      <c r="C9579">
        <v>0.24</v>
      </c>
      <c r="D9579" t="s">
        <v>12905</v>
      </c>
      <c r="E9579" t="s">
        <v>11</v>
      </c>
      <c r="G9579" t="s">
        <v>234</v>
      </c>
      <c r="H9579" t="s">
        <v>14</v>
      </c>
    </row>
    <row r="9580" spans="1:8" hidden="1" x14ac:dyDescent="0.25">
      <c r="A9580" t="s">
        <v>12906</v>
      </c>
      <c r="B9580" s="1" t="str">
        <f>HYPERLINK("https://asmlis.vasa.lt/Dashboard/Served?ServiceDateFrom=2025-11-24&amp;ServiceDateTo=2025-11-24&amp;DumpsterInvNr=13-L-138394", "13-L-138394")</f>
        <v>13-L-138394</v>
      </c>
      <c r="C9580">
        <v>0.24</v>
      </c>
      <c r="D9580" t="s">
        <v>12907</v>
      </c>
      <c r="E9580" t="s">
        <v>11</v>
      </c>
      <c r="G9580" t="s">
        <v>1912</v>
      </c>
      <c r="H9580" t="s">
        <v>432</v>
      </c>
    </row>
    <row r="9581" spans="1:8" hidden="1" x14ac:dyDescent="0.25">
      <c r="A9581" t="s">
        <v>12906</v>
      </c>
      <c r="B9581" s="1" t="str">
        <f>HYPERLINK("https://asmlis.vasa.lt/Dashboard/Served?ServiceDateFrom=2025-11-24&amp;ServiceDateTo=2025-11-24&amp;DumpsterInvNr=13-S-212357", "13-S-212357")</f>
        <v>13-S-212357</v>
      </c>
      <c r="C9581">
        <v>0.12</v>
      </c>
      <c r="D9581" t="s">
        <v>12905</v>
      </c>
      <c r="E9581" t="s">
        <v>11</v>
      </c>
      <c r="G9581" t="s">
        <v>234</v>
      </c>
      <c r="H9581" t="s">
        <v>14</v>
      </c>
    </row>
    <row r="9582" spans="1:8" hidden="1" x14ac:dyDescent="0.25">
      <c r="A9582" t="s">
        <v>12908</v>
      </c>
      <c r="B9582" s="1" t="str">
        <f>HYPERLINK("https://asmlis.vasa.lt/Dashboard/Served?ServiceDateFrom=2025-11-24&amp;ServiceDateTo=2025-11-24&amp;DumpsterInvNr=13-M-202382", "13-M-202382")</f>
        <v>13-M-202382</v>
      </c>
      <c r="C9582">
        <v>0.12</v>
      </c>
      <c r="D9582" t="s">
        <v>12909</v>
      </c>
      <c r="E9582" t="s">
        <v>11</v>
      </c>
      <c r="G9582" t="s">
        <v>4876</v>
      </c>
      <c r="H9582" t="s">
        <v>938</v>
      </c>
    </row>
    <row r="9583" spans="1:8" hidden="1" x14ac:dyDescent="0.25">
      <c r="A9583" t="s">
        <v>12910</v>
      </c>
      <c r="B9583" s="1" t="str">
        <f>HYPERLINK("https://asmlis.vasa.lt/Dashboard/Served?ServiceDateFrom=2025-11-24&amp;ServiceDateTo=2025-11-24&amp;DumpsterInvNr=13-P-103208", "13-P-103208")</f>
        <v>13-P-103208</v>
      </c>
      <c r="C9583">
        <v>0.24</v>
      </c>
      <c r="D9583" t="s">
        <v>12907</v>
      </c>
      <c r="E9583" t="s">
        <v>11</v>
      </c>
      <c r="G9583" t="s">
        <v>1917</v>
      </c>
      <c r="H9583" t="s">
        <v>432</v>
      </c>
    </row>
    <row r="9584" spans="1:8" hidden="1" x14ac:dyDescent="0.25">
      <c r="A9584" t="s">
        <v>12911</v>
      </c>
      <c r="B9584" s="1" t="str">
        <f>HYPERLINK("https://asmlis.vasa.lt/Dashboard/Served?ServiceDateFrom=2025-11-24&amp;ServiceDateTo=2025-11-24&amp;DumpsterInvNr=13-M-202393", "13-M-202393")</f>
        <v>13-M-202393</v>
      </c>
      <c r="C9584">
        <v>0.12</v>
      </c>
      <c r="D9584" t="s">
        <v>12912</v>
      </c>
      <c r="E9584" t="s">
        <v>11</v>
      </c>
      <c r="F9584" t="s">
        <v>1209</v>
      </c>
      <c r="G9584" t="s">
        <v>4876</v>
      </c>
      <c r="H9584" t="s">
        <v>938</v>
      </c>
    </row>
    <row r="9585" spans="1:8" hidden="1" x14ac:dyDescent="0.25">
      <c r="A9585" t="s">
        <v>12913</v>
      </c>
      <c r="B9585" s="1" t="str">
        <f>HYPERLINK("https://asmlis.vasa.lt/Dashboard/Served?ServiceDateFrom=2025-11-24&amp;ServiceDateTo=2025-11-24&amp;DumpsterInvNr=13-L-422671", "13-L-422671")</f>
        <v>13-L-422671</v>
      </c>
      <c r="C9585">
        <v>0.24</v>
      </c>
      <c r="D9585" t="s">
        <v>12914</v>
      </c>
      <c r="E9585" t="s">
        <v>11</v>
      </c>
      <c r="G9585" t="s">
        <v>74</v>
      </c>
      <c r="H9585" t="s">
        <v>14</v>
      </c>
    </row>
    <row r="9586" spans="1:8" hidden="1" x14ac:dyDescent="0.25">
      <c r="A9586" t="s">
        <v>12915</v>
      </c>
      <c r="B9586" s="1" t="str">
        <f>HYPERLINK("https://asmlis.vasa.lt/Dashboard/Served?ServiceDateFrom=2025-11-24&amp;ServiceDateTo=2025-11-24&amp;DumpsterInvNr=13-L-424208", "13-L-424208")</f>
        <v>13-L-424208</v>
      </c>
      <c r="C9586">
        <v>5</v>
      </c>
      <c r="D9586" t="s">
        <v>10743</v>
      </c>
      <c r="E9586" t="s">
        <v>11</v>
      </c>
      <c r="G9586" t="s">
        <v>74</v>
      </c>
      <c r="H9586" t="s">
        <v>14</v>
      </c>
    </row>
    <row r="9587" spans="1:8" hidden="1" x14ac:dyDescent="0.25">
      <c r="A9587" t="s">
        <v>12916</v>
      </c>
      <c r="B9587" s="1" t="str">
        <f>HYPERLINK("https://asmlis.vasa.lt/Dashboard/Served?ServiceDateFrom=2025-11-24&amp;ServiceDateTo=2025-11-24&amp;DumpsterInvNr=13-P-102444", "13-P-102444")</f>
        <v>13-P-102444</v>
      </c>
      <c r="C9587">
        <v>5</v>
      </c>
      <c r="D9587" t="s">
        <v>12917</v>
      </c>
      <c r="E9587" t="s">
        <v>11</v>
      </c>
      <c r="F9587" t="s">
        <v>13</v>
      </c>
      <c r="G9587" t="s">
        <v>1917</v>
      </c>
      <c r="H9587" t="s">
        <v>432</v>
      </c>
    </row>
    <row r="9588" spans="1:8" hidden="1" x14ac:dyDescent="0.25">
      <c r="A9588" t="s">
        <v>12916</v>
      </c>
      <c r="B9588" s="1" t="str">
        <f>HYPERLINK("https://asmlis.vasa.lt/Dashboard/Served?ServiceDateFrom=2025-11-24&amp;ServiceDateTo=2025-11-24&amp;DumpsterInvNr=13-P-500225", "13-P-500225")</f>
        <v>13-P-500225</v>
      </c>
      <c r="C9588">
        <v>2.5</v>
      </c>
      <c r="D9588" t="s">
        <v>12839</v>
      </c>
      <c r="E9588" t="s">
        <v>11</v>
      </c>
      <c r="F9588" t="s">
        <v>13</v>
      </c>
      <c r="G9588" t="s">
        <v>2178</v>
      </c>
      <c r="H9588" t="s">
        <v>432</v>
      </c>
    </row>
    <row r="9589" spans="1:8" hidden="1" x14ac:dyDescent="0.25">
      <c r="A9589" t="s">
        <v>12916</v>
      </c>
      <c r="B9589" s="1" t="str">
        <f>HYPERLINK("https://asmlis.vasa.lt/Dashboard/Served?ServiceDateFrom=2025-11-24&amp;ServiceDateTo=2025-11-24&amp;DumpsterInvNr=13-M-204438", "13-M-204438")</f>
        <v>13-M-204438</v>
      </c>
      <c r="C9589">
        <v>0.12</v>
      </c>
      <c r="D9589" t="s">
        <v>12918</v>
      </c>
      <c r="E9589" t="s">
        <v>11</v>
      </c>
      <c r="F9589" t="s">
        <v>1209</v>
      </c>
      <c r="G9589" t="s">
        <v>4876</v>
      </c>
      <c r="H9589" t="s">
        <v>938</v>
      </c>
    </row>
    <row r="9590" spans="1:8" hidden="1" x14ac:dyDescent="0.25">
      <c r="A9590" t="s">
        <v>12919</v>
      </c>
      <c r="B9590" s="1" t="str">
        <f>HYPERLINK("https://asmlis.vasa.lt/Dashboard/Served?ServiceDateFrom=2025-11-24&amp;ServiceDateTo=2025-11-24&amp;DumpsterInvNr=13-S-103204", "13-S-103204")</f>
        <v>13-S-103204</v>
      </c>
      <c r="C9590">
        <v>0.12</v>
      </c>
      <c r="D9590" t="s">
        <v>12907</v>
      </c>
      <c r="E9590" t="s">
        <v>11</v>
      </c>
      <c r="F9590" t="s">
        <v>1209</v>
      </c>
      <c r="G9590" t="s">
        <v>1917</v>
      </c>
      <c r="H9590" t="s">
        <v>432</v>
      </c>
    </row>
    <row r="9591" spans="1:8" hidden="1" x14ac:dyDescent="0.25">
      <c r="A9591" t="s">
        <v>12920</v>
      </c>
      <c r="B9591" s="1" t="str">
        <f>HYPERLINK("https://asmlis.vasa.lt/Dashboard/Served?ServiceDateFrom=2025-11-24&amp;ServiceDateTo=2025-11-24&amp;DumpsterInvNr=13-L-309548", "13-L-309548")</f>
        <v>13-L-309548</v>
      </c>
      <c r="C9591">
        <v>0.77</v>
      </c>
      <c r="D9591" t="s">
        <v>12921</v>
      </c>
      <c r="E9591" t="s">
        <v>11</v>
      </c>
      <c r="G9591" t="s">
        <v>9</v>
      </c>
      <c r="H9591" t="s">
        <v>14</v>
      </c>
    </row>
    <row r="9592" spans="1:8" hidden="1" x14ac:dyDescent="0.25">
      <c r="A9592" t="s">
        <v>12922</v>
      </c>
      <c r="B9592" s="1" t="str">
        <f>HYPERLINK("https://asmlis.vasa.lt/Dashboard/Served?ServiceDateFrom=2025-11-24&amp;ServiceDateTo=2025-11-24&amp;DumpsterInvNr=13-P-400507", "13-P-400507")</f>
        <v>13-P-400507</v>
      </c>
      <c r="C9592">
        <v>5</v>
      </c>
      <c r="D9592" t="s">
        <v>1921</v>
      </c>
      <c r="E9592" t="s">
        <v>11</v>
      </c>
      <c r="F9592" t="s">
        <v>13</v>
      </c>
      <c r="G9592" t="s">
        <v>264</v>
      </c>
      <c r="H9592" t="s">
        <v>14</v>
      </c>
    </row>
    <row r="9593" spans="1:8" hidden="1" x14ac:dyDescent="0.25">
      <c r="A9593" t="s">
        <v>12288</v>
      </c>
      <c r="B9593" s="1" t="str">
        <f>HYPERLINK("https://asmlis.vasa.lt/Dashboard/Served?ServiceDateFrom=2025-11-24&amp;ServiceDateTo=2025-11-24&amp;DumpsterInvNr=13-L-317973", "13-L-317973")</f>
        <v>13-L-317973</v>
      </c>
      <c r="C9593">
        <v>1.1000000000000001</v>
      </c>
      <c r="D9593" t="s">
        <v>12921</v>
      </c>
      <c r="E9593" t="s">
        <v>11</v>
      </c>
      <c r="G9593" t="s">
        <v>9</v>
      </c>
      <c r="H9593" t="s">
        <v>14</v>
      </c>
    </row>
    <row r="9594" spans="1:8" hidden="1" x14ac:dyDescent="0.25">
      <c r="A9594" t="s">
        <v>12923</v>
      </c>
      <c r="B9594" s="1" t="str">
        <f>HYPERLINK("https://asmlis.vasa.lt/Dashboard/Served?ServiceDateFrom=2025-11-24&amp;ServiceDateTo=2025-11-24&amp;DumpsterInvNr=13-P-207988", "13-P-207988")</f>
        <v>13-P-207988</v>
      </c>
      <c r="C9594">
        <v>0.24</v>
      </c>
      <c r="D9594" t="s">
        <v>5553</v>
      </c>
      <c r="E9594" t="s">
        <v>11</v>
      </c>
      <c r="F9594" t="s">
        <v>1209</v>
      </c>
      <c r="G9594" t="s">
        <v>234</v>
      </c>
      <c r="H9594" t="s">
        <v>14</v>
      </c>
    </row>
    <row r="9595" spans="1:8" hidden="1" x14ac:dyDescent="0.25">
      <c r="A9595" t="s">
        <v>12924</v>
      </c>
      <c r="B9595" s="1" t="str">
        <f>HYPERLINK("https://asmlis.vasa.lt/Dashboard/Served?ServiceDateFrom=2025-11-24&amp;ServiceDateTo=2025-11-24&amp;DumpsterInvNr=13-S-207817", "13-S-207817")</f>
        <v>13-S-207817</v>
      </c>
      <c r="C9595">
        <v>3</v>
      </c>
      <c r="D9595" t="s">
        <v>12925</v>
      </c>
      <c r="E9595" t="s">
        <v>11</v>
      </c>
      <c r="G9595" t="s">
        <v>234</v>
      </c>
      <c r="H9595" t="s">
        <v>14</v>
      </c>
    </row>
    <row r="9596" spans="1:8" hidden="1" x14ac:dyDescent="0.25">
      <c r="A9596" t="s">
        <v>12926</v>
      </c>
      <c r="B9596" s="1" t="str">
        <f>HYPERLINK("https://asmlis.vasa.lt/Dashboard/Served?ServiceDateFrom=2025-11-24&amp;ServiceDateTo=2025-11-24&amp;DumpsterInvNr=13-M-205174", "13-M-205174")</f>
        <v>13-M-205174</v>
      </c>
      <c r="C9596">
        <v>0.12</v>
      </c>
      <c r="D9596" t="s">
        <v>12927</v>
      </c>
      <c r="E9596" t="s">
        <v>11</v>
      </c>
      <c r="G9596" t="s">
        <v>4876</v>
      </c>
      <c r="H9596" t="s">
        <v>938</v>
      </c>
    </row>
    <row r="9597" spans="1:8" hidden="1" x14ac:dyDescent="0.25">
      <c r="A9597" t="s">
        <v>12928</v>
      </c>
      <c r="B9597" s="1" t="str">
        <f>HYPERLINK("https://asmlis.vasa.lt/Dashboard/Served?ServiceDateFrom=2025-11-24&amp;ServiceDateTo=2025-11-24&amp;DumpsterInvNr=13-L-138392", "13-L-138392")</f>
        <v>13-L-138392</v>
      </c>
      <c r="C9597">
        <v>0.24</v>
      </c>
      <c r="D9597" t="s">
        <v>12929</v>
      </c>
      <c r="E9597" t="s">
        <v>11</v>
      </c>
      <c r="G9597" t="s">
        <v>1912</v>
      </c>
      <c r="H9597" t="s">
        <v>432</v>
      </c>
    </row>
    <row r="9598" spans="1:8" hidden="1" x14ac:dyDescent="0.25">
      <c r="A9598" t="s">
        <v>12931</v>
      </c>
      <c r="B9598" s="1" t="str">
        <f>HYPERLINK("https://asmlis.vasa.lt/Dashboard/Served?ServiceDateFrom=2025-11-24&amp;ServiceDateTo=2025-11-24&amp;DumpsterInvNr=13-P-414635", "13-P-414635")</f>
        <v>13-P-414635</v>
      </c>
      <c r="C9598">
        <v>0.24</v>
      </c>
      <c r="D9598" t="s">
        <v>11880</v>
      </c>
      <c r="E9598" t="s">
        <v>11</v>
      </c>
      <c r="G9598" t="s">
        <v>264</v>
      </c>
      <c r="H9598" t="s">
        <v>14</v>
      </c>
    </row>
    <row r="9599" spans="1:8" hidden="1" x14ac:dyDescent="0.25">
      <c r="A9599" t="s">
        <v>12931</v>
      </c>
      <c r="B9599" s="1" t="str">
        <f>HYPERLINK("https://asmlis.vasa.lt/Dashboard/Served?ServiceDateFrom=2025-11-24&amp;ServiceDateTo=2025-11-24&amp;DumpsterInvNr=13-P-414655", "13-P-414655")</f>
        <v>13-P-414655</v>
      </c>
      <c r="C9599">
        <v>0.24</v>
      </c>
      <c r="D9599" t="s">
        <v>11872</v>
      </c>
      <c r="E9599" t="s">
        <v>11</v>
      </c>
      <c r="G9599" t="s">
        <v>264</v>
      </c>
      <c r="H9599" t="s">
        <v>14</v>
      </c>
    </row>
    <row r="9600" spans="1:8" hidden="1" x14ac:dyDescent="0.25">
      <c r="A9600" t="s">
        <v>12932</v>
      </c>
      <c r="B9600" s="1" t="str">
        <f>HYPERLINK("https://asmlis.vasa.lt/Dashboard/Served?ServiceDateFrom=2025-11-24&amp;ServiceDateTo=2025-11-24&amp;DumpsterInvNr=13-L-417299", "13-L-417299")</f>
        <v>13-L-417299</v>
      </c>
      <c r="C9600">
        <v>0.12</v>
      </c>
      <c r="D9600" t="s">
        <v>12933</v>
      </c>
      <c r="E9600" t="s">
        <v>11</v>
      </c>
      <c r="G9600" t="s">
        <v>74</v>
      </c>
      <c r="H9600" t="s">
        <v>14</v>
      </c>
    </row>
    <row r="9601" spans="1:8" hidden="1" x14ac:dyDescent="0.25">
      <c r="A9601" t="s">
        <v>12932</v>
      </c>
      <c r="B9601" s="1" t="str">
        <f>HYPERLINK("https://asmlis.vasa.lt/Dashboard/Served?ServiceDateFrom=2025-11-24&amp;ServiceDateTo=2025-11-24&amp;DumpsterInvNr=13-L-404631", "13-L-404631")</f>
        <v>13-L-404631</v>
      </c>
      <c r="C9601">
        <v>0.24</v>
      </c>
      <c r="D9601" t="s">
        <v>12933</v>
      </c>
      <c r="E9601" t="s">
        <v>11</v>
      </c>
      <c r="G9601" t="s">
        <v>74</v>
      </c>
      <c r="H9601" t="s">
        <v>14</v>
      </c>
    </row>
    <row r="9602" spans="1:8" hidden="1" x14ac:dyDescent="0.25">
      <c r="A9602" t="s">
        <v>12934</v>
      </c>
      <c r="B9602" s="1" t="str">
        <f>HYPERLINK("https://asmlis.vasa.lt/Dashboard/Served?ServiceDateFrom=2025-11-24&amp;ServiceDateTo=2025-11-24&amp;DumpsterInvNr=13-L-104512", "13-L-104512")</f>
        <v>13-L-104512</v>
      </c>
      <c r="C9602">
        <v>3</v>
      </c>
      <c r="D9602" t="s">
        <v>12935</v>
      </c>
      <c r="E9602" t="s">
        <v>11</v>
      </c>
      <c r="F9602" t="s">
        <v>13</v>
      </c>
      <c r="G9602" t="s">
        <v>430</v>
      </c>
      <c r="H9602" t="s">
        <v>432</v>
      </c>
    </row>
    <row r="9603" spans="1:8" hidden="1" x14ac:dyDescent="0.25">
      <c r="A9603" t="s">
        <v>12573</v>
      </c>
      <c r="B9603" s="1" t="str">
        <f>HYPERLINK("https://asmlis.vasa.lt/Dashboard/Served?ServiceDateFrom=2025-11-24&amp;ServiceDateTo=2025-11-24&amp;DumpsterInvNr=13-L-102693", "13-L-102693")</f>
        <v>13-L-102693</v>
      </c>
      <c r="C9603">
        <v>0.24</v>
      </c>
      <c r="D9603" t="s">
        <v>12937</v>
      </c>
      <c r="E9603" t="s">
        <v>11</v>
      </c>
      <c r="F9603" t="s">
        <v>1209</v>
      </c>
      <c r="G9603" t="s">
        <v>1912</v>
      </c>
      <c r="H9603" t="s">
        <v>432</v>
      </c>
    </row>
    <row r="9604" spans="1:8" hidden="1" x14ac:dyDescent="0.25">
      <c r="A9604" t="s">
        <v>12578</v>
      </c>
      <c r="B9604" s="1" t="str">
        <f>HYPERLINK("https://asmlis.vasa.lt/Dashboard/Served?ServiceDateFrom=2025-11-24&amp;ServiceDateTo=2025-11-24&amp;DumpsterInvNr=13-P-506935", "13-P-506935")</f>
        <v>13-P-506935</v>
      </c>
      <c r="C9604">
        <v>0.24</v>
      </c>
      <c r="D9604" t="s">
        <v>12938</v>
      </c>
      <c r="E9604" t="s">
        <v>11</v>
      </c>
      <c r="F9604" t="s">
        <v>1209</v>
      </c>
      <c r="G9604" t="s">
        <v>2178</v>
      </c>
      <c r="H9604" t="s">
        <v>432</v>
      </c>
    </row>
    <row r="9605" spans="1:8" hidden="1" x14ac:dyDescent="0.25">
      <c r="A9605" t="s">
        <v>12785</v>
      </c>
      <c r="B9605" s="1" t="str">
        <f>HYPERLINK("https://asmlis.vasa.lt/Dashboard/Served?ServiceDateFrom=2025-11-24&amp;ServiceDateTo=2025-11-24&amp;DumpsterInvNr=13-L-126500", "13-L-126500")</f>
        <v>13-L-126500</v>
      </c>
      <c r="C9605">
        <v>0.12</v>
      </c>
      <c r="D9605" t="s">
        <v>12938</v>
      </c>
      <c r="E9605" t="s">
        <v>11</v>
      </c>
      <c r="F9605" t="s">
        <v>1209</v>
      </c>
      <c r="G9605" t="s">
        <v>430</v>
      </c>
      <c r="H9605" t="s">
        <v>432</v>
      </c>
    </row>
    <row r="9606" spans="1:8" hidden="1" x14ac:dyDescent="0.25">
      <c r="A9606" t="s">
        <v>12785</v>
      </c>
      <c r="B9606" s="1" t="str">
        <f>HYPERLINK("https://asmlis.vasa.lt/Dashboard/Served?ServiceDateFrom=2025-11-24&amp;ServiceDateTo=2025-11-24&amp;DumpsterInvNr=13-L-104663", "13-L-104663")</f>
        <v>13-L-104663</v>
      </c>
      <c r="C9606">
        <v>0.77</v>
      </c>
      <c r="D9606" t="s">
        <v>12939</v>
      </c>
      <c r="E9606" t="s">
        <v>11</v>
      </c>
      <c r="G9606" t="s">
        <v>430</v>
      </c>
      <c r="H9606" t="s">
        <v>432</v>
      </c>
    </row>
    <row r="9607" spans="1:8" hidden="1" x14ac:dyDescent="0.25">
      <c r="A9607" t="s">
        <v>12809</v>
      </c>
      <c r="B9607" s="1" t="str">
        <f>HYPERLINK("https://asmlis.vasa.lt/Dashboard/Served?ServiceDateFrom=2025-11-24&amp;ServiceDateTo=2025-11-24&amp;DumpsterInvNr=13-L-410601", "13-L-410601")</f>
        <v>13-L-410601</v>
      </c>
      <c r="C9607">
        <v>0.24</v>
      </c>
      <c r="D9607" t="s">
        <v>12940</v>
      </c>
      <c r="E9607" t="s">
        <v>11</v>
      </c>
      <c r="F9607" t="s">
        <v>1209</v>
      </c>
      <c r="G9607" t="s">
        <v>74</v>
      </c>
      <c r="H9607" t="s">
        <v>14</v>
      </c>
    </row>
    <row r="9608" spans="1:8" hidden="1" x14ac:dyDescent="0.25">
      <c r="A9608" t="s">
        <v>12895</v>
      </c>
      <c r="B9608" s="1" t="str">
        <f>HYPERLINK("https://asmlis.vasa.lt/Dashboard/Served?ServiceDateFrom=2025-11-24&amp;ServiceDateTo=2025-11-24&amp;DumpsterInvNr=13-S-505281", "13-S-505281")</f>
        <v>13-S-505281</v>
      </c>
      <c r="C9608">
        <v>0.12</v>
      </c>
      <c r="D9608" t="s">
        <v>12938</v>
      </c>
      <c r="E9608" t="s">
        <v>11</v>
      </c>
      <c r="F9608" t="s">
        <v>1209</v>
      </c>
      <c r="G9608" t="s">
        <v>2178</v>
      </c>
      <c r="H9608" t="s">
        <v>432</v>
      </c>
    </row>
    <row r="9609" spans="1:8" hidden="1" x14ac:dyDescent="0.25">
      <c r="A9609" t="s">
        <v>12834</v>
      </c>
      <c r="B9609" s="1" t="str">
        <f>HYPERLINK("https://asmlis.vasa.lt/Dashboard/Served?ServiceDateFrom=2025-11-24&amp;ServiceDateTo=2025-11-24&amp;DumpsterInvNr=13-P-211667", "13-P-211667")</f>
        <v>13-P-211667</v>
      </c>
      <c r="C9609">
        <v>0.24</v>
      </c>
      <c r="D9609" t="s">
        <v>5519</v>
      </c>
      <c r="E9609" t="s">
        <v>11</v>
      </c>
      <c r="G9609" t="s">
        <v>234</v>
      </c>
      <c r="H9609" t="s">
        <v>14</v>
      </c>
    </row>
    <row r="9610" spans="1:8" hidden="1" x14ac:dyDescent="0.25">
      <c r="A9610" t="s">
        <v>12834</v>
      </c>
      <c r="B9610" s="1" t="str">
        <f>HYPERLINK("https://asmlis.vasa.lt/Dashboard/Served?ServiceDateFrom=2025-11-24&amp;ServiceDateTo=2025-11-24&amp;DumpsterInvNr=13-P-506916", "13-P-506916")</f>
        <v>13-P-506916</v>
      </c>
      <c r="C9610">
        <v>0.24</v>
      </c>
      <c r="D9610" t="s">
        <v>12902</v>
      </c>
      <c r="E9610" t="s">
        <v>11</v>
      </c>
      <c r="F9610" t="s">
        <v>1209</v>
      </c>
      <c r="G9610" t="s">
        <v>2178</v>
      </c>
      <c r="H9610" t="s">
        <v>432</v>
      </c>
    </row>
    <row r="9611" spans="1:8" hidden="1" x14ac:dyDescent="0.25">
      <c r="A9611" t="s">
        <v>12941</v>
      </c>
      <c r="B9611" s="1" t="str">
        <f>HYPERLINK("https://asmlis.vasa.lt/Dashboard/Served?ServiceDateFrom=2025-11-24&amp;ServiceDateTo=2025-11-24&amp;DumpsterInvNr=13-P-415084", "13-P-415084")</f>
        <v>13-P-415084</v>
      </c>
      <c r="C9611">
        <v>0.24</v>
      </c>
      <c r="D9611" t="s">
        <v>11850</v>
      </c>
      <c r="E9611" t="s">
        <v>11</v>
      </c>
      <c r="G9611" t="s">
        <v>264</v>
      </c>
      <c r="H9611" t="s">
        <v>14</v>
      </c>
    </row>
    <row r="9612" spans="1:8" hidden="1" x14ac:dyDescent="0.25">
      <c r="A9612" t="s">
        <v>12941</v>
      </c>
      <c r="B9612" s="1" t="str">
        <f>HYPERLINK("https://asmlis.vasa.lt/Dashboard/Served?ServiceDateFrom=2025-11-24&amp;ServiceDateTo=2025-11-24&amp;DumpsterInvNr=13-S-505274", "13-S-505274")</f>
        <v>13-S-505274</v>
      </c>
      <c r="C9612">
        <v>0.12</v>
      </c>
      <c r="D9612" t="s">
        <v>12902</v>
      </c>
      <c r="E9612" t="s">
        <v>11</v>
      </c>
      <c r="F9612" t="s">
        <v>1209</v>
      </c>
      <c r="G9612" t="s">
        <v>2178</v>
      </c>
      <c r="H9612" t="s">
        <v>432</v>
      </c>
    </row>
    <row r="9613" spans="1:8" hidden="1" x14ac:dyDescent="0.25">
      <c r="A9613" t="s">
        <v>12942</v>
      </c>
      <c r="B9613" s="1" t="str">
        <f>HYPERLINK("https://asmlis.vasa.lt/Dashboard/Served?ServiceDateFrom=2025-11-24&amp;ServiceDateTo=2025-11-24&amp;DumpsterInvNr=13-S-222550", "13-S-222550")</f>
        <v>13-S-222550</v>
      </c>
      <c r="C9613">
        <v>0.12</v>
      </c>
      <c r="D9613" t="s">
        <v>10228</v>
      </c>
      <c r="E9613" t="s">
        <v>11</v>
      </c>
      <c r="F9613" t="s">
        <v>1209</v>
      </c>
      <c r="G9613" t="s">
        <v>234</v>
      </c>
      <c r="H9613" t="s">
        <v>14</v>
      </c>
    </row>
    <row r="9614" spans="1:8" hidden="1" x14ac:dyDescent="0.25">
      <c r="A9614" t="s">
        <v>12942</v>
      </c>
      <c r="B9614" s="1" t="str">
        <f>HYPERLINK("https://asmlis.vasa.lt/Dashboard/Served?ServiceDateFrom=2025-11-24&amp;ServiceDateTo=2025-11-24&amp;DumpsterInvNr=13-M-204945", "13-M-204945")</f>
        <v>13-M-204945</v>
      </c>
      <c r="C9614">
        <v>0.12</v>
      </c>
      <c r="D9614" t="s">
        <v>12943</v>
      </c>
      <c r="E9614" t="s">
        <v>11</v>
      </c>
      <c r="G9614" t="s">
        <v>4876</v>
      </c>
      <c r="H9614" t="s">
        <v>938</v>
      </c>
    </row>
    <row r="9615" spans="1:8" hidden="1" x14ac:dyDescent="0.25">
      <c r="A9615" t="s">
        <v>12944</v>
      </c>
      <c r="B9615" s="1" t="str">
        <f>HYPERLINK("https://asmlis.vasa.lt/Dashboard/Served?ServiceDateFrom=2025-11-24&amp;ServiceDateTo=2025-11-24&amp;DumpsterInvNr=13-S-211909", "13-S-211909")</f>
        <v>13-S-211909</v>
      </c>
      <c r="C9615">
        <v>0.12</v>
      </c>
      <c r="D9615" t="s">
        <v>5532</v>
      </c>
      <c r="E9615" t="s">
        <v>11</v>
      </c>
      <c r="F9615" t="s">
        <v>1209</v>
      </c>
      <c r="G9615" t="s">
        <v>234</v>
      </c>
      <c r="H9615" t="s">
        <v>14</v>
      </c>
    </row>
    <row r="9616" spans="1:8" hidden="1" x14ac:dyDescent="0.25">
      <c r="A9616" t="s">
        <v>12944</v>
      </c>
      <c r="B9616" s="1" t="str">
        <f>HYPERLINK("https://asmlis.vasa.lt/Dashboard/Served?ServiceDateFrom=2025-11-24&amp;ServiceDateTo=2025-11-24&amp;DumpsterInvNr=13-P-500231", "13-P-500231")</f>
        <v>13-P-500231</v>
      </c>
      <c r="C9616">
        <v>5</v>
      </c>
      <c r="D9616" t="s">
        <v>12946</v>
      </c>
      <c r="E9616" t="s">
        <v>11</v>
      </c>
      <c r="F9616" t="s">
        <v>13</v>
      </c>
      <c r="G9616" t="s">
        <v>2178</v>
      </c>
      <c r="H9616" t="s">
        <v>432</v>
      </c>
    </row>
    <row r="9617" spans="1:8" hidden="1" x14ac:dyDescent="0.25">
      <c r="A9617" t="s">
        <v>12947</v>
      </c>
      <c r="B9617" s="1" t="str">
        <f>HYPERLINK("https://asmlis.vasa.lt/Dashboard/Served?ServiceDateFrom=2025-11-24&amp;ServiceDateTo=2025-11-24&amp;DumpsterInvNr=13-S-207914", "13-S-207914")</f>
        <v>13-S-207914</v>
      </c>
      <c r="C9617">
        <v>0.12</v>
      </c>
      <c r="D9617" t="s">
        <v>5519</v>
      </c>
      <c r="E9617" t="s">
        <v>11</v>
      </c>
      <c r="F9617" t="s">
        <v>1209</v>
      </c>
      <c r="G9617" t="s">
        <v>234</v>
      </c>
      <c r="H9617" t="s">
        <v>14</v>
      </c>
    </row>
    <row r="9618" spans="1:8" hidden="1" x14ac:dyDescent="0.25">
      <c r="A9618" t="s">
        <v>12948</v>
      </c>
      <c r="B9618" s="1" t="str">
        <f>HYPERLINK("https://asmlis.vasa.lt/Dashboard/Served?ServiceDateFrom=2025-11-24&amp;ServiceDateTo=2025-11-24&amp;DumpsterInvNr=13-P-302322", "13-P-302322")</f>
        <v>13-P-302322</v>
      </c>
      <c r="C9618">
        <v>2.5</v>
      </c>
      <c r="D9618" t="s">
        <v>12949</v>
      </c>
      <c r="E9618" t="s">
        <v>11</v>
      </c>
      <c r="F9618" t="s">
        <v>13</v>
      </c>
      <c r="G9618" t="s">
        <v>412</v>
      </c>
      <c r="H9618" t="s">
        <v>14</v>
      </c>
    </row>
    <row r="9619" spans="1:8" hidden="1" x14ac:dyDescent="0.25">
      <c r="A9619" t="s">
        <v>12950</v>
      </c>
      <c r="B9619" s="1" t="str">
        <f>HYPERLINK("https://asmlis.vasa.lt/Dashboard/Served?ServiceDateFrom=2025-11-24&amp;ServiceDateTo=2025-11-24&amp;DumpsterInvNr=13-P-306707", "13-P-306707")</f>
        <v>13-P-306707</v>
      </c>
      <c r="C9619">
        <v>1.1000000000000001</v>
      </c>
      <c r="D9619" t="s">
        <v>2723</v>
      </c>
      <c r="E9619" t="s">
        <v>11</v>
      </c>
      <c r="F9619" t="s">
        <v>13</v>
      </c>
      <c r="G9619" t="s">
        <v>412</v>
      </c>
      <c r="H9619" t="s">
        <v>14</v>
      </c>
    </row>
    <row r="9620" spans="1:8" hidden="1" x14ac:dyDescent="0.25">
      <c r="A9620" t="s">
        <v>12951</v>
      </c>
      <c r="B9620" s="1" t="str">
        <f>HYPERLINK("https://asmlis.vasa.lt/Dashboard/Served?ServiceDateFrom=2025-11-24&amp;ServiceDateTo=2025-11-24&amp;DumpsterInvNr=13-P-302328", "13-P-302328")</f>
        <v>13-P-302328</v>
      </c>
      <c r="C9620">
        <v>2.5</v>
      </c>
      <c r="D9620" t="s">
        <v>12949</v>
      </c>
      <c r="E9620" t="s">
        <v>11</v>
      </c>
      <c r="F9620" t="s">
        <v>13</v>
      </c>
      <c r="G9620" t="s">
        <v>412</v>
      </c>
      <c r="H9620" t="s">
        <v>14</v>
      </c>
    </row>
    <row r="9621" spans="1:8" hidden="1" x14ac:dyDescent="0.25">
      <c r="A9621" t="s">
        <v>12952</v>
      </c>
      <c r="B9621" s="1" t="str">
        <f>HYPERLINK("https://asmlis.vasa.lt/Dashboard/Served?ServiceDateFrom=2025-11-24&amp;ServiceDateTo=2025-11-24&amp;DumpsterInvNr=13-P-300857", "13-P-300857")</f>
        <v>13-P-300857</v>
      </c>
      <c r="C9621">
        <v>1.1000000000000001</v>
      </c>
      <c r="D9621" t="s">
        <v>2723</v>
      </c>
      <c r="E9621" t="s">
        <v>11</v>
      </c>
      <c r="F9621" t="s">
        <v>13</v>
      </c>
      <c r="G9621" t="s">
        <v>412</v>
      </c>
      <c r="H9621" t="s">
        <v>14</v>
      </c>
    </row>
    <row r="9622" spans="1:8" hidden="1" x14ac:dyDescent="0.25">
      <c r="A9622" t="s">
        <v>12953</v>
      </c>
      <c r="B9622" s="1" t="str">
        <f>HYPERLINK("https://asmlis.vasa.lt/Dashboard/Served?ServiceDateFrom=2025-11-24&amp;ServiceDateTo=2025-11-24&amp;DumpsterInvNr=13-L-111206", "13-L-111206")</f>
        <v>13-L-111206</v>
      </c>
      <c r="C9622">
        <v>5</v>
      </c>
      <c r="D9622" t="s">
        <v>12954</v>
      </c>
      <c r="E9622" t="s">
        <v>11</v>
      </c>
      <c r="F9622" t="s">
        <v>13</v>
      </c>
      <c r="G9622" t="s">
        <v>430</v>
      </c>
      <c r="H9622" t="s">
        <v>432</v>
      </c>
    </row>
    <row r="9623" spans="1:8" hidden="1" x14ac:dyDescent="0.25">
      <c r="A9623" t="s">
        <v>12955</v>
      </c>
      <c r="B9623" s="1" t="str">
        <f>HYPERLINK("https://asmlis.vasa.lt/Dashboard/Served?ServiceDateFrom=2025-11-24&amp;ServiceDateTo=2025-11-24&amp;DumpsterInvNr=13-P-208107", "13-P-208107")</f>
        <v>13-P-208107</v>
      </c>
      <c r="C9623">
        <v>0.24</v>
      </c>
      <c r="D9623" t="s">
        <v>5532</v>
      </c>
      <c r="E9623" t="s">
        <v>11</v>
      </c>
      <c r="F9623" t="s">
        <v>1209</v>
      </c>
      <c r="G9623" t="s">
        <v>234</v>
      </c>
      <c r="H9623" t="s">
        <v>14</v>
      </c>
    </row>
    <row r="9624" spans="1:8" hidden="1" x14ac:dyDescent="0.25">
      <c r="A9624" t="s">
        <v>12956</v>
      </c>
      <c r="B9624" s="1" t="str">
        <f>HYPERLINK("https://asmlis.vasa.lt/Dashboard/Served?ServiceDateFrom=2025-11-24&amp;ServiceDateTo=2025-11-24&amp;DumpsterInvNr=13-L-133166", "13-L-133166")</f>
        <v>13-L-133166</v>
      </c>
      <c r="C9624">
        <v>0.24</v>
      </c>
      <c r="D9624" t="s">
        <v>12957</v>
      </c>
      <c r="E9624" t="s">
        <v>11</v>
      </c>
      <c r="G9624" t="s">
        <v>1912</v>
      </c>
      <c r="H9624" t="s">
        <v>432</v>
      </c>
    </row>
    <row r="9625" spans="1:8" hidden="1" x14ac:dyDescent="0.25">
      <c r="A9625" t="s">
        <v>12959</v>
      </c>
      <c r="B9625" s="1" t="str">
        <f>HYPERLINK("https://asmlis.vasa.lt/Dashboard/Served?ServiceDateFrom=2025-11-24&amp;ServiceDateTo=2025-11-24&amp;DumpsterInvNr=13-M-206041", "13-M-206041")</f>
        <v>13-M-206041</v>
      </c>
      <c r="C9625">
        <v>0.12</v>
      </c>
      <c r="D9625" t="s">
        <v>12960</v>
      </c>
      <c r="E9625" t="s">
        <v>11</v>
      </c>
      <c r="F9625" t="s">
        <v>1209</v>
      </c>
      <c r="G9625" t="s">
        <v>4876</v>
      </c>
      <c r="H9625" t="s">
        <v>938</v>
      </c>
    </row>
    <row r="9626" spans="1:8" hidden="1" x14ac:dyDescent="0.25">
      <c r="A9626" t="s">
        <v>12962</v>
      </c>
      <c r="B9626" s="1" t="str">
        <f>HYPERLINK("https://asmlis.vasa.lt/Dashboard/Served?ServiceDateFrom=2025-11-24&amp;ServiceDateTo=2025-11-24&amp;DumpsterInvNr=13-P-103204", "13-P-103204")</f>
        <v>13-P-103204</v>
      </c>
      <c r="C9626">
        <v>0.24</v>
      </c>
      <c r="D9626" t="s">
        <v>12957</v>
      </c>
      <c r="E9626" t="s">
        <v>11</v>
      </c>
      <c r="G9626" t="s">
        <v>1917</v>
      </c>
      <c r="H9626" t="s">
        <v>432</v>
      </c>
    </row>
    <row r="9627" spans="1:8" hidden="1" x14ac:dyDescent="0.25">
      <c r="A9627" t="s">
        <v>12963</v>
      </c>
      <c r="B9627" s="1" t="str">
        <f>HYPERLINK("https://asmlis.vasa.lt/Dashboard/Served?ServiceDateFrom=2025-11-24&amp;ServiceDateTo=2025-11-24&amp;DumpsterInvNr=13-L-216872", "13-L-216872")</f>
        <v>13-L-216872</v>
      </c>
      <c r="C9627">
        <v>0.24</v>
      </c>
      <c r="D9627" t="s">
        <v>10228</v>
      </c>
      <c r="E9627" t="s">
        <v>11</v>
      </c>
      <c r="F9627" t="s">
        <v>1209</v>
      </c>
      <c r="G9627" t="s">
        <v>936</v>
      </c>
      <c r="H9627" t="s">
        <v>938</v>
      </c>
    </row>
    <row r="9628" spans="1:8" hidden="1" x14ac:dyDescent="0.25">
      <c r="A9628" t="s">
        <v>12963</v>
      </c>
      <c r="B9628" s="1" t="str">
        <f>HYPERLINK("https://asmlis.vasa.lt/Dashboard/Served?ServiceDateFrom=2025-11-24&amp;ServiceDateTo=2025-11-24&amp;DumpsterInvNr=13-M-202136", "13-M-202136")</f>
        <v>13-M-202136</v>
      </c>
      <c r="C9628">
        <v>0.12</v>
      </c>
      <c r="D9628" t="s">
        <v>12965</v>
      </c>
      <c r="E9628" t="s">
        <v>11</v>
      </c>
      <c r="F9628" t="s">
        <v>1209</v>
      </c>
      <c r="G9628" t="s">
        <v>4876</v>
      </c>
      <c r="H9628" t="s">
        <v>938</v>
      </c>
    </row>
    <row r="9629" spans="1:8" hidden="1" x14ac:dyDescent="0.25">
      <c r="A9629" t="s">
        <v>12967</v>
      </c>
      <c r="B9629" s="1" t="str">
        <f>HYPERLINK("https://asmlis.vasa.lt/Dashboard/Served?ServiceDateFrom=2025-11-24&amp;ServiceDateTo=2025-11-24&amp;DumpsterInvNr=13-L-311596", "13-L-311596")</f>
        <v>13-L-311596</v>
      </c>
      <c r="C9629">
        <v>0.24</v>
      </c>
      <c r="D9629" t="s">
        <v>9431</v>
      </c>
      <c r="E9629" t="s">
        <v>11</v>
      </c>
      <c r="G9629" t="s">
        <v>9</v>
      </c>
      <c r="H9629" t="s">
        <v>14</v>
      </c>
    </row>
    <row r="9630" spans="1:8" hidden="1" x14ac:dyDescent="0.25">
      <c r="A9630" t="s">
        <v>12968</v>
      </c>
      <c r="B9630" s="1" t="str">
        <f>HYPERLINK("https://asmlis.vasa.lt/Dashboard/Served?ServiceDateFrom=2025-11-24&amp;ServiceDateTo=2025-11-24&amp;DumpsterInvNr=13-L-422672", "13-L-422672")</f>
        <v>13-L-422672</v>
      </c>
      <c r="C9630">
        <v>0.12</v>
      </c>
      <c r="D9630" t="s">
        <v>12969</v>
      </c>
      <c r="E9630" t="s">
        <v>11</v>
      </c>
      <c r="G9630" t="s">
        <v>74</v>
      </c>
      <c r="H9630" t="s">
        <v>14</v>
      </c>
    </row>
    <row r="9631" spans="1:8" hidden="1" x14ac:dyDescent="0.25">
      <c r="A9631" t="s">
        <v>12970</v>
      </c>
      <c r="B9631" s="1" t="str">
        <f>HYPERLINK("https://asmlis.vasa.lt/Dashboard/Served?ServiceDateFrom=2025-11-24&amp;ServiceDateTo=2025-11-24&amp;DumpsterInvNr=13-P-414931", "13-P-414931")</f>
        <v>13-P-414931</v>
      </c>
      <c r="C9631">
        <v>0.24</v>
      </c>
      <c r="D9631" t="s">
        <v>11809</v>
      </c>
      <c r="E9631" t="s">
        <v>11</v>
      </c>
      <c r="G9631" t="s">
        <v>264</v>
      </c>
      <c r="H9631" t="s">
        <v>14</v>
      </c>
    </row>
    <row r="9632" spans="1:8" hidden="1" x14ac:dyDescent="0.25">
      <c r="A9632" t="s">
        <v>12971</v>
      </c>
      <c r="B9632" s="1" t="str">
        <f>HYPERLINK("https://asmlis.vasa.lt/Dashboard/Served?ServiceDateFrom=2025-11-24&amp;ServiceDateTo=2025-11-24&amp;DumpsterInvNr=13-L-212224", "13-L-212224")</f>
        <v>13-L-212224</v>
      </c>
      <c r="C9632">
        <v>1.1000000000000001</v>
      </c>
      <c r="D9632" t="s">
        <v>9953</v>
      </c>
      <c r="E9632" t="s">
        <v>11</v>
      </c>
      <c r="G9632" t="s">
        <v>936</v>
      </c>
      <c r="H9632" t="s">
        <v>938</v>
      </c>
    </row>
    <row r="9633" spans="1:8" hidden="1" x14ac:dyDescent="0.25">
      <c r="A9633" t="s">
        <v>12971</v>
      </c>
      <c r="B9633" s="1" t="str">
        <f>HYPERLINK("https://asmlis.vasa.lt/Dashboard/Served?ServiceDateFrom=2025-11-24&amp;ServiceDateTo=2025-11-24&amp;DumpsterInvNr=13-L-111239", "13-L-111239")</f>
        <v>13-L-111239</v>
      </c>
      <c r="C9633">
        <v>0.24</v>
      </c>
      <c r="D9633" t="s">
        <v>12972</v>
      </c>
      <c r="E9633" t="s">
        <v>11</v>
      </c>
      <c r="G9633" t="s">
        <v>1912</v>
      </c>
      <c r="H9633" t="s">
        <v>432</v>
      </c>
    </row>
    <row r="9634" spans="1:8" hidden="1" x14ac:dyDescent="0.25">
      <c r="A9634" t="s">
        <v>12974</v>
      </c>
      <c r="B9634" s="1" t="str">
        <f>HYPERLINK("https://asmlis.vasa.lt/Dashboard/Served?ServiceDateFrom=2025-11-24&amp;ServiceDateTo=2025-11-24&amp;DumpsterInvNr=13-L-306663", "13-L-306663")</f>
        <v>13-L-306663</v>
      </c>
      <c r="C9634">
        <v>0.24</v>
      </c>
      <c r="D9634" t="s">
        <v>9431</v>
      </c>
      <c r="E9634" t="s">
        <v>11</v>
      </c>
      <c r="G9634" t="s">
        <v>9</v>
      </c>
      <c r="H9634" t="s">
        <v>14</v>
      </c>
    </row>
    <row r="9635" spans="1:8" hidden="1" x14ac:dyDescent="0.25">
      <c r="A9635" t="s">
        <v>12975</v>
      </c>
      <c r="B9635" s="1" t="str">
        <f>HYPERLINK("https://asmlis.vasa.lt/Dashboard/Served?ServiceDateFrom=2025-11-24&amp;ServiceDateTo=2025-11-24&amp;DumpsterInvNr=13-S-502579", "13-S-502579")</f>
        <v>13-S-502579</v>
      </c>
      <c r="C9635">
        <v>0.12</v>
      </c>
      <c r="D9635" t="s">
        <v>12976</v>
      </c>
      <c r="E9635" t="s">
        <v>11</v>
      </c>
      <c r="G9635" t="s">
        <v>2178</v>
      </c>
      <c r="H9635" t="s">
        <v>432</v>
      </c>
    </row>
    <row r="9636" spans="1:8" hidden="1" x14ac:dyDescent="0.25">
      <c r="A9636" t="s">
        <v>12977</v>
      </c>
      <c r="B9636" s="1" t="str">
        <f>HYPERLINK("https://asmlis.vasa.lt/Dashboard/Served?ServiceDateFrom=2025-11-24&amp;ServiceDateTo=2025-11-24&amp;DumpsterInvNr=13-L-210158", "13-L-210158")</f>
        <v>13-L-210158</v>
      </c>
      <c r="C9636">
        <v>0.24</v>
      </c>
      <c r="D9636" t="s">
        <v>10288</v>
      </c>
      <c r="E9636" t="s">
        <v>11</v>
      </c>
      <c r="G9636" t="s">
        <v>936</v>
      </c>
      <c r="H9636" t="s">
        <v>938</v>
      </c>
    </row>
    <row r="9637" spans="1:8" hidden="1" x14ac:dyDescent="0.25">
      <c r="A9637" t="s">
        <v>12977</v>
      </c>
      <c r="B9637" s="1" t="str">
        <f>HYPERLINK("https://asmlis.vasa.lt/Dashboard/Served?ServiceDateFrom=2025-11-24&amp;ServiceDateTo=2025-11-24&amp;DumpsterInvNr=13-P-112211", "13-P-112211")</f>
        <v>13-P-112211</v>
      </c>
      <c r="C9637">
        <v>0.24</v>
      </c>
      <c r="D9637" t="s">
        <v>12972</v>
      </c>
      <c r="E9637" t="s">
        <v>11</v>
      </c>
      <c r="G9637" t="s">
        <v>1917</v>
      </c>
      <c r="H9637" t="s">
        <v>432</v>
      </c>
    </row>
    <row r="9638" spans="1:8" hidden="1" x14ac:dyDescent="0.25">
      <c r="A9638" t="s">
        <v>12978</v>
      </c>
      <c r="B9638" s="1" t="str">
        <f>HYPERLINK("https://asmlis.vasa.lt/Dashboard/Served?ServiceDateFrom=2025-11-24&amp;ServiceDateTo=2025-11-24&amp;DumpsterInvNr=13-P-500463", "13-P-500463")</f>
        <v>13-P-500463</v>
      </c>
      <c r="C9638">
        <v>5</v>
      </c>
      <c r="D9638" t="s">
        <v>9091</v>
      </c>
      <c r="E9638" t="s">
        <v>11</v>
      </c>
      <c r="F9638" t="s">
        <v>13</v>
      </c>
      <c r="G9638" t="s">
        <v>2178</v>
      </c>
      <c r="H9638" t="s">
        <v>432</v>
      </c>
    </row>
    <row r="9639" spans="1:8" hidden="1" x14ac:dyDescent="0.25">
      <c r="A9639" t="s">
        <v>12979</v>
      </c>
      <c r="B9639" s="1" t="str">
        <f>HYPERLINK("https://asmlis.vasa.lt/Dashboard/Served?ServiceDateFrom=2025-11-24&amp;ServiceDateTo=2025-11-24&amp;DumpsterInvNr=13-L-137845", "13-L-137845")</f>
        <v>13-L-137845</v>
      </c>
      <c r="C9639">
        <v>0.24</v>
      </c>
      <c r="D9639" t="s">
        <v>12976</v>
      </c>
      <c r="E9639" t="s">
        <v>11</v>
      </c>
      <c r="G9639" t="s">
        <v>430</v>
      </c>
      <c r="H9639" t="s">
        <v>432</v>
      </c>
    </row>
    <row r="9640" spans="1:8" hidden="1" x14ac:dyDescent="0.25">
      <c r="A9640" t="s">
        <v>12979</v>
      </c>
      <c r="B9640" s="1" t="str">
        <f>HYPERLINK("https://asmlis.vasa.lt/Dashboard/Served?ServiceDateFrom=2025-11-24&amp;ServiceDateTo=2025-11-24&amp;DumpsterInvNr=13-P-502531", "13-P-502531")</f>
        <v>13-P-502531</v>
      </c>
      <c r="C9640">
        <v>0.24</v>
      </c>
      <c r="D9640" t="s">
        <v>12976</v>
      </c>
      <c r="E9640" t="s">
        <v>11</v>
      </c>
      <c r="G9640" t="s">
        <v>2178</v>
      </c>
      <c r="H9640" t="s">
        <v>432</v>
      </c>
    </row>
    <row r="9641" spans="1:8" hidden="1" x14ac:dyDescent="0.25">
      <c r="A9641" t="s">
        <v>12980</v>
      </c>
      <c r="B9641" s="1" t="str">
        <f>HYPERLINK("https://asmlis.vasa.lt/Dashboard/Served?ServiceDateFrom=2025-11-24&amp;ServiceDateTo=2025-11-24&amp;DumpsterInvNr=13-P-414766", "13-P-414766")</f>
        <v>13-P-414766</v>
      </c>
      <c r="C9641">
        <v>0.24</v>
      </c>
      <c r="D9641" t="s">
        <v>11879</v>
      </c>
      <c r="E9641" t="s">
        <v>11</v>
      </c>
      <c r="F9641" t="s">
        <v>1209</v>
      </c>
      <c r="G9641" t="s">
        <v>264</v>
      </c>
      <c r="H9641" t="s">
        <v>14</v>
      </c>
    </row>
    <row r="9642" spans="1:8" hidden="1" x14ac:dyDescent="0.25">
      <c r="A9642" t="s">
        <v>12981</v>
      </c>
      <c r="B9642" s="1" t="str">
        <f>HYPERLINK("https://asmlis.vasa.lt/Dashboard/Served?ServiceDateFrom=2025-11-24&amp;ServiceDateTo=2025-11-24&amp;DumpsterInvNr=13-P-413774", "13-P-413774")</f>
        <v>13-P-413774</v>
      </c>
      <c r="C9642">
        <v>0.24</v>
      </c>
      <c r="D9642" t="s">
        <v>11807</v>
      </c>
      <c r="E9642" t="s">
        <v>11</v>
      </c>
      <c r="F9642" t="s">
        <v>1209</v>
      </c>
      <c r="G9642" t="s">
        <v>264</v>
      </c>
      <c r="H9642" t="s">
        <v>14</v>
      </c>
    </row>
    <row r="9643" spans="1:8" hidden="1" x14ac:dyDescent="0.25">
      <c r="A9643" t="s">
        <v>12981</v>
      </c>
      <c r="B9643" s="1" t="str">
        <f>HYPERLINK("https://asmlis.vasa.lt/Dashboard/Served?ServiceDateFrom=2025-11-24&amp;ServiceDateTo=2025-11-24&amp;DumpsterInvNr=13-P-416388", "13-P-416388")</f>
        <v>13-P-416388</v>
      </c>
      <c r="C9643">
        <v>5</v>
      </c>
      <c r="D9643" t="s">
        <v>1757</v>
      </c>
      <c r="E9643" t="s">
        <v>11</v>
      </c>
      <c r="F9643" t="s">
        <v>13</v>
      </c>
      <c r="G9643" t="s">
        <v>264</v>
      </c>
      <c r="H9643" t="s">
        <v>14</v>
      </c>
    </row>
    <row r="9644" spans="1:8" hidden="1" x14ac:dyDescent="0.25">
      <c r="A9644" t="s">
        <v>11618</v>
      </c>
      <c r="B9644" s="1" t="str">
        <f>HYPERLINK("https://asmlis.vasa.lt/Dashboard/Served?ServiceDateFrom=2025-11-24&amp;ServiceDateTo=2025-11-24&amp;DumpsterInvNr=13-M-206191", "13-M-206191")</f>
        <v>13-M-206191</v>
      </c>
      <c r="C9644">
        <v>0.12</v>
      </c>
      <c r="D9644" t="s">
        <v>12982</v>
      </c>
      <c r="E9644" t="s">
        <v>11</v>
      </c>
      <c r="G9644" t="s">
        <v>4876</v>
      </c>
      <c r="H9644" t="s">
        <v>938</v>
      </c>
    </row>
    <row r="9645" spans="1:8" hidden="1" x14ac:dyDescent="0.25">
      <c r="A9645" t="s">
        <v>11618</v>
      </c>
      <c r="B9645" s="1" t="str">
        <f>HYPERLINK("https://asmlis.vasa.lt/Dashboard/Served?ServiceDateFrom=2025-11-24&amp;ServiceDateTo=2025-11-24&amp;DumpsterInvNr=13-S-502571", "13-S-502571")</f>
        <v>13-S-502571</v>
      </c>
      <c r="C9645">
        <v>0.12</v>
      </c>
      <c r="D9645" t="s">
        <v>12983</v>
      </c>
      <c r="E9645" t="s">
        <v>11</v>
      </c>
      <c r="F9645" t="s">
        <v>1209</v>
      </c>
      <c r="G9645" t="s">
        <v>2178</v>
      </c>
      <c r="H9645" t="s">
        <v>432</v>
      </c>
    </row>
    <row r="9646" spans="1:8" hidden="1" x14ac:dyDescent="0.25">
      <c r="A9646" t="s">
        <v>12985</v>
      </c>
      <c r="B9646" s="1" t="str">
        <f>HYPERLINK("https://asmlis.vasa.lt/Dashboard/Served?ServiceDateFrom=2025-11-24&amp;ServiceDateTo=2025-11-24&amp;DumpsterInvNr=13-L-139594", "13-L-139594")</f>
        <v>13-L-139594</v>
      </c>
      <c r="C9646">
        <v>0.24</v>
      </c>
      <c r="D9646" t="s">
        <v>12983</v>
      </c>
      <c r="E9646" t="s">
        <v>11</v>
      </c>
      <c r="F9646" t="s">
        <v>1209</v>
      </c>
      <c r="G9646" t="s">
        <v>430</v>
      </c>
      <c r="H9646" t="s">
        <v>432</v>
      </c>
    </row>
    <row r="9647" spans="1:8" hidden="1" x14ac:dyDescent="0.25">
      <c r="A9647" t="s">
        <v>12986</v>
      </c>
      <c r="B9647" s="1" t="str">
        <f>HYPERLINK("https://asmlis.vasa.lt/Dashboard/Served?ServiceDateFrom=2025-11-24&amp;ServiceDateTo=2025-11-24&amp;DumpsterInvNr=13-L-416393", "13-L-416393")</f>
        <v>13-L-416393</v>
      </c>
      <c r="C9647">
        <v>0.12</v>
      </c>
      <c r="D9647" t="s">
        <v>12987</v>
      </c>
      <c r="E9647" t="s">
        <v>11</v>
      </c>
      <c r="G9647" t="s">
        <v>74</v>
      </c>
      <c r="H9647" t="s">
        <v>14</v>
      </c>
    </row>
    <row r="9648" spans="1:8" hidden="1" x14ac:dyDescent="0.25">
      <c r="A9648" t="s">
        <v>12986</v>
      </c>
      <c r="B9648" s="1" t="str">
        <f>HYPERLINK("https://asmlis.vasa.lt/Dashboard/Served?ServiceDateFrom=2025-11-24&amp;ServiceDateTo=2025-11-24&amp;DumpsterInvNr=13-P-500613", "13-P-500613")</f>
        <v>13-P-500613</v>
      </c>
      <c r="C9648">
        <v>0.24</v>
      </c>
      <c r="D9648" t="s">
        <v>12983</v>
      </c>
      <c r="E9648" t="s">
        <v>11</v>
      </c>
      <c r="F9648" t="s">
        <v>1209</v>
      </c>
      <c r="G9648" t="s">
        <v>2178</v>
      </c>
      <c r="H9648" t="s">
        <v>432</v>
      </c>
    </row>
    <row r="9649" spans="1:10" hidden="1" x14ac:dyDescent="0.25">
      <c r="A9649" t="s">
        <v>12988</v>
      </c>
      <c r="B9649" s="1" t="str">
        <f>HYPERLINK("https://asmlis.vasa.lt/Dashboard/Served?ServiceDateFrom=2025-11-24&amp;ServiceDateTo=2025-11-24&amp;DumpsterInvNr=13-P-206341", "13-P-206341")</f>
        <v>13-P-206341</v>
      </c>
      <c r="C9649">
        <v>0.24</v>
      </c>
      <c r="D9649" t="s">
        <v>12989</v>
      </c>
      <c r="E9649" t="s">
        <v>11</v>
      </c>
      <c r="G9649" t="s">
        <v>234</v>
      </c>
      <c r="H9649" t="s">
        <v>14</v>
      </c>
    </row>
    <row r="9650" spans="1:10" hidden="1" x14ac:dyDescent="0.25">
      <c r="A9650" t="s">
        <v>12256</v>
      </c>
      <c r="B9650" s="1" t="str">
        <f>HYPERLINK("https://asmlis.vasa.lt/Dashboard/Served?ServiceDateFrom=2025-11-24&amp;ServiceDateTo=2025-11-24&amp;DumpsterInvNr=13-P-110689", "13-P-110689")</f>
        <v>13-P-110689</v>
      </c>
      <c r="C9650">
        <v>1.1000000000000001</v>
      </c>
      <c r="D9650" t="s">
        <v>12990</v>
      </c>
      <c r="E9650" t="s">
        <v>11</v>
      </c>
      <c r="G9650" t="s">
        <v>1917</v>
      </c>
      <c r="H9650" t="s">
        <v>432</v>
      </c>
    </row>
    <row r="9651" spans="1:10" hidden="1" x14ac:dyDescent="0.25">
      <c r="A9651" t="s">
        <v>12991</v>
      </c>
      <c r="B9651" s="1" t="str">
        <f>HYPERLINK("https://asmlis.vasa.lt/Dashboard/Served?ServiceDateFrom=2025-11-24&amp;ServiceDateTo=2025-11-24&amp;DumpsterInvNr=13-M-206003", "13-M-206003")</f>
        <v>13-M-206003</v>
      </c>
      <c r="C9651">
        <v>0.12</v>
      </c>
      <c r="D9651" t="s">
        <v>12992</v>
      </c>
      <c r="E9651" t="s">
        <v>11</v>
      </c>
      <c r="G9651" t="s">
        <v>4876</v>
      </c>
      <c r="H9651" t="s">
        <v>938</v>
      </c>
    </row>
    <row r="9652" spans="1:10" x14ac:dyDescent="0.25">
      <c r="A9652" t="s">
        <v>12807</v>
      </c>
      <c r="B9652" s="1" t="str">
        <f>HYPERLINK("https://asmlis.vasa.lt/Dashboard/Served?ServiceDateFrom=2025-11-24&amp;ServiceDateTo=2025-11-24&amp;DumpsterInvNr=13-L-423864", "13-L-423864")</f>
        <v>13-L-423864</v>
      </c>
      <c r="C9652">
        <v>1.1000000000000001</v>
      </c>
      <c r="D9652" t="s">
        <v>12993</v>
      </c>
      <c r="E9652" t="s">
        <v>11</v>
      </c>
      <c r="F9652" t="s">
        <v>1215</v>
      </c>
      <c r="G9652" t="s">
        <v>74</v>
      </c>
      <c r="H9652" t="s">
        <v>14</v>
      </c>
      <c r="J9652" t="s">
        <v>17511</v>
      </c>
    </row>
    <row r="9653" spans="1:10" hidden="1" x14ac:dyDescent="0.25">
      <c r="A9653" t="s">
        <v>12995</v>
      </c>
      <c r="B9653" s="1" t="str">
        <f>HYPERLINK("https://asmlis.vasa.lt/Dashboard/Served?ServiceDateFrom=2025-11-24&amp;ServiceDateTo=2025-11-24&amp;DumpsterInvNr=13-M-202303", "13-M-202303")</f>
        <v>13-M-202303</v>
      </c>
      <c r="C9653">
        <v>0.12</v>
      </c>
      <c r="D9653" t="s">
        <v>12996</v>
      </c>
      <c r="E9653" t="s">
        <v>11</v>
      </c>
      <c r="F9653" t="s">
        <v>1209</v>
      </c>
      <c r="G9653" t="s">
        <v>4876</v>
      </c>
      <c r="H9653" t="s">
        <v>938</v>
      </c>
    </row>
    <row r="9654" spans="1:10" hidden="1" x14ac:dyDescent="0.25">
      <c r="A9654" t="s">
        <v>12997</v>
      </c>
      <c r="B9654" s="1" t="str">
        <f>HYPERLINK("https://asmlis.vasa.lt/Dashboard/Served?ServiceDateFrom=2025-11-24&amp;ServiceDateTo=2025-11-24&amp;DumpsterInvNr=13-L-141701", "13-L-141701")</f>
        <v>13-L-141701</v>
      </c>
      <c r="C9654">
        <v>0.77</v>
      </c>
      <c r="D9654" t="s">
        <v>12999</v>
      </c>
      <c r="E9654" t="s">
        <v>11</v>
      </c>
      <c r="G9654" t="s">
        <v>1912</v>
      </c>
      <c r="H9654" t="s">
        <v>432</v>
      </c>
    </row>
    <row r="9655" spans="1:10" hidden="1" x14ac:dyDescent="0.25">
      <c r="A9655" t="s">
        <v>12994</v>
      </c>
      <c r="B9655" s="1" t="str">
        <f>HYPERLINK("https://asmlis.vasa.lt/Dashboard/Served?ServiceDateFrom=2025-11-24&amp;ServiceDateTo=2025-11-24&amp;DumpsterInvNr=DGA-Ecoservice", "DGA-Ecoservice")</f>
        <v>DGA-Ecoservice</v>
      </c>
      <c r="C9655">
        <v>1</v>
      </c>
      <c r="D9655" t="s">
        <v>7956</v>
      </c>
      <c r="E9655" t="s">
        <v>12</v>
      </c>
      <c r="F9655" t="s">
        <v>13</v>
      </c>
      <c r="G9655" t="s">
        <v>13000</v>
      </c>
      <c r="H9655" t="s">
        <v>432</v>
      </c>
    </row>
    <row r="9656" spans="1:10" hidden="1" x14ac:dyDescent="0.25">
      <c r="A9656" t="s">
        <v>13001</v>
      </c>
      <c r="B9656" s="1" t="str">
        <f>HYPERLINK("https://asmlis.vasa.lt/Dashboard/Served?ServiceDateFrom=2025-11-24&amp;ServiceDateTo=2025-11-24&amp;DumpsterInvNr=13-L-143578", "13-L-143578")</f>
        <v>13-L-143578</v>
      </c>
      <c r="C9656">
        <v>1.1000000000000001</v>
      </c>
      <c r="D9656" t="s">
        <v>13003</v>
      </c>
      <c r="E9656" t="s">
        <v>11</v>
      </c>
      <c r="G9656" t="s">
        <v>1912</v>
      </c>
      <c r="H9656" t="s">
        <v>432</v>
      </c>
    </row>
    <row r="9657" spans="1:10" hidden="1" x14ac:dyDescent="0.25">
      <c r="A9657" t="s">
        <v>13004</v>
      </c>
      <c r="B9657" s="1" t="str">
        <f>HYPERLINK("https://asmlis.vasa.lt/Dashboard/Served?ServiceDateFrom=2025-11-24&amp;ServiceDateTo=2025-11-24&amp;DumpsterInvNr=13-L-316907", "13-L-316907")</f>
        <v>13-L-316907</v>
      </c>
      <c r="C9657">
        <v>5</v>
      </c>
      <c r="D9657" t="s">
        <v>13005</v>
      </c>
      <c r="E9657" t="s">
        <v>11</v>
      </c>
      <c r="F9657" t="s">
        <v>13</v>
      </c>
      <c r="G9657" t="s">
        <v>9</v>
      </c>
      <c r="H9657" t="s">
        <v>14</v>
      </c>
    </row>
    <row r="9658" spans="1:10" hidden="1" x14ac:dyDescent="0.25">
      <c r="A9658" t="s">
        <v>13006</v>
      </c>
      <c r="B9658" s="1" t="str">
        <f>HYPERLINK("https://asmlis.vasa.lt/Dashboard/Served?ServiceDateFrom=2025-11-24&amp;ServiceDateTo=2025-11-24&amp;DumpsterInvNr=13-L-220988", "13-L-220988")</f>
        <v>13-L-220988</v>
      </c>
      <c r="C9658">
        <v>1.1000000000000001</v>
      </c>
      <c r="D9658" t="s">
        <v>9953</v>
      </c>
      <c r="E9658" t="s">
        <v>11</v>
      </c>
      <c r="G9658" t="s">
        <v>936</v>
      </c>
      <c r="H9658" t="s">
        <v>938</v>
      </c>
    </row>
    <row r="9659" spans="1:10" hidden="1" x14ac:dyDescent="0.25">
      <c r="A9659" t="s">
        <v>13007</v>
      </c>
      <c r="B9659" s="1" t="str">
        <f>HYPERLINK("https://asmlis.vasa.lt/Dashboard/Served?ServiceDateFrom=2025-11-24&amp;ServiceDateTo=2025-11-24&amp;DumpsterInvNr=13-L-203549", "13-L-203549")</f>
        <v>13-L-203549</v>
      </c>
      <c r="C9659">
        <v>0.24</v>
      </c>
      <c r="D9659" t="s">
        <v>10262</v>
      </c>
      <c r="E9659" t="s">
        <v>11</v>
      </c>
      <c r="G9659" t="s">
        <v>936</v>
      </c>
      <c r="H9659" t="s">
        <v>938</v>
      </c>
    </row>
    <row r="9660" spans="1:10" hidden="1" x14ac:dyDescent="0.25">
      <c r="A9660" t="s">
        <v>13008</v>
      </c>
      <c r="B9660" s="1" t="str">
        <f>HYPERLINK("https://asmlis.vasa.lt/Dashboard/Served?ServiceDateFrom=2025-11-24&amp;ServiceDateTo=2025-11-24&amp;DumpsterInvNr=13-L-422052", "13-L-422052")</f>
        <v>13-L-422052</v>
      </c>
      <c r="C9660">
        <v>5</v>
      </c>
      <c r="D9660" t="s">
        <v>1926</v>
      </c>
      <c r="E9660" t="s">
        <v>11</v>
      </c>
      <c r="G9660" t="s">
        <v>74</v>
      </c>
      <c r="H9660" t="s">
        <v>14</v>
      </c>
    </row>
    <row r="9661" spans="1:10" hidden="1" x14ac:dyDescent="0.25">
      <c r="A9661" t="s">
        <v>13009</v>
      </c>
      <c r="B9661" s="1" t="str">
        <f>HYPERLINK("https://asmlis.vasa.lt/Dashboard/Served?ServiceDateFrom=2025-11-24&amp;ServiceDateTo=2025-11-24&amp;DumpsterInvNr=13-L-422035", "13-L-422035")</f>
        <v>13-L-422035</v>
      </c>
      <c r="C9661">
        <v>5</v>
      </c>
      <c r="D9661" t="s">
        <v>13010</v>
      </c>
      <c r="E9661" t="s">
        <v>11</v>
      </c>
      <c r="F9661" t="s">
        <v>13</v>
      </c>
      <c r="G9661" t="s">
        <v>74</v>
      </c>
      <c r="H9661" t="s">
        <v>14</v>
      </c>
    </row>
    <row r="9662" spans="1:10" hidden="1" x14ac:dyDescent="0.25">
      <c r="A9662" t="s">
        <v>13011</v>
      </c>
      <c r="B9662" s="1" t="str">
        <f>HYPERLINK("https://asmlis.vasa.lt/Dashboard/Served?ServiceDateFrom=2025-11-24&amp;ServiceDateTo=2025-11-24&amp;DumpsterInvNr=13-P-206228", "13-P-206228")</f>
        <v>13-P-206228</v>
      </c>
      <c r="C9662">
        <v>0.24</v>
      </c>
      <c r="D9662" t="s">
        <v>13012</v>
      </c>
      <c r="E9662" t="s">
        <v>11</v>
      </c>
      <c r="G9662" t="s">
        <v>234</v>
      </c>
      <c r="H9662" t="s">
        <v>14</v>
      </c>
    </row>
    <row r="9663" spans="1:10" hidden="1" x14ac:dyDescent="0.25">
      <c r="A9663" t="s">
        <v>13013</v>
      </c>
      <c r="B9663" s="1" t="str">
        <f>HYPERLINK("https://asmlis.vasa.lt/Dashboard/Served?ServiceDateFrom=2025-11-24&amp;ServiceDateTo=2025-11-24&amp;DumpsterInvNr=13-L-143577", "13-L-143577")</f>
        <v>13-L-143577</v>
      </c>
      <c r="C9663">
        <v>1.1000000000000001</v>
      </c>
      <c r="D9663" t="s">
        <v>13003</v>
      </c>
      <c r="E9663" t="s">
        <v>11</v>
      </c>
      <c r="G9663" t="s">
        <v>1912</v>
      </c>
      <c r="H9663" t="s">
        <v>432</v>
      </c>
    </row>
    <row r="9664" spans="1:10" hidden="1" x14ac:dyDescent="0.25">
      <c r="A9664" t="s">
        <v>13014</v>
      </c>
      <c r="B9664" s="1" t="str">
        <f>HYPERLINK("https://asmlis.vasa.lt/Dashboard/Served?ServiceDateFrom=2025-11-24&amp;ServiceDateTo=2025-11-24&amp;DumpsterInvNr=13-L-219301", "13-L-219301")</f>
        <v>13-L-219301</v>
      </c>
      <c r="C9664">
        <v>1.1000000000000001</v>
      </c>
      <c r="D9664" t="s">
        <v>9953</v>
      </c>
      <c r="E9664" t="s">
        <v>11</v>
      </c>
      <c r="G9664" t="s">
        <v>936</v>
      </c>
      <c r="H9664" t="s">
        <v>938</v>
      </c>
    </row>
    <row r="9665" spans="1:8" hidden="1" x14ac:dyDescent="0.25">
      <c r="A9665" t="s">
        <v>13014</v>
      </c>
      <c r="B9665" s="1" t="str">
        <f>HYPERLINK("https://asmlis.vasa.lt/Dashboard/Served?ServiceDateFrom=2025-11-24&amp;ServiceDateTo=2025-11-24&amp;DumpsterInvNr=13-P-204153", "13-P-204153")</f>
        <v>13-P-204153</v>
      </c>
      <c r="C9665">
        <v>0.24</v>
      </c>
      <c r="D9665" t="s">
        <v>13015</v>
      </c>
      <c r="E9665" t="s">
        <v>11</v>
      </c>
      <c r="F9665" t="s">
        <v>13</v>
      </c>
      <c r="G9665" t="s">
        <v>234</v>
      </c>
      <c r="H9665" t="s">
        <v>14</v>
      </c>
    </row>
    <row r="9666" spans="1:8" hidden="1" x14ac:dyDescent="0.25">
      <c r="A9666" t="s">
        <v>13016</v>
      </c>
      <c r="B9666" s="1" t="str">
        <f>HYPERLINK("https://asmlis.vasa.lt/Dashboard/Served?ServiceDateFrom=2025-11-24&amp;ServiceDateTo=2025-11-24&amp;DumpsterInvNr=13-M-206031", "13-M-206031")</f>
        <v>13-M-206031</v>
      </c>
      <c r="C9666">
        <v>0.12</v>
      </c>
      <c r="D9666" t="s">
        <v>13017</v>
      </c>
      <c r="E9666" t="s">
        <v>11</v>
      </c>
      <c r="F9666" t="s">
        <v>1209</v>
      </c>
      <c r="G9666" t="s">
        <v>4876</v>
      </c>
      <c r="H9666" t="s">
        <v>938</v>
      </c>
    </row>
    <row r="9667" spans="1:8" hidden="1" x14ac:dyDescent="0.25">
      <c r="A9667" t="s">
        <v>13018</v>
      </c>
      <c r="B9667" s="1" t="str">
        <f>HYPERLINK("https://asmlis.vasa.lt/Dashboard/Served?ServiceDateFrom=2025-11-24&amp;ServiceDateTo=2025-11-24&amp;DumpsterInvNr=13-S-107194", "13-S-107194")</f>
        <v>13-S-107194</v>
      </c>
      <c r="C9667">
        <v>0.12</v>
      </c>
      <c r="D9667" t="s">
        <v>12972</v>
      </c>
      <c r="E9667" t="s">
        <v>11</v>
      </c>
      <c r="F9667" t="s">
        <v>1209</v>
      </c>
      <c r="G9667" t="s">
        <v>1917</v>
      </c>
      <c r="H9667" t="s">
        <v>432</v>
      </c>
    </row>
    <row r="9668" spans="1:8" hidden="1" x14ac:dyDescent="0.25">
      <c r="A9668" t="s">
        <v>13019</v>
      </c>
      <c r="B9668" s="1" t="str">
        <f>HYPERLINK("https://asmlis.vasa.lt/Dashboard/Served?ServiceDateFrom=2025-11-24&amp;ServiceDateTo=2025-11-24&amp;DumpsterInvNr=13-L-203548", "13-L-203548")</f>
        <v>13-L-203548</v>
      </c>
      <c r="C9668">
        <v>0.24</v>
      </c>
      <c r="D9668" t="s">
        <v>10274</v>
      </c>
      <c r="E9668" t="s">
        <v>11</v>
      </c>
      <c r="G9668" t="s">
        <v>936</v>
      </c>
      <c r="H9668" t="s">
        <v>938</v>
      </c>
    </row>
    <row r="9669" spans="1:8" hidden="1" x14ac:dyDescent="0.25">
      <c r="A9669" t="s">
        <v>13020</v>
      </c>
      <c r="B9669" s="1" t="str">
        <f>HYPERLINK("https://asmlis.vasa.lt/Dashboard/Served?ServiceDateFrom=2025-11-24&amp;ServiceDateTo=2025-11-24&amp;DumpsterInvNr=13-L-309741", "13-L-309741")</f>
        <v>13-L-309741</v>
      </c>
      <c r="C9669">
        <v>0.24</v>
      </c>
      <c r="D9669" t="s">
        <v>13021</v>
      </c>
      <c r="E9669" t="s">
        <v>11</v>
      </c>
      <c r="F9669" t="s">
        <v>13</v>
      </c>
      <c r="G9669" t="s">
        <v>9</v>
      </c>
      <c r="H9669" t="s">
        <v>14</v>
      </c>
    </row>
    <row r="9670" spans="1:8" hidden="1" x14ac:dyDescent="0.25">
      <c r="A9670" t="s">
        <v>13020</v>
      </c>
      <c r="B9670" s="1" t="str">
        <f>HYPERLINK("https://asmlis.vasa.lt/Dashboard/Served?ServiceDateFrom=2025-11-24&amp;ServiceDateTo=2025-11-24&amp;DumpsterInvNr=13-S-103208", "13-S-103208")</f>
        <v>13-S-103208</v>
      </c>
      <c r="C9670">
        <v>0.12</v>
      </c>
      <c r="D9670" t="s">
        <v>12957</v>
      </c>
      <c r="E9670" t="s">
        <v>11</v>
      </c>
      <c r="F9670" t="s">
        <v>1209</v>
      </c>
      <c r="G9670" t="s">
        <v>1917</v>
      </c>
      <c r="H9670" t="s">
        <v>432</v>
      </c>
    </row>
    <row r="9671" spans="1:8" hidden="1" x14ac:dyDescent="0.25">
      <c r="A9671" t="s">
        <v>13022</v>
      </c>
      <c r="B9671" s="1" t="str">
        <f>HYPERLINK("https://asmlis.vasa.lt/Dashboard/Served?ServiceDateFrom=2025-11-24&amp;ServiceDateTo=2025-11-24&amp;DumpsterInvNr=13-L-318304", "13-L-318304")</f>
        <v>13-L-318304</v>
      </c>
      <c r="C9671">
        <v>0.24</v>
      </c>
      <c r="D9671" t="s">
        <v>13021</v>
      </c>
      <c r="E9671" t="s">
        <v>11</v>
      </c>
      <c r="F9671" t="s">
        <v>13</v>
      </c>
      <c r="G9671" t="s">
        <v>9</v>
      </c>
      <c r="H9671" t="s">
        <v>14</v>
      </c>
    </row>
    <row r="9672" spans="1:8" hidden="1" x14ac:dyDescent="0.25">
      <c r="A9672" t="s">
        <v>13023</v>
      </c>
      <c r="B9672" s="1" t="str">
        <f>HYPERLINK("https://asmlis.vasa.lt/Dashboard/Served?ServiceDateFrom=2025-11-24&amp;ServiceDateTo=2025-11-24&amp;DumpsterInvNr=13-S-211496", "13-S-211496")</f>
        <v>13-S-211496</v>
      </c>
      <c r="C9672">
        <v>0.12</v>
      </c>
      <c r="D9672" t="s">
        <v>13024</v>
      </c>
      <c r="E9672" t="s">
        <v>11</v>
      </c>
      <c r="G9672" t="s">
        <v>234</v>
      </c>
      <c r="H9672" t="s">
        <v>14</v>
      </c>
    </row>
    <row r="9673" spans="1:8" hidden="1" x14ac:dyDescent="0.25">
      <c r="A9673" t="s">
        <v>13025</v>
      </c>
      <c r="B9673" s="1" t="str">
        <f>HYPERLINK("https://asmlis.vasa.lt/Dashboard/Served?ServiceDateFrom=2025-11-24&amp;ServiceDateTo=2025-11-24&amp;DumpsterInvNr=13-L-144512", "13-L-144512")</f>
        <v>13-L-144512</v>
      </c>
      <c r="C9673">
        <v>5</v>
      </c>
      <c r="D9673" t="s">
        <v>4910</v>
      </c>
      <c r="E9673" t="s">
        <v>11</v>
      </c>
      <c r="F9673" t="s">
        <v>13</v>
      </c>
      <c r="G9673" t="s">
        <v>430</v>
      </c>
      <c r="H9673" t="s">
        <v>432</v>
      </c>
    </row>
    <row r="9674" spans="1:8" hidden="1" x14ac:dyDescent="0.25">
      <c r="A9674" t="s">
        <v>13027</v>
      </c>
      <c r="B9674" s="1" t="str">
        <f>HYPERLINK("https://asmlis.vasa.lt/Dashboard/Served?ServiceDateFrom=2025-11-24&amp;ServiceDateTo=2025-11-24&amp;DumpsterInvNr=13-P-400593", "13-P-400593")</f>
        <v>13-P-400593</v>
      </c>
      <c r="C9674">
        <v>5</v>
      </c>
      <c r="D9674" t="s">
        <v>1651</v>
      </c>
      <c r="E9674" t="s">
        <v>11</v>
      </c>
      <c r="G9674" t="s">
        <v>264</v>
      </c>
      <c r="H9674" t="s">
        <v>14</v>
      </c>
    </row>
    <row r="9675" spans="1:8" hidden="1" x14ac:dyDescent="0.25">
      <c r="A9675" t="s">
        <v>13028</v>
      </c>
      <c r="B9675" s="1" t="str">
        <f>HYPERLINK("https://asmlis.vasa.lt/Dashboard/Served?ServiceDateFrom=2025-11-24&amp;ServiceDateTo=2025-11-24&amp;DumpsterInvNr=13-P-211562", "13-P-211562")</f>
        <v>13-P-211562</v>
      </c>
      <c r="C9675">
        <v>0.24</v>
      </c>
      <c r="D9675" t="s">
        <v>13029</v>
      </c>
      <c r="E9675" t="s">
        <v>11</v>
      </c>
      <c r="G9675" t="s">
        <v>234</v>
      </c>
      <c r="H9675" t="s">
        <v>14</v>
      </c>
    </row>
    <row r="9676" spans="1:8" hidden="1" x14ac:dyDescent="0.25">
      <c r="A9676" t="s">
        <v>13030</v>
      </c>
      <c r="B9676" s="1" t="str">
        <f>HYPERLINK("https://asmlis.vasa.lt/Dashboard/Served?ServiceDateFrom=2025-11-24&amp;ServiceDateTo=2025-11-24&amp;DumpsterInvNr=13-L-134706", "13-L-134706")</f>
        <v>13-L-134706</v>
      </c>
      <c r="C9676">
        <v>0.24</v>
      </c>
      <c r="D9676" t="s">
        <v>13031</v>
      </c>
      <c r="E9676" t="s">
        <v>11</v>
      </c>
      <c r="F9676" t="s">
        <v>1209</v>
      </c>
      <c r="G9676" t="s">
        <v>1912</v>
      </c>
      <c r="H9676" t="s">
        <v>432</v>
      </c>
    </row>
    <row r="9677" spans="1:8" hidden="1" x14ac:dyDescent="0.25">
      <c r="A9677" t="s">
        <v>13032</v>
      </c>
      <c r="B9677" s="1" t="str">
        <f>HYPERLINK("https://asmlis.vasa.lt/Dashboard/Served?ServiceDateFrom=2025-11-24&amp;ServiceDateTo=2025-11-24&amp;DumpsterInvNr=13-L-104360", "13-L-104360")</f>
        <v>13-L-104360</v>
      </c>
      <c r="C9677">
        <v>5</v>
      </c>
      <c r="D9677" t="s">
        <v>13033</v>
      </c>
      <c r="E9677" t="s">
        <v>11</v>
      </c>
      <c r="F9677" t="s">
        <v>13</v>
      </c>
      <c r="G9677" t="s">
        <v>430</v>
      </c>
      <c r="H9677" t="s">
        <v>432</v>
      </c>
    </row>
    <row r="9678" spans="1:8" hidden="1" x14ac:dyDescent="0.25">
      <c r="A9678" t="s">
        <v>13035</v>
      </c>
      <c r="B9678" s="1" t="str">
        <f>HYPERLINK("https://asmlis.vasa.lt/Dashboard/Served?ServiceDateFrom=2025-11-24&amp;ServiceDateTo=2025-11-24&amp;DumpsterInvNr=13-P-506147", "13-P-506147")</f>
        <v>13-P-506147</v>
      </c>
      <c r="C9678">
        <v>0.24</v>
      </c>
      <c r="D9678" t="s">
        <v>13036</v>
      </c>
      <c r="E9678" t="s">
        <v>11</v>
      </c>
      <c r="G9678" t="s">
        <v>2178</v>
      </c>
      <c r="H9678" t="s">
        <v>432</v>
      </c>
    </row>
    <row r="9679" spans="1:8" hidden="1" x14ac:dyDescent="0.25">
      <c r="A9679" t="s">
        <v>13035</v>
      </c>
      <c r="B9679" s="1" t="str">
        <f>HYPERLINK("https://asmlis.vasa.lt/Dashboard/Served?ServiceDateFrom=2025-11-24&amp;ServiceDateTo=2025-11-24&amp;DumpsterInvNr=13-P-502533", "13-P-502533")</f>
        <v>13-P-502533</v>
      </c>
      <c r="C9679">
        <v>0.24</v>
      </c>
      <c r="D9679" t="s">
        <v>13037</v>
      </c>
      <c r="E9679" t="s">
        <v>11</v>
      </c>
      <c r="G9679" t="s">
        <v>2178</v>
      </c>
      <c r="H9679" t="s">
        <v>432</v>
      </c>
    </row>
    <row r="9680" spans="1:8" hidden="1" x14ac:dyDescent="0.25">
      <c r="A9680" t="s">
        <v>11722</v>
      </c>
      <c r="B9680" s="1" t="str">
        <f>HYPERLINK("https://asmlis.vasa.lt/Dashboard/Served?ServiceDateFrom=2025-11-24&amp;ServiceDateTo=2025-11-24&amp;DumpsterInvNr=13-L-210348", "13-L-210348")</f>
        <v>13-L-210348</v>
      </c>
      <c r="C9680">
        <v>0.12</v>
      </c>
      <c r="D9680" t="s">
        <v>10294</v>
      </c>
      <c r="E9680" t="s">
        <v>11</v>
      </c>
      <c r="G9680" t="s">
        <v>936</v>
      </c>
      <c r="H9680" t="s">
        <v>938</v>
      </c>
    </row>
    <row r="9681" spans="1:10" hidden="1" x14ac:dyDescent="0.25">
      <c r="A9681" t="s">
        <v>13038</v>
      </c>
      <c r="B9681" s="1" t="str">
        <f>HYPERLINK("https://asmlis.vasa.lt/Dashboard/Served?ServiceDateFrom=2025-11-24&amp;ServiceDateTo=2025-11-24&amp;DumpsterInvNr=13-M-205154", "13-M-205154")</f>
        <v>13-M-205154</v>
      </c>
      <c r="C9681">
        <v>0.12</v>
      </c>
      <c r="D9681" t="s">
        <v>13039</v>
      </c>
      <c r="E9681" t="s">
        <v>11</v>
      </c>
      <c r="G9681" t="s">
        <v>4876</v>
      </c>
      <c r="H9681" t="s">
        <v>938</v>
      </c>
    </row>
    <row r="9682" spans="1:10" hidden="1" x14ac:dyDescent="0.25">
      <c r="A9682" t="s">
        <v>13040</v>
      </c>
      <c r="B9682" s="1" t="str">
        <f>HYPERLINK("https://asmlis.vasa.lt/Dashboard/Served?ServiceDateFrom=2025-11-24&amp;ServiceDateTo=2025-11-24&amp;DumpsterInvNr=13-P-416158", "13-P-416158")</f>
        <v>13-P-416158</v>
      </c>
      <c r="C9682">
        <v>1.1000000000000001</v>
      </c>
      <c r="D9682" t="s">
        <v>13041</v>
      </c>
      <c r="E9682" t="s">
        <v>11</v>
      </c>
      <c r="F9682" t="s">
        <v>13</v>
      </c>
      <c r="G9682" t="s">
        <v>264</v>
      </c>
      <c r="H9682" t="s">
        <v>14</v>
      </c>
    </row>
    <row r="9683" spans="1:10" hidden="1" x14ac:dyDescent="0.25">
      <c r="A9683" t="s">
        <v>13042</v>
      </c>
      <c r="B9683" s="1" t="str">
        <f>HYPERLINK("https://asmlis.vasa.lt/Dashboard/Served?ServiceDateFrom=2025-11-24&amp;ServiceDateTo=2025-11-24&amp;DumpsterInvNr=13-S-211859", "13-S-211859")</f>
        <v>13-S-211859</v>
      </c>
      <c r="C9683">
        <v>0.12</v>
      </c>
      <c r="D9683" t="s">
        <v>13029</v>
      </c>
      <c r="E9683" t="s">
        <v>11</v>
      </c>
      <c r="G9683" t="s">
        <v>234</v>
      </c>
      <c r="H9683" t="s">
        <v>14</v>
      </c>
    </row>
    <row r="9684" spans="1:10" hidden="1" x14ac:dyDescent="0.25">
      <c r="A9684" t="s">
        <v>13042</v>
      </c>
      <c r="B9684" s="1" t="str">
        <f>HYPERLINK("https://asmlis.vasa.lt/Dashboard/Served?ServiceDateFrom=2025-11-24&amp;ServiceDateTo=2025-11-24&amp;DumpsterInvNr=13-L-422673", "13-L-422673")</f>
        <v>13-L-422673</v>
      </c>
      <c r="C9684">
        <v>0.24</v>
      </c>
      <c r="D9684" t="s">
        <v>8125</v>
      </c>
      <c r="E9684" t="s">
        <v>11</v>
      </c>
      <c r="G9684" t="s">
        <v>74</v>
      </c>
      <c r="H9684" t="s">
        <v>14</v>
      </c>
    </row>
    <row r="9685" spans="1:10" hidden="1" x14ac:dyDescent="0.25">
      <c r="A9685" t="s">
        <v>13043</v>
      </c>
      <c r="B9685" s="1" t="str">
        <f>HYPERLINK("https://asmlis.vasa.lt/Dashboard/Served?ServiceDateFrom=2025-11-24&amp;ServiceDateTo=2025-11-24&amp;DumpsterInvNr=13-M-205166", "13-M-205166")</f>
        <v>13-M-205166</v>
      </c>
      <c r="C9685">
        <v>0.12</v>
      </c>
      <c r="D9685" t="s">
        <v>13044</v>
      </c>
      <c r="E9685" t="s">
        <v>11</v>
      </c>
      <c r="F9685" t="s">
        <v>1209</v>
      </c>
      <c r="G9685" t="s">
        <v>4876</v>
      </c>
      <c r="H9685" t="s">
        <v>938</v>
      </c>
    </row>
    <row r="9686" spans="1:10" hidden="1" x14ac:dyDescent="0.25">
      <c r="A9686" t="s">
        <v>11760</v>
      </c>
      <c r="B9686" s="1" t="str">
        <f>HYPERLINK("https://asmlis.vasa.lt/Dashboard/Served?ServiceDateFrom=2025-11-24&amp;ServiceDateTo=2025-11-24&amp;DumpsterInvNr=13-L-139156", "13-L-139156")</f>
        <v>13-L-139156</v>
      </c>
      <c r="C9686">
        <v>0.24</v>
      </c>
      <c r="D9686" t="s">
        <v>13045</v>
      </c>
      <c r="E9686" t="s">
        <v>11</v>
      </c>
      <c r="G9686" t="s">
        <v>430</v>
      </c>
      <c r="H9686" t="s">
        <v>432</v>
      </c>
    </row>
    <row r="9687" spans="1:10" hidden="1" x14ac:dyDescent="0.25">
      <c r="A9687" t="s">
        <v>13046</v>
      </c>
      <c r="B9687" s="1" t="str">
        <f>HYPERLINK("https://asmlis.vasa.lt/Dashboard/Served?ServiceDateFrom=2025-11-24&amp;ServiceDateTo=2025-11-24&amp;DumpsterInvNr=13-L-140467", "13-L-140467")</f>
        <v>13-L-140467</v>
      </c>
      <c r="C9687">
        <v>1.1000000000000001</v>
      </c>
      <c r="D9687" t="s">
        <v>8945</v>
      </c>
      <c r="E9687" t="s">
        <v>11</v>
      </c>
      <c r="G9687" t="s">
        <v>430</v>
      </c>
      <c r="H9687" t="s">
        <v>432</v>
      </c>
    </row>
    <row r="9688" spans="1:10" hidden="1" x14ac:dyDescent="0.25">
      <c r="A9688" t="s">
        <v>13047</v>
      </c>
      <c r="B9688" s="1" t="str">
        <f>HYPERLINK("https://asmlis.vasa.lt/Dashboard/Served?ServiceDateFrom=2025-11-24&amp;ServiceDateTo=2025-11-24&amp;DumpsterInvNr=13-P-506166", "13-P-506166")</f>
        <v>13-P-506166</v>
      </c>
      <c r="C9688">
        <v>0.24</v>
      </c>
      <c r="D9688" t="s">
        <v>13045</v>
      </c>
      <c r="E9688" t="s">
        <v>11</v>
      </c>
      <c r="G9688" t="s">
        <v>2178</v>
      </c>
      <c r="H9688" t="s">
        <v>432</v>
      </c>
    </row>
    <row r="9689" spans="1:10" x14ac:dyDescent="0.25">
      <c r="A9689" t="s">
        <v>13048</v>
      </c>
      <c r="B9689" s="1" t="str">
        <f>HYPERLINK("https://asmlis.vasa.lt/Dashboard/Served?ServiceDateFrom=2025-11-24&amp;ServiceDateTo=2025-11-24&amp;DumpsterInvNr=13-L-425055", "13-L-425055")</f>
        <v>13-L-425055</v>
      </c>
      <c r="C9689">
        <v>0.24</v>
      </c>
      <c r="D9689" t="s">
        <v>8079</v>
      </c>
      <c r="E9689" t="s">
        <v>11</v>
      </c>
      <c r="F9689" t="s">
        <v>1215</v>
      </c>
      <c r="G9689" t="s">
        <v>74</v>
      </c>
      <c r="H9689" t="s">
        <v>14</v>
      </c>
      <c r="J9689" t="s">
        <v>17511</v>
      </c>
    </row>
    <row r="9690" spans="1:10" hidden="1" x14ac:dyDescent="0.25">
      <c r="A9690" t="s">
        <v>13049</v>
      </c>
      <c r="B9690" s="1" t="str">
        <f>HYPERLINK("https://asmlis.vasa.lt/Dashboard/Served?ServiceDateFrom=2025-11-24&amp;ServiceDateTo=2025-11-24&amp;DumpsterInvNr=13-L-316102", "13-L-316102")</f>
        <v>13-L-316102</v>
      </c>
      <c r="C9690">
        <v>5</v>
      </c>
      <c r="D9690" t="s">
        <v>13050</v>
      </c>
      <c r="E9690" t="s">
        <v>11</v>
      </c>
      <c r="F9690" t="s">
        <v>13</v>
      </c>
      <c r="G9690" t="s">
        <v>9</v>
      </c>
      <c r="H9690" t="s">
        <v>14</v>
      </c>
    </row>
    <row r="9691" spans="1:10" hidden="1" x14ac:dyDescent="0.25">
      <c r="A9691" t="s">
        <v>13051</v>
      </c>
      <c r="B9691" s="1" t="str">
        <f>HYPERLINK("https://asmlis.vasa.lt/Dashboard/Served?ServiceDateFrom=2025-11-24&amp;ServiceDateTo=2025-11-24&amp;DumpsterInvNr=13-L-134755", "13-L-134755")</f>
        <v>13-L-134755</v>
      </c>
      <c r="C9691">
        <v>0.12</v>
      </c>
      <c r="D9691" t="s">
        <v>13052</v>
      </c>
      <c r="E9691" t="s">
        <v>11</v>
      </c>
      <c r="G9691" t="s">
        <v>1912</v>
      </c>
      <c r="H9691" t="s">
        <v>432</v>
      </c>
    </row>
    <row r="9692" spans="1:10" hidden="1" x14ac:dyDescent="0.25">
      <c r="A9692" t="s">
        <v>13054</v>
      </c>
      <c r="B9692" s="1" t="str">
        <f>HYPERLINK("https://asmlis.vasa.lt/Dashboard/Served?ServiceDateFrom=2025-11-24&amp;ServiceDateTo=2025-11-24&amp;DumpsterInvNr=13-L-422674", "13-L-422674")</f>
        <v>13-L-422674</v>
      </c>
      <c r="C9692">
        <v>0.24</v>
      </c>
      <c r="D9692" t="s">
        <v>8113</v>
      </c>
      <c r="E9692" t="s">
        <v>11</v>
      </c>
      <c r="G9692" t="s">
        <v>74</v>
      </c>
      <c r="H9692" t="s">
        <v>14</v>
      </c>
    </row>
    <row r="9693" spans="1:10" hidden="1" x14ac:dyDescent="0.25">
      <c r="A9693" t="s">
        <v>13055</v>
      </c>
      <c r="B9693" s="1" t="str">
        <f>HYPERLINK("https://asmlis.vasa.lt/Dashboard/Served?ServiceDateFrom=2025-11-24&amp;ServiceDateTo=2025-11-24&amp;DumpsterInvNr=13-L-106748", "13-L-106748")</f>
        <v>13-L-106748</v>
      </c>
      <c r="C9693">
        <v>1.1000000000000001</v>
      </c>
      <c r="D9693" t="s">
        <v>13056</v>
      </c>
      <c r="E9693" t="s">
        <v>11</v>
      </c>
      <c r="G9693" t="s">
        <v>1912</v>
      </c>
      <c r="H9693" t="s">
        <v>432</v>
      </c>
    </row>
    <row r="9694" spans="1:10" hidden="1" x14ac:dyDescent="0.25">
      <c r="A9694" t="s">
        <v>13057</v>
      </c>
      <c r="B9694" s="1" t="str">
        <f>HYPERLINK("https://asmlis.vasa.lt/Dashboard/Served?ServiceDateFrom=2025-11-24&amp;ServiceDateTo=2025-11-24&amp;DumpsterInvNr=13-P-509628", "13-P-509628")</f>
        <v>13-P-509628</v>
      </c>
      <c r="C9694">
        <v>0.24</v>
      </c>
      <c r="D9694" t="s">
        <v>13058</v>
      </c>
      <c r="E9694" t="s">
        <v>11</v>
      </c>
      <c r="G9694" t="s">
        <v>2178</v>
      </c>
      <c r="H9694" t="s">
        <v>432</v>
      </c>
    </row>
    <row r="9695" spans="1:10" hidden="1" x14ac:dyDescent="0.25">
      <c r="A9695" t="s">
        <v>13059</v>
      </c>
      <c r="B9695" s="1" t="str">
        <f>HYPERLINK("https://asmlis.vasa.lt/Dashboard/Served?ServiceDateFrom=2025-11-24&amp;ServiceDateTo=2025-11-24&amp;DumpsterInvNr=13-P-302348", "13-P-302348")</f>
        <v>13-P-302348</v>
      </c>
      <c r="C9695">
        <v>5</v>
      </c>
      <c r="D9695" t="s">
        <v>13060</v>
      </c>
      <c r="E9695" t="s">
        <v>11</v>
      </c>
      <c r="G9695" t="s">
        <v>412</v>
      </c>
      <c r="H9695" t="s">
        <v>14</v>
      </c>
    </row>
    <row r="9696" spans="1:10" hidden="1" x14ac:dyDescent="0.25">
      <c r="A9696" t="s">
        <v>13061</v>
      </c>
      <c r="B9696" s="1" t="str">
        <f>HYPERLINK("https://asmlis.vasa.lt/Dashboard/Served?ServiceDateFrom=2025-11-24&amp;ServiceDateTo=2025-11-24&amp;DumpsterInvNr=13-P-211518", "13-P-211518")</f>
        <v>13-P-211518</v>
      </c>
      <c r="C9696">
        <v>0.24</v>
      </c>
      <c r="D9696" t="s">
        <v>13024</v>
      </c>
      <c r="E9696" t="s">
        <v>11</v>
      </c>
      <c r="G9696" t="s">
        <v>234</v>
      </c>
      <c r="H9696" t="s">
        <v>14</v>
      </c>
    </row>
    <row r="9697" spans="1:10" hidden="1" x14ac:dyDescent="0.25">
      <c r="A9697" t="s">
        <v>13062</v>
      </c>
      <c r="B9697" s="1" t="str">
        <f>HYPERLINK("https://asmlis.vasa.lt/Dashboard/Served?ServiceDateFrom=2025-11-24&amp;ServiceDateTo=2025-11-24&amp;DumpsterInvNr=13-P-500460", "13-P-500460")</f>
        <v>13-P-500460</v>
      </c>
      <c r="C9697">
        <v>5</v>
      </c>
      <c r="D9697" t="s">
        <v>9094</v>
      </c>
      <c r="E9697" t="s">
        <v>11</v>
      </c>
      <c r="F9697" t="s">
        <v>13</v>
      </c>
      <c r="G9697" t="s">
        <v>2178</v>
      </c>
      <c r="H9697" t="s">
        <v>432</v>
      </c>
    </row>
    <row r="9698" spans="1:10" hidden="1" x14ac:dyDescent="0.25">
      <c r="A9698" t="s">
        <v>13062</v>
      </c>
      <c r="B9698" s="1" t="str">
        <f>HYPERLINK("https://asmlis.vasa.lt/Dashboard/Served?ServiceDateFrom=2025-11-24&amp;ServiceDateTo=2025-11-24&amp;DumpsterInvNr=13-L-148929", "13-L-148929")</f>
        <v>13-L-148929</v>
      </c>
      <c r="C9698">
        <v>0.24</v>
      </c>
      <c r="D9698" t="s">
        <v>13058</v>
      </c>
      <c r="E9698" t="s">
        <v>11</v>
      </c>
      <c r="G9698" t="s">
        <v>430</v>
      </c>
      <c r="H9698" t="s">
        <v>432</v>
      </c>
    </row>
    <row r="9699" spans="1:10" hidden="1" x14ac:dyDescent="0.25">
      <c r="A9699" t="s">
        <v>13063</v>
      </c>
      <c r="B9699" s="1" t="str">
        <f>HYPERLINK("https://asmlis.vasa.lt/Dashboard/Served?ServiceDateFrom=2025-11-24&amp;ServiceDateTo=2025-11-24&amp;DumpsterInvNr=13-L-302765", "13-L-302765")</f>
        <v>13-L-302765</v>
      </c>
      <c r="C9699">
        <v>0.66</v>
      </c>
      <c r="D9699" t="s">
        <v>13064</v>
      </c>
      <c r="E9699" t="s">
        <v>11</v>
      </c>
      <c r="F9699" t="s">
        <v>13</v>
      </c>
      <c r="G9699" t="s">
        <v>9</v>
      </c>
      <c r="H9699" t="s">
        <v>14</v>
      </c>
    </row>
    <row r="9700" spans="1:10" hidden="1" x14ac:dyDescent="0.25">
      <c r="A9700" t="s">
        <v>13065</v>
      </c>
      <c r="B9700" s="1" t="str">
        <f>HYPERLINK("https://asmlis.vasa.lt/Dashboard/Served?ServiceDateFrom=2025-11-24&amp;ServiceDateTo=2025-11-24&amp;DumpsterInvNr=13-P-115331", "13-P-115331")</f>
        <v>13-P-115331</v>
      </c>
      <c r="C9700">
        <v>0.24</v>
      </c>
      <c r="D9700" t="s">
        <v>13066</v>
      </c>
      <c r="E9700" t="s">
        <v>11</v>
      </c>
      <c r="G9700" t="s">
        <v>1917</v>
      </c>
      <c r="H9700" t="s">
        <v>432</v>
      </c>
    </row>
    <row r="9701" spans="1:10" hidden="1" x14ac:dyDescent="0.25">
      <c r="A9701" t="s">
        <v>13068</v>
      </c>
      <c r="B9701" s="1" t="str">
        <f>HYPERLINK("https://asmlis.vasa.lt/Dashboard/Served?ServiceDateFrom=2025-11-24&amp;ServiceDateTo=2025-11-24&amp;DumpsterInvNr=13-P-409046", "13-P-409046")</f>
        <v>13-P-409046</v>
      </c>
      <c r="C9701">
        <v>1.1000000000000001</v>
      </c>
      <c r="D9701" t="s">
        <v>13069</v>
      </c>
      <c r="E9701" t="s">
        <v>11</v>
      </c>
      <c r="F9701" t="s">
        <v>13</v>
      </c>
      <c r="G9701" t="s">
        <v>264</v>
      </c>
      <c r="H9701" t="s">
        <v>14</v>
      </c>
    </row>
    <row r="9702" spans="1:10" hidden="1" x14ac:dyDescent="0.25">
      <c r="A9702" t="s">
        <v>13070</v>
      </c>
      <c r="B9702" s="1" t="str">
        <f>HYPERLINK("https://asmlis.vasa.lt/Dashboard/Served?ServiceDateFrom=2025-11-24&amp;ServiceDateTo=2025-11-24&amp;DumpsterInvNr=13-M-202062", "13-M-202062")</f>
        <v>13-M-202062</v>
      </c>
      <c r="C9702">
        <v>0.12</v>
      </c>
      <c r="D9702" t="s">
        <v>13071</v>
      </c>
      <c r="E9702" t="s">
        <v>11</v>
      </c>
      <c r="G9702" t="s">
        <v>4876</v>
      </c>
      <c r="H9702" t="s">
        <v>938</v>
      </c>
    </row>
    <row r="9703" spans="1:10" hidden="1" x14ac:dyDescent="0.25">
      <c r="A9703" t="s">
        <v>13072</v>
      </c>
      <c r="B9703" s="1" t="str">
        <f>HYPERLINK("https://asmlis.vasa.lt/Dashboard/Served?ServiceDateFrom=2025-11-24&amp;ServiceDateTo=2025-11-24&amp;DumpsterInvNr=13-L-317777", "13-L-317777")</f>
        <v>13-L-317777</v>
      </c>
      <c r="C9703">
        <v>1.1000000000000001</v>
      </c>
      <c r="D9703" t="s">
        <v>13073</v>
      </c>
      <c r="E9703" t="s">
        <v>11</v>
      </c>
      <c r="G9703" t="s">
        <v>9</v>
      </c>
      <c r="H9703" t="s">
        <v>14</v>
      </c>
    </row>
    <row r="9704" spans="1:10" hidden="1" x14ac:dyDescent="0.25">
      <c r="A9704" t="s">
        <v>13074</v>
      </c>
      <c r="B9704" s="1" t="str">
        <f>HYPERLINK("https://asmlis.vasa.lt/Dashboard/Served?ServiceDateFrom=2025-11-24&amp;ServiceDateTo=2025-11-24&amp;DumpsterInvNr=13-P-500228", "13-P-500228")</f>
        <v>13-P-500228</v>
      </c>
      <c r="C9704">
        <v>5</v>
      </c>
      <c r="D9704" t="s">
        <v>13075</v>
      </c>
      <c r="E9704" t="s">
        <v>11</v>
      </c>
      <c r="F9704" t="s">
        <v>13</v>
      </c>
      <c r="G9704" t="s">
        <v>2178</v>
      </c>
      <c r="H9704" t="s">
        <v>432</v>
      </c>
    </row>
    <row r="9705" spans="1:10" hidden="1" x14ac:dyDescent="0.25">
      <c r="A9705" t="s">
        <v>13076</v>
      </c>
      <c r="B9705" s="1" t="str">
        <f>HYPERLINK("https://asmlis.vasa.lt/Dashboard/Served?ServiceDateFrom=2025-11-24&amp;ServiceDateTo=2025-11-24&amp;DumpsterInvNr=13-P-300698", "13-P-300698")</f>
        <v>13-P-300698</v>
      </c>
      <c r="C9705">
        <v>1.1000000000000001</v>
      </c>
      <c r="D9705" t="s">
        <v>13077</v>
      </c>
      <c r="E9705" t="s">
        <v>11</v>
      </c>
      <c r="G9705" t="s">
        <v>412</v>
      </c>
      <c r="H9705" t="s">
        <v>14</v>
      </c>
    </row>
    <row r="9706" spans="1:10" hidden="1" x14ac:dyDescent="0.25">
      <c r="A9706" t="s">
        <v>13078</v>
      </c>
      <c r="B9706" s="1" t="str">
        <f>HYPERLINK("https://asmlis.vasa.lt/Dashboard/Served?ServiceDateFrom=2025-11-24&amp;ServiceDateTo=2025-11-24&amp;DumpsterInvNr=13-L-203547", "13-L-203547")</f>
        <v>13-L-203547</v>
      </c>
      <c r="C9706">
        <v>0.12</v>
      </c>
      <c r="D9706" t="s">
        <v>10312</v>
      </c>
      <c r="E9706" t="s">
        <v>11</v>
      </c>
      <c r="G9706" t="s">
        <v>936</v>
      </c>
      <c r="H9706" t="s">
        <v>938</v>
      </c>
    </row>
    <row r="9707" spans="1:10" hidden="1" x14ac:dyDescent="0.25">
      <c r="A9707" t="s">
        <v>11801</v>
      </c>
      <c r="B9707" s="1" t="str">
        <f>HYPERLINK("https://asmlis.vasa.lt/Dashboard/Served?ServiceDateFrom=2025-11-24&amp;ServiceDateTo=2025-11-24&amp;DumpsterInvNr=13-M-202401", "13-M-202401")</f>
        <v>13-M-202401</v>
      </c>
      <c r="C9707">
        <v>0.12</v>
      </c>
      <c r="D9707" t="s">
        <v>13079</v>
      </c>
      <c r="E9707" t="s">
        <v>11</v>
      </c>
      <c r="F9707" t="s">
        <v>1209</v>
      </c>
      <c r="G9707" t="s">
        <v>4876</v>
      </c>
      <c r="H9707" t="s">
        <v>938</v>
      </c>
    </row>
    <row r="9708" spans="1:10" hidden="1" x14ac:dyDescent="0.25">
      <c r="A9708" t="s">
        <v>11978</v>
      </c>
      <c r="B9708" s="1" t="str">
        <f>HYPERLINK("https://asmlis.vasa.lt/Dashboard/Served?ServiceDateFrom=2025-11-24&amp;ServiceDateTo=2025-11-24&amp;DumpsterInvNr=13-L-128294", "13-L-128294")</f>
        <v>13-L-128294</v>
      </c>
      <c r="C9708">
        <v>1.1000000000000001</v>
      </c>
      <c r="D9708" t="s">
        <v>13066</v>
      </c>
      <c r="E9708" t="s">
        <v>11</v>
      </c>
      <c r="G9708" t="s">
        <v>1912</v>
      </c>
      <c r="H9708" t="s">
        <v>432</v>
      </c>
    </row>
    <row r="9709" spans="1:10" hidden="1" x14ac:dyDescent="0.25">
      <c r="A9709" t="s">
        <v>13081</v>
      </c>
      <c r="B9709" s="1" t="str">
        <f>HYPERLINK("https://asmlis.vasa.lt/Dashboard/Served?ServiceDateFrom=2025-11-24&amp;ServiceDateTo=2025-11-24&amp;DumpsterInvNr=13-L-106749", "13-L-106749")</f>
        <v>13-L-106749</v>
      </c>
      <c r="C9709">
        <v>1.1000000000000001</v>
      </c>
      <c r="D9709" t="s">
        <v>13056</v>
      </c>
      <c r="E9709" t="s">
        <v>11</v>
      </c>
      <c r="G9709" t="s">
        <v>1912</v>
      </c>
      <c r="H9709" t="s">
        <v>432</v>
      </c>
    </row>
    <row r="9710" spans="1:10" hidden="1" x14ac:dyDescent="0.25">
      <c r="A9710" t="s">
        <v>13081</v>
      </c>
      <c r="B9710" s="1" t="str">
        <f>HYPERLINK("https://asmlis.vasa.lt/Dashboard/Served?ServiceDateFrom=2025-11-24&amp;ServiceDateTo=2025-11-24&amp;DumpsterInvNr=13-P-415615", "13-P-415615")</f>
        <v>13-P-415615</v>
      </c>
      <c r="C9710">
        <v>1.1000000000000001</v>
      </c>
      <c r="D9710" t="s">
        <v>13082</v>
      </c>
      <c r="E9710" t="s">
        <v>11</v>
      </c>
      <c r="F9710" t="s">
        <v>13</v>
      </c>
      <c r="G9710" t="s">
        <v>264</v>
      </c>
      <c r="H9710" t="s">
        <v>14</v>
      </c>
    </row>
    <row r="9711" spans="1:10" hidden="1" x14ac:dyDescent="0.25">
      <c r="A9711" t="s">
        <v>13083</v>
      </c>
      <c r="B9711" s="1" t="str">
        <f>HYPERLINK("https://asmlis.vasa.lt/Dashboard/Served?ServiceDateFrom=2025-11-24&amp;ServiceDateTo=2025-11-24&amp;DumpsterInvNr=13-S-212555", "13-S-212555")</f>
        <v>13-S-212555</v>
      </c>
      <c r="C9711">
        <v>3</v>
      </c>
      <c r="D9711" t="s">
        <v>13084</v>
      </c>
      <c r="E9711" t="s">
        <v>11</v>
      </c>
      <c r="F9711" t="s">
        <v>871</v>
      </c>
      <c r="G9711" t="s">
        <v>234</v>
      </c>
      <c r="H9711" t="s">
        <v>14</v>
      </c>
      <c r="J9711" t="s">
        <v>17528</v>
      </c>
    </row>
    <row r="9712" spans="1:10" hidden="1" x14ac:dyDescent="0.25">
      <c r="A9712" t="s">
        <v>13083</v>
      </c>
      <c r="B9712" s="1" t="str">
        <f>HYPERLINK("https://asmlis.vasa.lt/Dashboard/Served?ServiceDateFrom=2025-11-24&amp;ServiceDateTo=2025-11-24&amp;DumpsterInvNr=13-L-137582", "13-L-137582")</f>
        <v>13-L-137582</v>
      </c>
      <c r="C9712">
        <v>0.24</v>
      </c>
      <c r="D9712" t="s">
        <v>13085</v>
      </c>
      <c r="E9712" t="s">
        <v>11</v>
      </c>
      <c r="G9712" t="s">
        <v>430</v>
      </c>
      <c r="H9712" t="s">
        <v>432</v>
      </c>
    </row>
    <row r="9713" spans="1:8" hidden="1" x14ac:dyDescent="0.25">
      <c r="A9713" t="s">
        <v>13086</v>
      </c>
      <c r="B9713" s="1" t="str">
        <f>HYPERLINK("https://asmlis.vasa.lt/Dashboard/Served?ServiceDateFrom=2025-11-24&amp;ServiceDateTo=2025-11-24&amp;DumpsterInvNr=13-P-506146", "13-P-506146")</f>
        <v>13-P-506146</v>
      </c>
      <c r="C9713">
        <v>0.24</v>
      </c>
      <c r="D9713" t="s">
        <v>13085</v>
      </c>
      <c r="E9713" t="s">
        <v>11</v>
      </c>
      <c r="G9713" t="s">
        <v>2178</v>
      </c>
      <c r="H9713" t="s">
        <v>432</v>
      </c>
    </row>
    <row r="9714" spans="1:8" hidden="1" x14ac:dyDescent="0.25">
      <c r="A9714" t="s">
        <v>13086</v>
      </c>
      <c r="B9714" s="1" t="str">
        <f>HYPERLINK("https://asmlis.vasa.lt/Dashboard/Served?ServiceDateFrom=2025-11-24&amp;ServiceDateTo=2025-11-24&amp;DumpsterInvNr=13-S-506389", "13-S-506389")</f>
        <v>13-S-506389</v>
      </c>
      <c r="C9714">
        <v>0.12</v>
      </c>
      <c r="D9714" t="s">
        <v>13058</v>
      </c>
      <c r="E9714" t="s">
        <v>11</v>
      </c>
      <c r="F9714" t="s">
        <v>1209</v>
      </c>
      <c r="G9714" t="s">
        <v>2178</v>
      </c>
      <c r="H9714" t="s">
        <v>432</v>
      </c>
    </row>
    <row r="9715" spans="1:8" hidden="1" x14ac:dyDescent="0.25">
      <c r="A9715" t="s">
        <v>13087</v>
      </c>
      <c r="B9715" s="1" t="str">
        <f>HYPERLINK("https://asmlis.vasa.lt/Dashboard/Served?ServiceDateFrom=2025-11-24&amp;ServiceDateTo=2025-11-24&amp;DumpsterInvNr=13-P-409094", "13-P-409094")</f>
        <v>13-P-409094</v>
      </c>
      <c r="C9715">
        <v>1.1000000000000001</v>
      </c>
      <c r="D9715" t="s">
        <v>13088</v>
      </c>
      <c r="E9715" t="s">
        <v>11</v>
      </c>
      <c r="F9715" t="s">
        <v>13</v>
      </c>
      <c r="G9715" t="s">
        <v>264</v>
      </c>
      <c r="H9715" t="s">
        <v>14</v>
      </c>
    </row>
    <row r="9716" spans="1:8" hidden="1" x14ac:dyDescent="0.25">
      <c r="A9716" t="s">
        <v>11826</v>
      </c>
      <c r="B9716" s="1" t="str">
        <f>HYPERLINK("https://asmlis.vasa.lt/Dashboard/Served?ServiceDateFrom=2025-11-24&amp;ServiceDateTo=2025-11-24&amp;DumpsterInvNr=13-L-422011", "13-L-422011")</f>
        <v>13-L-422011</v>
      </c>
      <c r="C9716">
        <v>5</v>
      </c>
      <c r="D9716" t="s">
        <v>11741</v>
      </c>
      <c r="E9716" t="s">
        <v>11</v>
      </c>
      <c r="G9716" t="s">
        <v>74</v>
      </c>
      <c r="H9716" t="s">
        <v>14</v>
      </c>
    </row>
    <row r="9717" spans="1:8" hidden="1" x14ac:dyDescent="0.25">
      <c r="A9717" t="s">
        <v>13089</v>
      </c>
      <c r="B9717" s="1" t="str">
        <f>HYPERLINK("https://asmlis.vasa.lt/Dashboard/Served?ServiceDateFrom=2025-11-24&amp;ServiceDateTo=2025-11-24&amp;DumpsterInvNr=13-L-312773", "13-L-312773")</f>
        <v>13-L-312773</v>
      </c>
      <c r="C9717">
        <v>1.1000000000000001</v>
      </c>
      <c r="D9717" t="s">
        <v>13090</v>
      </c>
      <c r="E9717" t="s">
        <v>11</v>
      </c>
      <c r="G9717" t="s">
        <v>9</v>
      </c>
      <c r="H9717" t="s">
        <v>14</v>
      </c>
    </row>
    <row r="9718" spans="1:8" hidden="1" x14ac:dyDescent="0.25">
      <c r="A9718" t="s">
        <v>13091</v>
      </c>
      <c r="B9718" s="1" t="str">
        <f>HYPERLINK("https://asmlis.vasa.lt/Dashboard/Served?ServiceDateFrom=2025-11-24&amp;ServiceDateTo=2025-11-24&amp;DumpsterInvNr=13-L-139021", "13-L-139021")</f>
        <v>13-L-139021</v>
      </c>
      <c r="C9718">
        <v>0.24</v>
      </c>
      <c r="D9718" t="s">
        <v>13037</v>
      </c>
      <c r="E9718" t="s">
        <v>11</v>
      </c>
      <c r="F9718" t="s">
        <v>1209</v>
      </c>
      <c r="G9718" t="s">
        <v>430</v>
      </c>
      <c r="H9718" t="s">
        <v>432</v>
      </c>
    </row>
    <row r="9719" spans="1:8" hidden="1" x14ac:dyDescent="0.25">
      <c r="A9719" t="s">
        <v>13092</v>
      </c>
      <c r="B9719" s="1" t="str">
        <f>HYPERLINK("https://asmlis.vasa.lt/Dashboard/Served?ServiceDateFrom=2025-11-24&amp;ServiceDateTo=2025-11-24&amp;DumpsterInvNr=13-S-204137", "13-S-204137")</f>
        <v>13-S-204137</v>
      </c>
      <c r="C9719">
        <v>0.12</v>
      </c>
      <c r="D9719" t="s">
        <v>13093</v>
      </c>
      <c r="E9719" t="s">
        <v>11</v>
      </c>
      <c r="G9719" t="s">
        <v>234</v>
      </c>
      <c r="H9719" t="s">
        <v>14</v>
      </c>
    </row>
    <row r="9720" spans="1:8" hidden="1" x14ac:dyDescent="0.25">
      <c r="A9720" t="s">
        <v>13094</v>
      </c>
      <c r="B9720" s="1" t="str">
        <f>HYPERLINK("https://asmlis.vasa.lt/Dashboard/Served?ServiceDateFrom=2025-11-24&amp;ServiceDateTo=2025-11-24&amp;DumpsterInvNr=13-L-103230", "13-L-103230")</f>
        <v>13-L-103230</v>
      </c>
      <c r="C9720">
        <v>0.66</v>
      </c>
      <c r="D9720" t="s">
        <v>13095</v>
      </c>
      <c r="E9720" t="s">
        <v>11</v>
      </c>
      <c r="G9720" t="s">
        <v>430</v>
      </c>
      <c r="H9720" t="s">
        <v>432</v>
      </c>
    </row>
    <row r="9721" spans="1:8" hidden="1" x14ac:dyDescent="0.25">
      <c r="A9721" t="s">
        <v>13096</v>
      </c>
      <c r="B9721" s="1" t="str">
        <f>HYPERLINK("https://asmlis.vasa.lt/Dashboard/Served?ServiceDateFrom=2025-11-24&amp;ServiceDateTo=2025-11-24&amp;DumpsterInvNr=13-L-209082", "13-L-209082")</f>
        <v>13-L-209082</v>
      </c>
      <c r="C9721">
        <v>0.24</v>
      </c>
      <c r="D9721" t="s">
        <v>10301</v>
      </c>
      <c r="E9721" t="s">
        <v>11</v>
      </c>
      <c r="F9721" t="s">
        <v>1209</v>
      </c>
      <c r="G9721" t="s">
        <v>936</v>
      </c>
      <c r="H9721" t="s">
        <v>938</v>
      </c>
    </row>
    <row r="9722" spans="1:8" hidden="1" x14ac:dyDescent="0.25">
      <c r="A9722" t="s">
        <v>13096</v>
      </c>
      <c r="B9722" s="1" t="str">
        <f>HYPERLINK("https://asmlis.vasa.lt/Dashboard/Served?ServiceDateFrom=2025-11-24&amp;ServiceDateTo=2025-11-24&amp;DumpsterInvNr=13-P-206202", "13-P-206202")</f>
        <v>13-P-206202</v>
      </c>
      <c r="C9722">
        <v>0.24</v>
      </c>
      <c r="D9722" t="s">
        <v>13093</v>
      </c>
      <c r="E9722" t="s">
        <v>11</v>
      </c>
      <c r="G9722" t="s">
        <v>234</v>
      </c>
      <c r="H9722" t="s">
        <v>14</v>
      </c>
    </row>
    <row r="9723" spans="1:8" hidden="1" x14ac:dyDescent="0.25">
      <c r="A9723" t="s">
        <v>13096</v>
      </c>
      <c r="B9723" s="1" t="str">
        <f>HYPERLINK("https://asmlis.vasa.lt/Dashboard/Served?ServiceDateFrom=2025-11-24&amp;ServiceDateTo=2025-11-24&amp;DumpsterInvNr=13-M-202294", "13-M-202294")</f>
        <v>13-M-202294</v>
      </c>
      <c r="C9723">
        <v>0.12</v>
      </c>
      <c r="D9723" t="s">
        <v>13098</v>
      </c>
      <c r="E9723" t="s">
        <v>11</v>
      </c>
      <c r="G9723" t="s">
        <v>4876</v>
      </c>
      <c r="H9723" t="s">
        <v>938</v>
      </c>
    </row>
    <row r="9724" spans="1:8" hidden="1" x14ac:dyDescent="0.25">
      <c r="A9724" t="s">
        <v>13099</v>
      </c>
      <c r="B9724" s="1" t="str">
        <f>HYPERLINK("https://asmlis.vasa.lt/Dashboard/Served?ServiceDateFrom=2025-11-24&amp;ServiceDateTo=2025-11-24&amp;DumpsterInvNr=13-L-135197", "13-L-135197")</f>
        <v>13-L-135197</v>
      </c>
      <c r="C9724">
        <v>0.24</v>
      </c>
      <c r="D9724" t="s">
        <v>13036</v>
      </c>
      <c r="E9724" t="s">
        <v>11</v>
      </c>
      <c r="F9724" t="s">
        <v>1209</v>
      </c>
      <c r="G9724" t="s">
        <v>430</v>
      </c>
      <c r="H9724" t="s">
        <v>432</v>
      </c>
    </row>
    <row r="9725" spans="1:8" hidden="1" x14ac:dyDescent="0.25">
      <c r="A9725" t="s">
        <v>13100</v>
      </c>
      <c r="B9725" s="1" t="str">
        <f>HYPERLINK("https://asmlis.vasa.lt/Dashboard/Served?ServiceDateFrom=2025-11-24&amp;ServiceDateTo=2025-11-24&amp;DumpsterInvNr=13-L-422588", "13-L-422588")</f>
        <v>13-L-422588</v>
      </c>
      <c r="C9725">
        <v>1.1000000000000001</v>
      </c>
      <c r="D9725" t="s">
        <v>13101</v>
      </c>
      <c r="E9725" t="s">
        <v>11</v>
      </c>
      <c r="G9725" t="s">
        <v>74</v>
      </c>
      <c r="H9725" t="s">
        <v>14</v>
      </c>
    </row>
    <row r="9726" spans="1:8" hidden="1" x14ac:dyDescent="0.25">
      <c r="A9726" t="s">
        <v>13102</v>
      </c>
      <c r="B9726" s="1" t="str">
        <f>HYPERLINK("https://asmlis.vasa.lt/Dashboard/Served?ServiceDateFrom=2025-11-24&amp;ServiceDateTo=2025-11-24&amp;DumpsterInvNr=13-L-203546", "13-L-203546")</f>
        <v>13-L-203546</v>
      </c>
      <c r="C9726">
        <v>0.12</v>
      </c>
      <c r="D9726" t="s">
        <v>10331</v>
      </c>
      <c r="E9726" t="s">
        <v>11</v>
      </c>
      <c r="F9726" t="s">
        <v>1209</v>
      </c>
      <c r="G9726" t="s">
        <v>936</v>
      </c>
      <c r="H9726" t="s">
        <v>938</v>
      </c>
    </row>
    <row r="9727" spans="1:8" hidden="1" x14ac:dyDescent="0.25">
      <c r="A9727" t="s">
        <v>13103</v>
      </c>
      <c r="B9727" s="1" t="str">
        <f>HYPERLINK("https://asmlis.vasa.lt/Dashboard/Served?ServiceDateFrom=2025-11-24&amp;ServiceDateTo=2025-11-24&amp;DumpsterInvNr=13-L-202305", "13-L-202305")</f>
        <v>13-L-202305</v>
      </c>
      <c r="C9727">
        <v>0.24</v>
      </c>
      <c r="D9727" t="s">
        <v>10368</v>
      </c>
      <c r="E9727" t="s">
        <v>11</v>
      </c>
      <c r="F9727" t="s">
        <v>1209</v>
      </c>
      <c r="G9727" t="s">
        <v>936</v>
      </c>
      <c r="H9727" t="s">
        <v>938</v>
      </c>
    </row>
    <row r="9728" spans="1:8" hidden="1" x14ac:dyDescent="0.25">
      <c r="A9728" t="s">
        <v>13104</v>
      </c>
      <c r="B9728" s="1" t="str">
        <f>HYPERLINK("https://asmlis.vasa.lt/Dashboard/Served?ServiceDateFrom=2025-11-24&amp;ServiceDateTo=2025-11-24&amp;DumpsterInvNr=13-P-404468", "13-P-404468")</f>
        <v>13-P-404468</v>
      </c>
      <c r="C9728">
        <v>5</v>
      </c>
      <c r="D9728" t="s">
        <v>1705</v>
      </c>
      <c r="E9728" t="s">
        <v>11</v>
      </c>
      <c r="G9728" t="s">
        <v>264</v>
      </c>
      <c r="H9728" t="s">
        <v>14</v>
      </c>
    </row>
    <row r="9729" spans="1:8" hidden="1" x14ac:dyDescent="0.25">
      <c r="A9729" t="s">
        <v>13105</v>
      </c>
      <c r="B9729" s="1" t="str">
        <f>HYPERLINK("https://asmlis.vasa.lt/Dashboard/Served?ServiceDateFrom=2025-11-24&amp;ServiceDateTo=2025-11-24&amp;DumpsterInvNr=13-L-103229", "13-L-103229")</f>
        <v>13-L-103229</v>
      </c>
      <c r="C9729">
        <v>0.66</v>
      </c>
      <c r="D9729" t="s">
        <v>13095</v>
      </c>
      <c r="E9729" t="s">
        <v>11</v>
      </c>
      <c r="G9729" t="s">
        <v>430</v>
      </c>
      <c r="H9729" t="s">
        <v>432</v>
      </c>
    </row>
    <row r="9730" spans="1:8" hidden="1" x14ac:dyDescent="0.25">
      <c r="A9730" t="s">
        <v>13106</v>
      </c>
      <c r="B9730" s="1" t="str">
        <f>HYPERLINK("https://asmlis.vasa.lt/Dashboard/Served?ServiceDateFrom=2025-11-24&amp;ServiceDateTo=2025-11-24&amp;DumpsterInvNr=13-M-202124", "13-M-202124")</f>
        <v>13-M-202124</v>
      </c>
      <c r="C9730">
        <v>0.12</v>
      </c>
      <c r="D9730" t="s">
        <v>13107</v>
      </c>
      <c r="E9730" t="s">
        <v>11</v>
      </c>
      <c r="F9730" t="s">
        <v>1209</v>
      </c>
      <c r="G9730" t="s">
        <v>4876</v>
      </c>
      <c r="H9730" t="s">
        <v>938</v>
      </c>
    </row>
    <row r="9731" spans="1:8" hidden="1" x14ac:dyDescent="0.25">
      <c r="A9731" t="s">
        <v>13108</v>
      </c>
      <c r="B9731" s="1" t="str">
        <f>HYPERLINK("https://asmlis.vasa.lt/Dashboard/Served?ServiceDateFrom=2025-11-24&amp;ServiceDateTo=2025-11-24&amp;DumpsterInvNr=13-P-300539", "13-P-300539")</f>
        <v>13-P-300539</v>
      </c>
      <c r="C9731">
        <v>1.1000000000000001</v>
      </c>
      <c r="D9731" t="s">
        <v>13077</v>
      </c>
      <c r="E9731" t="s">
        <v>11</v>
      </c>
      <c r="G9731" t="s">
        <v>412</v>
      </c>
      <c r="H9731" t="s">
        <v>14</v>
      </c>
    </row>
    <row r="9732" spans="1:8" hidden="1" x14ac:dyDescent="0.25">
      <c r="A9732" t="s">
        <v>13109</v>
      </c>
      <c r="B9732" s="1" t="str">
        <f>HYPERLINK("https://asmlis.vasa.lt/Dashboard/Served?ServiceDateFrom=2025-11-24&amp;ServiceDateTo=2025-11-24&amp;DumpsterInvNr=13-L-422048", "13-L-422048")</f>
        <v>13-L-422048</v>
      </c>
      <c r="C9732">
        <v>5</v>
      </c>
      <c r="D9732" t="s">
        <v>13110</v>
      </c>
      <c r="E9732" t="s">
        <v>11</v>
      </c>
      <c r="F9732" t="s">
        <v>13</v>
      </c>
      <c r="G9732" t="s">
        <v>74</v>
      </c>
      <c r="H9732" t="s">
        <v>14</v>
      </c>
    </row>
    <row r="9733" spans="1:8" hidden="1" x14ac:dyDescent="0.25">
      <c r="A9733" t="s">
        <v>13111</v>
      </c>
      <c r="B9733" s="1" t="str">
        <f>HYPERLINK("https://asmlis.vasa.lt/Dashboard/Served?ServiceDateFrom=2025-11-24&amp;ServiceDateTo=2025-11-24&amp;DumpsterInvNr=13-L-148711", "13-L-148711")</f>
        <v>13-L-148711</v>
      </c>
      <c r="C9733">
        <v>1.1000000000000001</v>
      </c>
      <c r="D9733" t="s">
        <v>8945</v>
      </c>
      <c r="E9733" t="s">
        <v>11</v>
      </c>
      <c r="G9733" t="s">
        <v>430</v>
      </c>
      <c r="H9733" t="s">
        <v>432</v>
      </c>
    </row>
    <row r="9734" spans="1:8" hidden="1" x14ac:dyDescent="0.25">
      <c r="A9734" t="s">
        <v>13113</v>
      </c>
      <c r="B9734" s="1" t="str">
        <f>HYPERLINK("https://asmlis.vasa.lt/Dashboard/Served?ServiceDateFrom=2025-11-24&amp;ServiceDateTo=2025-11-24&amp;DumpsterInvNr=13-S-209702", "13-S-209702")</f>
        <v>13-S-209702</v>
      </c>
      <c r="C9734">
        <v>1.8</v>
      </c>
      <c r="D9734" t="s">
        <v>13114</v>
      </c>
      <c r="E9734" t="s">
        <v>11</v>
      </c>
      <c r="G9734" t="s">
        <v>234</v>
      </c>
      <c r="H9734" t="s">
        <v>14</v>
      </c>
    </row>
    <row r="9735" spans="1:8" hidden="1" x14ac:dyDescent="0.25">
      <c r="A9735" t="s">
        <v>13113</v>
      </c>
      <c r="B9735" s="1" t="str">
        <f>HYPERLINK("https://asmlis.vasa.lt/Dashboard/Served?ServiceDateFrom=2025-11-24&amp;ServiceDateTo=2025-11-24&amp;DumpsterInvNr=13-L-135502", "13-L-135502")</f>
        <v>13-L-135502</v>
      </c>
      <c r="C9735">
        <v>5</v>
      </c>
      <c r="D9735" t="s">
        <v>4969</v>
      </c>
      <c r="E9735" t="s">
        <v>11</v>
      </c>
      <c r="F9735" t="s">
        <v>13</v>
      </c>
      <c r="G9735" t="s">
        <v>430</v>
      </c>
      <c r="H9735" t="s">
        <v>432</v>
      </c>
    </row>
    <row r="9736" spans="1:8" hidden="1" x14ac:dyDescent="0.25">
      <c r="A9736" t="s">
        <v>12791</v>
      </c>
      <c r="B9736" s="1" t="str">
        <f>HYPERLINK("https://asmlis.vasa.lt/Dashboard/Served?ServiceDateFrom=2025-11-24&amp;ServiceDateTo=2025-11-24&amp;DumpsterInvNr=13-L-306898", "13-L-306898")</f>
        <v>13-L-306898</v>
      </c>
      <c r="C9736">
        <v>1.1000000000000001</v>
      </c>
      <c r="D9736" t="s">
        <v>13116</v>
      </c>
      <c r="E9736" t="s">
        <v>11</v>
      </c>
      <c r="G9736" t="s">
        <v>9</v>
      </c>
      <c r="H9736" t="s">
        <v>14</v>
      </c>
    </row>
    <row r="9737" spans="1:8" hidden="1" x14ac:dyDescent="0.25">
      <c r="A9737" t="s">
        <v>13117</v>
      </c>
      <c r="B9737" s="1" t="str">
        <f>HYPERLINK("https://asmlis.vasa.lt/Dashboard/Served?ServiceDateFrom=2025-11-24&amp;ServiceDateTo=2025-11-24&amp;DumpsterInvNr=13-P-306836", "13-P-306836")</f>
        <v>13-P-306836</v>
      </c>
      <c r="C9737">
        <v>5</v>
      </c>
      <c r="D9737" t="s">
        <v>10113</v>
      </c>
      <c r="E9737" t="s">
        <v>11</v>
      </c>
      <c r="F9737" t="s">
        <v>13</v>
      </c>
      <c r="G9737" t="s">
        <v>412</v>
      </c>
      <c r="H9737" t="s">
        <v>14</v>
      </c>
    </row>
    <row r="9738" spans="1:8" hidden="1" x14ac:dyDescent="0.25">
      <c r="A9738" t="s">
        <v>13117</v>
      </c>
      <c r="B9738" s="1" t="str">
        <f>HYPERLINK("https://asmlis.vasa.lt/Dashboard/Served?ServiceDateFrom=2025-11-24&amp;ServiceDateTo=2025-11-24&amp;DumpsterInvNr=13-P-115614", "13-P-115614")</f>
        <v>13-P-115614</v>
      </c>
      <c r="C9738">
        <v>1.1000000000000001</v>
      </c>
      <c r="D9738" t="s">
        <v>13118</v>
      </c>
      <c r="E9738" t="s">
        <v>11</v>
      </c>
      <c r="G9738" t="s">
        <v>1917</v>
      </c>
      <c r="H9738" t="s">
        <v>432</v>
      </c>
    </row>
    <row r="9739" spans="1:8" hidden="1" x14ac:dyDescent="0.25">
      <c r="A9739" t="s">
        <v>13119</v>
      </c>
      <c r="B9739" s="1" t="str">
        <f>HYPERLINK("https://asmlis.vasa.lt/Dashboard/Served?ServiceDateFrom=2025-11-24&amp;ServiceDateTo=2025-11-24&amp;DumpsterInvNr=13-P-414459", "13-P-414459")</f>
        <v>13-P-414459</v>
      </c>
      <c r="C9739">
        <v>0.24</v>
      </c>
      <c r="D9739" t="s">
        <v>13120</v>
      </c>
      <c r="E9739" t="s">
        <v>11</v>
      </c>
      <c r="F9739" t="s">
        <v>13</v>
      </c>
      <c r="G9739" t="s">
        <v>264</v>
      </c>
      <c r="H9739" t="s">
        <v>14</v>
      </c>
    </row>
    <row r="9740" spans="1:8" hidden="1" x14ac:dyDescent="0.25">
      <c r="A9740" t="s">
        <v>12824</v>
      </c>
      <c r="B9740" s="1" t="str">
        <f>HYPERLINK("https://asmlis.vasa.lt/Dashboard/Served?ServiceDateFrom=2025-11-24&amp;ServiceDateTo=2025-11-24&amp;DumpsterInvNr=13-P-403573", "13-P-403573")</f>
        <v>13-P-403573</v>
      </c>
      <c r="C9740">
        <v>0.24</v>
      </c>
      <c r="D9740" t="s">
        <v>13120</v>
      </c>
      <c r="E9740" t="s">
        <v>11</v>
      </c>
      <c r="F9740" t="s">
        <v>1209</v>
      </c>
      <c r="G9740" t="s">
        <v>264</v>
      </c>
      <c r="H9740" t="s">
        <v>14</v>
      </c>
    </row>
    <row r="9741" spans="1:8" hidden="1" x14ac:dyDescent="0.25">
      <c r="A9741" t="s">
        <v>12824</v>
      </c>
      <c r="B9741" s="1" t="str">
        <f>HYPERLINK("https://asmlis.vasa.lt/Dashboard/Served?ServiceDateFrom=2025-11-24&amp;ServiceDateTo=2025-11-24&amp;DumpsterInvNr=13-P-414418", "13-P-414418")</f>
        <v>13-P-414418</v>
      </c>
      <c r="C9741">
        <v>0.24</v>
      </c>
      <c r="D9741" t="s">
        <v>13120</v>
      </c>
      <c r="E9741" t="s">
        <v>11</v>
      </c>
      <c r="F9741" t="s">
        <v>1209</v>
      </c>
      <c r="G9741" t="s">
        <v>264</v>
      </c>
      <c r="H9741" t="s">
        <v>14</v>
      </c>
    </row>
    <row r="9742" spans="1:8" hidden="1" x14ac:dyDescent="0.25">
      <c r="A9742" t="s">
        <v>13122</v>
      </c>
      <c r="B9742" s="1" t="str">
        <f>HYPERLINK("https://asmlis.vasa.lt/Dashboard/Served?ServiceDateFrom=2025-11-24&amp;ServiceDateTo=2025-11-24&amp;DumpsterInvNr=13-M-206040", "13-M-206040")</f>
        <v>13-M-206040</v>
      </c>
      <c r="C9742">
        <v>0.12</v>
      </c>
      <c r="D9742" t="s">
        <v>13123</v>
      </c>
      <c r="E9742" t="s">
        <v>11</v>
      </c>
      <c r="G9742" t="s">
        <v>4876</v>
      </c>
      <c r="H9742" t="s">
        <v>938</v>
      </c>
    </row>
    <row r="9743" spans="1:8" hidden="1" x14ac:dyDescent="0.25">
      <c r="A9743" t="s">
        <v>13122</v>
      </c>
      <c r="B9743" s="1" t="str">
        <f>HYPERLINK("https://asmlis.vasa.lt/Dashboard/Served?ServiceDateFrom=2025-11-24&amp;ServiceDateTo=2025-11-24&amp;DumpsterInvNr=13-L-104361", "13-L-104361")</f>
        <v>13-L-104361</v>
      </c>
      <c r="C9743">
        <v>5</v>
      </c>
      <c r="D9743" t="s">
        <v>13124</v>
      </c>
      <c r="E9743" t="s">
        <v>11</v>
      </c>
      <c r="F9743" t="s">
        <v>13</v>
      </c>
      <c r="G9743" t="s">
        <v>430</v>
      </c>
      <c r="H9743" t="s">
        <v>432</v>
      </c>
    </row>
    <row r="9744" spans="1:8" hidden="1" x14ac:dyDescent="0.25">
      <c r="A9744" t="s">
        <v>12845</v>
      </c>
      <c r="B9744" s="1" t="str">
        <f>HYPERLINK("https://asmlis.vasa.lt/Dashboard/Served?ServiceDateFrom=2025-11-24&amp;ServiceDateTo=2025-11-24&amp;DumpsterInvNr=13-L-220332", "13-L-220332")</f>
        <v>13-L-220332</v>
      </c>
      <c r="C9744">
        <v>0.24</v>
      </c>
      <c r="D9744" t="s">
        <v>10365</v>
      </c>
      <c r="E9744" t="s">
        <v>11</v>
      </c>
      <c r="G9744" t="s">
        <v>936</v>
      </c>
      <c r="H9744" t="s">
        <v>938</v>
      </c>
    </row>
    <row r="9745" spans="1:8" hidden="1" x14ac:dyDescent="0.25">
      <c r="A9745" t="s">
        <v>12845</v>
      </c>
      <c r="B9745" s="1" t="str">
        <f>HYPERLINK("https://asmlis.vasa.lt/Dashboard/Served?ServiceDateFrom=2025-11-24&amp;ServiceDateTo=2025-11-24&amp;DumpsterInvNr=13-L-104362", "13-L-104362")</f>
        <v>13-L-104362</v>
      </c>
      <c r="C9745">
        <v>5</v>
      </c>
      <c r="D9745" t="s">
        <v>13124</v>
      </c>
      <c r="E9745" t="s">
        <v>11</v>
      </c>
      <c r="F9745" t="s">
        <v>13</v>
      </c>
      <c r="G9745" t="s">
        <v>430</v>
      </c>
      <c r="H9745" t="s">
        <v>432</v>
      </c>
    </row>
    <row r="9746" spans="1:8" hidden="1" x14ac:dyDescent="0.25">
      <c r="A9746" t="s">
        <v>12860</v>
      </c>
      <c r="B9746" s="1" t="str">
        <f>HYPERLINK("https://asmlis.vasa.lt/Dashboard/Served?ServiceDateFrom=2025-11-24&amp;ServiceDateTo=2025-11-24&amp;DumpsterInvNr=13-L-203543", "13-L-203543")</f>
        <v>13-L-203543</v>
      </c>
      <c r="C9746">
        <v>0.12</v>
      </c>
      <c r="D9746" t="s">
        <v>10450</v>
      </c>
      <c r="E9746" t="s">
        <v>11</v>
      </c>
      <c r="F9746" t="s">
        <v>1209</v>
      </c>
      <c r="G9746" t="s">
        <v>936</v>
      </c>
      <c r="H9746" t="s">
        <v>938</v>
      </c>
    </row>
    <row r="9747" spans="1:8" hidden="1" x14ac:dyDescent="0.25">
      <c r="A9747" t="s">
        <v>12860</v>
      </c>
      <c r="B9747" s="1" t="str">
        <f>HYPERLINK("https://asmlis.vasa.lt/Dashboard/Served?ServiceDateFrom=2025-11-24&amp;ServiceDateTo=2025-11-24&amp;DumpsterInvNr=13-M-204391", "13-M-204391")</f>
        <v>13-M-204391</v>
      </c>
      <c r="C9747">
        <v>0.12</v>
      </c>
      <c r="D9747" t="s">
        <v>13125</v>
      </c>
      <c r="E9747" t="s">
        <v>11</v>
      </c>
      <c r="F9747" t="s">
        <v>1209</v>
      </c>
      <c r="G9747" t="s">
        <v>4876</v>
      </c>
      <c r="H9747" t="s">
        <v>938</v>
      </c>
    </row>
    <row r="9748" spans="1:8" hidden="1" x14ac:dyDescent="0.25">
      <c r="A9748" t="s">
        <v>13126</v>
      </c>
      <c r="B9748" s="1" t="str">
        <f>HYPERLINK("https://asmlis.vasa.lt/Dashboard/Served?ServiceDateFrom=2025-11-24&amp;ServiceDateTo=2025-11-24&amp;DumpsterInvNr=13-P-102445", "13-P-102445")</f>
        <v>13-P-102445</v>
      </c>
      <c r="C9748">
        <v>5</v>
      </c>
      <c r="D9748" t="s">
        <v>13127</v>
      </c>
      <c r="E9748" t="s">
        <v>11</v>
      </c>
      <c r="F9748" t="s">
        <v>13</v>
      </c>
      <c r="G9748" t="s">
        <v>1917</v>
      </c>
      <c r="H9748" t="s">
        <v>432</v>
      </c>
    </row>
    <row r="9749" spans="1:8" hidden="1" x14ac:dyDescent="0.25">
      <c r="A9749" t="s">
        <v>12879</v>
      </c>
      <c r="B9749" s="1" t="str">
        <f>HYPERLINK("https://asmlis.vasa.lt/Dashboard/Served?ServiceDateFrom=2025-11-24&amp;ServiceDateTo=2025-11-24&amp;DumpsterInvNr=13-P-300545", "13-P-300545")</f>
        <v>13-P-300545</v>
      </c>
      <c r="C9749">
        <v>1.1000000000000001</v>
      </c>
      <c r="D9749" t="s">
        <v>13077</v>
      </c>
      <c r="E9749" t="s">
        <v>11</v>
      </c>
      <c r="F9749" t="s">
        <v>13</v>
      </c>
      <c r="G9749" t="s">
        <v>412</v>
      </c>
      <c r="H9749" t="s">
        <v>14</v>
      </c>
    </row>
    <row r="9750" spans="1:8" hidden="1" x14ac:dyDescent="0.25">
      <c r="A9750" t="s">
        <v>12882</v>
      </c>
      <c r="B9750" s="1" t="str">
        <f>HYPERLINK("https://asmlis.vasa.lt/Dashboard/Served?ServiceDateFrom=2025-11-24&amp;ServiceDateTo=2025-11-24&amp;DumpsterInvNr=13-M-202159", "13-M-202159")</f>
        <v>13-M-202159</v>
      </c>
      <c r="C9750">
        <v>0.12</v>
      </c>
      <c r="D9750" t="s">
        <v>13130</v>
      </c>
      <c r="E9750" t="s">
        <v>11</v>
      </c>
      <c r="F9750" t="s">
        <v>1209</v>
      </c>
      <c r="G9750" t="s">
        <v>4876</v>
      </c>
      <c r="H9750" t="s">
        <v>938</v>
      </c>
    </row>
    <row r="9751" spans="1:8" hidden="1" x14ac:dyDescent="0.25">
      <c r="A9751" t="s">
        <v>12885</v>
      </c>
      <c r="B9751" s="1" t="str">
        <f>HYPERLINK("https://asmlis.vasa.lt/Dashboard/Served?ServiceDateFrom=2025-11-24&amp;ServiceDateTo=2025-11-24&amp;DumpsterInvNr=13-P-300425", "13-P-300425")</f>
        <v>13-P-300425</v>
      </c>
      <c r="C9751">
        <v>1.1000000000000001</v>
      </c>
      <c r="D9751" t="s">
        <v>13077</v>
      </c>
      <c r="E9751" t="s">
        <v>11</v>
      </c>
      <c r="F9751" t="s">
        <v>13</v>
      </c>
      <c r="G9751" t="s">
        <v>412</v>
      </c>
      <c r="H9751" t="s">
        <v>14</v>
      </c>
    </row>
    <row r="9752" spans="1:8" hidden="1" x14ac:dyDescent="0.25">
      <c r="A9752" t="s">
        <v>13131</v>
      </c>
      <c r="B9752" s="1" t="str">
        <f>HYPERLINK("https://asmlis.vasa.lt/Dashboard/Served?ServiceDateFrom=2025-11-24&amp;ServiceDateTo=2025-11-24&amp;DumpsterInvNr=13-L-425313", "13-L-425313")</f>
        <v>13-L-425313</v>
      </c>
      <c r="C9752">
        <v>0.24</v>
      </c>
      <c r="D9752" t="s">
        <v>9051</v>
      </c>
      <c r="E9752" t="s">
        <v>11</v>
      </c>
      <c r="G9752" t="s">
        <v>74</v>
      </c>
      <c r="H9752" t="s">
        <v>14</v>
      </c>
    </row>
    <row r="9753" spans="1:8" hidden="1" x14ac:dyDescent="0.25">
      <c r="A9753" t="s">
        <v>13131</v>
      </c>
      <c r="B9753" s="1" t="str">
        <f>HYPERLINK("https://asmlis.vasa.lt/Dashboard/Served?ServiceDateFrom=2025-11-24&amp;ServiceDateTo=2025-11-24&amp;DumpsterInvNr=13-L-404607", "13-L-404607")</f>
        <v>13-L-404607</v>
      </c>
      <c r="C9753">
        <v>0.12</v>
      </c>
      <c r="D9753" t="s">
        <v>9046</v>
      </c>
      <c r="E9753" t="s">
        <v>11</v>
      </c>
      <c r="G9753" t="s">
        <v>74</v>
      </c>
      <c r="H9753" t="s">
        <v>14</v>
      </c>
    </row>
    <row r="9754" spans="1:8" hidden="1" x14ac:dyDescent="0.25">
      <c r="A9754" t="s">
        <v>13131</v>
      </c>
      <c r="B9754" s="1" t="str">
        <f>HYPERLINK("https://asmlis.vasa.lt/Dashboard/Served?ServiceDateFrom=2025-11-24&amp;ServiceDateTo=2025-11-24&amp;DumpsterInvNr=13-P-211554", "13-P-211554")</f>
        <v>13-P-211554</v>
      </c>
      <c r="C9754">
        <v>0.24</v>
      </c>
      <c r="D9754" t="s">
        <v>13132</v>
      </c>
      <c r="E9754" t="s">
        <v>11</v>
      </c>
      <c r="G9754" t="s">
        <v>234</v>
      </c>
      <c r="H9754" t="s">
        <v>14</v>
      </c>
    </row>
    <row r="9755" spans="1:8" hidden="1" x14ac:dyDescent="0.25">
      <c r="A9755" t="s">
        <v>12930</v>
      </c>
      <c r="B9755" s="1" t="str">
        <f>HYPERLINK("https://asmlis.vasa.lt/Dashboard/Served?ServiceDateFrom=2025-11-24&amp;ServiceDateTo=2025-11-24&amp;DumpsterInvNr=13-M-206036", "13-M-206036")</f>
        <v>13-M-206036</v>
      </c>
      <c r="C9755">
        <v>0.12</v>
      </c>
      <c r="D9755" t="s">
        <v>13133</v>
      </c>
      <c r="E9755" t="s">
        <v>11</v>
      </c>
      <c r="F9755" t="s">
        <v>1209</v>
      </c>
      <c r="G9755" t="s">
        <v>4876</v>
      </c>
      <c r="H9755" t="s">
        <v>938</v>
      </c>
    </row>
    <row r="9756" spans="1:8" hidden="1" x14ac:dyDescent="0.25">
      <c r="A9756" t="s">
        <v>12958</v>
      </c>
      <c r="B9756" s="1" t="str">
        <f>HYPERLINK("https://asmlis.vasa.lt/Dashboard/Served?ServiceDateFrom=2025-11-24&amp;ServiceDateTo=2025-11-24&amp;DumpsterInvNr=13-L-203544", "13-L-203544")</f>
        <v>13-L-203544</v>
      </c>
      <c r="C9756">
        <v>0.24</v>
      </c>
      <c r="D9756" t="s">
        <v>10384</v>
      </c>
      <c r="E9756" t="s">
        <v>11</v>
      </c>
      <c r="G9756" t="s">
        <v>936</v>
      </c>
      <c r="H9756" t="s">
        <v>938</v>
      </c>
    </row>
    <row r="9757" spans="1:8" hidden="1" x14ac:dyDescent="0.25">
      <c r="A9757" t="s">
        <v>12973</v>
      </c>
      <c r="B9757" s="1" t="str">
        <f>HYPERLINK("https://asmlis.vasa.lt/Dashboard/Served?ServiceDateFrom=2025-11-24&amp;ServiceDateTo=2025-11-24&amp;DumpsterInvNr=13-P-302353", "13-P-302353")</f>
        <v>13-P-302353</v>
      </c>
      <c r="C9757">
        <v>5</v>
      </c>
      <c r="D9757" t="s">
        <v>11810</v>
      </c>
      <c r="E9757" t="s">
        <v>11</v>
      </c>
      <c r="G9757" t="s">
        <v>412</v>
      </c>
      <c r="H9757" t="s">
        <v>14</v>
      </c>
    </row>
    <row r="9758" spans="1:8" hidden="1" x14ac:dyDescent="0.25">
      <c r="A9758" t="s">
        <v>13053</v>
      </c>
      <c r="B9758" s="1" t="str">
        <f>HYPERLINK("https://asmlis.vasa.lt/Dashboard/Served?ServiceDateFrom=2025-11-24&amp;ServiceDateTo=2025-11-24&amp;DumpsterInvNr=13-L-221613", "13-L-221613")</f>
        <v>13-L-221613</v>
      </c>
      <c r="C9758">
        <v>0.24</v>
      </c>
      <c r="D9758" t="s">
        <v>10412</v>
      </c>
      <c r="E9758" t="s">
        <v>11</v>
      </c>
      <c r="F9758" t="s">
        <v>1209</v>
      </c>
      <c r="G9758" t="s">
        <v>936</v>
      </c>
      <c r="H9758" t="s">
        <v>938</v>
      </c>
    </row>
    <row r="9759" spans="1:8" hidden="1" x14ac:dyDescent="0.25">
      <c r="A9759" t="s">
        <v>13067</v>
      </c>
      <c r="B9759" s="1" t="str">
        <f>HYPERLINK("https://asmlis.vasa.lt/Dashboard/Served?ServiceDateFrom=2025-11-24&amp;ServiceDateTo=2025-11-24&amp;DumpsterInvNr=13-L-420199", "13-L-420199")</f>
        <v>13-L-420199</v>
      </c>
      <c r="C9759">
        <v>5</v>
      </c>
      <c r="D9759" t="s">
        <v>13135</v>
      </c>
      <c r="E9759" t="s">
        <v>11</v>
      </c>
      <c r="F9759" t="s">
        <v>13</v>
      </c>
      <c r="G9759" t="s">
        <v>74</v>
      </c>
      <c r="H9759" t="s">
        <v>14</v>
      </c>
    </row>
    <row r="9760" spans="1:8" hidden="1" x14ac:dyDescent="0.25">
      <c r="A9760" t="s">
        <v>13136</v>
      </c>
      <c r="B9760" s="1" t="str">
        <f>HYPERLINK("https://asmlis.vasa.lt/Dashboard/Served?ServiceDateFrom=2025-11-24&amp;ServiceDateTo=2025-11-24&amp;DumpsterInvNr=13-P-500227", "13-P-500227")</f>
        <v>13-P-500227</v>
      </c>
      <c r="C9760">
        <v>5</v>
      </c>
      <c r="D9760" t="s">
        <v>13137</v>
      </c>
      <c r="E9760" t="s">
        <v>11</v>
      </c>
      <c r="F9760" t="s">
        <v>13</v>
      </c>
      <c r="G9760" t="s">
        <v>2178</v>
      </c>
      <c r="H9760" t="s">
        <v>432</v>
      </c>
    </row>
    <row r="9761" spans="1:8" hidden="1" x14ac:dyDescent="0.25">
      <c r="A9761" t="s">
        <v>12812</v>
      </c>
      <c r="B9761" s="1" t="str">
        <f>HYPERLINK("https://asmlis.vasa.lt/Dashboard/Served?ServiceDateFrom=2025-11-24&amp;ServiceDateTo=2025-11-24&amp;DumpsterInvNr=13-L-404337", "13-L-404337")</f>
        <v>13-L-404337</v>
      </c>
      <c r="C9761">
        <v>1.1000000000000001</v>
      </c>
      <c r="D9761" t="s">
        <v>13138</v>
      </c>
      <c r="E9761" t="s">
        <v>11</v>
      </c>
      <c r="G9761" t="s">
        <v>74</v>
      </c>
      <c r="H9761" t="s">
        <v>14</v>
      </c>
    </row>
    <row r="9762" spans="1:8" hidden="1" x14ac:dyDescent="0.25">
      <c r="A9762" t="s">
        <v>12868</v>
      </c>
      <c r="B9762" s="1" t="str">
        <f>HYPERLINK("https://asmlis.vasa.lt/Dashboard/Served?ServiceDateFrom=2025-11-24&amp;ServiceDateTo=2025-11-24&amp;DumpsterInvNr=13-L-148967", "13-L-148967")</f>
        <v>13-L-148967</v>
      </c>
      <c r="C9762">
        <v>1.1000000000000001</v>
      </c>
      <c r="D9762" t="s">
        <v>8945</v>
      </c>
      <c r="E9762" t="s">
        <v>11</v>
      </c>
      <c r="G9762" t="s">
        <v>430</v>
      </c>
      <c r="H9762" t="s">
        <v>432</v>
      </c>
    </row>
    <row r="9763" spans="1:8" hidden="1" x14ac:dyDescent="0.25">
      <c r="A9763" t="s">
        <v>11141</v>
      </c>
      <c r="B9763" s="1" t="str">
        <f>HYPERLINK("https://asmlis.vasa.lt/Dashboard/Served?ServiceDateFrom=2025-11-24&amp;ServiceDateTo=2025-11-24&amp;DumpsterInvNr=13-L-425913", "13-L-425913")</f>
        <v>13-L-425913</v>
      </c>
      <c r="C9763">
        <v>1.1000000000000001</v>
      </c>
      <c r="D9763" t="s">
        <v>13138</v>
      </c>
      <c r="E9763" t="s">
        <v>11</v>
      </c>
      <c r="G9763" t="s">
        <v>74</v>
      </c>
      <c r="H9763" t="s">
        <v>14</v>
      </c>
    </row>
    <row r="9764" spans="1:8" hidden="1" x14ac:dyDescent="0.25">
      <c r="A9764" t="s">
        <v>11309</v>
      </c>
      <c r="B9764" s="1" t="str">
        <f>HYPERLINK("https://asmlis.vasa.lt/Dashboard/Served?ServiceDateFrom=2025-11-24&amp;ServiceDateTo=2025-11-24&amp;DumpsterInvNr=13-L-203545", "13-L-203545")</f>
        <v>13-L-203545</v>
      </c>
      <c r="C9764">
        <v>0.12</v>
      </c>
      <c r="D9764" t="s">
        <v>10393</v>
      </c>
      <c r="E9764" t="s">
        <v>11</v>
      </c>
      <c r="F9764" t="s">
        <v>1209</v>
      </c>
      <c r="G9764" t="s">
        <v>936</v>
      </c>
      <c r="H9764" t="s">
        <v>938</v>
      </c>
    </row>
    <row r="9765" spans="1:8" hidden="1" x14ac:dyDescent="0.25">
      <c r="A9765" t="s">
        <v>11664</v>
      </c>
      <c r="B9765" s="1" t="str">
        <f>HYPERLINK("https://asmlis.vasa.lt/Dashboard/Served?ServiceDateFrom=2025-11-24&amp;ServiceDateTo=2025-11-24&amp;DumpsterInvNr=13-L-128388", "13-L-128388")</f>
        <v>13-L-128388</v>
      </c>
      <c r="C9765">
        <v>0.12</v>
      </c>
      <c r="D9765" t="s">
        <v>13139</v>
      </c>
      <c r="E9765" t="s">
        <v>11</v>
      </c>
      <c r="G9765" t="s">
        <v>1912</v>
      </c>
      <c r="H9765" t="s">
        <v>432</v>
      </c>
    </row>
    <row r="9766" spans="1:8" hidden="1" x14ac:dyDescent="0.25">
      <c r="A9766" t="s">
        <v>11664</v>
      </c>
      <c r="B9766" s="1" t="str">
        <f>HYPERLINK("https://asmlis.vasa.lt/Dashboard/Served?ServiceDateFrom=2025-11-24&amp;ServiceDateTo=2025-11-24&amp;DumpsterInvNr=13-L-423220", "13-L-423220")</f>
        <v>13-L-423220</v>
      </c>
      <c r="C9766">
        <v>5</v>
      </c>
      <c r="D9766" t="s">
        <v>5626</v>
      </c>
      <c r="E9766" t="s">
        <v>11</v>
      </c>
      <c r="G9766" t="s">
        <v>74</v>
      </c>
      <c r="H9766" t="s">
        <v>14</v>
      </c>
    </row>
    <row r="9767" spans="1:8" hidden="1" x14ac:dyDescent="0.25">
      <c r="A9767" t="s">
        <v>11667</v>
      </c>
      <c r="B9767" s="1" t="str">
        <f>HYPERLINK("https://asmlis.vasa.lt/Dashboard/Served?ServiceDateFrom=2025-11-24&amp;ServiceDateTo=2025-11-24&amp;DumpsterInvNr=13-M-205168", "13-M-205168")</f>
        <v>13-M-205168</v>
      </c>
      <c r="C9767">
        <v>0.12</v>
      </c>
      <c r="D9767" t="s">
        <v>13140</v>
      </c>
      <c r="E9767" t="s">
        <v>11</v>
      </c>
      <c r="G9767" t="s">
        <v>4876</v>
      </c>
      <c r="H9767" t="s">
        <v>938</v>
      </c>
    </row>
    <row r="9768" spans="1:8" hidden="1" x14ac:dyDescent="0.25">
      <c r="A9768" t="s">
        <v>11669</v>
      </c>
      <c r="B9768" s="1" t="str">
        <f>HYPERLINK("https://asmlis.vasa.lt/Dashboard/Served?ServiceDateFrom=2025-11-24&amp;ServiceDateTo=2025-11-24&amp;DumpsterInvNr=13-M-206061", "13-M-206061")</f>
        <v>13-M-206061</v>
      </c>
      <c r="C9768">
        <v>0.12</v>
      </c>
      <c r="D9768" t="s">
        <v>13141</v>
      </c>
      <c r="E9768" t="s">
        <v>11</v>
      </c>
      <c r="F9768" t="s">
        <v>1209</v>
      </c>
      <c r="G9768" t="s">
        <v>4876</v>
      </c>
      <c r="H9768" t="s">
        <v>938</v>
      </c>
    </row>
    <row r="9769" spans="1:8" hidden="1" x14ac:dyDescent="0.25">
      <c r="A9769" t="s">
        <v>13143</v>
      </c>
      <c r="B9769" s="1" t="str">
        <f>HYPERLINK("https://asmlis.vasa.lt/Dashboard/Served?ServiceDateFrom=2025-11-24&amp;ServiceDateTo=2025-11-24&amp;DumpsterInvNr=13-L-424860", "13-L-424860")</f>
        <v>13-L-424860</v>
      </c>
      <c r="C9769">
        <v>0.12</v>
      </c>
      <c r="D9769" t="s">
        <v>9106</v>
      </c>
      <c r="E9769" t="s">
        <v>11</v>
      </c>
      <c r="G9769" t="s">
        <v>74</v>
      </c>
      <c r="H9769" t="s">
        <v>14</v>
      </c>
    </row>
    <row r="9770" spans="1:8" hidden="1" x14ac:dyDescent="0.25">
      <c r="A9770" t="s">
        <v>13144</v>
      </c>
      <c r="B9770" s="1" t="str">
        <f>HYPERLINK("https://asmlis.vasa.lt/Dashboard/Served?ServiceDateFrom=2025-11-24&amp;ServiceDateTo=2025-11-24&amp;DumpsterInvNr=13-L-102692", "13-L-102692")</f>
        <v>13-L-102692</v>
      </c>
      <c r="C9770">
        <v>0.12</v>
      </c>
      <c r="D9770" t="s">
        <v>13145</v>
      </c>
      <c r="E9770" t="s">
        <v>11</v>
      </c>
      <c r="G9770" t="s">
        <v>1912</v>
      </c>
      <c r="H9770" t="s">
        <v>432</v>
      </c>
    </row>
    <row r="9771" spans="1:8" hidden="1" x14ac:dyDescent="0.25">
      <c r="A9771" t="s">
        <v>12903</v>
      </c>
      <c r="B9771" s="1" t="str">
        <f>HYPERLINK("https://asmlis.vasa.lt/Dashboard/Served?ServiceDateFrom=2025-11-24&amp;ServiceDateTo=2025-11-24&amp;DumpsterInvNr=13-P-101125", "13-P-101125")</f>
        <v>13-P-101125</v>
      </c>
      <c r="C9771">
        <v>0.24</v>
      </c>
      <c r="D9771" t="s">
        <v>13145</v>
      </c>
      <c r="E9771" t="s">
        <v>11</v>
      </c>
      <c r="G9771" t="s">
        <v>1917</v>
      </c>
      <c r="H9771" t="s">
        <v>432</v>
      </c>
    </row>
    <row r="9772" spans="1:8" hidden="1" x14ac:dyDescent="0.25">
      <c r="A9772" t="s">
        <v>13148</v>
      </c>
      <c r="B9772" s="1" t="str">
        <f>HYPERLINK("https://asmlis.vasa.lt/Dashboard/Served?ServiceDateFrom=2025-11-24&amp;ServiceDateTo=2025-11-24&amp;DumpsterInvNr=13-L-140900", "13-L-140900")</f>
        <v>13-L-140900</v>
      </c>
      <c r="C9772">
        <v>1.1000000000000001</v>
      </c>
      <c r="D9772" t="s">
        <v>8945</v>
      </c>
      <c r="E9772" t="s">
        <v>11</v>
      </c>
      <c r="G9772" t="s">
        <v>430</v>
      </c>
      <c r="H9772" t="s">
        <v>432</v>
      </c>
    </row>
    <row r="9773" spans="1:8" hidden="1" x14ac:dyDescent="0.25">
      <c r="A9773" t="s">
        <v>12984</v>
      </c>
      <c r="B9773" s="1" t="str">
        <f>HYPERLINK("https://asmlis.vasa.lt/Dashboard/Served?ServiceDateFrom=2025-11-24&amp;ServiceDateTo=2025-11-24&amp;DumpsterInvNr=13-P-207968", "13-P-207968")</f>
        <v>13-P-207968</v>
      </c>
      <c r="C9773">
        <v>0.24</v>
      </c>
      <c r="D9773" t="s">
        <v>13150</v>
      </c>
      <c r="E9773" t="s">
        <v>11</v>
      </c>
      <c r="G9773" t="s">
        <v>234</v>
      </c>
      <c r="H9773" t="s">
        <v>14</v>
      </c>
    </row>
    <row r="9774" spans="1:8" hidden="1" x14ac:dyDescent="0.25">
      <c r="A9774" t="s">
        <v>12984</v>
      </c>
      <c r="B9774" s="1" t="str">
        <f>HYPERLINK("https://asmlis.vasa.lt/Dashboard/Served?ServiceDateFrom=2025-11-24&amp;ServiceDateTo=2025-11-24&amp;DumpsterInvNr=13-M-202331", "13-M-202331")</f>
        <v>13-M-202331</v>
      </c>
      <c r="C9774">
        <v>0.12</v>
      </c>
      <c r="D9774" t="s">
        <v>13152</v>
      </c>
      <c r="E9774" t="s">
        <v>11</v>
      </c>
      <c r="F9774" t="s">
        <v>1209</v>
      </c>
      <c r="G9774" t="s">
        <v>4876</v>
      </c>
      <c r="H9774" t="s">
        <v>938</v>
      </c>
    </row>
    <row r="9775" spans="1:8" hidden="1" x14ac:dyDescent="0.25">
      <c r="A9775" t="s">
        <v>13112</v>
      </c>
      <c r="B9775" s="1" t="str">
        <f>HYPERLINK("https://asmlis.vasa.lt/Dashboard/Served?ServiceDateFrom=2025-11-24&amp;ServiceDateTo=2025-11-24&amp;DumpsterInvNr=13-L-224904", "13-L-224904")</f>
        <v>13-L-224904</v>
      </c>
      <c r="C9775">
        <v>0.24</v>
      </c>
      <c r="D9775" t="s">
        <v>10451</v>
      </c>
      <c r="E9775" t="s">
        <v>11</v>
      </c>
      <c r="G9775" t="s">
        <v>936</v>
      </c>
      <c r="H9775" t="s">
        <v>938</v>
      </c>
    </row>
    <row r="9776" spans="1:8" hidden="1" x14ac:dyDescent="0.25">
      <c r="A9776" t="s">
        <v>13149</v>
      </c>
      <c r="B9776" s="1" t="str">
        <f>HYPERLINK("https://asmlis.vasa.lt/Dashboard/Served?ServiceDateFrom=2025-11-24&amp;ServiceDateTo=2025-11-24&amp;DumpsterInvNr=13-P-206150", "13-P-206150")</f>
        <v>13-P-206150</v>
      </c>
      <c r="C9776">
        <v>0.24</v>
      </c>
      <c r="D9776" t="s">
        <v>13154</v>
      </c>
      <c r="E9776" t="s">
        <v>11</v>
      </c>
      <c r="G9776" t="s">
        <v>234</v>
      </c>
      <c r="H9776" t="s">
        <v>14</v>
      </c>
    </row>
    <row r="9777" spans="1:8" hidden="1" x14ac:dyDescent="0.25">
      <c r="A9777" t="s">
        <v>12936</v>
      </c>
      <c r="B9777" s="1" t="str">
        <f>HYPERLINK("https://asmlis.vasa.lt/Dashboard/Served?ServiceDateFrom=2025-11-24&amp;ServiceDateTo=2025-11-24&amp;DumpsterInvNr=13-L-316107", "13-L-316107")</f>
        <v>13-L-316107</v>
      </c>
      <c r="C9777">
        <v>5</v>
      </c>
      <c r="D9777" t="s">
        <v>13155</v>
      </c>
      <c r="E9777" t="s">
        <v>11</v>
      </c>
      <c r="F9777" t="s">
        <v>13</v>
      </c>
      <c r="G9777" t="s">
        <v>9</v>
      </c>
      <c r="H9777" t="s">
        <v>14</v>
      </c>
    </row>
    <row r="9778" spans="1:8" hidden="1" x14ac:dyDescent="0.25">
      <c r="A9778" t="s">
        <v>13034</v>
      </c>
      <c r="B9778" s="1" t="str">
        <f>HYPERLINK("https://asmlis.vasa.lt/Dashboard/Served?ServiceDateFrom=2025-11-24&amp;ServiceDateTo=2025-11-24&amp;DumpsterInvNr=13-M-206037", "13-M-206037")</f>
        <v>13-M-206037</v>
      </c>
      <c r="C9778">
        <v>0.12</v>
      </c>
      <c r="D9778" t="s">
        <v>13132</v>
      </c>
      <c r="E9778" t="s">
        <v>11</v>
      </c>
      <c r="F9778" t="s">
        <v>1209</v>
      </c>
      <c r="G9778" t="s">
        <v>4876</v>
      </c>
      <c r="H9778" t="s">
        <v>938</v>
      </c>
    </row>
    <row r="9779" spans="1:8" hidden="1" x14ac:dyDescent="0.25">
      <c r="A9779" t="s">
        <v>13156</v>
      </c>
      <c r="B9779" s="1" t="str">
        <f>HYPERLINK("https://asmlis.vasa.lt/Dashboard/Served?ServiceDateFrom=2025-11-24&amp;ServiceDateTo=2025-11-24&amp;DumpsterInvNr=13-L-147892", "13-L-147892")</f>
        <v>13-L-147892</v>
      </c>
      <c r="C9779">
        <v>0.24</v>
      </c>
      <c r="D9779" t="s">
        <v>13157</v>
      </c>
      <c r="E9779" t="s">
        <v>11</v>
      </c>
      <c r="G9779" t="s">
        <v>430</v>
      </c>
      <c r="H9779" t="s">
        <v>432</v>
      </c>
    </row>
    <row r="9780" spans="1:8" hidden="1" x14ac:dyDescent="0.25">
      <c r="A9780" t="s">
        <v>13156</v>
      </c>
      <c r="B9780" s="1" t="str">
        <f>HYPERLINK("https://asmlis.vasa.lt/Dashboard/Served?ServiceDateFrom=2025-11-24&amp;ServiceDateTo=2025-11-24&amp;DumpsterInvNr=13-P-502086", "13-P-502086")</f>
        <v>13-P-502086</v>
      </c>
      <c r="C9780">
        <v>0.24</v>
      </c>
      <c r="D9780" t="s">
        <v>13157</v>
      </c>
      <c r="E9780" t="s">
        <v>11</v>
      </c>
      <c r="G9780" t="s">
        <v>2178</v>
      </c>
      <c r="H9780" t="s">
        <v>432</v>
      </c>
    </row>
    <row r="9781" spans="1:8" hidden="1" x14ac:dyDescent="0.25">
      <c r="A9781" t="s">
        <v>13158</v>
      </c>
      <c r="B9781" s="1" t="str">
        <f>HYPERLINK("https://asmlis.vasa.lt/Dashboard/Served?ServiceDateFrom=2025-11-24&amp;ServiceDateTo=2025-11-24&amp;DumpsterInvNr=13-L-203542", "13-L-203542")</f>
        <v>13-L-203542</v>
      </c>
      <c r="C9781">
        <v>0.12</v>
      </c>
      <c r="D9781" t="s">
        <v>10425</v>
      </c>
      <c r="E9781" t="s">
        <v>11</v>
      </c>
      <c r="F9781" t="s">
        <v>1209</v>
      </c>
      <c r="G9781" t="s">
        <v>936</v>
      </c>
      <c r="H9781" t="s">
        <v>938</v>
      </c>
    </row>
    <row r="9782" spans="1:8" hidden="1" x14ac:dyDescent="0.25">
      <c r="A9782" t="s">
        <v>13158</v>
      </c>
      <c r="B9782" s="1" t="str">
        <f>HYPERLINK("https://asmlis.vasa.lt/Dashboard/Served?ServiceDateFrom=2025-11-24&amp;ServiceDateTo=2025-11-24&amp;DumpsterInvNr=13-P-211734", "13-P-211734")</f>
        <v>13-P-211734</v>
      </c>
      <c r="C9782">
        <v>0.24</v>
      </c>
      <c r="D9782" t="s">
        <v>13159</v>
      </c>
      <c r="E9782" t="s">
        <v>11</v>
      </c>
      <c r="G9782" t="s">
        <v>234</v>
      </c>
      <c r="H9782" t="s">
        <v>14</v>
      </c>
    </row>
    <row r="9783" spans="1:8" hidden="1" x14ac:dyDescent="0.25">
      <c r="A9783" t="s">
        <v>11733</v>
      </c>
      <c r="B9783" s="1" t="str">
        <f>HYPERLINK("https://asmlis.vasa.lt/Dashboard/Served?ServiceDateFrom=2025-11-24&amp;ServiceDateTo=2025-11-24&amp;DumpsterInvNr=13-L-422010", "13-L-422010")</f>
        <v>13-L-422010</v>
      </c>
      <c r="C9783">
        <v>5</v>
      </c>
      <c r="D9783" t="s">
        <v>11268</v>
      </c>
      <c r="E9783" t="s">
        <v>11</v>
      </c>
      <c r="G9783" t="s">
        <v>74</v>
      </c>
      <c r="H9783" t="s">
        <v>14</v>
      </c>
    </row>
    <row r="9784" spans="1:8" hidden="1" x14ac:dyDescent="0.25">
      <c r="A9784" t="s">
        <v>13160</v>
      </c>
      <c r="B9784" s="1" t="str">
        <f>HYPERLINK("https://asmlis.vasa.lt/Dashboard/Served?ServiceDateFrom=2025-11-24&amp;ServiceDateTo=2025-11-24&amp;DumpsterInvNr=13-L-313264", "13-L-313264")</f>
        <v>13-L-313264</v>
      </c>
      <c r="C9784">
        <v>0.24</v>
      </c>
      <c r="D9784" t="s">
        <v>13161</v>
      </c>
      <c r="E9784" t="s">
        <v>11</v>
      </c>
      <c r="G9784" t="s">
        <v>9</v>
      </c>
      <c r="H9784" t="s">
        <v>14</v>
      </c>
    </row>
    <row r="9785" spans="1:8" hidden="1" x14ac:dyDescent="0.25">
      <c r="A9785" t="s">
        <v>11739</v>
      </c>
      <c r="B9785" s="1" t="str">
        <f>HYPERLINK("https://asmlis.vasa.lt/Dashboard/Served?ServiceDateFrom=2025-11-24&amp;ServiceDateTo=2025-11-24&amp;DumpsterInvNr=13-L-147836", "13-L-147836")</f>
        <v>13-L-147836</v>
      </c>
      <c r="C9785">
        <v>0.24</v>
      </c>
      <c r="D9785" t="s">
        <v>13162</v>
      </c>
      <c r="E9785" t="s">
        <v>11</v>
      </c>
      <c r="F9785" t="s">
        <v>1209</v>
      </c>
      <c r="G9785" t="s">
        <v>430</v>
      </c>
      <c r="H9785" t="s">
        <v>432</v>
      </c>
    </row>
    <row r="9786" spans="1:8" hidden="1" x14ac:dyDescent="0.25">
      <c r="A9786" t="s">
        <v>11767</v>
      </c>
      <c r="B9786" s="1" t="str">
        <f>HYPERLINK("https://asmlis.vasa.lt/Dashboard/Served?ServiceDateFrom=2025-11-24&amp;ServiceDateTo=2025-11-24&amp;DumpsterInvNr=13-S-506944", "13-S-506944")</f>
        <v>13-S-506944</v>
      </c>
      <c r="C9786">
        <v>0.12</v>
      </c>
      <c r="D9786" t="s">
        <v>13157</v>
      </c>
      <c r="E9786" t="s">
        <v>11</v>
      </c>
      <c r="F9786" t="s">
        <v>1209</v>
      </c>
      <c r="G9786" t="s">
        <v>2178</v>
      </c>
      <c r="H9786" t="s">
        <v>432</v>
      </c>
    </row>
    <row r="9787" spans="1:8" hidden="1" x14ac:dyDescent="0.25">
      <c r="A9787" t="s">
        <v>11793</v>
      </c>
      <c r="B9787" s="1" t="str">
        <f>HYPERLINK("https://asmlis.vasa.lt/Dashboard/Served?ServiceDateFrom=2025-11-24&amp;ServiceDateTo=2025-11-24&amp;DumpsterInvNr=13-S-506951", "13-S-506951")</f>
        <v>13-S-506951</v>
      </c>
      <c r="C9787">
        <v>0.12</v>
      </c>
      <c r="D9787" t="s">
        <v>13162</v>
      </c>
      <c r="E9787" t="s">
        <v>11</v>
      </c>
      <c r="F9787" t="s">
        <v>1209</v>
      </c>
      <c r="G9787" t="s">
        <v>2178</v>
      </c>
      <c r="H9787" t="s">
        <v>432</v>
      </c>
    </row>
    <row r="9788" spans="1:8" hidden="1" x14ac:dyDescent="0.25">
      <c r="A9788" t="s">
        <v>11795</v>
      </c>
      <c r="B9788" s="1" t="str">
        <f>HYPERLINK("https://asmlis.vasa.lt/Dashboard/Served?ServiceDateFrom=2025-11-24&amp;ServiceDateTo=2025-11-24&amp;DumpsterInvNr=13-P-502094", "13-P-502094")</f>
        <v>13-P-502094</v>
      </c>
      <c r="C9788">
        <v>0.24</v>
      </c>
      <c r="D9788" t="s">
        <v>13162</v>
      </c>
      <c r="E9788" t="s">
        <v>11</v>
      </c>
      <c r="F9788" t="s">
        <v>1209</v>
      </c>
      <c r="G9788" t="s">
        <v>2178</v>
      </c>
      <c r="H9788" t="s">
        <v>432</v>
      </c>
    </row>
    <row r="9789" spans="1:8" hidden="1" x14ac:dyDescent="0.25">
      <c r="A9789" t="s">
        <v>11846</v>
      </c>
      <c r="B9789" s="1" t="str">
        <f>HYPERLINK("https://asmlis.vasa.lt/Dashboard/Served?ServiceDateFrom=2025-11-24&amp;ServiceDateTo=2025-11-24&amp;DumpsterInvNr=13-S-102375", "13-S-102375")</f>
        <v>13-S-102375</v>
      </c>
      <c r="C9789">
        <v>0.12</v>
      </c>
      <c r="D9789" t="s">
        <v>13145</v>
      </c>
      <c r="E9789" t="s">
        <v>11</v>
      </c>
      <c r="G9789" t="s">
        <v>1917</v>
      </c>
      <c r="H9789" t="s">
        <v>432</v>
      </c>
    </row>
    <row r="9790" spans="1:8" hidden="1" x14ac:dyDescent="0.25">
      <c r="A9790" t="s">
        <v>11846</v>
      </c>
      <c r="B9790" s="1" t="str">
        <f>HYPERLINK("https://asmlis.vasa.lt/Dashboard/Served?ServiceDateFrom=2025-11-24&amp;ServiceDateTo=2025-11-24&amp;DumpsterInvNr=13-S-204028", "13-S-204028")</f>
        <v>13-S-204028</v>
      </c>
      <c r="C9790">
        <v>0.12</v>
      </c>
      <c r="D9790" t="s">
        <v>13154</v>
      </c>
      <c r="E9790" t="s">
        <v>11</v>
      </c>
      <c r="F9790" t="s">
        <v>1209</v>
      </c>
      <c r="G9790" t="s">
        <v>234</v>
      </c>
      <c r="H9790" t="s">
        <v>14</v>
      </c>
    </row>
    <row r="9791" spans="1:8" hidden="1" x14ac:dyDescent="0.25">
      <c r="A9791" t="s">
        <v>11846</v>
      </c>
      <c r="B9791" s="1" t="str">
        <f>HYPERLINK("https://asmlis.vasa.lt/Dashboard/Served?ServiceDateFrom=2025-11-24&amp;ServiceDateTo=2025-11-24&amp;DumpsterInvNr=13-M-204929", "13-M-204929")</f>
        <v>13-M-204929</v>
      </c>
      <c r="C9791">
        <v>0.12</v>
      </c>
      <c r="D9791" t="s">
        <v>13093</v>
      </c>
      <c r="E9791" t="s">
        <v>11</v>
      </c>
      <c r="G9791" t="s">
        <v>4876</v>
      </c>
      <c r="H9791" t="s">
        <v>938</v>
      </c>
    </row>
    <row r="9792" spans="1:8" hidden="1" x14ac:dyDescent="0.25">
      <c r="A9792" t="s">
        <v>13166</v>
      </c>
      <c r="B9792" s="1" t="str">
        <f>HYPERLINK("https://asmlis.vasa.lt/Dashboard/Served?ServiceDateFrom=2025-11-24&amp;ServiceDateTo=2025-11-24&amp;DumpsterInvNr=13-S-206005", "13-S-206005")</f>
        <v>13-S-206005</v>
      </c>
      <c r="C9792">
        <v>0.12</v>
      </c>
      <c r="D9792" t="s">
        <v>13167</v>
      </c>
      <c r="E9792" t="s">
        <v>11</v>
      </c>
      <c r="F9792" t="s">
        <v>1209</v>
      </c>
      <c r="G9792" t="s">
        <v>234</v>
      </c>
      <c r="H9792" t="s">
        <v>14</v>
      </c>
    </row>
    <row r="9793" spans="1:8" hidden="1" x14ac:dyDescent="0.25">
      <c r="A9793" t="s">
        <v>13168</v>
      </c>
      <c r="B9793" s="1" t="str">
        <f>HYPERLINK("https://asmlis.vasa.lt/Dashboard/Served?ServiceDateFrom=2025-11-24&amp;ServiceDateTo=2025-11-24&amp;DumpsterInvNr=DGA-Ecoservice", "DGA-Ecoservice")</f>
        <v>DGA-Ecoservice</v>
      </c>
      <c r="C9793">
        <v>1</v>
      </c>
      <c r="D9793" t="s">
        <v>1598</v>
      </c>
      <c r="E9793" t="s">
        <v>12</v>
      </c>
      <c r="F9793" t="s">
        <v>13</v>
      </c>
      <c r="G9793" t="s">
        <v>13000</v>
      </c>
      <c r="H9793" t="s">
        <v>432</v>
      </c>
    </row>
    <row r="9794" spans="1:8" hidden="1" x14ac:dyDescent="0.25">
      <c r="A9794" t="s">
        <v>13169</v>
      </c>
      <c r="B9794" s="1" t="str">
        <f>HYPERLINK("https://asmlis.vasa.lt/Dashboard/Served?ServiceDateFrom=2025-11-24&amp;ServiceDateTo=2025-11-24&amp;DumpsterInvNr=13-L-316380", "13-L-316380")</f>
        <v>13-L-316380</v>
      </c>
      <c r="C9794">
        <v>1.1000000000000001</v>
      </c>
      <c r="D9794" t="s">
        <v>850</v>
      </c>
      <c r="E9794" t="s">
        <v>11</v>
      </c>
      <c r="G9794" t="s">
        <v>9</v>
      </c>
      <c r="H9794" t="s">
        <v>14</v>
      </c>
    </row>
    <row r="9795" spans="1:8" hidden="1" x14ac:dyDescent="0.25">
      <c r="A9795" t="s">
        <v>13169</v>
      </c>
      <c r="B9795" s="1" t="str">
        <f>HYPERLINK("https://asmlis.vasa.lt/Dashboard/Served?ServiceDateFrom=2025-11-24&amp;ServiceDateTo=2025-11-24&amp;DumpsterInvNr=13-S-206008", "13-S-206008")</f>
        <v>13-S-206008</v>
      </c>
      <c r="C9795">
        <v>0.12</v>
      </c>
      <c r="D9795" t="s">
        <v>13150</v>
      </c>
      <c r="E9795" t="s">
        <v>11</v>
      </c>
      <c r="F9795" t="s">
        <v>1209</v>
      </c>
      <c r="G9795" t="s">
        <v>234</v>
      </c>
      <c r="H9795" t="s">
        <v>14</v>
      </c>
    </row>
    <row r="9796" spans="1:8" hidden="1" x14ac:dyDescent="0.25">
      <c r="A9796" t="s">
        <v>13170</v>
      </c>
      <c r="B9796" s="1" t="str">
        <f>HYPERLINK("https://asmlis.vasa.lt/Dashboard/Served?ServiceDateFrom=2025-11-24&amp;ServiceDateTo=2025-11-24&amp;DumpsterInvNr=13-P-102446", "13-P-102446")</f>
        <v>13-P-102446</v>
      </c>
      <c r="C9796">
        <v>5</v>
      </c>
      <c r="D9796" t="s">
        <v>13171</v>
      </c>
      <c r="E9796" t="s">
        <v>11</v>
      </c>
      <c r="F9796" t="s">
        <v>13</v>
      </c>
      <c r="G9796" t="s">
        <v>1917</v>
      </c>
      <c r="H9796" t="s">
        <v>432</v>
      </c>
    </row>
    <row r="9797" spans="1:8" hidden="1" x14ac:dyDescent="0.25">
      <c r="A9797" t="s">
        <v>12109</v>
      </c>
      <c r="B9797" s="1" t="str">
        <f>HYPERLINK("https://asmlis.vasa.lt/Dashboard/Served?ServiceDateFrom=2025-11-24&amp;ServiceDateTo=2025-11-24&amp;DumpsterInvNr=13-P-500659", "13-P-500659")</f>
        <v>13-P-500659</v>
      </c>
      <c r="C9797">
        <v>5</v>
      </c>
      <c r="D9797" t="s">
        <v>13173</v>
      </c>
      <c r="E9797" t="s">
        <v>11</v>
      </c>
      <c r="F9797" t="s">
        <v>13</v>
      </c>
      <c r="G9797" t="s">
        <v>2178</v>
      </c>
      <c r="H9797" t="s">
        <v>432</v>
      </c>
    </row>
    <row r="9798" spans="1:8" hidden="1" x14ac:dyDescent="0.25">
      <c r="A9798" t="s">
        <v>12340</v>
      </c>
      <c r="B9798" s="1" t="str">
        <f>HYPERLINK("https://asmlis.vasa.lt/Dashboard/Served?ServiceDateFrom=2025-11-24&amp;ServiceDateTo=2025-11-24&amp;DumpsterInvNr=13-P-400550", "13-P-400550")</f>
        <v>13-P-400550</v>
      </c>
      <c r="C9798">
        <v>5</v>
      </c>
      <c r="D9798" t="s">
        <v>1602</v>
      </c>
      <c r="E9798" t="s">
        <v>11</v>
      </c>
      <c r="F9798" t="s">
        <v>13</v>
      </c>
      <c r="G9798" t="s">
        <v>264</v>
      </c>
      <c r="H9798" t="s">
        <v>14</v>
      </c>
    </row>
    <row r="9799" spans="1:8" hidden="1" x14ac:dyDescent="0.25">
      <c r="A9799" t="s">
        <v>13174</v>
      </c>
      <c r="B9799" s="1" t="str">
        <f>HYPERLINK("https://asmlis.vasa.lt/Dashboard/Served?ServiceDateFrom=2025-11-24&amp;ServiceDateTo=2025-11-24&amp;DumpsterInvNr=13-P-300407", "13-P-300407")</f>
        <v>13-P-300407</v>
      </c>
      <c r="C9799">
        <v>1.1000000000000001</v>
      </c>
      <c r="D9799" t="s">
        <v>13175</v>
      </c>
      <c r="E9799" t="s">
        <v>11</v>
      </c>
      <c r="G9799" t="s">
        <v>412</v>
      </c>
      <c r="H9799" t="s">
        <v>14</v>
      </c>
    </row>
    <row r="9800" spans="1:8" hidden="1" x14ac:dyDescent="0.25">
      <c r="A9800" t="s">
        <v>12343</v>
      </c>
      <c r="B9800" s="1" t="str">
        <f>HYPERLINK("https://asmlis.vasa.lt/Dashboard/Served?ServiceDateFrom=2025-11-24&amp;ServiceDateTo=2025-11-24&amp;DumpsterInvNr=13-P-101147", "13-P-101147")</f>
        <v>13-P-101147</v>
      </c>
      <c r="C9800">
        <v>0.12</v>
      </c>
      <c r="D9800" t="s">
        <v>13176</v>
      </c>
      <c r="E9800" t="s">
        <v>11</v>
      </c>
      <c r="G9800" t="s">
        <v>1917</v>
      </c>
      <c r="H9800" t="s">
        <v>432</v>
      </c>
    </row>
    <row r="9801" spans="1:8" hidden="1" x14ac:dyDescent="0.25">
      <c r="A9801" t="s">
        <v>12362</v>
      </c>
      <c r="B9801" s="1" t="str">
        <f>HYPERLINK("https://asmlis.vasa.lt/Dashboard/Served?ServiceDateFrom=2025-11-24&amp;ServiceDateTo=2025-11-24&amp;DumpsterInvNr=13-L-136464", "13-L-136464")</f>
        <v>13-L-136464</v>
      </c>
      <c r="C9801">
        <v>0.66</v>
      </c>
      <c r="D9801" t="s">
        <v>13177</v>
      </c>
      <c r="E9801" t="s">
        <v>11</v>
      </c>
      <c r="G9801" t="s">
        <v>1912</v>
      </c>
      <c r="H9801" t="s">
        <v>432</v>
      </c>
    </row>
    <row r="9802" spans="1:8" hidden="1" x14ac:dyDescent="0.25">
      <c r="A9802" t="s">
        <v>12362</v>
      </c>
      <c r="B9802" s="1" t="str">
        <f>HYPERLINK("https://asmlis.vasa.lt/Dashboard/Served?ServiceDateFrom=2025-11-24&amp;ServiceDateTo=2025-11-24&amp;DumpsterInvNr=13-S-102374", "13-S-102374")</f>
        <v>13-S-102374</v>
      </c>
      <c r="C9802">
        <v>0.12</v>
      </c>
      <c r="D9802" t="s">
        <v>13176</v>
      </c>
      <c r="E9802" t="s">
        <v>11</v>
      </c>
      <c r="G9802" t="s">
        <v>1917</v>
      </c>
      <c r="H9802" t="s">
        <v>432</v>
      </c>
    </row>
    <row r="9803" spans="1:8" hidden="1" x14ac:dyDescent="0.25">
      <c r="A9803" t="s">
        <v>13179</v>
      </c>
      <c r="B9803" s="1" t="str">
        <f>HYPERLINK("https://asmlis.vasa.lt/Dashboard/Served?ServiceDateFrom=2025-11-24&amp;ServiceDateTo=2025-11-24&amp;DumpsterInvNr=13-P-206189", "13-P-206189")</f>
        <v>13-P-206189</v>
      </c>
      <c r="C9803">
        <v>0.24</v>
      </c>
      <c r="D9803" t="s">
        <v>13167</v>
      </c>
      <c r="E9803" t="s">
        <v>11</v>
      </c>
      <c r="G9803" t="s">
        <v>234</v>
      </c>
      <c r="H9803" t="s">
        <v>14</v>
      </c>
    </row>
    <row r="9804" spans="1:8" hidden="1" x14ac:dyDescent="0.25">
      <c r="A9804" t="s">
        <v>12480</v>
      </c>
      <c r="B9804" s="1" t="str">
        <f>HYPERLINK("https://asmlis.vasa.lt/Dashboard/Served?ServiceDateFrom=2025-11-24&amp;ServiceDateTo=2025-11-24&amp;DumpsterInvNr=13-P-500226", "13-P-500226")</f>
        <v>13-P-500226</v>
      </c>
      <c r="C9804">
        <v>5</v>
      </c>
      <c r="D9804" t="s">
        <v>13137</v>
      </c>
      <c r="E9804" t="s">
        <v>11</v>
      </c>
      <c r="F9804" t="s">
        <v>13</v>
      </c>
      <c r="G9804" t="s">
        <v>2178</v>
      </c>
      <c r="H9804" t="s">
        <v>432</v>
      </c>
    </row>
    <row r="9805" spans="1:8" hidden="1" x14ac:dyDescent="0.25">
      <c r="A9805" t="s">
        <v>12710</v>
      </c>
      <c r="B9805" s="1" t="str">
        <f>HYPERLINK("https://asmlis.vasa.lt/Dashboard/Served?ServiceDateFrom=2025-11-24&amp;ServiceDateTo=2025-11-24&amp;DumpsterInvNr=13-M-206027", "13-M-206027")</f>
        <v>13-M-206027</v>
      </c>
      <c r="C9805">
        <v>0.12</v>
      </c>
      <c r="D9805" t="s">
        <v>13029</v>
      </c>
      <c r="E9805" t="s">
        <v>11</v>
      </c>
      <c r="G9805" t="s">
        <v>4876</v>
      </c>
      <c r="H9805" t="s">
        <v>938</v>
      </c>
    </row>
    <row r="9806" spans="1:8" hidden="1" x14ac:dyDescent="0.25">
      <c r="A9806" t="s">
        <v>13180</v>
      </c>
      <c r="B9806" s="1" t="str">
        <f>HYPERLINK("https://asmlis.vasa.lt/Dashboard/Served?ServiceDateFrom=2025-11-24&amp;ServiceDateTo=2025-11-24&amp;DumpsterInvNr=13-P-301869", "13-P-301869")</f>
        <v>13-P-301869</v>
      </c>
      <c r="C9806">
        <v>2.5</v>
      </c>
      <c r="D9806" t="s">
        <v>3961</v>
      </c>
      <c r="E9806" t="s">
        <v>11</v>
      </c>
      <c r="G9806" t="s">
        <v>412</v>
      </c>
      <c r="H9806" t="s">
        <v>14</v>
      </c>
    </row>
    <row r="9807" spans="1:8" hidden="1" x14ac:dyDescent="0.25">
      <c r="A9807" t="s">
        <v>13180</v>
      </c>
      <c r="B9807" s="1" t="str">
        <f>HYPERLINK("https://asmlis.vasa.lt/Dashboard/Served?ServiceDateFrom=2025-11-24&amp;ServiceDateTo=2025-11-24&amp;DumpsterInvNr=13-P-413157", "13-P-413157")</f>
        <v>13-P-413157</v>
      </c>
      <c r="C9807">
        <v>0.24</v>
      </c>
      <c r="D9807" t="s">
        <v>13181</v>
      </c>
      <c r="E9807" t="s">
        <v>11</v>
      </c>
      <c r="G9807" t="s">
        <v>264</v>
      </c>
      <c r="H9807" t="s">
        <v>14</v>
      </c>
    </row>
    <row r="9808" spans="1:8" hidden="1" x14ac:dyDescent="0.25">
      <c r="A9808" t="s">
        <v>13182</v>
      </c>
      <c r="B9808" s="1" t="str">
        <f>HYPERLINK("https://asmlis.vasa.lt/Dashboard/Served?ServiceDateFrom=2025-11-24&amp;ServiceDateTo=2025-11-24&amp;DumpsterInvNr=13-P-413273", "13-P-413273")</f>
        <v>13-P-413273</v>
      </c>
      <c r="C9808">
        <v>0.24</v>
      </c>
      <c r="D9808" t="s">
        <v>13183</v>
      </c>
      <c r="E9808" t="s">
        <v>11</v>
      </c>
      <c r="G9808" t="s">
        <v>264</v>
      </c>
      <c r="H9808" t="s">
        <v>14</v>
      </c>
    </row>
    <row r="9809" spans="1:8" hidden="1" x14ac:dyDescent="0.25">
      <c r="A9809" t="s">
        <v>13184</v>
      </c>
      <c r="B9809" s="1" t="str">
        <f>HYPERLINK("https://asmlis.vasa.lt/Dashboard/Served?ServiceDateFrom=2025-11-24&amp;ServiceDateTo=2025-11-24&amp;DumpsterInvNr=13-T-000107", "13-T-000107")</f>
        <v>13-T-000107</v>
      </c>
      <c r="C9809">
        <v>2.5</v>
      </c>
      <c r="D9809" t="s">
        <v>13185</v>
      </c>
      <c r="E9809" t="s">
        <v>11</v>
      </c>
      <c r="F9809" t="s">
        <v>13</v>
      </c>
      <c r="G9809" t="s">
        <v>1899</v>
      </c>
      <c r="H9809" t="s">
        <v>432</v>
      </c>
    </row>
    <row r="9810" spans="1:8" hidden="1" x14ac:dyDescent="0.25">
      <c r="A9810" t="s">
        <v>13186</v>
      </c>
      <c r="B9810" s="1" t="str">
        <f>HYPERLINK("https://asmlis.vasa.lt/Dashboard/Served?ServiceDateFrom=2025-11-24&amp;ServiceDateTo=2025-11-24&amp;DumpsterInvNr=13-M-202598", "13-M-202598")</f>
        <v>13-M-202598</v>
      </c>
      <c r="C9810">
        <v>0.12</v>
      </c>
      <c r="D9810" t="s">
        <v>13024</v>
      </c>
      <c r="E9810" t="s">
        <v>11</v>
      </c>
      <c r="G9810" t="s">
        <v>4876</v>
      </c>
      <c r="H9810" t="s">
        <v>938</v>
      </c>
    </row>
    <row r="9811" spans="1:8" hidden="1" x14ac:dyDescent="0.25">
      <c r="A9811" t="s">
        <v>12749</v>
      </c>
      <c r="B9811" s="1" t="str">
        <f>HYPERLINK("https://asmlis.vasa.lt/Dashboard/Served?ServiceDateFrom=2025-11-24&amp;ServiceDateTo=2025-11-24&amp;DumpsterInvNr=13-L-111205", "13-L-111205")</f>
        <v>13-L-111205</v>
      </c>
      <c r="C9811">
        <v>5</v>
      </c>
      <c r="D9811" t="s">
        <v>13187</v>
      </c>
      <c r="E9811" t="s">
        <v>11</v>
      </c>
      <c r="F9811" t="s">
        <v>13</v>
      </c>
      <c r="G9811" t="s">
        <v>430</v>
      </c>
      <c r="H9811" t="s">
        <v>432</v>
      </c>
    </row>
    <row r="9812" spans="1:8" hidden="1" x14ac:dyDescent="0.25">
      <c r="A9812" t="s">
        <v>13188</v>
      </c>
      <c r="B9812" s="1" t="str">
        <f>HYPERLINK("https://asmlis.vasa.lt/Dashboard/Served?ServiceDateFrom=2025-11-24&amp;ServiceDateTo=2025-11-24&amp;DumpsterInvNr=13-L-422050", "13-L-422050")</f>
        <v>13-L-422050</v>
      </c>
      <c r="C9812">
        <v>5</v>
      </c>
      <c r="D9812" t="s">
        <v>5736</v>
      </c>
      <c r="E9812" t="s">
        <v>11</v>
      </c>
      <c r="G9812" t="s">
        <v>74</v>
      </c>
      <c r="H9812" t="s">
        <v>14</v>
      </c>
    </row>
    <row r="9813" spans="1:8" hidden="1" x14ac:dyDescent="0.25">
      <c r="A9813" t="s">
        <v>13188</v>
      </c>
      <c r="B9813" s="1" t="str">
        <f>HYPERLINK("https://asmlis.vasa.lt/Dashboard/Served?ServiceDateFrom=2025-11-24&amp;ServiceDateTo=2025-11-24&amp;DumpsterInvNr=13-L-145927", "13-L-145927")</f>
        <v>13-L-145927</v>
      </c>
      <c r="C9813">
        <v>5</v>
      </c>
      <c r="D9813" t="s">
        <v>13189</v>
      </c>
      <c r="E9813" t="s">
        <v>11</v>
      </c>
      <c r="F9813" t="s">
        <v>13</v>
      </c>
      <c r="G9813" t="s">
        <v>430</v>
      </c>
      <c r="H9813" t="s">
        <v>432</v>
      </c>
    </row>
    <row r="9814" spans="1:8" hidden="1" x14ac:dyDescent="0.25">
      <c r="A9814" t="s">
        <v>12945</v>
      </c>
      <c r="B9814" s="1" t="str">
        <f>HYPERLINK("https://asmlis.vasa.lt/Dashboard/Served?ServiceDateFrom=2025-11-24&amp;ServiceDateTo=2025-11-24&amp;DumpsterInvNr=13-L-317178", "13-L-317178")</f>
        <v>13-L-317178</v>
      </c>
      <c r="C9814">
        <v>0.77</v>
      </c>
      <c r="D9814" t="s">
        <v>13190</v>
      </c>
      <c r="E9814" t="s">
        <v>11</v>
      </c>
      <c r="G9814" t="s">
        <v>9</v>
      </c>
      <c r="H9814" t="s">
        <v>14</v>
      </c>
    </row>
    <row r="9815" spans="1:8" hidden="1" x14ac:dyDescent="0.25">
      <c r="A9815" t="s">
        <v>13191</v>
      </c>
      <c r="B9815" s="1" t="str">
        <f>HYPERLINK("https://asmlis.vasa.lt/Dashboard/Served?ServiceDateFrom=2025-11-24&amp;ServiceDateTo=2025-11-24&amp;DumpsterInvNr=13-L-141489", "13-L-141489")</f>
        <v>13-L-141489</v>
      </c>
      <c r="C9815">
        <v>0.24</v>
      </c>
      <c r="D9815" t="s">
        <v>13192</v>
      </c>
      <c r="E9815" t="s">
        <v>11</v>
      </c>
      <c r="G9815" t="s">
        <v>430</v>
      </c>
      <c r="H9815" t="s">
        <v>432</v>
      </c>
    </row>
    <row r="9816" spans="1:8" hidden="1" x14ac:dyDescent="0.25">
      <c r="A9816" t="s">
        <v>13193</v>
      </c>
      <c r="B9816" s="1" t="str">
        <f>HYPERLINK("https://asmlis.vasa.lt/Dashboard/Served?ServiceDateFrom=2025-11-24&amp;ServiceDateTo=2025-11-24&amp;DumpsterInvNr=13-P-505063", "13-P-505063")</f>
        <v>13-P-505063</v>
      </c>
      <c r="C9816">
        <v>0.24</v>
      </c>
      <c r="D9816" t="s">
        <v>13192</v>
      </c>
      <c r="E9816" t="s">
        <v>11</v>
      </c>
      <c r="G9816" t="s">
        <v>2178</v>
      </c>
      <c r="H9816" t="s">
        <v>432</v>
      </c>
    </row>
    <row r="9817" spans="1:8" hidden="1" x14ac:dyDescent="0.25">
      <c r="A9817" t="s">
        <v>13193</v>
      </c>
      <c r="B9817" s="1" t="str">
        <f>HYPERLINK("https://asmlis.vasa.lt/Dashboard/Served?ServiceDateFrom=2025-11-24&amp;ServiceDateTo=2025-11-24&amp;DumpsterInvNr=13-T-000054", "13-T-000054")</f>
        <v>13-T-000054</v>
      </c>
      <c r="C9817">
        <v>2.5</v>
      </c>
      <c r="D9817" t="s">
        <v>13185</v>
      </c>
      <c r="E9817" t="s">
        <v>11</v>
      </c>
      <c r="F9817" t="s">
        <v>13</v>
      </c>
      <c r="G9817" t="s">
        <v>1899</v>
      </c>
      <c r="H9817" t="s">
        <v>432</v>
      </c>
    </row>
    <row r="9818" spans="1:8" hidden="1" x14ac:dyDescent="0.25">
      <c r="A9818" t="s">
        <v>13194</v>
      </c>
      <c r="B9818" s="1" t="str">
        <f>HYPERLINK("https://asmlis.vasa.lt/Dashboard/Served?ServiceDateFrom=2025-11-24&amp;ServiceDateTo=2025-11-24&amp;DumpsterInvNr=13-L-139402", "13-L-139402")</f>
        <v>13-L-139402</v>
      </c>
      <c r="C9818">
        <v>1.1000000000000001</v>
      </c>
      <c r="D9818" t="s">
        <v>13195</v>
      </c>
      <c r="E9818" t="s">
        <v>11</v>
      </c>
      <c r="G9818" t="s">
        <v>430</v>
      </c>
      <c r="H9818" t="s">
        <v>432</v>
      </c>
    </row>
    <row r="9819" spans="1:8" hidden="1" x14ac:dyDescent="0.25">
      <c r="A9819" t="s">
        <v>13197</v>
      </c>
      <c r="B9819" s="1" t="str">
        <f>HYPERLINK("https://asmlis.vasa.lt/Dashboard/Served?ServiceDateFrom=2025-11-24&amp;ServiceDateTo=2025-11-24&amp;DumpsterInvNr=13-P-415869", "13-P-415869")</f>
        <v>13-P-415869</v>
      </c>
      <c r="C9819">
        <v>0.24</v>
      </c>
      <c r="D9819" t="s">
        <v>13198</v>
      </c>
      <c r="E9819" t="s">
        <v>11</v>
      </c>
      <c r="G9819" t="s">
        <v>264</v>
      </c>
      <c r="H9819" t="s">
        <v>14</v>
      </c>
    </row>
    <row r="9820" spans="1:8" hidden="1" x14ac:dyDescent="0.25">
      <c r="A9820" t="s">
        <v>13199</v>
      </c>
      <c r="B9820" s="1" t="str">
        <f>HYPERLINK("https://asmlis.vasa.lt/Dashboard/Served?ServiceDateFrom=2025-11-24&amp;ServiceDateTo=2025-11-24&amp;DumpsterInvNr=13-P-112045", "13-P-112045")</f>
        <v>13-P-112045</v>
      </c>
      <c r="C9820">
        <v>0.24</v>
      </c>
      <c r="D9820" t="s">
        <v>13139</v>
      </c>
      <c r="E9820" t="s">
        <v>11</v>
      </c>
      <c r="F9820" t="s">
        <v>1209</v>
      </c>
      <c r="G9820" t="s">
        <v>1917</v>
      </c>
      <c r="H9820" t="s">
        <v>432</v>
      </c>
    </row>
    <row r="9821" spans="1:8" hidden="1" x14ac:dyDescent="0.25">
      <c r="A9821" t="s">
        <v>13200</v>
      </c>
      <c r="B9821" s="1" t="str">
        <f>HYPERLINK("https://asmlis.vasa.lt/Dashboard/Served?ServiceDateFrom=2025-11-24&amp;ServiceDateTo=2025-11-24&amp;DumpsterInvNr=13-L-315604", "13-L-315604")</f>
        <v>13-L-315604</v>
      </c>
      <c r="C9821">
        <v>5</v>
      </c>
      <c r="D9821" t="s">
        <v>13201</v>
      </c>
      <c r="E9821" t="s">
        <v>11</v>
      </c>
      <c r="F9821" t="s">
        <v>13</v>
      </c>
      <c r="G9821" t="s">
        <v>9</v>
      </c>
      <c r="H9821" t="s">
        <v>14</v>
      </c>
    </row>
    <row r="9822" spans="1:8" hidden="1" x14ac:dyDescent="0.25">
      <c r="A9822" t="s">
        <v>13200</v>
      </c>
      <c r="B9822" s="1" t="str">
        <f>HYPERLINK("https://asmlis.vasa.lt/Dashboard/Served?ServiceDateFrom=2025-11-24&amp;ServiceDateTo=2025-11-24&amp;DumpsterInvNr=13-P-300544", "13-P-300544")</f>
        <v>13-P-300544</v>
      </c>
      <c r="C9822">
        <v>1.1000000000000001</v>
      </c>
      <c r="D9822" t="s">
        <v>13175</v>
      </c>
      <c r="E9822" t="s">
        <v>11</v>
      </c>
      <c r="F9822" t="s">
        <v>13</v>
      </c>
      <c r="G9822" t="s">
        <v>412</v>
      </c>
      <c r="H9822" t="s">
        <v>14</v>
      </c>
    </row>
    <row r="9823" spans="1:8" hidden="1" x14ac:dyDescent="0.25">
      <c r="A9823" t="s">
        <v>13202</v>
      </c>
      <c r="B9823" s="1" t="str">
        <f>HYPERLINK("https://asmlis.vasa.lt/Dashboard/Served?ServiceDateFrom=2025-11-24&amp;ServiceDateTo=2025-11-24&amp;DumpsterInvNr=13-M-202654", "13-M-202654")</f>
        <v>13-M-202654</v>
      </c>
      <c r="C9823">
        <v>0.12</v>
      </c>
      <c r="D9823" t="s">
        <v>12989</v>
      </c>
      <c r="E9823" t="s">
        <v>11</v>
      </c>
      <c r="F9823" t="s">
        <v>1209</v>
      </c>
      <c r="G9823" t="s">
        <v>4876</v>
      </c>
      <c r="H9823" t="s">
        <v>938</v>
      </c>
    </row>
    <row r="9824" spans="1:8" hidden="1" x14ac:dyDescent="0.25">
      <c r="A9824" t="s">
        <v>13203</v>
      </c>
      <c r="B9824" s="1" t="str">
        <f>HYPERLINK("https://asmlis.vasa.lt/Dashboard/Served?ServiceDateFrom=2025-11-24&amp;ServiceDateTo=2025-11-24&amp;DumpsterInvNr=13-S-505078", "13-S-505078")</f>
        <v>13-S-505078</v>
      </c>
      <c r="C9824">
        <v>0.12</v>
      </c>
      <c r="D9824" t="s">
        <v>13192</v>
      </c>
      <c r="E9824" t="s">
        <v>11</v>
      </c>
      <c r="F9824" t="s">
        <v>1209</v>
      </c>
      <c r="G9824" t="s">
        <v>2178</v>
      </c>
      <c r="H9824" t="s">
        <v>432</v>
      </c>
    </row>
    <row r="9825" spans="1:10" hidden="1" x14ac:dyDescent="0.25">
      <c r="A9825" t="s">
        <v>13204</v>
      </c>
      <c r="B9825" s="1" t="str">
        <f>HYPERLINK("https://asmlis.vasa.lt/Dashboard/Served?ServiceDateFrom=2025-11-24&amp;ServiceDateTo=2025-11-24&amp;DumpsterInvNr=13-P-300447", "13-P-300447")</f>
        <v>13-P-300447</v>
      </c>
      <c r="C9825">
        <v>1.1000000000000001</v>
      </c>
      <c r="D9825" t="s">
        <v>13175</v>
      </c>
      <c r="E9825" t="s">
        <v>11</v>
      </c>
      <c r="F9825" t="s">
        <v>13</v>
      </c>
      <c r="G9825" t="s">
        <v>412</v>
      </c>
      <c r="H9825" t="s">
        <v>14</v>
      </c>
    </row>
    <row r="9826" spans="1:10" hidden="1" x14ac:dyDescent="0.25">
      <c r="A9826" t="s">
        <v>13204</v>
      </c>
      <c r="B9826" s="1" t="str">
        <f>HYPERLINK("https://asmlis.vasa.lt/Dashboard/Served?ServiceDateFrom=2025-11-24&amp;ServiceDateTo=2025-11-24&amp;DumpsterInvNr=13-P-414443", "13-P-414443")</f>
        <v>13-P-414443</v>
      </c>
      <c r="C9826">
        <v>0.24</v>
      </c>
      <c r="D9826" t="s">
        <v>13206</v>
      </c>
      <c r="E9826" t="s">
        <v>11</v>
      </c>
      <c r="G9826" t="s">
        <v>264</v>
      </c>
      <c r="H9826" t="s">
        <v>14</v>
      </c>
    </row>
    <row r="9827" spans="1:10" hidden="1" x14ac:dyDescent="0.25">
      <c r="A9827" t="s">
        <v>13204</v>
      </c>
      <c r="B9827" s="1" t="str">
        <f>HYPERLINK("https://asmlis.vasa.lt/Dashboard/Served?ServiceDateFrom=2025-11-24&amp;ServiceDateTo=2025-11-24&amp;DumpsterInvNr=13-P-414504", "13-P-414504")</f>
        <v>13-P-414504</v>
      </c>
      <c r="C9827">
        <v>0.24</v>
      </c>
      <c r="D9827" t="s">
        <v>13207</v>
      </c>
      <c r="E9827" t="s">
        <v>11</v>
      </c>
      <c r="G9827" t="s">
        <v>264</v>
      </c>
      <c r="H9827" t="s">
        <v>14</v>
      </c>
    </row>
    <row r="9828" spans="1:10" hidden="1" x14ac:dyDescent="0.25">
      <c r="A9828" t="s">
        <v>13208</v>
      </c>
      <c r="B9828" s="1" t="str">
        <f>HYPERLINK("https://asmlis.vasa.lt/Dashboard/Served?ServiceDateFrom=2025-11-24&amp;ServiceDateTo=2025-11-24&amp;DumpsterInvNr=13-P-206251", "13-P-206251")</f>
        <v>13-P-206251</v>
      </c>
      <c r="C9828">
        <v>0.24</v>
      </c>
      <c r="D9828" t="s">
        <v>13152</v>
      </c>
      <c r="E9828" t="s">
        <v>11</v>
      </c>
      <c r="G9828" t="s">
        <v>234</v>
      </c>
      <c r="H9828" t="s">
        <v>14</v>
      </c>
    </row>
    <row r="9829" spans="1:10" hidden="1" x14ac:dyDescent="0.25">
      <c r="A9829" t="s">
        <v>13209</v>
      </c>
      <c r="B9829" s="1" t="str">
        <f>HYPERLINK("https://asmlis.vasa.lt/Dashboard/Served?ServiceDateFrom=2025-11-24&amp;ServiceDateTo=2025-11-24&amp;DumpsterInvNr=13-L-314082", "13-L-314082")</f>
        <v>13-L-314082</v>
      </c>
      <c r="C9829">
        <v>1.1000000000000001</v>
      </c>
      <c r="D9829" t="s">
        <v>10525</v>
      </c>
      <c r="E9829" t="s">
        <v>11</v>
      </c>
      <c r="G9829" t="s">
        <v>9</v>
      </c>
      <c r="H9829" t="s">
        <v>14</v>
      </c>
    </row>
    <row r="9830" spans="1:10" hidden="1" x14ac:dyDescent="0.25">
      <c r="A9830" t="s">
        <v>13210</v>
      </c>
      <c r="B9830" s="1" t="str">
        <f>HYPERLINK("https://asmlis.vasa.lt/Dashboard/Served?ServiceDateFrom=2025-11-24&amp;ServiceDateTo=2025-11-24&amp;DumpsterInvNr=13-P-500232", "13-P-500232")</f>
        <v>13-P-500232</v>
      </c>
      <c r="C9830">
        <v>5</v>
      </c>
      <c r="D9830" t="s">
        <v>13211</v>
      </c>
      <c r="E9830" t="s">
        <v>11</v>
      </c>
      <c r="F9830" t="s">
        <v>13</v>
      </c>
      <c r="G9830" t="s">
        <v>2178</v>
      </c>
      <c r="H9830" t="s">
        <v>432</v>
      </c>
    </row>
    <row r="9831" spans="1:10" hidden="1" x14ac:dyDescent="0.25">
      <c r="A9831" t="s">
        <v>13212</v>
      </c>
      <c r="B9831" s="1" t="str">
        <f>HYPERLINK("https://asmlis.vasa.lt/Dashboard/Served?ServiceDateFrom=2025-11-24&amp;ServiceDateTo=2025-11-24&amp;DumpsterInvNr=13-S-205857", "13-S-205857")</f>
        <v>13-S-205857</v>
      </c>
      <c r="C9831">
        <v>0.12</v>
      </c>
      <c r="D9831" t="s">
        <v>13152</v>
      </c>
      <c r="E9831" t="s">
        <v>11</v>
      </c>
      <c r="G9831" t="s">
        <v>234</v>
      </c>
      <c r="H9831" t="s">
        <v>14</v>
      </c>
    </row>
    <row r="9832" spans="1:10" hidden="1" x14ac:dyDescent="0.25">
      <c r="A9832" t="s">
        <v>13212</v>
      </c>
      <c r="B9832" s="1" t="str">
        <f>HYPERLINK("https://asmlis.vasa.lt/Dashboard/Served?ServiceDateFrom=2025-11-24&amp;ServiceDateTo=2025-11-24&amp;DumpsterInvNr=13-L-318380", "13-L-318380")</f>
        <v>13-L-318380</v>
      </c>
      <c r="C9832">
        <v>0.66</v>
      </c>
      <c r="D9832" t="s">
        <v>13190</v>
      </c>
      <c r="E9832" t="s">
        <v>11</v>
      </c>
      <c r="G9832" t="s">
        <v>9</v>
      </c>
      <c r="H9832" t="s">
        <v>14</v>
      </c>
    </row>
    <row r="9833" spans="1:10" hidden="1" x14ac:dyDescent="0.25">
      <c r="A9833" t="s">
        <v>13213</v>
      </c>
      <c r="B9833" s="1" t="str">
        <f>HYPERLINK("https://asmlis.vasa.lt/Dashboard/Served?ServiceDateFrom=2025-11-24&amp;ServiceDateTo=2025-11-24&amp;DumpsterInvNr=13-L-201717", "13-L-201717")</f>
        <v>13-L-201717</v>
      </c>
      <c r="C9833">
        <v>5</v>
      </c>
      <c r="D9833" t="s">
        <v>13214</v>
      </c>
      <c r="E9833" t="s">
        <v>11</v>
      </c>
      <c r="G9833" t="s">
        <v>936</v>
      </c>
      <c r="H9833" t="s">
        <v>938</v>
      </c>
    </row>
    <row r="9834" spans="1:10" hidden="1" x14ac:dyDescent="0.25">
      <c r="A9834" t="s">
        <v>13213</v>
      </c>
      <c r="B9834" s="1" t="str">
        <f>HYPERLINK("https://asmlis.vasa.lt/Dashboard/Served?ServiceDateFrom=2025-11-24&amp;ServiceDateTo=2025-11-24&amp;DumpsterInvNr=13-L-204106", "13-L-204106")</f>
        <v>13-L-204106</v>
      </c>
      <c r="C9834">
        <v>0.24</v>
      </c>
      <c r="D9834" t="s">
        <v>10239</v>
      </c>
      <c r="E9834" t="s">
        <v>11</v>
      </c>
      <c r="G9834" t="s">
        <v>936</v>
      </c>
      <c r="H9834" t="s">
        <v>938</v>
      </c>
    </row>
    <row r="9835" spans="1:10" x14ac:dyDescent="0.25">
      <c r="A9835" t="s">
        <v>13213</v>
      </c>
      <c r="B9835" s="1" t="str">
        <f>HYPERLINK("https://asmlis.vasa.lt/Dashboard/Served?ServiceDateFrom=2025-11-24&amp;ServiceDateTo=2025-11-24&amp;DumpsterInvNr=13-S-103072", "13-S-103072")</f>
        <v>13-S-103072</v>
      </c>
      <c r="C9835">
        <v>0.12</v>
      </c>
      <c r="D9835" t="s">
        <v>13215</v>
      </c>
      <c r="E9835" t="s">
        <v>11</v>
      </c>
      <c r="F9835" t="s">
        <v>2556</v>
      </c>
      <c r="G9835" t="s">
        <v>1917</v>
      </c>
      <c r="H9835" t="s">
        <v>432</v>
      </c>
      <c r="J9835" t="s">
        <v>17511</v>
      </c>
    </row>
    <row r="9836" spans="1:10" hidden="1" x14ac:dyDescent="0.25">
      <c r="A9836" t="s">
        <v>13217</v>
      </c>
      <c r="B9836" s="1" t="str">
        <f>HYPERLINK("https://asmlis.vasa.lt/Dashboard/Served?ServiceDateFrom=2025-11-24&amp;ServiceDateTo=2025-11-24&amp;DumpsterInvNr=13-L-317597", "13-L-317597")</f>
        <v>13-L-317597</v>
      </c>
      <c r="C9836">
        <v>1.1000000000000001</v>
      </c>
      <c r="D9836" t="s">
        <v>13218</v>
      </c>
      <c r="E9836" t="s">
        <v>11</v>
      </c>
      <c r="G9836" t="s">
        <v>9</v>
      </c>
      <c r="H9836" t="s">
        <v>14</v>
      </c>
    </row>
    <row r="9837" spans="1:10" hidden="1" x14ac:dyDescent="0.25">
      <c r="A9837" t="s">
        <v>13216</v>
      </c>
      <c r="B9837" s="1" t="str">
        <f>HYPERLINK("https://asmlis.vasa.lt/Dashboard/Served?ServiceDateFrom=2025-11-24&amp;ServiceDateTo=2025-11-24&amp;DumpsterInvNr=13-L-141124", "13-L-141124")</f>
        <v>13-L-141124</v>
      </c>
      <c r="C9837">
        <v>0.24</v>
      </c>
      <c r="D9837" t="s">
        <v>13219</v>
      </c>
      <c r="E9837" t="s">
        <v>11</v>
      </c>
      <c r="G9837" t="s">
        <v>430</v>
      </c>
      <c r="H9837" t="s">
        <v>432</v>
      </c>
    </row>
    <row r="9838" spans="1:10" hidden="1" x14ac:dyDescent="0.25">
      <c r="A9838" t="s">
        <v>13216</v>
      </c>
      <c r="B9838" s="1" t="str">
        <f>HYPERLINK("https://asmlis.vasa.lt/Dashboard/Served?ServiceDateFrom=2025-11-24&amp;ServiceDateTo=2025-11-24&amp;DumpsterInvNr=13-P-505064", "13-P-505064")</f>
        <v>13-P-505064</v>
      </c>
      <c r="C9838">
        <v>0.24</v>
      </c>
      <c r="D9838" t="s">
        <v>13219</v>
      </c>
      <c r="E9838" t="s">
        <v>11</v>
      </c>
      <c r="G9838" t="s">
        <v>2178</v>
      </c>
      <c r="H9838" t="s">
        <v>432</v>
      </c>
    </row>
    <row r="9839" spans="1:10" hidden="1" x14ac:dyDescent="0.25">
      <c r="A9839" t="s">
        <v>13222</v>
      </c>
      <c r="B9839" s="1" t="str">
        <f>HYPERLINK("https://asmlis.vasa.lt/Dashboard/Served?ServiceDateFrom=2025-11-24&amp;ServiceDateTo=2025-11-24&amp;DumpsterInvNr=13-L-425842", "13-L-425842")</f>
        <v>13-L-425842</v>
      </c>
      <c r="C9839">
        <v>0.12</v>
      </c>
      <c r="D9839" t="s">
        <v>9072</v>
      </c>
      <c r="E9839" t="s">
        <v>11</v>
      </c>
      <c r="F9839" t="s">
        <v>13</v>
      </c>
      <c r="G9839" t="s">
        <v>74</v>
      </c>
      <c r="H9839" t="s">
        <v>14</v>
      </c>
    </row>
    <row r="9840" spans="1:10" x14ac:dyDescent="0.25">
      <c r="A9840" t="s">
        <v>13223</v>
      </c>
      <c r="B9840" s="1" t="str">
        <f>HYPERLINK("https://asmlis.vasa.lt/Dashboard/Served?ServiceDateFrom=2025-11-24&amp;ServiceDateTo=2025-11-24&amp;DumpsterInvNr=13-L-111241", "13-L-111241")</f>
        <v>13-L-111241</v>
      </c>
      <c r="C9840">
        <v>0.12</v>
      </c>
      <c r="D9840" t="s">
        <v>13215</v>
      </c>
      <c r="E9840" t="s">
        <v>11</v>
      </c>
      <c r="F9840" t="s">
        <v>2556</v>
      </c>
      <c r="G9840" t="s">
        <v>1912</v>
      </c>
      <c r="H9840" t="s">
        <v>432</v>
      </c>
      <c r="J9840" t="s">
        <v>17511</v>
      </c>
    </row>
    <row r="9841" spans="1:10" hidden="1" x14ac:dyDescent="0.25">
      <c r="A9841" t="s">
        <v>13224</v>
      </c>
      <c r="B9841" s="1" t="str">
        <f>HYPERLINK("https://asmlis.vasa.lt/Dashboard/Served?ServiceDateFrom=2025-11-24&amp;ServiceDateTo=2025-11-24&amp;DumpsterInvNr=13-L-422677", "13-L-422677")</f>
        <v>13-L-422677</v>
      </c>
      <c r="C9841">
        <v>0.24</v>
      </c>
      <c r="D9841" t="s">
        <v>9078</v>
      </c>
      <c r="E9841" t="s">
        <v>11</v>
      </c>
      <c r="F9841" t="s">
        <v>1209</v>
      </c>
      <c r="G9841" t="s">
        <v>74</v>
      </c>
      <c r="H9841" t="s">
        <v>14</v>
      </c>
    </row>
    <row r="9842" spans="1:10" hidden="1" x14ac:dyDescent="0.25">
      <c r="A9842" t="s">
        <v>13224</v>
      </c>
      <c r="B9842" s="1" t="str">
        <f>HYPERLINK("https://asmlis.vasa.lt/Dashboard/Served?ServiceDateFrom=2025-11-24&amp;ServiceDateTo=2025-11-24&amp;DumpsterInvNr=13-P-115837", "13-P-115837")</f>
        <v>13-P-115837</v>
      </c>
      <c r="C9842">
        <v>1.1000000000000001</v>
      </c>
      <c r="D9842" t="s">
        <v>4287</v>
      </c>
      <c r="E9842" t="s">
        <v>11</v>
      </c>
      <c r="G9842" t="s">
        <v>1917</v>
      </c>
      <c r="H9842" t="s">
        <v>432</v>
      </c>
    </row>
    <row r="9843" spans="1:10" hidden="1" x14ac:dyDescent="0.25">
      <c r="A9843" t="s">
        <v>13224</v>
      </c>
      <c r="B9843" s="1" t="str">
        <f>HYPERLINK("https://asmlis.vasa.lt/Dashboard/Served?ServiceDateFrom=2025-11-24&amp;ServiceDateTo=2025-11-24&amp;DumpsterInvNr=13-P-500660", "13-P-500660")</f>
        <v>13-P-500660</v>
      </c>
      <c r="C9843">
        <v>5</v>
      </c>
      <c r="D9843" t="s">
        <v>13227</v>
      </c>
      <c r="E9843" t="s">
        <v>11</v>
      </c>
      <c r="F9843" t="s">
        <v>13</v>
      </c>
      <c r="G9843" t="s">
        <v>2178</v>
      </c>
      <c r="H9843" t="s">
        <v>432</v>
      </c>
    </row>
    <row r="9844" spans="1:10" hidden="1" x14ac:dyDescent="0.25">
      <c r="A9844" t="s">
        <v>13228</v>
      </c>
      <c r="B9844" s="1" t="str">
        <f>HYPERLINK("https://asmlis.vasa.lt/Dashboard/Served?ServiceDateFrom=2025-11-24&amp;ServiceDateTo=2025-11-24&amp;DumpsterInvNr=13-L-414644", "13-L-414644")</f>
        <v>13-L-414644</v>
      </c>
      <c r="C9844">
        <v>1.1000000000000001</v>
      </c>
      <c r="D9844" t="s">
        <v>11150</v>
      </c>
      <c r="E9844" t="s">
        <v>11</v>
      </c>
      <c r="G9844" t="s">
        <v>74</v>
      </c>
      <c r="H9844" t="s">
        <v>14</v>
      </c>
    </row>
    <row r="9845" spans="1:10" hidden="1" x14ac:dyDescent="0.25">
      <c r="A9845" t="s">
        <v>13229</v>
      </c>
      <c r="B9845" s="1" t="str">
        <f>HYPERLINK("https://asmlis.vasa.lt/Dashboard/Served?ServiceDateFrom=2025-11-24&amp;ServiceDateTo=2025-11-24&amp;DumpsterInvNr=13-L-317882", "13-L-317882")</f>
        <v>13-L-317882</v>
      </c>
      <c r="C9845">
        <v>1.1000000000000001</v>
      </c>
      <c r="D9845" t="s">
        <v>13218</v>
      </c>
      <c r="E9845" t="s">
        <v>11</v>
      </c>
      <c r="G9845" t="s">
        <v>9</v>
      </c>
      <c r="H9845" t="s">
        <v>14</v>
      </c>
    </row>
    <row r="9846" spans="1:10" hidden="1" x14ac:dyDescent="0.25">
      <c r="A9846" t="s">
        <v>13230</v>
      </c>
      <c r="B9846" s="1" t="str">
        <f>HYPERLINK("https://asmlis.vasa.lt/Dashboard/Served?ServiceDateFrom=2025-11-24&amp;ServiceDateTo=2025-11-24&amp;DumpsterInvNr=13-S-505076", "13-S-505076")</f>
        <v>13-S-505076</v>
      </c>
      <c r="C9846">
        <v>0.12</v>
      </c>
      <c r="D9846" t="s">
        <v>13219</v>
      </c>
      <c r="E9846" t="s">
        <v>11</v>
      </c>
      <c r="F9846" t="s">
        <v>1209</v>
      </c>
      <c r="G9846" t="s">
        <v>2178</v>
      </c>
      <c r="H9846" t="s">
        <v>432</v>
      </c>
    </row>
    <row r="9847" spans="1:10" x14ac:dyDescent="0.25">
      <c r="A9847" t="s">
        <v>13232</v>
      </c>
      <c r="B9847" s="1" t="str">
        <f>HYPERLINK("https://asmlis.vasa.lt/Dashboard/Served?ServiceDateFrom=2025-11-24&amp;ServiceDateTo=2025-11-24&amp;DumpsterInvNr=13-P-114676", "13-P-114676")</f>
        <v>13-P-114676</v>
      </c>
      <c r="C9847">
        <v>0.24</v>
      </c>
      <c r="D9847" t="s">
        <v>13215</v>
      </c>
      <c r="E9847" t="s">
        <v>11</v>
      </c>
      <c r="F9847" t="s">
        <v>2556</v>
      </c>
      <c r="G9847" t="s">
        <v>1917</v>
      </c>
      <c r="H9847" t="s">
        <v>432</v>
      </c>
      <c r="J9847" t="s">
        <v>17511</v>
      </c>
    </row>
    <row r="9848" spans="1:10" hidden="1" x14ac:dyDescent="0.25">
      <c r="A9848" t="s">
        <v>13233</v>
      </c>
      <c r="B9848" s="1" t="str">
        <f>HYPERLINK("https://asmlis.vasa.lt/Dashboard/Served?ServiceDateFrom=2025-11-24&amp;ServiceDateTo=2025-11-24&amp;DumpsterInvNr=13-P-208024", "13-P-208024")</f>
        <v>13-P-208024</v>
      </c>
      <c r="C9848">
        <v>1.1000000000000001</v>
      </c>
      <c r="D9848" t="s">
        <v>13234</v>
      </c>
      <c r="E9848" t="s">
        <v>11</v>
      </c>
      <c r="G9848" t="s">
        <v>234</v>
      </c>
      <c r="H9848" t="s">
        <v>14</v>
      </c>
    </row>
    <row r="9849" spans="1:10" hidden="1" x14ac:dyDescent="0.25">
      <c r="A9849" t="s">
        <v>13233</v>
      </c>
      <c r="B9849" s="1" t="str">
        <f>HYPERLINK("https://asmlis.vasa.lt/Dashboard/Served?ServiceDateFrom=2025-11-24&amp;ServiceDateTo=2025-11-24&amp;DumpsterInvNr=13-M-202133", "13-M-202133")</f>
        <v>13-M-202133</v>
      </c>
      <c r="C9849">
        <v>0.12</v>
      </c>
      <c r="D9849" t="s">
        <v>13235</v>
      </c>
      <c r="E9849" t="s">
        <v>11</v>
      </c>
      <c r="G9849" t="s">
        <v>4876</v>
      </c>
      <c r="H9849" t="s">
        <v>938</v>
      </c>
    </row>
    <row r="9850" spans="1:10" x14ac:dyDescent="0.25">
      <c r="A9850" t="s">
        <v>13236</v>
      </c>
      <c r="B9850" s="1" t="str">
        <f>HYPERLINK("https://asmlis.vasa.lt/Dashboard/Served?ServiceDateFrom=2025-11-24&amp;ServiceDateTo=2025-11-24&amp;DumpsterInvNr=13-L-111242", "13-L-111242")</f>
        <v>13-L-111242</v>
      </c>
      <c r="C9850">
        <v>0.24</v>
      </c>
      <c r="D9850" t="s">
        <v>13237</v>
      </c>
      <c r="E9850" t="s">
        <v>11</v>
      </c>
      <c r="F9850" t="s">
        <v>2556</v>
      </c>
      <c r="G9850" t="s">
        <v>1912</v>
      </c>
      <c r="H9850" t="s">
        <v>432</v>
      </c>
      <c r="J9850" t="s">
        <v>17511</v>
      </c>
    </row>
    <row r="9851" spans="1:10" hidden="1" x14ac:dyDescent="0.25">
      <c r="A9851" t="s">
        <v>13238</v>
      </c>
      <c r="B9851" s="1" t="str">
        <f>HYPERLINK("https://asmlis.vasa.lt/Dashboard/Served?ServiceDateFrom=2025-11-24&amp;ServiceDateTo=2025-11-24&amp;DumpsterInvNr=13-P-414458", "13-P-414458")</f>
        <v>13-P-414458</v>
      </c>
      <c r="C9851">
        <v>0.24</v>
      </c>
      <c r="D9851" t="s">
        <v>13239</v>
      </c>
      <c r="E9851" t="s">
        <v>11</v>
      </c>
      <c r="G9851" t="s">
        <v>264</v>
      </c>
      <c r="H9851" t="s">
        <v>14</v>
      </c>
    </row>
    <row r="9852" spans="1:10" x14ac:dyDescent="0.25">
      <c r="A9852" t="s">
        <v>13240</v>
      </c>
      <c r="B9852" s="1" t="str">
        <f>HYPERLINK("https://asmlis.vasa.lt/Dashboard/Served?ServiceDateFrom=2025-11-24&amp;ServiceDateTo=2025-11-24&amp;DumpsterInvNr=13-S-100961", "13-S-100961")</f>
        <v>13-S-100961</v>
      </c>
      <c r="C9852">
        <v>0.12</v>
      </c>
      <c r="D9852" t="s">
        <v>13237</v>
      </c>
      <c r="E9852" t="s">
        <v>11</v>
      </c>
      <c r="F9852" t="s">
        <v>2556</v>
      </c>
      <c r="G9852" t="s">
        <v>1917</v>
      </c>
      <c r="H9852" t="s">
        <v>432</v>
      </c>
      <c r="J9852" t="s">
        <v>17511</v>
      </c>
    </row>
    <row r="9853" spans="1:10" hidden="1" x14ac:dyDescent="0.25">
      <c r="A9853" t="s">
        <v>13242</v>
      </c>
      <c r="B9853" s="1" t="str">
        <f>HYPERLINK("https://asmlis.vasa.lt/Dashboard/Served?ServiceDateFrom=2025-11-24&amp;ServiceDateTo=2025-11-24&amp;DumpsterInvNr=13-P-211552", "13-P-211552")</f>
        <v>13-P-211552</v>
      </c>
      <c r="C9853">
        <v>0.24</v>
      </c>
      <c r="D9853" t="s">
        <v>13140</v>
      </c>
      <c r="E9853" t="s">
        <v>11</v>
      </c>
      <c r="G9853" t="s">
        <v>234</v>
      </c>
      <c r="H9853" t="s">
        <v>14</v>
      </c>
    </row>
    <row r="9854" spans="1:10" hidden="1" x14ac:dyDescent="0.25">
      <c r="A9854" t="s">
        <v>13243</v>
      </c>
      <c r="B9854" s="1" t="str">
        <f>HYPERLINK("https://asmlis.vasa.lt/Dashboard/Served?ServiceDateFrom=2025-11-24&amp;ServiceDateTo=2025-11-24&amp;DumpsterInvNr=13-L-316073", "13-L-316073")</f>
        <v>13-L-316073</v>
      </c>
      <c r="C9854">
        <v>1.1000000000000001</v>
      </c>
      <c r="D9854" t="s">
        <v>13218</v>
      </c>
      <c r="E9854" t="s">
        <v>11</v>
      </c>
      <c r="G9854" t="s">
        <v>9</v>
      </c>
      <c r="H9854" t="s">
        <v>14</v>
      </c>
    </row>
    <row r="9855" spans="1:10" hidden="1" x14ac:dyDescent="0.25">
      <c r="A9855" t="s">
        <v>13241</v>
      </c>
      <c r="B9855" s="1" t="str">
        <f>HYPERLINK("https://asmlis.vasa.lt/Dashboard/Served?ServiceDateFrom=2025-11-24&amp;ServiceDateTo=2025-11-24&amp;DumpsterInvNr=13-L-415134", "13-L-415134")</f>
        <v>13-L-415134</v>
      </c>
      <c r="C9855">
        <v>1.1000000000000001</v>
      </c>
      <c r="D9855" t="s">
        <v>11150</v>
      </c>
      <c r="E9855" t="s">
        <v>11</v>
      </c>
      <c r="G9855" t="s">
        <v>74</v>
      </c>
      <c r="H9855" t="s">
        <v>14</v>
      </c>
    </row>
    <row r="9856" spans="1:10" hidden="1" x14ac:dyDescent="0.25">
      <c r="A9856" t="s">
        <v>13244</v>
      </c>
      <c r="B9856" s="1" t="str">
        <f>HYPERLINK("https://asmlis.vasa.lt/Dashboard/Served?ServiceDateFrom=2025-11-24&amp;ServiceDateTo=2025-11-24&amp;DumpsterInvNr=13-L-147773", "13-L-147773")</f>
        <v>13-L-147773</v>
      </c>
      <c r="C9856">
        <v>0.24</v>
      </c>
      <c r="D9856" t="s">
        <v>13245</v>
      </c>
      <c r="E9856" t="s">
        <v>11</v>
      </c>
      <c r="G9856" t="s">
        <v>430</v>
      </c>
      <c r="H9856" t="s">
        <v>432</v>
      </c>
    </row>
    <row r="9857" spans="1:10" hidden="1" x14ac:dyDescent="0.25">
      <c r="A9857" t="s">
        <v>12964</v>
      </c>
      <c r="B9857" s="1" t="str">
        <f>HYPERLINK("https://asmlis.vasa.lt/Dashboard/Served?ServiceDateFrom=2025-11-24&amp;ServiceDateTo=2025-11-24&amp;DumpsterInvNr=13-L-221748", "13-L-221748")</f>
        <v>13-L-221748</v>
      </c>
      <c r="C9857">
        <v>1.1000000000000001</v>
      </c>
      <c r="D9857" t="s">
        <v>13246</v>
      </c>
      <c r="E9857" t="s">
        <v>11</v>
      </c>
      <c r="G9857" t="s">
        <v>936</v>
      </c>
      <c r="H9857" t="s">
        <v>938</v>
      </c>
    </row>
    <row r="9858" spans="1:10" hidden="1" x14ac:dyDescent="0.25">
      <c r="A9858" t="s">
        <v>12964</v>
      </c>
      <c r="B9858" s="1" t="str">
        <f>HYPERLINK("https://asmlis.vasa.lt/Dashboard/Served?ServiceDateFrom=2025-11-24&amp;ServiceDateTo=2025-11-24&amp;DumpsterInvNr=13-L-148809", "13-L-148809")</f>
        <v>13-L-148809</v>
      </c>
      <c r="C9858">
        <v>5</v>
      </c>
      <c r="D9858" t="s">
        <v>13247</v>
      </c>
      <c r="E9858" t="s">
        <v>11</v>
      </c>
      <c r="F9858" t="s">
        <v>13</v>
      </c>
      <c r="G9858" t="s">
        <v>1912</v>
      </c>
      <c r="H9858" t="s">
        <v>432</v>
      </c>
    </row>
    <row r="9859" spans="1:10" x14ac:dyDescent="0.25">
      <c r="A9859" t="s">
        <v>12964</v>
      </c>
      <c r="B9859" s="1" t="str">
        <f>HYPERLINK("https://asmlis.vasa.lt/Dashboard/Served?ServiceDateFrom=2025-11-24&amp;ServiceDateTo=2025-11-24&amp;DumpsterInvNr=13-P-114674", "13-P-114674")</f>
        <v>13-P-114674</v>
      </c>
      <c r="C9859">
        <v>0.24</v>
      </c>
      <c r="D9859" t="s">
        <v>13237</v>
      </c>
      <c r="E9859" t="s">
        <v>11</v>
      </c>
      <c r="F9859" t="s">
        <v>2556</v>
      </c>
      <c r="G9859" t="s">
        <v>1917</v>
      </c>
      <c r="H9859" t="s">
        <v>432</v>
      </c>
      <c r="J9859" t="s">
        <v>17511</v>
      </c>
    </row>
    <row r="9860" spans="1:10" hidden="1" x14ac:dyDescent="0.25">
      <c r="A9860" t="s">
        <v>12961</v>
      </c>
      <c r="B9860" s="1" t="str">
        <f>HYPERLINK("https://asmlis.vasa.lt/Dashboard/Served?ServiceDateFrom=2025-11-24&amp;ServiceDateTo=2025-11-24&amp;DumpsterInvNr=13-S-211497", "13-S-211497")</f>
        <v>13-S-211497</v>
      </c>
      <c r="C9860">
        <v>0.12</v>
      </c>
      <c r="D9860" t="s">
        <v>13140</v>
      </c>
      <c r="E9860" t="s">
        <v>11</v>
      </c>
      <c r="G9860" t="s">
        <v>234</v>
      </c>
      <c r="H9860" t="s">
        <v>14</v>
      </c>
    </row>
    <row r="9861" spans="1:10" hidden="1" x14ac:dyDescent="0.25">
      <c r="A9861" t="s">
        <v>13097</v>
      </c>
      <c r="B9861" s="1" t="str">
        <f>HYPERLINK("https://asmlis.vasa.lt/Dashboard/Served?ServiceDateFrom=2025-11-24&amp;ServiceDateTo=2025-11-24&amp;DumpsterInvNr=13-P-504876", "13-P-504876")</f>
        <v>13-P-504876</v>
      </c>
      <c r="C9861">
        <v>0.24</v>
      </c>
      <c r="D9861" t="s">
        <v>13245</v>
      </c>
      <c r="E9861" t="s">
        <v>11</v>
      </c>
      <c r="G9861" t="s">
        <v>2178</v>
      </c>
      <c r="H9861" t="s">
        <v>432</v>
      </c>
    </row>
    <row r="9862" spans="1:10" hidden="1" x14ac:dyDescent="0.25">
      <c r="A9862" t="s">
        <v>12966</v>
      </c>
      <c r="B9862" s="1" t="str">
        <f>HYPERLINK("https://asmlis.vasa.lt/Dashboard/Served?ServiceDateFrom=2025-11-24&amp;ServiceDateTo=2025-11-24&amp;DumpsterInvNr=13-P-414458", "13-P-414458")</f>
        <v>13-P-414458</v>
      </c>
      <c r="C9862">
        <v>0.24</v>
      </c>
      <c r="D9862" t="s">
        <v>13239</v>
      </c>
      <c r="E9862" t="s">
        <v>11</v>
      </c>
      <c r="F9862" t="s">
        <v>13249</v>
      </c>
      <c r="G9862" t="s">
        <v>264</v>
      </c>
      <c r="H9862" t="s">
        <v>14</v>
      </c>
      <c r="J9862" t="s">
        <v>17527</v>
      </c>
    </row>
    <row r="9863" spans="1:10" hidden="1" x14ac:dyDescent="0.25">
      <c r="A9863" t="s">
        <v>13134</v>
      </c>
      <c r="B9863" s="1" t="str">
        <f>HYPERLINK("https://asmlis.vasa.lt/Dashboard/Served?ServiceDateFrom=2025-11-24&amp;ServiceDateTo=2025-11-24&amp;DumpsterInvNr=13-M-204931", "13-M-204931")</f>
        <v>13-M-204931</v>
      </c>
      <c r="C9863">
        <v>0.12</v>
      </c>
      <c r="D9863" t="s">
        <v>13154</v>
      </c>
      <c r="E9863" t="s">
        <v>11</v>
      </c>
      <c r="G9863" t="s">
        <v>4876</v>
      </c>
      <c r="H9863" t="s">
        <v>938</v>
      </c>
    </row>
    <row r="9864" spans="1:10" hidden="1" x14ac:dyDescent="0.25">
      <c r="A9864" t="s">
        <v>13134</v>
      </c>
      <c r="B9864" s="1" t="str">
        <f>HYPERLINK("https://asmlis.vasa.lt/Dashboard/Served?ServiceDateFrom=2025-11-24&amp;ServiceDateTo=2025-11-24&amp;DumpsterInvNr=DGA-Ecoservice", "DGA-Ecoservice")</f>
        <v>DGA-Ecoservice</v>
      </c>
      <c r="C9864">
        <v>1</v>
      </c>
      <c r="D9864" t="s">
        <v>6930</v>
      </c>
      <c r="E9864" t="s">
        <v>12</v>
      </c>
      <c r="F9864" t="s">
        <v>13</v>
      </c>
      <c r="G9864" t="s">
        <v>13000</v>
      </c>
      <c r="H9864" t="s">
        <v>432</v>
      </c>
    </row>
    <row r="9865" spans="1:10" x14ac:dyDescent="0.25">
      <c r="A9865" t="s">
        <v>13080</v>
      </c>
      <c r="B9865" s="1" t="str">
        <f>HYPERLINK("https://asmlis.vasa.lt/Dashboard/Served?ServiceDateFrom=2025-11-24&amp;ServiceDateTo=2025-11-24&amp;DumpsterInvNr=13-S-102376", "13-S-102376")</f>
        <v>13-S-102376</v>
      </c>
      <c r="C9865">
        <v>0.12</v>
      </c>
      <c r="D9865" t="s">
        <v>13251</v>
      </c>
      <c r="E9865" t="s">
        <v>11</v>
      </c>
      <c r="F9865" t="s">
        <v>2556</v>
      </c>
      <c r="G9865" t="s">
        <v>1917</v>
      </c>
      <c r="H9865" t="s">
        <v>432</v>
      </c>
      <c r="J9865" t="s">
        <v>17511</v>
      </c>
    </row>
    <row r="9866" spans="1:10" hidden="1" x14ac:dyDescent="0.25">
      <c r="A9866" t="s">
        <v>13252</v>
      </c>
      <c r="B9866" s="1" t="str">
        <f>HYPERLINK("https://asmlis.vasa.lt/Dashboard/Served?ServiceDateFrom=2025-11-24&amp;ServiceDateTo=2025-11-24&amp;DumpsterInvNr=13-L-404295", "13-L-404295")</f>
        <v>13-L-404295</v>
      </c>
      <c r="C9866">
        <v>0.24</v>
      </c>
      <c r="D9866" t="s">
        <v>13253</v>
      </c>
      <c r="E9866" t="s">
        <v>11</v>
      </c>
      <c r="G9866" t="s">
        <v>74</v>
      </c>
      <c r="H9866" t="s">
        <v>14</v>
      </c>
    </row>
    <row r="9867" spans="1:10" hidden="1" x14ac:dyDescent="0.25">
      <c r="A9867" t="s">
        <v>13252</v>
      </c>
      <c r="B9867" s="1" t="str">
        <f>HYPERLINK("https://asmlis.vasa.lt/Dashboard/Served?ServiceDateFrom=2025-11-24&amp;ServiceDateTo=2025-11-24&amp;DumpsterInvNr=13-M-204952", "13-M-204952")</f>
        <v>13-M-204952</v>
      </c>
      <c r="C9867">
        <v>0.12</v>
      </c>
      <c r="D9867" t="s">
        <v>13159</v>
      </c>
      <c r="E9867" t="s">
        <v>11</v>
      </c>
      <c r="F9867" t="s">
        <v>1209</v>
      </c>
      <c r="G9867" t="s">
        <v>4876</v>
      </c>
      <c r="H9867" t="s">
        <v>938</v>
      </c>
    </row>
    <row r="9868" spans="1:10" hidden="1" x14ac:dyDescent="0.25">
      <c r="A9868" t="s">
        <v>13142</v>
      </c>
      <c r="B9868" s="1" t="str">
        <f>HYPERLINK("https://asmlis.vasa.lt/Dashboard/Served?ServiceDateFrom=2025-11-24&amp;ServiceDateTo=2025-11-24&amp;DumpsterInvNr=13-P-206356", "13-P-206356")</f>
        <v>13-P-206356</v>
      </c>
      <c r="C9868">
        <v>0.24</v>
      </c>
      <c r="D9868" t="s">
        <v>13141</v>
      </c>
      <c r="E9868" t="s">
        <v>11</v>
      </c>
      <c r="F9868" t="s">
        <v>1209</v>
      </c>
      <c r="G9868" t="s">
        <v>234</v>
      </c>
      <c r="H9868" t="s">
        <v>14</v>
      </c>
    </row>
    <row r="9869" spans="1:10" x14ac:dyDescent="0.25">
      <c r="A9869" t="s">
        <v>13153</v>
      </c>
      <c r="B9869" s="1" t="str">
        <f>HYPERLINK("https://asmlis.vasa.lt/Dashboard/Served?ServiceDateFrom=2025-11-24&amp;ServiceDateTo=2025-11-24&amp;DumpsterInvNr=13-P-101137", "13-P-101137")</f>
        <v>13-P-101137</v>
      </c>
      <c r="C9869">
        <v>0.12</v>
      </c>
      <c r="D9869" t="s">
        <v>13251</v>
      </c>
      <c r="E9869" t="s">
        <v>11</v>
      </c>
      <c r="F9869" t="s">
        <v>2556</v>
      </c>
      <c r="G9869" t="s">
        <v>1917</v>
      </c>
      <c r="H9869" t="s">
        <v>432</v>
      </c>
      <c r="J9869" t="s">
        <v>17511</v>
      </c>
    </row>
    <row r="9870" spans="1:10" hidden="1" x14ac:dyDescent="0.25">
      <c r="A9870" t="s">
        <v>13255</v>
      </c>
      <c r="B9870" s="1" t="str">
        <f>HYPERLINK("https://asmlis.vasa.lt/Dashboard/Served?ServiceDateFrom=2025-11-24&amp;ServiceDateTo=2025-11-24&amp;DumpsterInvNr=13-L-420394", "13-L-420394")</f>
        <v>13-L-420394</v>
      </c>
      <c r="C9870">
        <v>5</v>
      </c>
      <c r="D9870" t="s">
        <v>11188</v>
      </c>
      <c r="E9870" t="s">
        <v>11</v>
      </c>
      <c r="F9870" t="s">
        <v>13</v>
      </c>
      <c r="G9870" t="s">
        <v>74</v>
      </c>
      <c r="H9870" t="s">
        <v>14</v>
      </c>
    </row>
    <row r="9871" spans="1:10" hidden="1" x14ac:dyDescent="0.25">
      <c r="A9871" t="s">
        <v>13255</v>
      </c>
      <c r="B9871" s="1" t="str">
        <f>HYPERLINK("https://asmlis.vasa.lt/Dashboard/Served?ServiceDateFrom=2025-11-24&amp;ServiceDateTo=2025-11-24&amp;DumpsterInvNr=13-P-306051", "13-P-306051")</f>
        <v>13-P-306051</v>
      </c>
      <c r="C9871">
        <v>5</v>
      </c>
      <c r="D9871" t="s">
        <v>13256</v>
      </c>
      <c r="E9871" t="s">
        <v>11</v>
      </c>
      <c r="F9871" t="s">
        <v>13</v>
      </c>
      <c r="G9871" t="s">
        <v>412</v>
      </c>
      <c r="H9871" t="s">
        <v>14</v>
      </c>
    </row>
    <row r="9872" spans="1:10" hidden="1" x14ac:dyDescent="0.25">
      <c r="A9872" t="s">
        <v>13257</v>
      </c>
      <c r="B9872" s="1" t="str">
        <f>HYPERLINK("https://asmlis.vasa.lt/Dashboard/Served?ServiceDateFrom=2025-11-24&amp;ServiceDateTo=2025-11-24&amp;DumpsterInvNr=13-L-315605", "13-L-315605")</f>
        <v>13-L-315605</v>
      </c>
      <c r="C9872">
        <v>5</v>
      </c>
      <c r="D9872" t="s">
        <v>13201</v>
      </c>
      <c r="E9872" t="s">
        <v>11</v>
      </c>
      <c r="F9872" t="s">
        <v>13</v>
      </c>
      <c r="G9872" t="s">
        <v>9</v>
      </c>
      <c r="H9872" t="s">
        <v>14</v>
      </c>
    </row>
    <row r="9873" spans="1:10" hidden="1" x14ac:dyDescent="0.25">
      <c r="A9873" t="s">
        <v>13258</v>
      </c>
      <c r="B9873" s="1" t="str">
        <f>HYPERLINK("https://asmlis.vasa.lt/Dashboard/Served?ServiceDateFrom=2025-11-24&amp;ServiceDateTo=2025-11-24&amp;DumpsterInvNr=13-P-306052", "13-P-306052")</f>
        <v>13-P-306052</v>
      </c>
      <c r="C9873">
        <v>5</v>
      </c>
      <c r="D9873" t="s">
        <v>13256</v>
      </c>
      <c r="E9873" t="s">
        <v>11</v>
      </c>
      <c r="F9873" t="s">
        <v>13</v>
      </c>
      <c r="G9873" t="s">
        <v>412</v>
      </c>
      <c r="H9873" t="s">
        <v>14</v>
      </c>
    </row>
    <row r="9874" spans="1:10" hidden="1" x14ac:dyDescent="0.25">
      <c r="A9874" t="s">
        <v>13259</v>
      </c>
      <c r="B9874" s="1" t="str">
        <f>HYPERLINK("https://asmlis.vasa.lt/Dashboard/Served?ServiceDateFrom=2025-11-24&amp;ServiceDateTo=2025-11-24&amp;DumpsterInvNr=13-L-111204", "13-L-111204")</f>
        <v>13-L-111204</v>
      </c>
      <c r="C9874">
        <v>1.3</v>
      </c>
      <c r="D9874" t="s">
        <v>13260</v>
      </c>
      <c r="E9874" t="s">
        <v>11</v>
      </c>
      <c r="F9874" t="s">
        <v>13</v>
      </c>
      <c r="G9874" t="s">
        <v>430</v>
      </c>
      <c r="H9874" t="s">
        <v>432</v>
      </c>
    </row>
    <row r="9875" spans="1:10" x14ac:dyDescent="0.25">
      <c r="A9875" t="s">
        <v>13261</v>
      </c>
      <c r="B9875" s="1" t="str">
        <f>HYPERLINK("https://asmlis.vasa.lt/Dashboard/Served?ServiceDateFrom=2025-11-24&amp;ServiceDateTo=2025-11-24&amp;DumpsterInvNr=13-P-101102", "13-P-101102")</f>
        <v>13-P-101102</v>
      </c>
      <c r="C9875">
        <v>0.12</v>
      </c>
      <c r="D9875" t="s">
        <v>13262</v>
      </c>
      <c r="E9875" t="s">
        <v>11</v>
      </c>
      <c r="F9875" t="s">
        <v>2556</v>
      </c>
      <c r="G9875" t="s">
        <v>1917</v>
      </c>
      <c r="H9875" t="s">
        <v>432</v>
      </c>
      <c r="J9875" t="s">
        <v>17511</v>
      </c>
    </row>
    <row r="9876" spans="1:10" hidden="1" x14ac:dyDescent="0.25">
      <c r="A9876" t="s">
        <v>13263</v>
      </c>
      <c r="B9876" s="1" t="str">
        <f>HYPERLINK("https://asmlis.vasa.lt/Dashboard/Served?ServiceDateFrom=2025-11-24&amp;ServiceDateTo=2025-11-24&amp;DumpsterInvNr=13-L-111203", "13-L-111203")</f>
        <v>13-L-111203</v>
      </c>
      <c r="C9876">
        <v>1.3</v>
      </c>
      <c r="D9876" t="s">
        <v>13260</v>
      </c>
      <c r="E9876" t="s">
        <v>11</v>
      </c>
      <c r="F9876" t="s">
        <v>13</v>
      </c>
      <c r="G9876" t="s">
        <v>430</v>
      </c>
      <c r="H9876" t="s">
        <v>432</v>
      </c>
    </row>
    <row r="9877" spans="1:10" hidden="1" x14ac:dyDescent="0.25">
      <c r="A9877" t="s">
        <v>13264</v>
      </c>
      <c r="B9877" s="1" t="str">
        <f>HYPERLINK("https://asmlis.vasa.lt/Dashboard/Served?ServiceDateFrom=2025-11-24&amp;ServiceDateTo=2025-11-24&amp;DumpsterInvNr=13-L-111202", "13-L-111202")</f>
        <v>13-L-111202</v>
      </c>
      <c r="C9877">
        <v>1.3</v>
      </c>
      <c r="D9877" t="s">
        <v>13260</v>
      </c>
      <c r="E9877" t="s">
        <v>11</v>
      </c>
      <c r="F9877" t="s">
        <v>13</v>
      </c>
      <c r="G9877" t="s">
        <v>430</v>
      </c>
      <c r="H9877" t="s">
        <v>432</v>
      </c>
    </row>
    <row r="9878" spans="1:10" hidden="1" x14ac:dyDescent="0.25">
      <c r="A9878" t="s">
        <v>13265</v>
      </c>
      <c r="B9878" s="1" t="str">
        <f>HYPERLINK("https://asmlis.vasa.lt/Dashboard/Served?ServiceDateFrom=2025-11-24&amp;ServiceDateTo=2025-11-24&amp;DumpsterInvNr=13-P-207146", "13-P-207146")</f>
        <v>13-P-207146</v>
      </c>
      <c r="C9878">
        <v>0.24</v>
      </c>
      <c r="D9878" t="s">
        <v>13133</v>
      </c>
      <c r="E9878" t="s">
        <v>11</v>
      </c>
      <c r="G9878" t="s">
        <v>234</v>
      </c>
      <c r="H9878" t="s">
        <v>14</v>
      </c>
    </row>
    <row r="9879" spans="1:10" hidden="1" x14ac:dyDescent="0.25">
      <c r="A9879" t="s">
        <v>13267</v>
      </c>
      <c r="B9879" s="1" t="str">
        <f>HYPERLINK("https://asmlis.vasa.lt/Dashboard/Served?ServiceDateFrom=2025-11-24&amp;ServiceDateTo=2025-11-24&amp;DumpsterInvNr=13-L-212365", "13-L-212365")</f>
        <v>13-L-212365</v>
      </c>
      <c r="C9879">
        <v>1.1000000000000001</v>
      </c>
      <c r="D9879" t="s">
        <v>13246</v>
      </c>
      <c r="E9879" t="s">
        <v>11</v>
      </c>
      <c r="F9879" t="s">
        <v>13</v>
      </c>
      <c r="G9879" t="s">
        <v>936</v>
      </c>
      <c r="H9879" t="s">
        <v>938</v>
      </c>
    </row>
    <row r="9880" spans="1:10" x14ac:dyDescent="0.25">
      <c r="A9880" t="s">
        <v>13268</v>
      </c>
      <c r="B9880" s="1" t="str">
        <f>HYPERLINK("https://asmlis.vasa.lt/Dashboard/Served?ServiceDateFrom=2025-11-24&amp;ServiceDateTo=2025-11-24&amp;DumpsterInvNr=13-S-102378", "13-S-102378")</f>
        <v>13-S-102378</v>
      </c>
      <c r="C9880">
        <v>0.12</v>
      </c>
      <c r="D9880" t="s">
        <v>13262</v>
      </c>
      <c r="E9880" t="s">
        <v>11</v>
      </c>
      <c r="F9880" t="s">
        <v>2556</v>
      </c>
      <c r="G9880" t="s">
        <v>1917</v>
      </c>
      <c r="H9880" t="s">
        <v>432</v>
      </c>
      <c r="J9880" t="s">
        <v>17511</v>
      </c>
    </row>
    <row r="9881" spans="1:10" hidden="1" x14ac:dyDescent="0.25">
      <c r="A9881" t="s">
        <v>13270</v>
      </c>
      <c r="B9881" s="1" t="str">
        <f>HYPERLINK("https://asmlis.vasa.lt/Dashboard/Served?ServiceDateFrom=2025-11-24&amp;ServiceDateTo=2025-11-24&amp;DumpsterInvNr=13-L-424110", "13-L-424110")</f>
        <v>13-L-424110</v>
      </c>
      <c r="C9881">
        <v>5</v>
      </c>
      <c r="D9881" t="s">
        <v>5841</v>
      </c>
      <c r="E9881" t="s">
        <v>11</v>
      </c>
      <c r="G9881" t="s">
        <v>74</v>
      </c>
      <c r="H9881" t="s">
        <v>14</v>
      </c>
    </row>
    <row r="9882" spans="1:10" hidden="1" x14ac:dyDescent="0.25">
      <c r="A9882" t="s">
        <v>13269</v>
      </c>
      <c r="B9882" s="1" t="str">
        <f>HYPERLINK("https://asmlis.vasa.lt/Dashboard/Served?ServiceDateFrom=2025-11-24&amp;ServiceDateTo=2025-11-24&amp;DumpsterInvNr=13-L-317214", "13-L-317214")</f>
        <v>13-L-317214</v>
      </c>
      <c r="C9882">
        <v>0.66</v>
      </c>
      <c r="D9882" t="s">
        <v>13073</v>
      </c>
      <c r="E9882" t="s">
        <v>11</v>
      </c>
      <c r="F9882" t="s">
        <v>13</v>
      </c>
      <c r="G9882" t="s">
        <v>9</v>
      </c>
      <c r="H9882" t="s">
        <v>14</v>
      </c>
    </row>
    <row r="9883" spans="1:10" hidden="1" x14ac:dyDescent="0.25">
      <c r="A9883" t="s">
        <v>13269</v>
      </c>
      <c r="B9883" s="1" t="str">
        <f>HYPERLINK("https://asmlis.vasa.lt/Dashboard/Served?ServiceDateFrom=2025-11-24&amp;ServiceDateTo=2025-11-24&amp;DumpsterInvNr=13-P-206196", "13-P-206196")</f>
        <v>13-P-206196</v>
      </c>
      <c r="C9883">
        <v>0.24</v>
      </c>
      <c r="D9883" t="s">
        <v>13271</v>
      </c>
      <c r="E9883" t="s">
        <v>11</v>
      </c>
      <c r="G9883" t="s">
        <v>234</v>
      </c>
      <c r="H9883" t="s">
        <v>14</v>
      </c>
    </row>
    <row r="9884" spans="1:10" hidden="1" x14ac:dyDescent="0.25">
      <c r="A9884" t="s">
        <v>13272</v>
      </c>
      <c r="B9884" s="1" t="str">
        <f>HYPERLINK("https://asmlis.vasa.lt/Dashboard/Served?ServiceDateFrom=2025-11-24&amp;ServiceDateTo=2025-11-24&amp;DumpsterInvNr=13-L-145582", "13-L-145582")</f>
        <v>13-L-145582</v>
      </c>
      <c r="C9884">
        <v>5</v>
      </c>
      <c r="D9884" t="s">
        <v>13273</v>
      </c>
      <c r="E9884" t="s">
        <v>11</v>
      </c>
      <c r="F9884" t="s">
        <v>13</v>
      </c>
      <c r="G9884" t="s">
        <v>430</v>
      </c>
      <c r="H9884" t="s">
        <v>432</v>
      </c>
    </row>
    <row r="9885" spans="1:10" x14ac:dyDescent="0.25">
      <c r="A9885" t="s">
        <v>13275</v>
      </c>
      <c r="B9885" s="1" t="str">
        <f>HYPERLINK("https://asmlis.vasa.lt/Dashboard/Served?ServiceDateFrom=2025-11-24&amp;ServiceDateTo=2025-11-24&amp;DumpsterInvNr=13-L-102691", "13-L-102691")</f>
        <v>13-L-102691</v>
      </c>
      <c r="C9885">
        <v>0.24</v>
      </c>
      <c r="D9885" t="s">
        <v>13237</v>
      </c>
      <c r="E9885" t="s">
        <v>11</v>
      </c>
      <c r="F9885" t="s">
        <v>2556</v>
      </c>
      <c r="G9885" t="s">
        <v>1912</v>
      </c>
      <c r="H9885" t="s">
        <v>432</v>
      </c>
      <c r="J9885" t="s">
        <v>17511</v>
      </c>
    </row>
    <row r="9886" spans="1:10" hidden="1" x14ac:dyDescent="0.25">
      <c r="A9886" t="s">
        <v>13277</v>
      </c>
      <c r="B9886" s="1" t="str">
        <f>HYPERLINK("https://asmlis.vasa.lt/Dashboard/Served?ServiceDateFrom=2025-11-24&amp;ServiceDateTo=2025-11-24&amp;DumpsterInvNr=13-L-315949", "13-L-315949")</f>
        <v>13-L-315949</v>
      </c>
      <c r="C9886">
        <v>1.1000000000000001</v>
      </c>
      <c r="D9886" t="s">
        <v>10525</v>
      </c>
      <c r="E9886" t="s">
        <v>11</v>
      </c>
      <c r="F9886" t="s">
        <v>13</v>
      </c>
      <c r="G9886" t="s">
        <v>9</v>
      </c>
      <c r="H9886" t="s">
        <v>14</v>
      </c>
    </row>
    <row r="9887" spans="1:10" hidden="1" x14ac:dyDescent="0.25">
      <c r="A9887" t="s">
        <v>13277</v>
      </c>
      <c r="B9887" s="1" t="str">
        <f>HYPERLINK("https://asmlis.vasa.lt/Dashboard/Served?ServiceDateFrom=2025-11-24&amp;ServiceDateTo=2025-11-24&amp;DumpsterInvNr=13-M-202455", "13-M-202455")</f>
        <v>13-M-202455</v>
      </c>
      <c r="C9887">
        <v>0.12</v>
      </c>
      <c r="D9887" t="s">
        <v>13167</v>
      </c>
      <c r="E9887" t="s">
        <v>11</v>
      </c>
      <c r="G9887" t="s">
        <v>4876</v>
      </c>
      <c r="H9887" t="s">
        <v>938</v>
      </c>
    </row>
    <row r="9888" spans="1:10" hidden="1" x14ac:dyDescent="0.25">
      <c r="A9888" t="s">
        <v>13278</v>
      </c>
      <c r="B9888" s="1" t="str">
        <f>HYPERLINK("https://asmlis.vasa.lt/Dashboard/Served?ServiceDateFrom=2025-11-24&amp;ServiceDateTo=2025-11-24&amp;DumpsterInvNr=13-S-209162", "13-S-209162")</f>
        <v>13-S-209162</v>
      </c>
      <c r="C9888">
        <v>0.12</v>
      </c>
      <c r="D9888" t="s">
        <v>13133</v>
      </c>
      <c r="E9888" t="s">
        <v>11</v>
      </c>
      <c r="F9888" t="s">
        <v>1209</v>
      </c>
      <c r="G9888" t="s">
        <v>234</v>
      </c>
      <c r="H9888" t="s">
        <v>14</v>
      </c>
    </row>
    <row r="9889" spans="1:10" hidden="1" x14ac:dyDescent="0.25">
      <c r="A9889" t="s">
        <v>13279</v>
      </c>
      <c r="B9889" s="1" t="str">
        <f>HYPERLINK("https://asmlis.vasa.lt/Dashboard/Served?ServiceDateFrom=2025-11-24&amp;ServiceDateTo=2025-11-24&amp;DumpsterInvNr=13-L-309261", "13-L-309261")</f>
        <v>13-L-309261</v>
      </c>
      <c r="C9889">
        <v>0.24</v>
      </c>
      <c r="D9889" t="s">
        <v>13161</v>
      </c>
      <c r="E9889" t="s">
        <v>11</v>
      </c>
      <c r="F9889" t="s">
        <v>13</v>
      </c>
      <c r="G9889" t="s">
        <v>9</v>
      </c>
      <c r="H9889" t="s">
        <v>14</v>
      </c>
    </row>
    <row r="9890" spans="1:10" hidden="1" x14ac:dyDescent="0.25">
      <c r="A9890" t="s">
        <v>13280</v>
      </c>
      <c r="B9890" s="1" t="str">
        <f>HYPERLINK("https://asmlis.vasa.lt/Dashboard/Served?ServiceDateFrom=2025-11-24&amp;ServiceDateTo=2025-11-24&amp;DumpsterInvNr=13-P-102447", "13-P-102447")</f>
        <v>13-P-102447</v>
      </c>
      <c r="C9890">
        <v>5</v>
      </c>
      <c r="D9890" t="s">
        <v>13281</v>
      </c>
      <c r="E9890" t="s">
        <v>11</v>
      </c>
      <c r="F9890" t="s">
        <v>13</v>
      </c>
      <c r="G9890" t="s">
        <v>1917</v>
      </c>
      <c r="H9890" t="s">
        <v>432</v>
      </c>
    </row>
    <row r="9891" spans="1:10" hidden="1" x14ac:dyDescent="0.25">
      <c r="A9891" t="s">
        <v>13276</v>
      </c>
      <c r="B9891" s="1" t="str">
        <f>HYPERLINK("https://asmlis.vasa.lt/Dashboard/Served?ServiceDateFrom=2025-11-24&amp;ServiceDateTo=2025-11-24&amp;DumpsterInvNr=13-S-204537", "13-S-204537")</f>
        <v>13-S-204537</v>
      </c>
      <c r="C9891">
        <v>0.12</v>
      </c>
      <c r="D9891" t="s">
        <v>13271</v>
      </c>
      <c r="E9891" t="s">
        <v>11</v>
      </c>
      <c r="F9891" t="s">
        <v>1209</v>
      </c>
      <c r="G9891" t="s">
        <v>234</v>
      </c>
      <c r="H9891" t="s">
        <v>14</v>
      </c>
    </row>
    <row r="9892" spans="1:10" x14ac:dyDescent="0.25">
      <c r="A9892" t="s">
        <v>13282</v>
      </c>
      <c r="B9892" s="1" t="str">
        <f>HYPERLINK("https://asmlis.vasa.lt/Dashboard/Served?ServiceDateFrom=2025-11-24&amp;ServiceDateTo=2025-11-24&amp;DumpsterInvNr=13-P-114675", "13-P-114675")</f>
        <v>13-P-114675</v>
      </c>
      <c r="C9892">
        <v>0.24</v>
      </c>
      <c r="D9892" t="s">
        <v>13237</v>
      </c>
      <c r="E9892" t="s">
        <v>11</v>
      </c>
      <c r="F9892" t="s">
        <v>2556</v>
      </c>
      <c r="G9892" t="s">
        <v>1917</v>
      </c>
      <c r="H9892" t="s">
        <v>432</v>
      </c>
      <c r="J9892" t="s">
        <v>17511</v>
      </c>
    </row>
    <row r="9893" spans="1:10" hidden="1" x14ac:dyDescent="0.25">
      <c r="A9893" t="s">
        <v>13283</v>
      </c>
      <c r="B9893" s="1" t="str">
        <f>HYPERLINK("https://asmlis.vasa.lt/Dashboard/Served?ServiceDateFrom=2025-11-24&amp;ServiceDateTo=2025-11-24&amp;DumpsterInvNr=13-L-139385", "13-L-139385")</f>
        <v>13-L-139385</v>
      </c>
      <c r="C9893">
        <v>0.24</v>
      </c>
      <c r="D9893" t="s">
        <v>13284</v>
      </c>
      <c r="E9893" t="s">
        <v>11</v>
      </c>
      <c r="G9893" t="s">
        <v>430</v>
      </c>
      <c r="H9893" t="s">
        <v>432</v>
      </c>
    </row>
    <row r="9894" spans="1:10" hidden="1" x14ac:dyDescent="0.25">
      <c r="A9894" t="s">
        <v>13283</v>
      </c>
      <c r="B9894" s="1" t="str">
        <f>HYPERLINK("https://asmlis.vasa.lt/Dashboard/Served?ServiceDateFrom=2025-11-24&amp;ServiceDateTo=2025-11-24&amp;DumpsterInvNr=13-P-501916", "13-P-501916")</f>
        <v>13-P-501916</v>
      </c>
      <c r="C9894">
        <v>0.24</v>
      </c>
      <c r="D9894" t="s">
        <v>13284</v>
      </c>
      <c r="E9894" t="s">
        <v>11</v>
      </c>
      <c r="G9894" t="s">
        <v>2178</v>
      </c>
      <c r="H9894" t="s">
        <v>432</v>
      </c>
    </row>
    <row r="9895" spans="1:10" hidden="1" x14ac:dyDescent="0.25">
      <c r="A9895" t="s">
        <v>13286</v>
      </c>
      <c r="B9895" s="1" t="str">
        <f>HYPERLINK("https://asmlis.vasa.lt/Dashboard/Served?ServiceDateFrom=2025-11-24&amp;ServiceDateTo=2025-11-24&amp;DumpsterInvNr=13-L-306845", "13-L-306845")</f>
        <v>13-L-306845</v>
      </c>
      <c r="C9895">
        <v>0.24</v>
      </c>
      <c r="D9895" t="s">
        <v>13161</v>
      </c>
      <c r="E9895" t="s">
        <v>11</v>
      </c>
      <c r="F9895" t="s">
        <v>13</v>
      </c>
      <c r="G9895" t="s">
        <v>9</v>
      </c>
      <c r="H9895" t="s">
        <v>14</v>
      </c>
    </row>
    <row r="9896" spans="1:10" hidden="1" x14ac:dyDescent="0.25">
      <c r="A9896" t="s">
        <v>13286</v>
      </c>
      <c r="B9896" s="1" t="str">
        <f>HYPERLINK("https://asmlis.vasa.lt/Dashboard/Served?ServiceDateFrom=2025-11-24&amp;ServiceDateTo=2025-11-24&amp;DumpsterInvNr=13-L-424564", "13-L-424564")</f>
        <v>13-L-424564</v>
      </c>
      <c r="C9896">
        <v>0.12</v>
      </c>
      <c r="D9896" t="s">
        <v>8528</v>
      </c>
      <c r="E9896" t="s">
        <v>11</v>
      </c>
      <c r="F9896" t="s">
        <v>712</v>
      </c>
      <c r="G9896" t="s">
        <v>74</v>
      </c>
      <c r="H9896" t="s">
        <v>14</v>
      </c>
    </row>
    <row r="9897" spans="1:10" x14ac:dyDescent="0.25">
      <c r="A9897" t="s">
        <v>13287</v>
      </c>
      <c r="B9897" s="1" t="str">
        <f>HYPERLINK("https://asmlis.vasa.lt/Dashboard/Served?ServiceDateFrom=2025-11-24&amp;ServiceDateTo=2025-11-24&amp;DumpsterInvNr=13-L-111243", "13-L-111243")</f>
        <v>13-L-111243</v>
      </c>
      <c r="C9897">
        <v>0.24</v>
      </c>
      <c r="D9897" t="s">
        <v>13251</v>
      </c>
      <c r="E9897" t="s">
        <v>11</v>
      </c>
      <c r="F9897" t="s">
        <v>2556</v>
      </c>
      <c r="G9897" t="s">
        <v>1912</v>
      </c>
      <c r="H9897" t="s">
        <v>432</v>
      </c>
      <c r="J9897" t="s">
        <v>17511</v>
      </c>
    </row>
    <row r="9898" spans="1:10" hidden="1" x14ac:dyDescent="0.25">
      <c r="A9898" t="s">
        <v>13288</v>
      </c>
      <c r="B9898" s="1" t="str">
        <f>HYPERLINK("https://asmlis.vasa.lt/Dashboard/Served?ServiceDateFrom=2025-11-24&amp;ServiceDateTo=2025-11-24&amp;DumpsterInvNr=13-P-500658", "13-P-500658")</f>
        <v>13-P-500658</v>
      </c>
      <c r="C9898">
        <v>5</v>
      </c>
      <c r="D9898" t="s">
        <v>13289</v>
      </c>
      <c r="E9898" t="s">
        <v>11</v>
      </c>
      <c r="F9898" t="s">
        <v>13</v>
      </c>
      <c r="G9898" t="s">
        <v>2178</v>
      </c>
      <c r="H9898" t="s">
        <v>432</v>
      </c>
    </row>
    <row r="9899" spans="1:10" hidden="1" x14ac:dyDescent="0.25">
      <c r="A9899" t="s">
        <v>13290</v>
      </c>
      <c r="B9899" s="1" t="str">
        <f>HYPERLINK("https://asmlis.vasa.lt/Dashboard/Served?ServiceDateFrom=2025-11-24&amp;ServiceDateTo=2025-11-24&amp;DumpsterInvNr=13-L-420910", "13-L-420910")</f>
        <v>13-L-420910</v>
      </c>
      <c r="C9899">
        <v>5</v>
      </c>
      <c r="D9899" t="s">
        <v>11135</v>
      </c>
      <c r="E9899" t="s">
        <v>11</v>
      </c>
      <c r="F9899" t="s">
        <v>13</v>
      </c>
      <c r="G9899" t="s">
        <v>74</v>
      </c>
      <c r="H9899" t="s">
        <v>14</v>
      </c>
    </row>
    <row r="9900" spans="1:10" hidden="1" x14ac:dyDescent="0.25">
      <c r="A9900" t="s">
        <v>13290</v>
      </c>
      <c r="B9900" s="1" t="str">
        <f>HYPERLINK("https://asmlis.vasa.lt/Dashboard/Served?ServiceDateFrom=2025-11-24&amp;ServiceDateTo=2025-11-24&amp;DumpsterInvNr=13-L-124322", "13-L-124322")</f>
        <v>13-L-124322</v>
      </c>
      <c r="C9900">
        <v>1.1000000000000001</v>
      </c>
      <c r="D9900" t="s">
        <v>13291</v>
      </c>
      <c r="E9900" t="s">
        <v>11</v>
      </c>
      <c r="G9900" t="s">
        <v>430</v>
      </c>
      <c r="H9900" t="s">
        <v>432</v>
      </c>
    </row>
    <row r="9901" spans="1:10" hidden="1" x14ac:dyDescent="0.25">
      <c r="A9901" t="s">
        <v>13293</v>
      </c>
      <c r="B9901" s="1" t="str">
        <f>HYPERLINK("https://asmlis.vasa.lt/Dashboard/Served?ServiceDateFrom=2025-11-24&amp;ServiceDateTo=2025-11-24&amp;DumpsterInvNr=13-P-405419", "13-P-405419")</f>
        <v>13-P-405419</v>
      </c>
      <c r="C9901">
        <v>5</v>
      </c>
      <c r="D9901" t="s">
        <v>6638</v>
      </c>
      <c r="E9901" t="s">
        <v>11</v>
      </c>
      <c r="G9901" t="s">
        <v>264</v>
      </c>
      <c r="H9901" t="s">
        <v>14</v>
      </c>
    </row>
    <row r="9902" spans="1:10" x14ac:dyDescent="0.25">
      <c r="A9902" t="s">
        <v>13294</v>
      </c>
      <c r="B9902" s="1" t="str">
        <f>HYPERLINK("https://asmlis.vasa.lt/Dashboard/Served?ServiceDateFrom=2025-11-24&amp;ServiceDateTo=2025-11-24&amp;DumpsterInvNr=13-L-131675", "13-L-131675")</f>
        <v>13-L-131675</v>
      </c>
      <c r="C9902">
        <v>0.12</v>
      </c>
      <c r="D9902" t="s">
        <v>13262</v>
      </c>
      <c r="E9902" t="s">
        <v>11</v>
      </c>
      <c r="F9902" t="s">
        <v>2556</v>
      </c>
      <c r="G9902" t="s">
        <v>1912</v>
      </c>
      <c r="H9902" t="s">
        <v>432</v>
      </c>
      <c r="J9902" t="s">
        <v>17511</v>
      </c>
    </row>
    <row r="9903" spans="1:10" hidden="1" x14ac:dyDescent="0.25">
      <c r="A9903" t="s">
        <v>13294</v>
      </c>
      <c r="B9903" s="1" t="str">
        <f>HYPERLINK("https://asmlis.vasa.lt/Dashboard/Served?ServiceDateFrom=2025-11-24&amp;ServiceDateTo=2025-11-24&amp;DumpsterInvNr=13-T-000257", "13-T-000257")</f>
        <v>13-T-000257</v>
      </c>
      <c r="C9903">
        <v>2.5</v>
      </c>
      <c r="D9903" t="s">
        <v>10188</v>
      </c>
      <c r="E9903" t="s">
        <v>11</v>
      </c>
      <c r="F9903" t="s">
        <v>13</v>
      </c>
      <c r="G9903" t="s">
        <v>1899</v>
      </c>
      <c r="H9903" t="s">
        <v>432</v>
      </c>
    </row>
    <row r="9904" spans="1:10" hidden="1" x14ac:dyDescent="0.25">
      <c r="A9904" t="s">
        <v>13296</v>
      </c>
      <c r="B9904" s="1" t="str">
        <f>HYPERLINK("https://asmlis.vasa.lt/Dashboard/Served?ServiceDateFrom=2025-11-24&amp;ServiceDateTo=2025-11-24&amp;DumpsterInvNr=13-P-211735", "13-P-211735")</f>
        <v>13-P-211735</v>
      </c>
      <c r="C9904">
        <v>0.24</v>
      </c>
      <c r="D9904" t="s">
        <v>12772</v>
      </c>
      <c r="E9904" t="s">
        <v>11</v>
      </c>
      <c r="G9904" t="s">
        <v>234</v>
      </c>
      <c r="H9904" t="s">
        <v>14</v>
      </c>
    </row>
    <row r="9905" spans="1:10" hidden="1" x14ac:dyDescent="0.25">
      <c r="A9905" t="s">
        <v>13297</v>
      </c>
      <c r="B9905" s="1" t="str">
        <f>HYPERLINK("https://asmlis.vasa.lt/Dashboard/Served?ServiceDateFrom=2025-11-24&amp;ServiceDateTo=2025-11-24&amp;DumpsterInvNr=13-L-121909", "13-L-121909")</f>
        <v>13-L-121909</v>
      </c>
      <c r="C9905">
        <v>1.1000000000000001</v>
      </c>
      <c r="D9905" t="s">
        <v>13298</v>
      </c>
      <c r="E9905" t="s">
        <v>11</v>
      </c>
      <c r="G9905" t="s">
        <v>430</v>
      </c>
      <c r="H9905" t="s">
        <v>432</v>
      </c>
    </row>
    <row r="9906" spans="1:10" hidden="1" x14ac:dyDescent="0.25">
      <c r="A9906" t="s">
        <v>13295</v>
      </c>
      <c r="B9906" s="1" t="str">
        <f>HYPERLINK("https://asmlis.vasa.lt/Dashboard/Served?ServiceDateFrom=2025-11-24&amp;ServiceDateTo=2025-11-24&amp;DumpsterInvNr=13-L-424479", "13-L-424479")</f>
        <v>13-L-424479</v>
      </c>
      <c r="C9906">
        <v>0.24</v>
      </c>
      <c r="D9906" t="s">
        <v>1049</v>
      </c>
      <c r="E9906" t="s">
        <v>11</v>
      </c>
      <c r="F9906" t="s">
        <v>1209</v>
      </c>
      <c r="G9906" t="s">
        <v>74</v>
      </c>
      <c r="H9906" t="s">
        <v>14</v>
      </c>
    </row>
    <row r="9907" spans="1:10" hidden="1" x14ac:dyDescent="0.25">
      <c r="A9907" t="s">
        <v>13300</v>
      </c>
      <c r="B9907" s="1" t="str">
        <f>HYPERLINK("https://asmlis.vasa.lt/Dashboard/Served?ServiceDateFrom=2025-11-24&amp;ServiceDateTo=2025-11-24&amp;DumpsterInvNr=13-P-500233", "13-P-500233")</f>
        <v>13-P-500233</v>
      </c>
      <c r="C9907">
        <v>5</v>
      </c>
      <c r="D9907" t="s">
        <v>13301</v>
      </c>
      <c r="E9907" t="s">
        <v>11</v>
      </c>
      <c r="F9907" t="s">
        <v>13</v>
      </c>
      <c r="G9907" t="s">
        <v>2178</v>
      </c>
      <c r="H9907" t="s">
        <v>432</v>
      </c>
    </row>
    <row r="9908" spans="1:10" x14ac:dyDescent="0.25">
      <c r="A9908" t="s">
        <v>13302</v>
      </c>
      <c r="B9908" s="1" t="str">
        <f>HYPERLINK("https://asmlis.vasa.lt/Dashboard/Served?ServiceDateFrom=2025-11-24&amp;ServiceDateTo=2025-11-24&amp;DumpsterInvNr=13-L-102689", "13-L-102689")</f>
        <v>13-L-102689</v>
      </c>
      <c r="C9908">
        <v>0.12</v>
      </c>
      <c r="D9908" t="s">
        <v>13262</v>
      </c>
      <c r="E9908" t="s">
        <v>11</v>
      </c>
      <c r="F9908" t="s">
        <v>2556</v>
      </c>
      <c r="G9908" t="s">
        <v>1912</v>
      </c>
      <c r="H9908" t="s">
        <v>432</v>
      </c>
      <c r="J9908" t="s">
        <v>17511</v>
      </c>
    </row>
    <row r="9909" spans="1:10" hidden="1" x14ac:dyDescent="0.25">
      <c r="A9909" t="s">
        <v>13303</v>
      </c>
      <c r="B9909" s="1" t="str">
        <f>HYPERLINK("https://asmlis.vasa.lt/Dashboard/Served?ServiceDateFrom=2025-11-24&amp;ServiceDateTo=2025-11-24&amp;DumpsterInvNr=13-L-404293", "13-L-404293")</f>
        <v>13-L-404293</v>
      </c>
      <c r="C9909">
        <v>0.12</v>
      </c>
      <c r="D9909" t="s">
        <v>8196</v>
      </c>
      <c r="E9909" t="s">
        <v>11</v>
      </c>
      <c r="G9909" t="s">
        <v>74</v>
      </c>
      <c r="H9909" t="s">
        <v>14</v>
      </c>
    </row>
    <row r="9910" spans="1:10" hidden="1" x14ac:dyDescent="0.25">
      <c r="A9910" t="s">
        <v>13304</v>
      </c>
      <c r="B9910" s="1" t="str">
        <f>HYPERLINK("https://asmlis.vasa.lt/Dashboard/Served?ServiceDateFrom=2025-11-24&amp;ServiceDateTo=2025-11-24&amp;DumpsterInvNr=13-T-000253", "13-T-000253")</f>
        <v>13-T-000253</v>
      </c>
      <c r="C9910">
        <v>2.5</v>
      </c>
      <c r="D9910" t="s">
        <v>10188</v>
      </c>
      <c r="E9910" t="s">
        <v>11</v>
      </c>
      <c r="F9910" t="s">
        <v>13</v>
      </c>
      <c r="G9910" t="s">
        <v>1899</v>
      </c>
      <c r="H9910" t="s">
        <v>432</v>
      </c>
    </row>
    <row r="9911" spans="1:10" x14ac:dyDescent="0.25">
      <c r="A9911" t="s">
        <v>13304</v>
      </c>
      <c r="B9911" s="1" t="str">
        <f>HYPERLINK("https://asmlis.vasa.lt/Dashboard/Served?ServiceDateFrom=2025-11-24&amp;ServiceDateTo=2025-11-24&amp;DumpsterInvNr=13-P-112047", "13-P-112047")</f>
        <v>13-P-112047</v>
      </c>
      <c r="C9911">
        <v>0.24</v>
      </c>
      <c r="D9911" t="s">
        <v>13305</v>
      </c>
      <c r="E9911" t="s">
        <v>11</v>
      </c>
      <c r="F9911" t="s">
        <v>2556</v>
      </c>
      <c r="G9911" t="s">
        <v>1917</v>
      </c>
      <c r="H9911" t="s">
        <v>432</v>
      </c>
      <c r="J9911" t="s">
        <v>17511</v>
      </c>
    </row>
    <row r="9912" spans="1:10" hidden="1" x14ac:dyDescent="0.25">
      <c r="A9912" t="s">
        <v>13306</v>
      </c>
      <c r="B9912" s="1" t="str">
        <f>HYPERLINK("https://asmlis.vasa.lt/Dashboard/Served?ServiceDateFrom=2025-11-24&amp;ServiceDateTo=2025-11-24&amp;DumpsterInvNr=13-P-404038", "13-P-404038")</f>
        <v>13-P-404038</v>
      </c>
      <c r="C9912">
        <v>0.24</v>
      </c>
      <c r="D9912" t="s">
        <v>13307</v>
      </c>
      <c r="E9912" t="s">
        <v>11</v>
      </c>
      <c r="G9912" t="s">
        <v>264</v>
      </c>
      <c r="H9912" t="s">
        <v>14</v>
      </c>
    </row>
    <row r="9913" spans="1:10" x14ac:dyDescent="0.25">
      <c r="A9913" t="s">
        <v>13308</v>
      </c>
      <c r="B9913" s="1" t="str">
        <f>HYPERLINK("https://asmlis.vasa.lt/Dashboard/Served?ServiceDateFrom=2025-11-24&amp;ServiceDateTo=2025-11-24&amp;DumpsterInvNr=13-S-106994", "13-S-106994")</f>
        <v>13-S-106994</v>
      </c>
      <c r="C9913">
        <v>0.12</v>
      </c>
      <c r="D9913" t="s">
        <v>13305</v>
      </c>
      <c r="E9913" t="s">
        <v>11</v>
      </c>
      <c r="F9913" t="s">
        <v>2556</v>
      </c>
      <c r="G9913" t="s">
        <v>1917</v>
      </c>
      <c r="H9913" t="s">
        <v>432</v>
      </c>
      <c r="J9913" t="s">
        <v>17511</v>
      </c>
    </row>
    <row r="9914" spans="1:10" hidden="1" x14ac:dyDescent="0.25">
      <c r="A9914" t="s">
        <v>13309</v>
      </c>
      <c r="B9914" s="1" t="str">
        <f>HYPERLINK("https://asmlis.vasa.lt/Dashboard/Served?ServiceDateFrom=2025-11-24&amp;ServiceDateTo=2025-11-24&amp;DumpsterInvNr=13-L-304389", "13-L-304389")</f>
        <v>13-L-304389</v>
      </c>
      <c r="C9914">
        <v>5</v>
      </c>
      <c r="D9914" t="s">
        <v>13310</v>
      </c>
      <c r="E9914" t="s">
        <v>11</v>
      </c>
      <c r="F9914" t="s">
        <v>13</v>
      </c>
      <c r="G9914" t="s">
        <v>9</v>
      </c>
      <c r="H9914" t="s">
        <v>14</v>
      </c>
    </row>
    <row r="9915" spans="1:10" x14ac:dyDescent="0.25">
      <c r="A9915" t="s">
        <v>13309</v>
      </c>
      <c r="B9915" s="1" t="str">
        <f>HYPERLINK("https://asmlis.vasa.lt/Dashboard/Served?ServiceDateFrom=2025-11-24&amp;ServiceDateTo=2025-11-24&amp;DumpsterInvNr=13-L-120390", "13-L-120390")</f>
        <v>13-L-120390</v>
      </c>
      <c r="C9915">
        <v>0.12</v>
      </c>
      <c r="D9915" t="s">
        <v>13305</v>
      </c>
      <c r="E9915" t="s">
        <v>11</v>
      </c>
      <c r="F9915" t="s">
        <v>2556</v>
      </c>
      <c r="G9915" t="s">
        <v>1912</v>
      </c>
      <c r="H9915" t="s">
        <v>432</v>
      </c>
      <c r="J9915" t="s">
        <v>17511</v>
      </c>
    </row>
    <row r="9916" spans="1:10" hidden="1" x14ac:dyDescent="0.25">
      <c r="A9916" t="s">
        <v>13311</v>
      </c>
      <c r="B9916" s="1" t="str">
        <f>HYPERLINK("https://asmlis.vasa.lt/Dashboard/Served?ServiceDateFrom=2025-11-24&amp;ServiceDateTo=2025-11-24&amp;DumpsterInvNr=13-L-426516", "13-L-426516")</f>
        <v>13-L-426516</v>
      </c>
      <c r="C9916">
        <v>0.12</v>
      </c>
      <c r="D9916" t="s">
        <v>8195</v>
      </c>
      <c r="E9916" t="s">
        <v>11</v>
      </c>
      <c r="G9916" t="s">
        <v>74</v>
      </c>
      <c r="H9916" t="s">
        <v>14</v>
      </c>
    </row>
    <row r="9917" spans="1:10" hidden="1" x14ac:dyDescent="0.25">
      <c r="A9917" t="s">
        <v>13311</v>
      </c>
      <c r="B9917" s="1" t="str">
        <f>HYPERLINK("https://asmlis.vasa.lt/Dashboard/Served?ServiceDateFrom=2025-11-24&amp;ServiceDateTo=2025-11-24&amp;DumpsterInvNr=13-L-404292", "13-L-404292")</f>
        <v>13-L-404292</v>
      </c>
      <c r="C9917">
        <v>0.12</v>
      </c>
      <c r="D9917" t="s">
        <v>8191</v>
      </c>
      <c r="E9917" t="s">
        <v>11</v>
      </c>
      <c r="G9917" t="s">
        <v>74</v>
      </c>
      <c r="H9917" t="s">
        <v>14</v>
      </c>
    </row>
    <row r="9918" spans="1:10" hidden="1" x14ac:dyDescent="0.25">
      <c r="A9918" t="s">
        <v>13312</v>
      </c>
      <c r="B9918" s="1" t="str">
        <f>HYPERLINK("https://asmlis.vasa.lt/Dashboard/Served?ServiceDateFrom=2025-11-24&amp;ServiceDateTo=2025-11-24&amp;DumpsterInvNr=13-P-210369", "13-P-210369")</f>
        <v>13-P-210369</v>
      </c>
      <c r="C9918">
        <v>0.24</v>
      </c>
      <c r="D9918" t="s">
        <v>12810</v>
      </c>
      <c r="E9918" t="s">
        <v>11</v>
      </c>
      <c r="G9918" t="s">
        <v>234</v>
      </c>
      <c r="H9918" t="s">
        <v>14</v>
      </c>
    </row>
    <row r="9919" spans="1:10" hidden="1" x14ac:dyDescent="0.25">
      <c r="A9919" t="s">
        <v>13313</v>
      </c>
      <c r="B9919" s="1" t="str">
        <f>HYPERLINK("https://asmlis.vasa.lt/Dashboard/Served?ServiceDateFrom=2025-11-24&amp;ServiceDateTo=2025-11-24&amp;DumpsterInvNr=13-P-206248", "13-P-206248")</f>
        <v>13-P-206248</v>
      </c>
      <c r="C9919">
        <v>0.24</v>
      </c>
      <c r="D9919" t="s">
        <v>12808</v>
      </c>
      <c r="E9919" t="s">
        <v>11</v>
      </c>
      <c r="G9919" t="s">
        <v>234</v>
      </c>
      <c r="H9919" t="s">
        <v>14</v>
      </c>
    </row>
    <row r="9920" spans="1:10" hidden="1" x14ac:dyDescent="0.25">
      <c r="A9920" t="s">
        <v>13313</v>
      </c>
      <c r="B9920" s="1" t="str">
        <f>HYPERLINK("https://asmlis.vasa.lt/Dashboard/Served?ServiceDateFrom=2025-11-24&amp;ServiceDateTo=2025-11-24&amp;DumpsterInvNr=13-P-210370", "13-P-210370")</f>
        <v>13-P-210370</v>
      </c>
      <c r="C9920">
        <v>0.24</v>
      </c>
      <c r="D9920" t="s">
        <v>12831</v>
      </c>
      <c r="E9920" t="s">
        <v>11</v>
      </c>
      <c r="G9920" t="s">
        <v>234</v>
      </c>
      <c r="H9920" t="s">
        <v>14</v>
      </c>
    </row>
    <row r="9921" spans="1:10" hidden="1" x14ac:dyDescent="0.25">
      <c r="A9921" t="s">
        <v>13314</v>
      </c>
      <c r="B9921" s="1" t="str">
        <f>HYPERLINK("https://asmlis.vasa.lt/Dashboard/Served?ServiceDateFrom=2025-11-24&amp;ServiceDateTo=2025-11-24&amp;DumpsterInvNr=13-P-401079", "13-P-401079")</f>
        <v>13-P-401079</v>
      </c>
      <c r="C9921">
        <v>1.1000000000000001</v>
      </c>
      <c r="D9921" t="s">
        <v>13315</v>
      </c>
      <c r="E9921" t="s">
        <v>11</v>
      </c>
      <c r="F9921" t="s">
        <v>13</v>
      </c>
      <c r="G9921" t="s">
        <v>264</v>
      </c>
      <c r="H9921" t="s">
        <v>14</v>
      </c>
    </row>
    <row r="9922" spans="1:10" hidden="1" x14ac:dyDescent="0.25">
      <c r="A9922" t="s">
        <v>12037</v>
      </c>
      <c r="B9922" s="1" t="str">
        <f>HYPERLINK("https://asmlis.vasa.lt/Dashboard/Served?ServiceDateFrom=2025-11-24&amp;ServiceDateTo=2025-11-24&amp;DumpsterInvNr=13-P-404026", "13-P-404026")</f>
        <v>13-P-404026</v>
      </c>
      <c r="C9922">
        <v>0.24</v>
      </c>
      <c r="D9922" t="s">
        <v>13316</v>
      </c>
      <c r="E9922" t="s">
        <v>11</v>
      </c>
      <c r="G9922" t="s">
        <v>264</v>
      </c>
      <c r="H9922" t="s">
        <v>14</v>
      </c>
    </row>
    <row r="9923" spans="1:10" x14ac:dyDescent="0.25">
      <c r="A9923" t="s">
        <v>13225</v>
      </c>
      <c r="B9923" s="1" t="str">
        <f>HYPERLINK("https://asmlis.vasa.lt/Dashboard/Served?ServiceDateFrom=2025-11-24&amp;ServiceDateTo=2025-11-24&amp;DumpsterInvNr=13-S-102379", "13-S-102379")</f>
        <v>13-S-102379</v>
      </c>
      <c r="C9923">
        <v>0.12</v>
      </c>
      <c r="D9923" t="s">
        <v>13317</v>
      </c>
      <c r="E9923" t="s">
        <v>11</v>
      </c>
      <c r="F9923" t="s">
        <v>2556</v>
      </c>
      <c r="G9923" t="s">
        <v>1917</v>
      </c>
      <c r="H9923" t="s">
        <v>432</v>
      </c>
      <c r="J9923" t="s">
        <v>17511</v>
      </c>
    </row>
    <row r="9924" spans="1:10" hidden="1" x14ac:dyDescent="0.25">
      <c r="A9924" t="s">
        <v>13318</v>
      </c>
      <c r="B9924" s="1" t="str">
        <f>HYPERLINK("https://asmlis.vasa.lt/Dashboard/Served?ServiceDateFrom=2025-11-24&amp;ServiceDateTo=2025-11-24&amp;DumpsterInvNr=13-S-410922", "13-S-410922")</f>
        <v>13-S-410922</v>
      </c>
      <c r="C9924">
        <v>0.12</v>
      </c>
      <c r="D9924" t="s">
        <v>13319</v>
      </c>
      <c r="E9924" t="s">
        <v>11</v>
      </c>
      <c r="F9924" t="s">
        <v>1209</v>
      </c>
      <c r="G9924" t="s">
        <v>264</v>
      </c>
      <c r="H9924" t="s">
        <v>14</v>
      </c>
    </row>
    <row r="9925" spans="1:10" hidden="1" x14ac:dyDescent="0.25">
      <c r="A9925" t="s">
        <v>13321</v>
      </c>
      <c r="B9925" s="1" t="str">
        <f>HYPERLINK("https://asmlis.vasa.lt/Dashboard/Served?ServiceDateFrom=2025-11-24&amp;ServiceDateTo=2025-11-24&amp;DumpsterInvNr=13-L-145536", "13-L-145536")</f>
        <v>13-L-145536</v>
      </c>
      <c r="C9925">
        <v>0.24</v>
      </c>
      <c r="D9925" t="s">
        <v>13322</v>
      </c>
      <c r="E9925" t="s">
        <v>11</v>
      </c>
      <c r="G9925" t="s">
        <v>430</v>
      </c>
      <c r="H9925" t="s">
        <v>432</v>
      </c>
    </row>
    <row r="9926" spans="1:10" x14ac:dyDescent="0.25">
      <c r="A9926" t="s">
        <v>13324</v>
      </c>
      <c r="B9926" s="1" t="str">
        <f>HYPERLINK("https://asmlis.vasa.lt/Dashboard/Served?ServiceDateFrom=2025-11-24&amp;ServiceDateTo=2025-11-24&amp;DumpsterInvNr=13-P-101136", "13-P-101136")</f>
        <v>13-P-101136</v>
      </c>
      <c r="C9926">
        <v>0.24</v>
      </c>
      <c r="D9926" t="s">
        <v>13317</v>
      </c>
      <c r="E9926" t="s">
        <v>11</v>
      </c>
      <c r="F9926" t="s">
        <v>2556</v>
      </c>
      <c r="G9926" t="s">
        <v>1917</v>
      </c>
      <c r="H9926" t="s">
        <v>432</v>
      </c>
      <c r="J9926" t="s">
        <v>17511</v>
      </c>
    </row>
    <row r="9927" spans="1:10" hidden="1" x14ac:dyDescent="0.25">
      <c r="A9927" t="s">
        <v>13324</v>
      </c>
      <c r="B9927" s="1" t="str">
        <f>HYPERLINK("https://asmlis.vasa.lt/Dashboard/Served?ServiceDateFrom=2025-11-24&amp;ServiceDateTo=2025-11-24&amp;DumpsterInvNr=13-P-413113", "13-P-413113")</f>
        <v>13-P-413113</v>
      </c>
      <c r="C9927">
        <v>0.24</v>
      </c>
      <c r="D9927" t="s">
        <v>13325</v>
      </c>
      <c r="E9927" t="s">
        <v>11</v>
      </c>
      <c r="F9927" t="s">
        <v>1209</v>
      </c>
      <c r="G9927" t="s">
        <v>264</v>
      </c>
      <c r="H9927" t="s">
        <v>14</v>
      </c>
    </row>
    <row r="9928" spans="1:10" hidden="1" x14ac:dyDescent="0.25">
      <c r="A9928" t="s">
        <v>13324</v>
      </c>
      <c r="B9928" s="1" t="str">
        <f>HYPERLINK("https://asmlis.vasa.lt/Dashboard/Served?ServiceDateFrom=2025-11-24&amp;ServiceDateTo=2025-11-24&amp;DumpsterInvNr=13-S-211587", "13-S-211587")</f>
        <v>13-S-211587</v>
      </c>
      <c r="C9928">
        <v>0.12</v>
      </c>
      <c r="D9928" t="s">
        <v>12772</v>
      </c>
      <c r="E9928" t="s">
        <v>11</v>
      </c>
      <c r="F9928" t="s">
        <v>1209</v>
      </c>
      <c r="G9928" t="s">
        <v>234</v>
      </c>
      <c r="H9928" t="s">
        <v>14</v>
      </c>
    </row>
    <row r="9929" spans="1:10" hidden="1" x14ac:dyDescent="0.25">
      <c r="A9929" t="s">
        <v>13324</v>
      </c>
      <c r="B9929" s="1" t="str">
        <f>HYPERLINK("https://asmlis.vasa.lt/Dashboard/Served?ServiceDateFrom=2025-11-24&amp;ServiceDateTo=2025-11-24&amp;DumpsterInvNr=13-P-505809", "13-P-505809")</f>
        <v>13-P-505809</v>
      </c>
      <c r="C9929">
        <v>0.24</v>
      </c>
      <c r="D9929" t="s">
        <v>13322</v>
      </c>
      <c r="E9929" t="s">
        <v>11</v>
      </c>
      <c r="G9929" t="s">
        <v>2178</v>
      </c>
      <c r="H9929" t="s">
        <v>432</v>
      </c>
    </row>
    <row r="9930" spans="1:10" hidden="1" x14ac:dyDescent="0.25">
      <c r="A9930" t="s">
        <v>13328</v>
      </c>
      <c r="B9930" s="1" t="str">
        <f>HYPERLINK("https://asmlis.vasa.lt/Dashboard/Served?ServiceDateFrom=2025-11-24&amp;ServiceDateTo=2025-11-24&amp;DumpsterInvNr=13-S-502204", "13-S-502204")</f>
        <v>13-S-502204</v>
      </c>
      <c r="C9930">
        <v>0.12</v>
      </c>
      <c r="D9930" t="s">
        <v>13322</v>
      </c>
      <c r="E9930" t="s">
        <v>11</v>
      </c>
      <c r="F9930" t="s">
        <v>1209</v>
      </c>
      <c r="G9930" t="s">
        <v>2178</v>
      </c>
      <c r="H9930" t="s">
        <v>432</v>
      </c>
    </row>
    <row r="9931" spans="1:10" hidden="1" x14ac:dyDescent="0.25">
      <c r="A9931" t="s">
        <v>13329</v>
      </c>
      <c r="B9931" s="1" t="str">
        <f>HYPERLINK("https://asmlis.vasa.lt/Dashboard/Served?ServiceDateFrom=2025-11-24&amp;ServiceDateTo=2025-11-24&amp;DumpsterInvNr=13-L-419436", "13-L-419436")</f>
        <v>13-L-419436</v>
      </c>
      <c r="C9931">
        <v>1.1000000000000001</v>
      </c>
      <c r="D9931" t="s">
        <v>13330</v>
      </c>
      <c r="E9931" t="s">
        <v>11</v>
      </c>
      <c r="G9931" t="s">
        <v>74</v>
      </c>
      <c r="H9931" t="s">
        <v>14</v>
      </c>
    </row>
    <row r="9932" spans="1:10" hidden="1" x14ac:dyDescent="0.25">
      <c r="A9932" t="s">
        <v>13329</v>
      </c>
      <c r="B9932" s="1" t="str">
        <f>HYPERLINK("https://asmlis.vasa.lt/Dashboard/Served?ServiceDateFrom=2025-11-24&amp;ServiceDateTo=2025-11-24&amp;DumpsterInvNr=13-P-304026", "13-P-304026")</f>
        <v>13-P-304026</v>
      </c>
      <c r="C9932">
        <v>5</v>
      </c>
      <c r="D9932" t="s">
        <v>11687</v>
      </c>
      <c r="E9932" t="s">
        <v>11</v>
      </c>
      <c r="G9932" t="s">
        <v>412</v>
      </c>
      <c r="H9932" t="s">
        <v>14</v>
      </c>
    </row>
    <row r="9933" spans="1:10" hidden="1" x14ac:dyDescent="0.25">
      <c r="A9933" t="s">
        <v>13331</v>
      </c>
      <c r="B9933" s="1" t="str">
        <f>HYPERLINK("https://asmlis.vasa.lt/Dashboard/Served?ServiceDateFrom=2025-11-24&amp;ServiceDateTo=2025-11-24&amp;DumpsterInvNr=13-L-313607", "13-L-313607")</f>
        <v>13-L-313607</v>
      </c>
      <c r="C9933">
        <v>0.77</v>
      </c>
      <c r="D9933" t="s">
        <v>13332</v>
      </c>
      <c r="E9933" t="s">
        <v>11</v>
      </c>
      <c r="G9933" t="s">
        <v>9</v>
      </c>
      <c r="H9933" t="s">
        <v>14</v>
      </c>
    </row>
    <row r="9934" spans="1:10" hidden="1" x14ac:dyDescent="0.25">
      <c r="A9934" t="s">
        <v>13333</v>
      </c>
      <c r="B9934" s="1" t="str">
        <f>HYPERLINK("https://asmlis.vasa.lt/Dashboard/Served?ServiceDateFrom=2025-11-24&amp;ServiceDateTo=2025-11-24&amp;DumpsterInvNr=13-P-413318", "13-P-413318")</f>
        <v>13-P-413318</v>
      </c>
      <c r="C9934">
        <v>0.24</v>
      </c>
      <c r="D9934" t="s">
        <v>13319</v>
      </c>
      <c r="E9934" t="s">
        <v>11</v>
      </c>
      <c r="F9934" t="s">
        <v>1209</v>
      </c>
      <c r="G9934" t="s">
        <v>264</v>
      </c>
      <c r="H9934" t="s">
        <v>14</v>
      </c>
    </row>
    <row r="9935" spans="1:10" x14ac:dyDescent="0.25">
      <c r="A9935" t="s">
        <v>13334</v>
      </c>
      <c r="B9935" s="1" t="str">
        <f>HYPERLINK("https://asmlis.vasa.lt/Dashboard/Served?ServiceDateFrom=2025-11-24&amp;ServiceDateTo=2025-11-24&amp;DumpsterInvNr=13-L-111244", "13-L-111244")</f>
        <v>13-L-111244</v>
      </c>
      <c r="C9935">
        <v>0.12</v>
      </c>
      <c r="D9935" t="s">
        <v>13317</v>
      </c>
      <c r="E9935" t="s">
        <v>11</v>
      </c>
      <c r="F9935" t="s">
        <v>2556</v>
      </c>
      <c r="G9935" t="s">
        <v>1912</v>
      </c>
      <c r="H9935" t="s">
        <v>432</v>
      </c>
      <c r="J9935" t="s">
        <v>17511</v>
      </c>
    </row>
    <row r="9936" spans="1:10" hidden="1" x14ac:dyDescent="0.25">
      <c r="A9936" t="s">
        <v>13334</v>
      </c>
      <c r="B9936" s="1" t="str">
        <f>HYPERLINK("https://asmlis.vasa.lt/Dashboard/Served?ServiceDateFrom=2025-11-24&amp;ServiceDateTo=2025-11-24&amp;DumpsterInvNr=13-L-404291", "13-L-404291")</f>
        <v>13-L-404291</v>
      </c>
      <c r="C9936">
        <v>0.24</v>
      </c>
      <c r="D9936" t="s">
        <v>8241</v>
      </c>
      <c r="E9936" t="s">
        <v>11</v>
      </c>
      <c r="G9936" t="s">
        <v>74</v>
      </c>
      <c r="H9936" t="s">
        <v>14</v>
      </c>
    </row>
    <row r="9937" spans="1:10" hidden="1" x14ac:dyDescent="0.25">
      <c r="A9937" t="s">
        <v>13334</v>
      </c>
      <c r="B9937" s="1" t="str">
        <f>HYPERLINK("https://asmlis.vasa.lt/Dashboard/Served?ServiceDateFrom=2025-11-24&amp;ServiceDateTo=2025-11-24&amp;DumpsterInvNr=13-L-410606", "13-L-410606")</f>
        <v>13-L-410606</v>
      </c>
      <c r="C9937">
        <v>0.12</v>
      </c>
      <c r="D9937" t="s">
        <v>8223</v>
      </c>
      <c r="E9937" t="s">
        <v>11</v>
      </c>
      <c r="G9937" t="s">
        <v>74</v>
      </c>
      <c r="H9937" t="s">
        <v>14</v>
      </c>
    </row>
    <row r="9938" spans="1:10" hidden="1" x14ac:dyDescent="0.25">
      <c r="A9938" t="s">
        <v>13334</v>
      </c>
      <c r="B9938" s="1" t="str">
        <f>HYPERLINK("https://asmlis.vasa.lt/Dashboard/Served?ServiceDateFrom=2025-11-24&amp;ServiceDateTo=2025-11-24&amp;DumpsterInvNr=13-L-126476", "13-L-126476")</f>
        <v>13-L-126476</v>
      </c>
      <c r="C9938">
        <v>0.77</v>
      </c>
      <c r="D9938" t="s">
        <v>13298</v>
      </c>
      <c r="E9938" t="s">
        <v>11</v>
      </c>
      <c r="G9938" t="s">
        <v>430</v>
      </c>
      <c r="H9938" t="s">
        <v>432</v>
      </c>
    </row>
    <row r="9939" spans="1:10" hidden="1" x14ac:dyDescent="0.25">
      <c r="A9939" t="s">
        <v>13335</v>
      </c>
      <c r="B9939" s="1" t="str">
        <f>HYPERLINK("https://asmlis.vasa.lt/Dashboard/Served?ServiceDateFrom=2025-11-24&amp;ServiceDateTo=2025-11-24&amp;DumpsterInvNr=13-P-401103", "13-P-401103")</f>
        <v>13-P-401103</v>
      </c>
      <c r="C9939">
        <v>0.24</v>
      </c>
      <c r="D9939" t="s">
        <v>13336</v>
      </c>
      <c r="E9939" t="s">
        <v>11</v>
      </c>
      <c r="F9939" t="s">
        <v>1209</v>
      </c>
      <c r="G9939" t="s">
        <v>264</v>
      </c>
      <c r="H9939" t="s">
        <v>14</v>
      </c>
    </row>
    <row r="9940" spans="1:10" hidden="1" x14ac:dyDescent="0.25">
      <c r="A9940" t="s">
        <v>13337</v>
      </c>
      <c r="B9940" s="1" t="str">
        <f>HYPERLINK("https://asmlis.vasa.lt/Dashboard/Served?ServiceDateFrom=2025-11-24&amp;ServiceDateTo=2025-11-24&amp;DumpsterInvNr=13-P-401780", "13-P-401780")</f>
        <v>13-P-401780</v>
      </c>
      <c r="C9940">
        <v>0.24</v>
      </c>
      <c r="D9940" t="s">
        <v>13181</v>
      </c>
      <c r="E9940" t="s">
        <v>11</v>
      </c>
      <c r="F9940" t="s">
        <v>1209</v>
      </c>
      <c r="G9940" t="s">
        <v>264</v>
      </c>
      <c r="H9940" t="s">
        <v>14</v>
      </c>
    </row>
    <row r="9941" spans="1:10" hidden="1" x14ac:dyDescent="0.25">
      <c r="A9941" t="s">
        <v>13338</v>
      </c>
      <c r="B9941" s="1" t="str">
        <f>HYPERLINK("https://asmlis.vasa.lt/Dashboard/Served?ServiceDateFrom=2025-11-24&amp;ServiceDateTo=2025-11-24&amp;DumpsterInvNr=13-P-400613", "13-P-400613")</f>
        <v>13-P-400613</v>
      </c>
      <c r="C9941">
        <v>5</v>
      </c>
      <c r="D9941" t="s">
        <v>6692</v>
      </c>
      <c r="E9941" t="s">
        <v>11</v>
      </c>
      <c r="F9941" t="s">
        <v>13</v>
      </c>
      <c r="G9941" t="s">
        <v>264</v>
      </c>
      <c r="H9941" t="s">
        <v>14</v>
      </c>
    </row>
    <row r="9942" spans="1:10" hidden="1" x14ac:dyDescent="0.25">
      <c r="A9942" t="s">
        <v>13339</v>
      </c>
      <c r="B9942" s="1" t="str">
        <f>HYPERLINK("https://asmlis.vasa.lt/Dashboard/Served?ServiceDateFrom=2025-11-24&amp;ServiceDateTo=2025-11-24&amp;DumpsterInvNr=13-L-404297", "13-L-404297")</f>
        <v>13-L-404297</v>
      </c>
      <c r="C9942">
        <v>0.12</v>
      </c>
      <c r="D9942" t="s">
        <v>13340</v>
      </c>
      <c r="E9942" t="s">
        <v>11</v>
      </c>
      <c r="F9942" t="s">
        <v>1209</v>
      </c>
      <c r="G9942" t="s">
        <v>74</v>
      </c>
      <c r="H9942" t="s">
        <v>14</v>
      </c>
    </row>
    <row r="9943" spans="1:10" hidden="1" x14ac:dyDescent="0.25">
      <c r="A9943" t="s">
        <v>13342</v>
      </c>
      <c r="B9943" s="1" t="str">
        <f>HYPERLINK("https://asmlis.vasa.lt/Dashboard/Served?ServiceDateFrom=2025-11-24&amp;ServiceDateTo=2025-11-24&amp;DumpsterInvNr=13-L-216053", "13-L-216053")</f>
        <v>13-L-216053</v>
      </c>
      <c r="C9943">
        <v>5</v>
      </c>
      <c r="D9943" t="s">
        <v>1360</v>
      </c>
      <c r="E9943" t="s">
        <v>11</v>
      </c>
      <c r="G9943" t="s">
        <v>936</v>
      </c>
      <c r="H9943" t="s">
        <v>938</v>
      </c>
    </row>
    <row r="9944" spans="1:10" x14ac:dyDescent="0.25">
      <c r="A9944" t="s">
        <v>13343</v>
      </c>
      <c r="B9944" s="1" t="str">
        <f>HYPERLINK("https://asmlis.vasa.lt/Dashboard/Served?ServiceDateFrom=2025-11-24&amp;ServiceDateTo=2025-11-24&amp;DumpsterInvNr=13-S-107196", "13-S-107196")</f>
        <v>13-S-107196</v>
      </c>
      <c r="C9944">
        <v>0.12</v>
      </c>
      <c r="D9944" t="s">
        <v>13344</v>
      </c>
      <c r="E9944" t="s">
        <v>11</v>
      </c>
      <c r="F9944" t="s">
        <v>2556</v>
      </c>
      <c r="G9944" t="s">
        <v>1917</v>
      </c>
      <c r="H9944" t="s">
        <v>432</v>
      </c>
      <c r="J9944" t="s">
        <v>17511</v>
      </c>
    </row>
    <row r="9945" spans="1:10" hidden="1" x14ac:dyDescent="0.25">
      <c r="A9945" t="s">
        <v>13345</v>
      </c>
      <c r="B9945" s="1" t="str">
        <f>HYPERLINK("https://asmlis.vasa.lt/Dashboard/Served?ServiceDateFrom=2025-11-24&amp;ServiceDateTo=2025-11-24&amp;DumpsterInvNr=13-P-412931", "13-P-412931")</f>
        <v>13-P-412931</v>
      </c>
      <c r="C9945">
        <v>0.24</v>
      </c>
      <c r="D9945" t="s">
        <v>13346</v>
      </c>
      <c r="E9945" t="s">
        <v>11</v>
      </c>
      <c r="G9945" t="s">
        <v>264</v>
      </c>
      <c r="H9945" t="s">
        <v>14</v>
      </c>
    </row>
    <row r="9946" spans="1:10" hidden="1" x14ac:dyDescent="0.25">
      <c r="A9946" t="s">
        <v>13345</v>
      </c>
      <c r="B9946" s="1" t="str">
        <f>HYPERLINK("https://asmlis.vasa.lt/Dashboard/Served?ServiceDateFrom=2025-11-24&amp;ServiceDateTo=2025-11-24&amp;DumpsterInvNr=13-L-149592", "13-L-149592")</f>
        <v>13-L-149592</v>
      </c>
      <c r="C9946">
        <v>1.1000000000000001</v>
      </c>
      <c r="D9946" t="s">
        <v>13347</v>
      </c>
      <c r="E9946" t="s">
        <v>11</v>
      </c>
      <c r="G9946" t="s">
        <v>1912</v>
      </c>
      <c r="H9946" t="s">
        <v>432</v>
      </c>
    </row>
    <row r="9947" spans="1:10" hidden="1" x14ac:dyDescent="0.25">
      <c r="A9947" t="s">
        <v>13348</v>
      </c>
      <c r="B9947" s="1" t="str">
        <f>HYPERLINK("https://asmlis.vasa.lt/Dashboard/Served?ServiceDateFrom=2025-11-24&amp;ServiceDateTo=2025-11-24&amp;DumpsterInvNr=13-L-316396", "13-L-316396")</f>
        <v>13-L-316396</v>
      </c>
      <c r="C9947">
        <v>0.66</v>
      </c>
      <c r="D9947" t="s">
        <v>852</v>
      </c>
      <c r="E9947" t="s">
        <v>11</v>
      </c>
      <c r="G9947" t="s">
        <v>9</v>
      </c>
      <c r="H9947" t="s">
        <v>14</v>
      </c>
    </row>
    <row r="9948" spans="1:10" hidden="1" x14ac:dyDescent="0.25">
      <c r="A9948" t="s">
        <v>13348</v>
      </c>
      <c r="B9948" s="1" t="str">
        <f>HYPERLINK("https://asmlis.vasa.lt/Dashboard/Served?ServiceDateFrom=2025-11-24&amp;ServiceDateTo=2025-11-24&amp;DumpsterInvNr=13-L-147094", "13-L-147094")</f>
        <v>13-L-147094</v>
      </c>
      <c r="C9948">
        <v>5</v>
      </c>
      <c r="D9948" t="s">
        <v>10903</v>
      </c>
      <c r="E9948" t="s">
        <v>11</v>
      </c>
      <c r="F9948" t="s">
        <v>13</v>
      </c>
      <c r="G9948" t="s">
        <v>430</v>
      </c>
      <c r="H9948" t="s">
        <v>432</v>
      </c>
    </row>
    <row r="9949" spans="1:10" hidden="1" x14ac:dyDescent="0.25">
      <c r="A9949" t="s">
        <v>13350</v>
      </c>
      <c r="B9949" s="1" t="str">
        <f>HYPERLINK("https://asmlis.vasa.lt/Dashboard/Served?ServiceDateFrom=2025-11-24&amp;ServiceDateTo=2025-11-24&amp;DumpsterInvNr=13-L-313414", "13-L-313414")</f>
        <v>13-L-313414</v>
      </c>
      <c r="C9949">
        <v>0.77</v>
      </c>
      <c r="D9949" t="s">
        <v>13351</v>
      </c>
      <c r="E9949" t="s">
        <v>11</v>
      </c>
      <c r="G9949" t="s">
        <v>9</v>
      </c>
      <c r="H9949" t="s">
        <v>14</v>
      </c>
    </row>
    <row r="9950" spans="1:10" x14ac:dyDescent="0.25">
      <c r="A9950" t="s">
        <v>12026</v>
      </c>
      <c r="B9950" s="1" t="str">
        <f>HYPERLINK("https://asmlis.vasa.lt/Dashboard/Served?ServiceDateFrom=2025-11-24&amp;ServiceDateTo=2025-11-24&amp;DumpsterInvNr=13-L-102690", "13-L-102690")</f>
        <v>13-L-102690</v>
      </c>
      <c r="C9950">
        <v>0.12</v>
      </c>
      <c r="D9950" t="s">
        <v>13344</v>
      </c>
      <c r="E9950" t="s">
        <v>11</v>
      </c>
      <c r="F9950" t="s">
        <v>2556</v>
      </c>
      <c r="G9950" t="s">
        <v>1912</v>
      </c>
      <c r="H9950" t="s">
        <v>432</v>
      </c>
      <c r="J9950" t="s">
        <v>17511</v>
      </c>
    </row>
    <row r="9951" spans="1:10" hidden="1" x14ac:dyDescent="0.25">
      <c r="A9951" t="s">
        <v>12059</v>
      </c>
      <c r="B9951" s="1" t="str">
        <f>HYPERLINK("https://asmlis.vasa.lt/Dashboard/Served?ServiceDateFrom=2025-11-24&amp;ServiceDateTo=2025-11-24&amp;DumpsterInvNr=13-P-211651", "13-P-211651")</f>
        <v>13-P-211651</v>
      </c>
      <c r="C9951">
        <v>0.24</v>
      </c>
      <c r="D9951" t="s">
        <v>12829</v>
      </c>
      <c r="E9951" t="s">
        <v>11</v>
      </c>
      <c r="G9951" t="s">
        <v>234</v>
      </c>
      <c r="H9951" t="s">
        <v>14</v>
      </c>
    </row>
    <row r="9952" spans="1:10" hidden="1" x14ac:dyDescent="0.25">
      <c r="A9952" t="s">
        <v>13115</v>
      </c>
      <c r="B9952" s="1" t="str">
        <f>HYPERLINK("https://asmlis.vasa.lt/Dashboard/Served?ServiceDateFrom=2025-11-24&amp;ServiceDateTo=2025-11-24&amp;DumpsterInvNr=13-L-317883", "13-L-317883")</f>
        <v>13-L-317883</v>
      </c>
      <c r="C9952">
        <v>0.77</v>
      </c>
      <c r="D9952" t="s">
        <v>13351</v>
      </c>
      <c r="E9952" t="s">
        <v>11</v>
      </c>
      <c r="F9952" t="s">
        <v>13</v>
      </c>
      <c r="G9952" t="s">
        <v>9</v>
      </c>
      <c r="H9952" t="s">
        <v>14</v>
      </c>
    </row>
    <row r="9953" spans="1:10" hidden="1" x14ac:dyDescent="0.25">
      <c r="A9953" t="s">
        <v>13352</v>
      </c>
      <c r="B9953" s="1" t="str">
        <f>HYPERLINK("https://asmlis.vasa.lt/Dashboard/Served?ServiceDateFrom=2025-11-24&amp;ServiceDateTo=2025-11-24&amp;DumpsterInvNr=13-L-426924", "13-L-426924")</f>
        <v>13-L-426924</v>
      </c>
      <c r="C9953">
        <v>1.1000000000000001</v>
      </c>
      <c r="D9953" t="s">
        <v>13330</v>
      </c>
      <c r="E9953" t="s">
        <v>11</v>
      </c>
      <c r="G9953" t="s">
        <v>74</v>
      </c>
      <c r="H9953" t="s">
        <v>14</v>
      </c>
    </row>
    <row r="9954" spans="1:10" hidden="1" x14ac:dyDescent="0.25">
      <c r="A9954" t="s">
        <v>13353</v>
      </c>
      <c r="B9954" s="1" t="str">
        <f>HYPERLINK("https://asmlis.vasa.lt/Dashboard/Served?ServiceDateFrom=2025-11-24&amp;ServiceDateTo=2025-11-24&amp;DumpsterInvNr=13-L-314524", "13-L-314524")</f>
        <v>13-L-314524</v>
      </c>
      <c r="C9954">
        <v>0.77</v>
      </c>
      <c r="D9954" t="s">
        <v>13351</v>
      </c>
      <c r="E9954" t="s">
        <v>11</v>
      </c>
      <c r="F9954" t="s">
        <v>13</v>
      </c>
      <c r="G9954" t="s">
        <v>9</v>
      </c>
      <c r="H9954" t="s">
        <v>14</v>
      </c>
    </row>
    <row r="9955" spans="1:10" hidden="1" x14ac:dyDescent="0.25">
      <c r="A9955" t="s">
        <v>13354</v>
      </c>
      <c r="B9955" s="1" t="str">
        <f>HYPERLINK("https://asmlis.vasa.lt/Dashboard/Served?ServiceDateFrom=2025-11-24&amp;ServiceDateTo=2025-11-24&amp;DumpsterInvNr=13-L-212205", "13-L-212205")</f>
        <v>13-L-212205</v>
      </c>
      <c r="C9955">
        <v>1.1000000000000001</v>
      </c>
      <c r="D9955" t="s">
        <v>13246</v>
      </c>
      <c r="E9955" t="s">
        <v>11</v>
      </c>
      <c r="F9955" t="s">
        <v>13</v>
      </c>
      <c r="G9955" t="s">
        <v>936</v>
      </c>
      <c r="H9955" t="s">
        <v>938</v>
      </c>
    </row>
    <row r="9956" spans="1:10" hidden="1" x14ac:dyDescent="0.25">
      <c r="A9956" t="s">
        <v>13354</v>
      </c>
      <c r="B9956" s="1" t="str">
        <f>HYPERLINK("https://asmlis.vasa.lt/Dashboard/Served?ServiceDateFrom=2025-11-24&amp;ServiceDateTo=2025-11-24&amp;DumpsterInvNr=13-L-423277", "13-L-423277")</f>
        <v>13-L-423277</v>
      </c>
      <c r="C9956">
        <v>1.1000000000000001</v>
      </c>
      <c r="D9956" t="s">
        <v>13330</v>
      </c>
      <c r="E9956" t="s">
        <v>11</v>
      </c>
      <c r="G9956" t="s">
        <v>74</v>
      </c>
      <c r="H9956" t="s">
        <v>14</v>
      </c>
    </row>
    <row r="9957" spans="1:10" hidden="1" x14ac:dyDescent="0.25">
      <c r="A9957" t="s">
        <v>13355</v>
      </c>
      <c r="B9957" s="1" t="str">
        <f>HYPERLINK("https://asmlis.vasa.lt/Dashboard/Served?ServiceDateFrom=2025-11-24&amp;ServiceDateTo=2025-11-24&amp;DumpsterInvNr=13-L-314525", "13-L-314525")</f>
        <v>13-L-314525</v>
      </c>
      <c r="C9957">
        <v>0.77</v>
      </c>
      <c r="D9957" t="s">
        <v>13351</v>
      </c>
      <c r="E9957" t="s">
        <v>11</v>
      </c>
      <c r="F9957" t="s">
        <v>13</v>
      </c>
      <c r="G9957" t="s">
        <v>9</v>
      </c>
      <c r="H9957" t="s">
        <v>14</v>
      </c>
    </row>
    <row r="9958" spans="1:10" x14ac:dyDescent="0.25">
      <c r="A9958" t="s">
        <v>13355</v>
      </c>
      <c r="B9958" s="1" t="str">
        <f>HYPERLINK("https://asmlis.vasa.lt/Dashboard/Served?ServiceDateFrom=2025-11-24&amp;ServiceDateTo=2025-11-24&amp;DumpsterInvNr=13-P-112209", "13-P-112209")</f>
        <v>13-P-112209</v>
      </c>
      <c r="C9958">
        <v>0.24</v>
      </c>
      <c r="D9958" t="s">
        <v>13344</v>
      </c>
      <c r="E9958" t="s">
        <v>11</v>
      </c>
      <c r="F9958" t="s">
        <v>2556</v>
      </c>
      <c r="G9958" t="s">
        <v>1917</v>
      </c>
      <c r="H9958" t="s">
        <v>432</v>
      </c>
      <c r="J9958" t="s">
        <v>17511</v>
      </c>
    </row>
    <row r="9959" spans="1:10" hidden="1" x14ac:dyDescent="0.25">
      <c r="A9959" t="s">
        <v>13356</v>
      </c>
      <c r="B9959" s="1" t="str">
        <f>HYPERLINK("https://asmlis.vasa.lt/Dashboard/Served?ServiceDateFrom=2025-11-24&amp;ServiceDateTo=2025-11-24&amp;DumpsterInvNr=13-L-307405", "13-L-307405")</f>
        <v>13-L-307405</v>
      </c>
      <c r="C9959">
        <v>1.1000000000000001</v>
      </c>
      <c r="D9959" t="s">
        <v>13218</v>
      </c>
      <c r="E9959" t="s">
        <v>11</v>
      </c>
      <c r="F9959" t="s">
        <v>13</v>
      </c>
      <c r="G9959" t="s">
        <v>9</v>
      </c>
      <c r="H9959" t="s">
        <v>14</v>
      </c>
    </row>
    <row r="9960" spans="1:10" hidden="1" x14ac:dyDescent="0.25">
      <c r="A9960" t="s">
        <v>13357</v>
      </c>
      <c r="B9960" s="1" t="str">
        <f>HYPERLINK("https://asmlis.vasa.lt/Dashboard/Served?ServiceDateFrom=2025-11-24&amp;ServiceDateTo=2025-11-24&amp;DumpsterInvNr=13-P-211649", "13-P-211649")</f>
        <v>13-P-211649</v>
      </c>
      <c r="C9960">
        <v>0.24</v>
      </c>
      <c r="D9960" t="s">
        <v>12831</v>
      </c>
      <c r="E9960" t="s">
        <v>11</v>
      </c>
      <c r="F9960" t="s">
        <v>1209</v>
      </c>
      <c r="G9960" t="s">
        <v>234</v>
      </c>
      <c r="H9960" t="s">
        <v>14</v>
      </c>
    </row>
    <row r="9961" spans="1:10" hidden="1" x14ac:dyDescent="0.25">
      <c r="A9961" t="s">
        <v>13359</v>
      </c>
      <c r="B9961" s="1" t="str">
        <f>HYPERLINK("https://asmlis.vasa.lt/Dashboard/Served?ServiceDateFrom=2025-11-24&amp;ServiceDateTo=2025-11-24&amp;DumpsterInvNr=13-L-315368", "13-L-315368")</f>
        <v>13-L-315368</v>
      </c>
      <c r="C9961">
        <v>1.1000000000000001</v>
      </c>
      <c r="D9961" t="s">
        <v>13218</v>
      </c>
      <c r="E9961" t="s">
        <v>11</v>
      </c>
      <c r="F9961" t="s">
        <v>13</v>
      </c>
      <c r="G9961" t="s">
        <v>9</v>
      </c>
      <c r="H9961" t="s">
        <v>14</v>
      </c>
    </row>
    <row r="9962" spans="1:10" hidden="1" x14ac:dyDescent="0.25">
      <c r="A9962" t="s">
        <v>13360</v>
      </c>
      <c r="B9962" s="1" t="str">
        <f>HYPERLINK("https://asmlis.vasa.lt/Dashboard/Served?ServiceDateFrom=2025-11-24&amp;ServiceDateTo=2025-11-24&amp;DumpsterInvNr=13-L-425953", "13-L-425953")</f>
        <v>13-L-425953</v>
      </c>
      <c r="C9962">
        <v>1.1000000000000001</v>
      </c>
      <c r="D9962" t="s">
        <v>13330</v>
      </c>
      <c r="E9962" t="s">
        <v>11</v>
      </c>
      <c r="G9962" t="s">
        <v>74</v>
      </c>
      <c r="H9962" t="s">
        <v>14</v>
      </c>
    </row>
    <row r="9963" spans="1:10" hidden="1" x14ac:dyDescent="0.25">
      <c r="A9963" t="s">
        <v>13361</v>
      </c>
      <c r="B9963" s="1" t="str">
        <f>HYPERLINK("https://asmlis.vasa.lt/Dashboard/Served?ServiceDateFrom=2025-11-24&amp;ServiceDateTo=2025-11-24&amp;DumpsterInvNr=13-P-412412", "13-P-412412")</f>
        <v>13-P-412412</v>
      </c>
      <c r="C9963">
        <v>0.24</v>
      </c>
      <c r="D9963" t="s">
        <v>13362</v>
      </c>
      <c r="E9963" t="s">
        <v>11</v>
      </c>
      <c r="G9963" t="s">
        <v>264</v>
      </c>
      <c r="H9963" t="s">
        <v>14</v>
      </c>
    </row>
    <row r="9964" spans="1:10" hidden="1" x14ac:dyDescent="0.25">
      <c r="A9964" t="s">
        <v>13363</v>
      </c>
      <c r="B9964" s="1" t="str">
        <f>HYPERLINK("https://asmlis.vasa.lt/Dashboard/Served?ServiceDateFrom=2025-11-24&amp;ServiceDateTo=2025-11-24&amp;DumpsterInvNr=13-S-506912", "13-S-506912")</f>
        <v>13-S-506912</v>
      </c>
      <c r="C9964">
        <v>0.12</v>
      </c>
      <c r="D9964" t="s">
        <v>13364</v>
      </c>
      <c r="E9964" t="s">
        <v>11</v>
      </c>
      <c r="G9964" t="s">
        <v>2178</v>
      </c>
      <c r="H9964" t="s">
        <v>432</v>
      </c>
    </row>
    <row r="9965" spans="1:10" hidden="1" x14ac:dyDescent="0.25">
      <c r="A9965" t="s">
        <v>13366</v>
      </c>
      <c r="B9965" s="1" t="str">
        <f>HYPERLINK("https://asmlis.vasa.lt/Dashboard/Served?ServiceDateFrom=2025-11-24&amp;ServiceDateTo=2025-11-24&amp;DumpsterInvNr=13-L-300246", "13-L-300246")</f>
        <v>13-L-300246</v>
      </c>
      <c r="C9965">
        <v>5</v>
      </c>
      <c r="D9965" t="s">
        <v>13367</v>
      </c>
      <c r="E9965" t="s">
        <v>11</v>
      </c>
      <c r="F9965" t="s">
        <v>13</v>
      </c>
      <c r="G9965" t="s">
        <v>9</v>
      </c>
      <c r="H9965" t="s">
        <v>14</v>
      </c>
    </row>
    <row r="9966" spans="1:10" hidden="1" x14ac:dyDescent="0.25">
      <c r="A9966" t="s">
        <v>13368</v>
      </c>
      <c r="B9966" s="1" t="str">
        <f>HYPERLINK("https://asmlis.vasa.lt/Dashboard/Served?ServiceDateFrom=2025-11-24&amp;ServiceDateTo=2025-11-24&amp;DumpsterInvNr=13-P-206376", "13-P-206376")</f>
        <v>13-P-206376</v>
      </c>
      <c r="C9966">
        <v>0.24</v>
      </c>
      <c r="D9966" t="s">
        <v>12827</v>
      </c>
      <c r="E9966" t="s">
        <v>11</v>
      </c>
      <c r="G9966" t="s">
        <v>234</v>
      </c>
      <c r="H9966" t="s">
        <v>14</v>
      </c>
    </row>
    <row r="9967" spans="1:10" hidden="1" x14ac:dyDescent="0.25">
      <c r="A9967" t="s">
        <v>13368</v>
      </c>
      <c r="B9967" s="1" t="str">
        <f>HYPERLINK("https://asmlis.vasa.lt/Dashboard/Served?ServiceDateFrom=2025-11-24&amp;ServiceDateTo=2025-11-24&amp;DumpsterInvNr=13-L-147729", "13-L-147729")</f>
        <v>13-L-147729</v>
      </c>
      <c r="C9967">
        <v>0.24</v>
      </c>
      <c r="D9967" t="s">
        <v>13364</v>
      </c>
      <c r="E9967" t="s">
        <v>11</v>
      </c>
      <c r="G9967" t="s">
        <v>430</v>
      </c>
      <c r="H9967" t="s">
        <v>432</v>
      </c>
    </row>
    <row r="9968" spans="1:10" hidden="1" x14ac:dyDescent="0.25">
      <c r="A9968" t="s">
        <v>13368</v>
      </c>
      <c r="B9968" s="1" t="str">
        <f>HYPERLINK("https://asmlis.vasa.lt/Dashboard/Served?ServiceDateFrom=2025-11-24&amp;ServiceDateTo=2025-11-24&amp;DumpsterInvNr=13-P-502042", "13-P-502042")</f>
        <v>13-P-502042</v>
      </c>
      <c r="C9968">
        <v>0.24</v>
      </c>
      <c r="D9968" t="s">
        <v>13364</v>
      </c>
      <c r="E9968" t="s">
        <v>11</v>
      </c>
      <c r="G9968" t="s">
        <v>2178</v>
      </c>
      <c r="H9968" t="s">
        <v>432</v>
      </c>
    </row>
    <row r="9969" spans="1:10" hidden="1" x14ac:dyDescent="0.25">
      <c r="A9969" t="s">
        <v>13371</v>
      </c>
      <c r="B9969" s="1" t="str">
        <f>HYPERLINK("https://asmlis.vasa.lt/Dashboard/Served?ServiceDateFrom=2025-11-24&amp;ServiceDateTo=2025-11-24&amp;DumpsterInvNr=13-L-221421", "13-L-221421")</f>
        <v>13-L-221421</v>
      </c>
      <c r="C9969">
        <v>5</v>
      </c>
      <c r="D9969" t="s">
        <v>1360</v>
      </c>
      <c r="E9969" t="s">
        <v>11</v>
      </c>
      <c r="G9969" t="s">
        <v>936</v>
      </c>
      <c r="H9969" t="s">
        <v>938</v>
      </c>
    </row>
    <row r="9970" spans="1:10" hidden="1" x14ac:dyDescent="0.25">
      <c r="A9970" t="s">
        <v>13372</v>
      </c>
      <c r="B9970" s="1" t="str">
        <f>HYPERLINK("https://asmlis.vasa.lt/Dashboard/Served?ServiceDateFrom=2025-11-24&amp;ServiceDateTo=2025-11-24&amp;DumpsterInvNr=13-L-139834", "13-L-139834")</f>
        <v>13-L-139834</v>
      </c>
      <c r="C9970">
        <v>5</v>
      </c>
      <c r="D9970" t="s">
        <v>5240</v>
      </c>
      <c r="E9970" t="s">
        <v>11</v>
      </c>
      <c r="F9970" t="s">
        <v>13</v>
      </c>
      <c r="G9970" t="s">
        <v>430</v>
      </c>
      <c r="H9970" t="s">
        <v>432</v>
      </c>
    </row>
    <row r="9971" spans="1:10" hidden="1" x14ac:dyDescent="0.25">
      <c r="A9971" t="s">
        <v>13372</v>
      </c>
      <c r="B9971" s="1" t="str">
        <f>HYPERLINK("https://asmlis.vasa.lt/Dashboard/Served?ServiceDateFrom=2025-11-24&amp;ServiceDateTo=2025-11-24&amp;DumpsterInvNr=13-L-415199", "13-L-415199")</f>
        <v>13-L-415199</v>
      </c>
      <c r="C9971">
        <v>5</v>
      </c>
      <c r="D9971" t="s">
        <v>1822</v>
      </c>
      <c r="E9971" t="s">
        <v>11</v>
      </c>
      <c r="G9971" t="s">
        <v>74</v>
      </c>
      <c r="H9971" t="s">
        <v>14</v>
      </c>
    </row>
    <row r="9972" spans="1:10" hidden="1" x14ac:dyDescent="0.25">
      <c r="A9972" t="s">
        <v>13373</v>
      </c>
      <c r="B9972" s="1" t="str">
        <f>HYPERLINK("https://asmlis.vasa.lt/Dashboard/Served?ServiceDateFrom=2025-11-24&amp;ServiceDateTo=2025-11-24&amp;DumpsterInvNr=13-L-422678", "13-L-422678")</f>
        <v>13-L-422678</v>
      </c>
      <c r="C9972">
        <v>0.12</v>
      </c>
      <c r="D9972" t="s">
        <v>8444</v>
      </c>
      <c r="E9972" t="s">
        <v>11</v>
      </c>
      <c r="G9972" t="s">
        <v>74</v>
      </c>
      <c r="H9972" t="s">
        <v>14</v>
      </c>
    </row>
    <row r="9973" spans="1:10" hidden="1" x14ac:dyDescent="0.25">
      <c r="A9973" t="s">
        <v>13373</v>
      </c>
      <c r="B9973" s="1" t="str">
        <f>HYPERLINK("https://asmlis.vasa.lt/Dashboard/Served?ServiceDateFrom=2025-11-24&amp;ServiceDateTo=2025-11-24&amp;DumpsterInvNr=13-L-403974", "13-L-403974")</f>
        <v>13-L-403974</v>
      </c>
      <c r="C9973">
        <v>0.24</v>
      </c>
      <c r="D9973" t="s">
        <v>13374</v>
      </c>
      <c r="E9973" t="s">
        <v>11</v>
      </c>
      <c r="G9973" t="s">
        <v>74</v>
      </c>
      <c r="H9973" t="s">
        <v>14</v>
      </c>
    </row>
    <row r="9974" spans="1:10" hidden="1" x14ac:dyDescent="0.25">
      <c r="A9974" t="s">
        <v>13375</v>
      </c>
      <c r="B9974" s="1" t="str">
        <f>HYPERLINK("https://asmlis.vasa.lt/Dashboard/Served?ServiceDateFrom=2025-11-24&amp;ServiceDateTo=2025-11-24&amp;DumpsterInvNr=13-P-500657", "13-P-500657")</f>
        <v>13-P-500657</v>
      </c>
      <c r="C9974">
        <v>5</v>
      </c>
      <c r="D9974" t="s">
        <v>13376</v>
      </c>
      <c r="E9974" t="s">
        <v>11</v>
      </c>
      <c r="F9974" t="s">
        <v>13</v>
      </c>
      <c r="G9974" t="s">
        <v>2178</v>
      </c>
      <c r="H9974" t="s">
        <v>432</v>
      </c>
    </row>
    <row r="9975" spans="1:10" x14ac:dyDescent="0.25">
      <c r="A9975" t="s">
        <v>13163</v>
      </c>
      <c r="B9975" s="1" t="str">
        <f>HYPERLINK("https://asmlis.vasa.lt/Dashboard/Served?ServiceDateFrom=2025-11-24&amp;ServiceDateTo=2025-11-24&amp;DumpsterInvNr=13-L-425798", "13-L-425798")</f>
        <v>13-L-425798</v>
      </c>
      <c r="C9975">
        <v>0.12</v>
      </c>
      <c r="D9975" t="s">
        <v>8410</v>
      </c>
      <c r="E9975" t="s">
        <v>11</v>
      </c>
      <c r="F9975" t="s">
        <v>1215</v>
      </c>
      <c r="G9975" t="s">
        <v>74</v>
      </c>
      <c r="H9975" t="s">
        <v>14</v>
      </c>
      <c r="J9975" t="s">
        <v>17511</v>
      </c>
    </row>
    <row r="9976" spans="1:10" hidden="1" x14ac:dyDescent="0.25">
      <c r="A9976" t="s">
        <v>13163</v>
      </c>
      <c r="B9976" s="1" t="str">
        <f>HYPERLINK("https://asmlis.vasa.lt/Dashboard/Served?ServiceDateFrom=2025-11-24&amp;ServiceDateTo=2025-11-24&amp;DumpsterInvNr=13-L-147639", "13-L-147639")</f>
        <v>13-L-147639</v>
      </c>
      <c r="C9976">
        <v>5</v>
      </c>
      <c r="D9976" t="s">
        <v>13378</v>
      </c>
      <c r="E9976" t="s">
        <v>11</v>
      </c>
      <c r="F9976" t="s">
        <v>13</v>
      </c>
      <c r="G9976" t="s">
        <v>1912</v>
      </c>
      <c r="H9976" t="s">
        <v>432</v>
      </c>
    </row>
    <row r="9977" spans="1:10" x14ac:dyDescent="0.25">
      <c r="A9977" t="s">
        <v>13379</v>
      </c>
      <c r="B9977" s="3" t="str">
        <f>HYPERLINK("https://asmlis.vasa.lt/Dashboard/Served?ServiceDateFrom=2025-11-24&amp;ServiceDateTo=2025-11-24&amp;DumpsterInvNr=13-L-403951", "13-L-403951")</f>
        <v>13-L-403951</v>
      </c>
      <c r="C9977">
        <v>0.24</v>
      </c>
      <c r="D9977" t="s">
        <v>13380</v>
      </c>
      <c r="E9977" t="s">
        <v>11</v>
      </c>
      <c r="F9977" t="s">
        <v>1215</v>
      </c>
      <c r="G9977" t="s">
        <v>74</v>
      </c>
      <c r="H9977" t="s">
        <v>14</v>
      </c>
      <c r="J9977" t="s">
        <v>17511</v>
      </c>
    </row>
    <row r="9978" spans="1:10" hidden="1" x14ac:dyDescent="0.25">
      <c r="A9978" t="s">
        <v>13379</v>
      </c>
      <c r="B9978" s="1" t="str">
        <f>HYPERLINK("https://asmlis.vasa.lt/Dashboard/Served?ServiceDateFrom=2025-11-24&amp;ServiceDateTo=2025-11-24&amp;DumpsterInvNr=13-P-500234", "13-P-500234")</f>
        <v>13-P-500234</v>
      </c>
      <c r="C9978">
        <v>5</v>
      </c>
      <c r="D9978" t="s">
        <v>13301</v>
      </c>
      <c r="E9978" t="s">
        <v>11</v>
      </c>
      <c r="F9978" t="s">
        <v>13</v>
      </c>
      <c r="G9978" t="s">
        <v>2178</v>
      </c>
      <c r="H9978" t="s">
        <v>432</v>
      </c>
    </row>
    <row r="9979" spans="1:10" hidden="1" x14ac:dyDescent="0.25">
      <c r="A9979" t="s">
        <v>13146</v>
      </c>
      <c r="B9979" s="1" t="str">
        <f>HYPERLINK("https://asmlis.vasa.lt/Dashboard/Served?ServiceDateFrom=2025-11-24&amp;ServiceDateTo=2025-11-24&amp;DumpsterInvNr=13-L-312758", "13-L-312758")</f>
        <v>13-L-312758</v>
      </c>
      <c r="C9979">
        <v>0.24</v>
      </c>
      <c r="D9979" t="s">
        <v>13381</v>
      </c>
      <c r="E9979" t="s">
        <v>11</v>
      </c>
      <c r="F9979" t="s">
        <v>13</v>
      </c>
      <c r="G9979" t="s">
        <v>9</v>
      </c>
      <c r="H9979" t="s">
        <v>14</v>
      </c>
    </row>
    <row r="9980" spans="1:10" x14ac:dyDescent="0.25">
      <c r="A9980" t="s">
        <v>13382</v>
      </c>
      <c r="B9980" s="1" t="str">
        <f>HYPERLINK("https://asmlis.vasa.lt/Dashboard/Served?ServiceDateFrom=2025-11-24&amp;ServiceDateTo=2025-11-24&amp;DumpsterInvNr=13-L-403980", "13-L-403980")</f>
        <v>13-L-403980</v>
      </c>
      <c r="C9980">
        <v>0.12</v>
      </c>
      <c r="D9980" t="s">
        <v>13383</v>
      </c>
      <c r="E9980" t="s">
        <v>11</v>
      </c>
      <c r="F9980" t="s">
        <v>1215</v>
      </c>
      <c r="G9980" t="s">
        <v>74</v>
      </c>
      <c r="H9980" t="s">
        <v>14</v>
      </c>
      <c r="J9980" t="s">
        <v>17511</v>
      </c>
    </row>
    <row r="9981" spans="1:10" x14ac:dyDescent="0.25">
      <c r="A9981" t="s">
        <v>13164</v>
      </c>
      <c r="B9981" s="1" t="str">
        <f>HYPERLINK("https://asmlis.vasa.lt/Dashboard/Served?ServiceDateFrom=2025-11-24&amp;ServiceDateTo=2025-11-24&amp;DumpsterInvNr=13-L-403952", "13-L-403952")</f>
        <v>13-L-403952</v>
      </c>
      <c r="C9981">
        <v>0.12</v>
      </c>
      <c r="D9981" t="s">
        <v>13384</v>
      </c>
      <c r="E9981" t="s">
        <v>11</v>
      </c>
      <c r="F9981" t="s">
        <v>1215</v>
      </c>
      <c r="G9981" t="s">
        <v>74</v>
      </c>
      <c r="H9981" t="s">
        <v>14</v>
      </c>
      <c r="J9981" t="s">
        <v>17511</v>
      </c>
    </row>
    <row r="9982" spans="1:10" hidden="1" x14ac:dyDescent="0.25">
      <c r="A9982" t="s">
        <v>13147</v>
      </c>
      <c r="B9982" s="1" t="str">
        <f>HYPERLINK("https://asmlis.vasa.lt/Dashboard/Served?ServiceDateFrom=2025-11-24&amp;ServiceDateTo=2025-11-24&amp;DumpsterInvNr=13-P-207050", "13-P-207050")</f>
        <v>13-P-207050</v>
      </c>
      <c r="C9982">
        <v>0.24</v>
      </c>
      <c r="D9982" t="s">
        <v>13385</v>
      </c>
      <c r="E9982" t="s">
        <v>11</v>
      </c>
      <c r="G9982" t="s">
        <v>234</v>
      </c>
      <c r="H9982" t="s">
        <v>14</v>
      </c>
    </row>
    <row r="9983" spans="1:10" x14ac:dyDescent="0.25">
      <c r="A9983" t="s">
        <v>13128</v>
      </c>
      <c r="B9983" s="1" t="str">
        <f>HYPERLINK("https://asmlis.vasa.lt/Dashboard/Served?ServiceDateFrom=2025-11-24&amp;ServiceDateTo=2025-11-24&amp;DumpsterInvNr=13-L-403957", "13-L-403957")</f>
        <v>13-L-403957</v>
      </c>
      <c r="C9983">
        <v>0.12</v>
      </c>
      <c r="D9983" t="s">
        <v>8268</v>
      </c>
      <c r="E9983" t="s">
        <v>11</v>
      </c>
      <c r="F9983" t="s">
        <v>1215</v>
      </c>
      <c r="G9983" t="s">
        <v>74</v>
      </c>
      <c r="H9983" t="s">
        <v>14</v>
      </c>
      <c r="J9983" t="s">
        <v>17511</v>
      </c>
    </row>
    <row r="9984" spans="1:10" hidden="1" x14ac:dyDescent="0.25">
      <c r="A9984" t="s">
        <v>13172</v>
      </c>
      <c r="B9984" s="1" t="str">
        <f>HYPERLINK("https://asmlis.vasa.lt/Dashboard/Served?ServiceDateFrom=2025-11-24&amp;ServiceDateTo=2025-11-24&amp;DumpsterInvNr=13-L-308060", "13-L-308060")</f>
        <v>13-L-308060</v>
      </c>
      <c r="C9984">
        <v>0.24</v>
      </c>
      <c r="D9984" t="s">
        <v>13381</v>
      </c>
      <c r="E9984" t="s">
        <v>11</v>
      </c>
      <c r="F9984" t="s">
        <v>13</v>
      </c>
      <c r="G9984" t="s">
        <v>9</v>
      </c>
      <c r="H9984" t="s">
        <v>14</v>
      </c>
    </row>
    <row r="9985" spans="1:10" x14ac:dyDescent="0.25">
      <c r="A9985" t="s">
        <v>13172</v>
      </c>
      <c r="B9985" s="1" t="str">
        <f>HYPERLINK("https://asmlis.vasa.lt/Dashboard/Served?ServiceDateFrom=2025-11-24&amp;ServiceDateTo=2025-11-24&amp;DumpsterInvNr=13-L-424586", "13-L-424586")</f>
        <v>13-L-424586</v>
      </c>
      <c r="C9985">
        <v>0.12</v>
      </c>
      <c r="D9985" t="s">
        <v>8361</v>
      </c>
      <c r="E9985" t="s">
        <v>11</v>
      </c>
      <c r="F9985" t="s">
        <v>1215</v>
      </c>
      <c r="G9985" t="s">
        <v>74</v>
      </c>
      <c r="H9985" t="s">
        <v>14</v>
      </c>
      <c r="J9985" t="s">
        <v>17511</v>
      </c>
    </row>
    <row r="9986" spans="1:10" hidden="1" x14ac:dyDescent="0.25">
      <c r="A9986" t="s">
        <v>13178</v>
      </c>
      <c r="B9986" s="1" t="str">
        <f>HYPERLINK("https://asmlis.vasa.lt/Dashboard/Served?ServiceDateFrom=2025-11-24&amp;ServiceDateTo=2025-11-24&amp;DumpsterInvNr=13-P-412311", "13-P-412311")</f>
        <v>13-P-412311</v>
      </c>
      <c r="C9986">
        <v>0.24</v>
      </c>
      <c r="D9986" t="s">
        <v>13387</v>
      </c>
      <c r="E9986" t="s">
        <v>11</v>
      </c>
      <c r="G9986" t="s">
        <v>264</v>
      </c>
      <c r="H9986" t="s">
        <v>14</v>
      </c>
    </row>
    <row r="9987" spans="1:10" hidden="1" x14ac:dyDescent="0.25">
      <c r="A9987" t="s">
        <v>13221</v>
      </c>
      <c r="B9987" s="1" t="str">
        <f>HYPERLINK("https://asmlis.vasa.lt/Dashboard/Served?ServiceDateFrom=2025-11-24&amp;ServiceDateTo=2025-11-24&amp;DumpsterInvNr=13-P-212236", "13-P-212236")</f>
        <v>13-P-212236</v>
      </c>
      <c r="C9987">
        <v>1.1000000000000001</v>
      </c>
      <c r="D9987" t="s">
        <v>13388</v>
      </c>
      <c r="E9987" t="s">
        <v>11</v>
      </c>
      <c r="F9987" t="s">
        <v>13</v>
      </c>
      <c r="G9987" t="s">
        <v>234</v>
      </c>
      <c r="H9987" t="s">
        <v>14</v>
      </c>
    </row>
    <row r="9988" spans="1:10" hidden="1" x14ac:dyDescent="0.25">
      <c r="A9988" t="s">
        <v>13220</v>
      </c>
      <c r="B9988" s="1" t="str">
        <f>HYPERLINK("https://asmlis.vasa.lt/Dashboard/Served?ServiceDateFrom=2025-11-24&amp;ServiceDateTo=2025-11-24&amp;DumpsterInvNr=13-P-209597", "13-P-209597")</f>
        <v>13-P-209597</v>
      </c>
      <c r="C9988">
        <v>0.24</v>
      </c>
      <c r="D9988" t="s">
        <v>13389</v>
      </c>
      <c r="E9988" t="s">
        <v>11</v>
      </c>
      <c r="F9988" t="s">
        <v>1209</v>
      </c>
      <c r="G9988" t="s">
        <v>234</v>
      </c>
      <c r="H9988" t="s">
        <v>14</v>
      </c>
    </row>
    <row r="9989" spans="1:10" hidden="1" x14ac:dyDescent="0.25">
      <c r="A9989" t="s">
        <v>13231</v>
      </c>
      <c r="B9989" s="1" t="str">
        <f>HYPERLINK("https://asmlis.vasa.lt/Dashboard/Served?ServiceDateFrom=2025-11-24&amp;ServiceDateTo=2025-11-24&amp;DumpsterInvNr=13-L-311254", "13-L-311254")</f>
        <v>13-L-311254</v>
      </c>
      <c r="C9989">
        <v>0.24</v>
      </c>
      <c r="D9989" t="s">
        <v>13381</v>
      </c>
      <c r="E9989" t="s">
        <v>11</v>
      </c>
      <c r="F9989" t="s">
        <v>13</v>
      </c>
      <c r="G9989" t="s">
        <v>9</v>
      </c>
      <c r="H9989" t="s">
        <v>14</v>
      </c>
    </row>
    <row r="9990" spans="1:10" x14ac:dyDescent="0.25">
      <c r="A9990" t="s">
        <v>13391</v>
      </c>
      <c r="B9990" s="1" t="str">
        <f>HYPERLINK("https://asmlis.vasa.lt/Dashboard/Served?ServiceDateFrom=2025-11-24&amp;ServiceDateTo=2025-11-24&amp;DumpsterInvNr=13-L-403954", "13-L-403954")</f>
        <v>13-L-403954</v>
      </c>
      <c r="C9990">
        <v>0.24</v>
      </c>
      <c r="D9990" t="s">
        <v>8342</v>
      </c>
      <c r="E9990" t="s">
        <v>11</v>
      </c>
      <c r="F9990" t="s">
        <v>1215</v>
      </c>
      <c r="G9990" t="s">
        <v>74</v>
      </c>
      <c r="H9990" t="s">
        <v>14</v>
      </c>
      <c r="J9990" t="s">
        <v>17511</v>
      </c>
    </row>
    <row r="9991" spans="1:10" hidden="1" x14ac:dyDescent="0.25">
      <c r="A9991" t="s">
        <v>13392</v>
      </c>
      <c r="B9991" s="1" t="str">
        <f>HYPERLINK("https://asmlis.vasa.lt/Dashboard/Served?ServiceDateFrom=2025-11-24&amp;ServiceDateTo=2025-11-24&amp;DumpsterInvNr=13-P-206245", "13-P-206245")</f>
        <v>13-P-206245</v>
      </c>
      <c r="C9991">
        <v>0.24</v>
      </c>
      <c r="D9991" t="s">
        <v>12833</v>
      </c>
      <c r="E9991" t="s">
        <v>11</v>
      </c>
      <c r="F9991" t="s">
        <v>1209</v>
      </c>
      <c r="G9991" t="s">
        <v>234</v>
      </c>
      <c r="H9991" t="s">
        <v>14</v>
      </c>
    </row>
    <row r="9992" spans="1:10" x14ac:dyDescent="0.25">
      <c r="A9992" t="s">
        <v>13248</v>
      </c>
      <c r="B9992" s="1" t="str">
        <f>HYPERLINK("https://asmlis.vasa.lt/Dashboard/Served?ServiceDateFrom=2025-11-24&amp;ServiceDateTo=2025-11-24&amp;DumpsterInvNr=13-L-415039", "13-L-415039")</f>
        <v>13-L-415039</v>
      </c>
      <c r="C9992">
        <v>0.24</v>
      </c>
      <c r="D9992" t="s">
        <v>13393</v>
      </c>
      <c r="E9992" t="s">
        <v>11</v>
      </c>
      <c r="F9992" t="s">
        <v>1215</v>
      </c>
      <c r="G9992" t="s">
        <v>74</v>
      </c>
      <c r="H9992" t="s">
        <v>14</v>
      </c>
      <c r="J9992" t="s">
        <v>17511</v>
      </c>
    </row>
    <row r="9993" spans="1:10" x14ac:dyDescent="0.25">
      <c r="A9993" t="s">
        <v>13285</v>
      </c>
      <c r="B9993" s="1" t="str">
        <f>HYPERLINK("https://asmlis.vasa.lt/Dashboard/Served?ServiceDateFrom=2025-11-24&amp;ServiceDateTo=2025-11-24&amp;DumpsterInvNr=13-L-403956", "13-L-403956")</f>
        <v>13-L-403956</v>
      </c>
      <c r="C9993">
        <v>0.12</v>
      </c>
      <c r="D9993" t="s">
        <v>8267</v>
      </c>
      <c r="E9993" t="s">
        <v>11</v>
      </c>
      <c r="F9993" t="s">
        <v>1215</v>
      </c>
      <c r="G9993" t="s">
        <v>74</v>
      </c>
      <c r="H9993" t="s">
        <v>14</v>
      </c>
      <c r="J9993" t="s">
        <v>17511</v>
      </c>
    </row>
    <row r="9994" spans="1:10" hidden="1" x14ac:dyDescent="0.25">
      <c r="A9994" t="s">
        <v>13323</v>
      </c>
      <c r="B9994" s="1" t="str">
        <f>HYPERLINK("https://asmlis.vasa.lt/Dashboard/Served?ServiceDateFrom=2025-11-24&amp;ServiceDateTo=2025-11-24&amp;DumpsterInvNr=13-P-412325", "13-P-412325")</f>
        <v>13-P-412325</v>
      </c>
      <c r="C9994">
        <v>0.24</v>
      </c>
      <c r="D9994" t="s">
        <v>13394</v>
      </c>
      <c r="E9994" t="s">
        <v>11</v>
      </c>
      <c r="G9994" t="s">
        <v>264</v>
      </c>
      <c r="H9994" t="s">
        <v>14</v>
      </c>
    </row>
    <row r="9995" spans="1:10" hidden="1" x14ac:dyDescent="0.25">
      <c r="A9995" t="s">
        <v>13327</v>
      </c>
      <c r="B9995" s="1" t="str">
        <f>HYPERLINK("https://asmlis.vasa.lt/Dashboard/Served?ServiceDateFrom=2025-11-24&amp;ServiceDateTo=2025-11-24&amp;DumpsterInvNr=13-P-209065", "13-P-209065")</f>
        <v>13-P-209065</v>
      </c>
      <c r="C9995">
        <v>0.24</v>
      </c>
      <c r="D9995" t="s">
        <v>13385</v>
      </c>
      <c r="E9995" t="s">
        <v>11</v>
      </c>
      <c r="F9995" t="s">
        <v>1209</v>
      </c>
      <c r="G9995" t="s">
        <v>234</v>
      </c>
      <c r="H9995" t="s">
        <v>14</v>
      </c>
    </row>
    <row r="9996" spans="1:10" hidden="1" x14ac:dyDescent="0.25">
      <c r="A9996" t="s">
        <v>13365</v>
      </c>
      <c r="B9996" s="1" t="str">
        <f>HYPERLINK("https://asmlis.vasa.lt/Dashboard/Served?ServiceDateFrom=2025-11-24&amp;ServiceDateTo=2025-11-24&amp;DumpsterInvNr=13-L-425067", "13-L-425067")</f>
        <v>13-L-425067</v>
      </c>
      <c r="C9996">
        <v>1.1000000000000001</v>
      </c>
      <c r="D9996" t="s">
        <v>13330</v>
      </c>
      <c r="E9996" t="s">
        <v>11</v>
      </c>
      <c r="G9996" t="s">
        <v>74</v>
      </c>
      <c r="H9996" t="s">
        <v>14</v>
      </c>
    </row>
    <row r="9997" spans="1:10" hidden="1" x14ac:dyDescent="0.25">
      <c r="A9997" t="s">
        <v>13370</v>
      </c>
      <c r="B9997" s="1" t="str">
        <f>HYPERLINK("https://asmlis.vasa.lt/Dashboard/Served?ServiceDateFrom=2025-11-24&amp;ServiceDateTo=2025-11-24&amp;DumpsterInvNr=13-P-411650", "13-P-411650")</f>
        <v>13-P-411650</v>
      </c>
      <c r="C9997">
        <v>0.24</v>
      </c>
      <c r="D9997" t="s">
        <v>13396</v>
      </c>
      <c r="E9997" t="s">
        <v>11</v>
      </c>
      <c r="F9997" t="s">
        <v>1209</v>
      </c>
      <c r="G9997" t="s">
        <v>264</v>
      </c>
      <c r="H9997" t="s">
        <v>14</v>
      </c>
    </row>
    <row r="9998" spans="1:10" x14ac:dyDescent="0.25">
      <c r="A9998" t="s">
        <v>13196</v>
      </c>
      <c r="B9998" s="1" t="str">
        <f>HYPERLINK("https://asmlis.vasa.lt/Dashboard/Served?ServiceDateFrom=2025-11-24&amp;ServiceDateTo=2025-11-24&amp;DumpsterInvNr=13-L-403979", "13-L-403979")</f>
        <v>13-L-403979</v>
      </c>
      <c r="C9998">
        <v>0.12</v>
      </c>
      <c r="D9998" t="s">
        <v>8293</v>
      </c>
      <c r="E9998" t="s">
        <v>11</v>
      </c>
      <c r="F9998" t="s">
        <v>1215</v>
      </c>
      <c r="G9998" t="s">
        <v>74</v>
      </c>
      <c r="H9998" t="s">
        <v>14</v>
      </c>
      <c r="J9998" t="s">
        <v>17511</v>
      </c>
    </row>
    <row r="9999" spans="1:10" hidden="1" x14ac:dyDescent="0.25">
      <c r="A9999" t="s">
        <v>13196</v>
      </c>
      <c r="B9999" s="1" t="str">
        <f>HYPERLINK("https://asmlis.vasa.lt/Dashboard/Served?ServiceDateFrom=2025-11-24&amp;ServiceDateTo=2025-11-24&amp;DumpsterInvNr=13-S-209271", "13-S-209271")</f>
        <v>13-S-209271</v>
      </c>
      <c r="C9999">
        <v>0.12</v>
      </c>
      <c r="D9999" t="s">
        <v>13389</v>
      </c>
      <c r="E9999" t="s">
        <v>11</v>
      </c>
      <c r="F9999" t="s">
        <v>1209</v>
      </c>
      <c r="G9999" t="s">
        <v>234</v>
      </c>
      <c r="H9999" t="s">
        <v>14</v>
      </c>
    </row>
    <row r="10000" spans="1:10" hidden="1" x14ac:dyDescent="0.25">
      <c r="A10000" t="s">
        <v>13397</v>
      </c>
      <c r="B10000" s="1" t="str">
        <f>HYPERLINK("https://asmlis.vasa.lt/Dashboard/Served?ServiceDateFrom=2025-11-24&amp;ServiceDateTo=2025-11-24&amp;DumpsterInvNr=13-L-403973", "13-L-403973")</f>
        <v>13-L-403973</v>
      </c>
      <c r="C10000">
        <v>0.24</v>
      </c>
      <c r="D10000" t="s">
        <v>8294</v>
      </c>
      <c r="E10000" t="s">
        <v>11</v>
      </c>
      <c r="G10000" t="s">
        <v>74</v>
      </c>
      <c r="H10000" t="s">
        <v>14</v>
      </c>
    </row>
    <row r="10001" spans="1:10" hidden="1" x14ac:dyDescent="0.25">
      <c r="A10001" t="s">
        <v>13397</v>
      </c>
      <c r="B10001" s="1" t="str">
        <f>HYPERLINK("https://asmlis.vasa.lt/Dashboard/Served?ServiceDateFrom=2025-11-24&amp;ServiceDateTo=2025-11-24&amp;DumpsterInvNr=13-L-422809", "13-L-422809")</f>
        <v>13-L-422809</v>
      </c>
      <c r="C10001">
        <v>0.12</v>
      </c>
      <c r="D10001" t="s">
        <v>8432</v>
      </c>
      <c r="E10001" t="s">
        <v>11</v>
      </c>
      <c r="G10001" t="s">
        <v>74</v>
      </c>
      <c r="H10001" t="s">
        <v>14</v>
      </c>
    </row>
    <row r="10002" spans="1:10" hidden="1" x14ac:dyDescent="0.25">
      <c r="A10002" t="s">
        <v>13397</v>
      </c>
      <c r="B10002" s="1" t="str">
        <f>HYPERLINK("https://asmlis.vasa.lt/Dashboard/Served?ServiceDateFrom=2025-11-24&amp;ServiceDateTo=2025-11-24&amp;DumpsterInvNr=13-P-409107", "13-P-409107")</f>
        <v>13-P-409107</v>
      </c>
      <c r="C10002">
        <v>1.1000000000000001</v>
      </c>
      <c r="D10002" t="s">
        <v>13398</v>
      </c>
      <c r="E10002" t="s">
        <v>11</v>
      </c>
      <c r="F10002" t="s">
        <v>13</v>
      </c>
      <c r="G10002" t="s">
        <v>264</v>
      </c>
      <c r="H10002" t="s">
        <v>14</v>
      </c>
    </row>
    <row r="10003" spans="1:10" hidden="1" x14ac:dyDescent="0.25">
      <c r="A10003" t="s">
        <v>13292</v>
      </c>
      <c r="B10003" s="1" t="str">
        <f>HYPERLINK("https://asmlis.vasa.lt/Dashboard/Served?ServiceDateFrom=2025-11-24&amp;ServiceDateTo=2025-11-24&amp;DumpsterInvNr=13-L-111245", "13-L-111245")</f>
        <v>13-L-111245</v>
      </c>
      <c r="C10003">
        <v>0.12</v>
      </c>
      <c r="D10003" t="s">
        <v>13399</v>
      </c>
      <c r="E10003" t="s">
        <v>11</v>
      </c>
      <c r="G10003" t="s">
        <v>1912</v>
      </c>
      <c r="H10003" t="s">
        <v>432</v>
      </c>
    </row>
    <row r="10004" spans="1:10" hidden="1" x14ac:dyDescent="0.25">
      <c r="A10004" t="s">
        <v>13274</v>
      </c>
      <c r="B10004" s="1" t="str">
        <f>HYPERLINK("https://asmlis.vasa.lt/Dashboard/Served?ServiceDateFrom=2025-11-24&amp;ServiceDateTo=2025-11-24&amp;DumpsterInvNr=13-L-216508", "13-L-216508")</f>
        <v>13-L-216508</v>
      </c>
      <c r="C10004">
        <v>0.24</v>
      </c>
      <c r="D10004" t="s">
        <v>9555</v>
      </c>
      <c r="E10004" t="s">
        <v>11</v>
      </c>
      <c r="F10004" t="s">
        <v>1209</v>
      </c>
      <c r="G10004" t="s">
        <v>936</v>
      </c>
      <c r="H10004" t="s">
        <v>938</v>
      </c>
    </row>
    <row r="10005" spans="1:10" hidden="1" x14ac:dyDescent="0.25">
      <c r="A10005" t="s">
        <v>13377</v>
      </c>
      <c r="B10005" s="1" t="str">
        <f>HYPERLINK("https://asmlis.vasa.lt/Dashboard/Served?ServiceDateFrom=2025-11-24&amp;ServiceDateTo=2025-11-24&amp;DumpsterInvNr=13-P-105784", "13-P-105784")</f>
        <v>13-P-105784</v>
      </c>
      <c r="C10005">
        <v>0.12</v>
      </c>
      <c r="D10005" t="s">
        <v>13399</v>
      </c>
      <c r="E10005" t="s">
        <v>11</v>
      </c>
      <c r="G10005" t="s">
        <v>1917</v>
      </c>
      <c r="H10005" t="s">
        <v>432</v>
      </c>
    </row>
    <row r="10006" spans="1:10" hidden="1" x14ac:dyDescent="0.25">
      <c r="A10006" t="s">
        <v>13401</v>
      </c>
      <c r="B10006" s="1" t="str">
        <f>HYPERLINK("https://asmlis.vasa.lt/Dashboard/Served?ServiceDateFrom=2025-11-24&amp;ServiceDateTo=2025-11-24&amp;DumpsterInvNr=13-L-416137", "13-L-416137")</f>
        <v>13-L-416137</v>
      </c>
      <c r="C10006">
        <v>1.1000000000000001</v>
      </c>
      <c r="D10006" t="s">
        <v>13330</v>
      </c>
      <c r="E10006" t="s">
        <v>11</v>
      </c>
      <c r="G10006" t="s">
        <v>74</v>
      </c>
      <c r="H10006" t="s">
        <v>14</v>
      </c>
    </row>
    <row r="10007" spans="1:10" x14ac:dyDescent="0.25">
      <c r="A10007" t="s">
        <v>13402</v>
      </c>
      <c r="B10007" s="1" t="str">
        <f>HYPERLINK("https://asmlis.vasa.lt/Dashboard/Served?ServiceDateFrom=2025-11-24&amp;ServiceDateTo=2025-11-24&amp;DumpsterInvNr=13-L-403953", "13-L-403953")</f>
        <v>13-L-403953</v>
      </c>
      <c r="C10007">
        <v>0.12</v>
      </c>
      <c r="D10007" t="s">
        <v>8334</v>
      </c>
      <c r="E10007" t="s">
        <v>11</v>
      </c>
      <c r="F10007" t="s">
        <v>1215</v>
      </c>
      <c r="G10007" t="s">
        <v>74</v>
      </c>
      <c r="H10007" t="s">
        <v>14</v>
      </c>
      <c r="J10007" t="s">
        <v>17511</v>
      </c>
    </row>
    <row r="10008" spans="1:10" x14ac:dyDescent="0.25">
      <c r="A10008" t="s">
        <v>13403</v>
      </c>
      <c r="B10008" s="1" t="str">
        <f>HYPERLINK("https://asmlis.vasa.lt/Dashboard/Served?ServiceDateFrom=2025-11-24&amp;ServiceDateTo=2025-11-24&amp;DumpsterInvNr=13-L-410632", "13-L-410632")</f>
        <v>13-L-410632</v>
      </c>
      <c r="C10008">
        <v>0.24</v>
      </c>
      <c r="D10008" t="s">
        <v>13404</v>
      </c>
      <c r="E10008" t="s">
        <v>11</v>
      </c>
      <c r="F10008" t="s">
        <v>1215</v>
      </c>
      <c r="G10008" t="s">
        <v>74</v>
      </c>
      <c r="H10008" t="s">
        <v>14</v>
      </c>
      <c r="J10008" t="s">
        <v>17511</v>
      </c>
    </row>
    <row r="10009" spans="1:10" hidden="1" x14ac:dyDescent="0.25">
      <c r="A10009" t="s">
        <v>13405</v>
      </c>
      <c r="B10009" s="1" t="str">
        <f>HYPERLINK("https://asmlis.vasa.lt/Dashboard/Served?ServiceDateFrom=2025-11-24&amp;ServiceDateTo=2025-11-24&amp;DumpsterInvNr=13-S-102402", "13-S-102402")</f>
        <v>13-S-102402</v>
      </c>
      <c r="C10009">
        <v>0.12</v>
      </c>
      <c r="D10009" t="s">
        <v>13399</v>
      </c>
      <c r="E10009" t="s">
        <v>11</v>
      </c>
      <c r="F10009" t="s">
        <v>1209</v>
      </c>
      <c r="G10009" t="s">
        <v>1917</v>
      </c>
      <c r="H10009" t="s">
        <v>432</v>
      </c>
    </row>
    <row r="10010" spans="1:10" x14ac:dyDescent="0.25">
      <c r="A10010" t="s">
        <v>13349</v>
      </c>
      <c r="B10010" s="1" t="str">
        <f>HYPERLINK("https://asmlis.vasa.lt/Dashboard/Served?ServiceDateFrom=2025-11-24&amp;ServiceDateTo=2025-11-24&amp;DumpsterInvNr=13-L-403955", "13-L-403955")</f>
        <v>13-L-403955</v>
      </c>
      <c r="C10010">
        <v>0.12</v>
      </c>
      <c r="D10010" t="s">
        <v>8345</v>
      </c>
      <c r="E10010" t="s">
        <v>11</v>
      </c>
      <c r="F10010" t="s">
        <v>1215</v>
      </c>
      <c r="G10010" t="s">
        <v>74</v>
      </c>
      <c r="H10010" t="s">
        <v>14</v>
      </c>
      <c r="J10010" t="s">
        <v>17511</v>
      </c>
    </row>
    <row r="10011" spans="1:10" hidden="1" x14ac:dyDescent="0.25">
      <c r="A10011" t="s">
        <v>13407</v>
      </c>
      <c r="B10011" s="1" t="str">
        <f>HYPERLINK("https://asmlis.vasa.lt/Dashboard/Served?ServiceDateFrom=2025-11-24&amp;ServiceDateTo=2025-11-24&amp;DumpsterInvNr=13-L-403972", "13-L-403972")</f>
        <v>13-L-403972</v>
      </c>
      <c r="C10011">
        <v>0.24</v>
      </c>
      <c r="D10011" t="s">
        <v>13408</v>
      </c>
      <c r="E10011" t="s">
        <v>11</v>
      </c>
      <c r="G10011" t="s">
        <v>74</v>
      </c>
      <c r="H10011" t="s">
        <v>14</v>
      </c>
    </row>
    <row r="10012" spans="1:10" hidden="1" x14ac:dyDescent="0.25">
      <c r="A10012" t="s">
        <v>13409</v>
      </c>
      <c r="B10012" s="1" t="str">
        <f>HYPERLINK("https://asmlis.vasa.lt/Dashboard/Served?ServiceDateFrom=2025-11-24&amp;ServiceDateTo=2025-11-24&amp;DumpsterInvNr=13-L-422956", "13-L-422956")</f>
        <v>13-L-422956</v>
      </c>
      <c r="C10012">
        <v>1.1000000000000001</v>
      </c>
      <c r="D10012" t="s">
        <v>13330</v>
      </c>
      <c r="E10012" t="s">
        <v>11</v>
      </c>
      <c r="G10012" t="s">
        <v>74</v>
      </c>
      <c r="H10012" t="s">
        <v>14</v>
      </c>
    </row>
    <row r="10013" spans="1:10" hidden="1" x14ac:dyDescent="0.25">
      <c r="A10013" t="s">
        <v>13410</v>
      </c>
      <c r="B10013" s="1" t="str">
        <f>HYPERLINK("https://asmlis.vasa.lt/Dashboard/Served?ServiceDateFrom=2025-11-24&amp;ServiceDateTo=2025-11-24&amp;DumpsterInvNr=13-P-101117", "13-P-101117")</f>
        <v>13-P-101117</v>
      </c>
      <c r="C10013">
        <v>0.12</v>
      </c>
      <c r="D10013" t="s">
        <v>13399</v>
      </c>
      <c r="E10013" t="s">
        <v>11</v>
      </c>
      <c r="G10013" t="s">
        <v>1917</v>
      </c>
      <c r="H10013" t="s">
        <v>432</v>
      </c>
    </row>
    <row r="10014" spans="1:10" hidden="1" x14ac:dyDescent="0.25">
      <c r="A10014" t="s">
        <v>13410</v>
      </c>
      <c r="B10014" s="1" t="str">
        <f>HYPERLINK("https://asmlis.vasa.lt/Dashboard/Served?ServiceDateFrom=2025-11-24&amp;ServiceDateTo=2025-11-24&amp;DumpsterInvNr=13-L-106465", "13-L-106465")</f>
        <v>13-L-106465</v>
      </c>
      <c r="C10014">
        <v>0.12</v>
      </c>
      <c r="D10014" t="s">
        <v>13399</v>
      </c>
      <c r="E10014" t="s">
        <v>11</v>
      </c>
      <c r="G10014" t="s">
        <v>1912</v>
      </c>
      <c r="H10014" t="s">
        <v>432</v>
      </c>
    </row>
    <row r="10015" spans="1:10" hidden="1" x14ac:dyDescent="0.25">
      <c r="A10015" t="s">
        <v>13411</v>
      </c>
      <c r="B10015" s="1" t="str">
        <f>HYPERLINK("https://asmlis.vasa.lt/Dashboard/Served?ServiceDateFrom=2025-11-24&amp;ServiceDateTo=2025-11-24&amp;DumpsterInvNr=13-L-212140", "13-L-212140")</f>
        <v>13-L-212140</v>
      </c>
      <c r="C10015">
        <v>1.1000000000000001</v>
      </c>
      <c r="D10015" t="s">
        <v>13246</v>
      </c>
      <c r="E10015" t="s">
        <v>11</v>
      </c>
      <c r="G10015" t="s">
        <v>936</v>
      </c>
      <c r="H10015" t="s">
        <v>938</v>
      </c>
    </row>
    <row r="10016" spans="1:10" hidden="1" x14ac:dyDescent="0.25">
      <c r="A10016" t="s">
        <v>13412</v>
      </c>
      <c r="B10016" s="1" t="str">
        <f>HYPERLINK("https://asmlis.vasa.lt/Dashboard/Served?ServiceDateFrom=2025-11-24&amp;ServiceDateTo=2025-11-24&amp;DumpsterInvNr=13-L-420920", "13-L-420920")</f>
        <v>13-L-420920</v>
      </c>
      <c r="C10016">
        <v>5</v>
      </c>
      <c r="D10016" t="s">
        <v>5970</v>
      </c>
      <c r="E10016" t="s">
        <v>11</v>
      </c>
      <c r="G10016" t="s">
        <v>74</v>
      </c>
      <c r="H10016" t="s">
        <v>14</v>
      </c>
    </row>
    <row r="10017" spans="1:8" hidden="1" x14ac:dyDescent="0.25">
      <c r="A10017" t="s">
        <v>13413</v>
      </c>
      <c r="B10017" s="1" t="str">
        <f>HYPERLINK("https://asmlis.vasa.lt/Dashboard/Served?ServiceDateFrom=2025-11-24&amp;ServiceDateTo=2025-11-24&amp;DumpsterInvNr=13-L-423455", "13-L-423455")</f>
        <v>13-L-423455</v>
      </c>
      <c r="C10017">
        <v>0.12</v>
      </c>
      <c r="D10017" t="s">
        <v>8405</v>
      </c>
      <c r="E10017" t="s">
        <v>11</v>
      </c>
      <c r="G10017" t="s">
        <v>74</v>
      </c>
      <c r="H10017" t="s">
        <v>14</v>
      </c>
    </row>
    <row r="10018" spans="1:8" hidden="1" x14ac:dyDescent="0.25">
      <c r="A10018" t="s">
        <v>13413</v>
      </c>
      <c r="B10018" s="1" t="str">
        <f>HYPERLINK("https://asmlis.vasa.lt/Dashboard/Served?ServiceDateFrom=2025-11-24&amp;ServiceDateTo=2025-11-24&amp;DumpsterInvNr=13-L-403975", "13-L-403975")</f>
        <v>13-L-403975</v>
      </c>
      <c r="C10018">
        <v>0.12</v>
      </c>
      <c r="D10018" t="s">
        <v>13414</v>
      </c>
      <c r="E10018" t="s">
        <v>11</v>
      </c>
      <c r="G10018" t="s">
        <v>74</v>
      </c>
      <c r="H10018" t="s">
        <v>14</v>
      </c>
    </row>
    <row r="10019" spans="1:8" hidden="1" x14ac:dyDescent="0.25">
      <c r="A10019" t="s">
        <v>13415</v>
      </c>
      <c r="B10019" s="1" t="str">
        <f>HYPERLINK("https://asmlis.vasa.lt/Dashboard/Served?ServiceDateFrom=2025-11-24&amp;ServiceDateTo=2025-11-24&amp;DumpsterInvNr=13-P-115229", "13-P-115229")</f>
        <v>13-P-115229</v>
      </c>
      <c r="C10019">
        <v>1.1000000000000001</v>
      </c>
      <c r="D10019" t="s">
        <v>13416</v>
      </c>
      <c r="E10019" t="s">
        <v>11</v>
      </c>
      <c r="G10019" t="s">
        <v>1917</v>
      </c>
      <c r="H10019" t="s">
        <v>432</v>
      </c>
    </row>
    <row r="10020" spans="1:8" hidden="1" x14ac:dyDescent="0.25">
      <c r="A10020" t="s">
        <v>12104</v>
      </c>
      <c r="B10020" s="1" t="str">
        <f>HYPERLINK("https://asmlis.vasa.lt/Dashboard/Served?ServiceDateFrom=2025-11-24&amp;ServiceDateTo=2025-11-24&amp;DumpsterInvNr=13-P-412388", "13-P-412388")</f>
        <v>13-P-412388</v>
      </c>
      <c r="C10020">
        <v>0.24</v>
      </c>
      <c r="D10020" t="s">
        <v>13417</v>
      </c>
      <c r="E10020" t="s">
        <v>11</v>
      </c>
      <c r="G10020" t="s">
        <v>264</v>
      </c>
      <c r="H10020" t="s">
        <v>14</v>
      </c>
    </row>
    <row r="10021" spans="1:8" hidden="1" x14ac:dyDescent="0.25">
      <c r="A10021" t="s">
        <v>12131</v>
      </c>
      <c r="B10021" s="1" t="str">
        <f>HYPERLINK("https://asmlis.vasa.lt/Dashboard/Served?ServiceDateFrom=2025-11-24&amp;ServiceDateTo=2025-11-24&amp;DumpsterInvNr=13-P-112022", "13-P-112022")</f>
        <v>13-P-112022</v>
      </c>
      <c r="C10021">
        <v>0.24</v>
      </c>
      <c r="D10021" t="s">
        <v>13052</v>
      </c>
      <c r="E10021" t="s">
        <v>11</v>
      </c>
      <c r="F10021" t="s">
        <v>1209</v>
      </c>
      <c r="G10021" t="s">
        <v>1917</v>
      </c>
      <c r="H10021" t="s">
        <v>432</v>
      </c>
    </row>
    <row r="10022" spans="1:8" hidden="1" x14ac:dyDescent="0.25">
      <c r="A10022" t="s">
        <v>12178</v>
      </c>
      <c r="B10022" s="1" t="str">
        <f>HYPERLINK("https://asmlis.vasa.lt/Dashboard/Served?ServiceDateFrom=2025-11-24&amp;ServiceDateTo=2025-11-24&amp;DumpsterInvNr=13-P-400602", "13-P-400602")</f>
        <v>13-P-400602</v>
      </c>
      <c r="C10022">
        <v>5</v>
      </c>
      <c r="D10022" t="s">
        <v>6492</v>
      </c>
      <c r="E10022" t="s">
        <v>11</v>
      </c>
      <c r="F10022" t="s">
        <v>13</v>
      </c>
      <c r="G10022" t="s">
        <v>264</v>
      </c>
      <c r="H10022" t="s">
        <v>14</v>
      </c>
    </row>
    <row r="10023" spans="1:8" hidden="1" x14ac:dyDescent="0.25">
      <c r="A10023" t="s">
        <v>12294</v>
      </c>
      <c r="B10023" s="1" t="str">
        <f>HYPERLINK("https://asmlis.vasa.lt/Dashboard/Served?ServiceDateFrom=2025-11-24&amp;ServiceDateTo=2025-11-24&amp;DumpsterInvNr=13-L-427064", "13-L-427064")</f>
        <v>13-L-427064</v>
      </c>
      <c r="C10023">
        <v>1.1000000000000001</v>
      </c>
      <c r="D10023" t="s">
        <v>13330</v>
      </c>
      <c r="E10023" t="s">
        <v>11</v>
      </c>
      <c r="G10023" t="s">
        <v>74</v>
      </c>
      <c r="H10023" t="s">
        <v>14</v>
      </c>
    </row>
    <row r="10024" spans="1:8" hidden="1" x14ac:dyDescent="0.25">
      <c r="A10024" t="s">
        <v>13121</v>
      </c>
      <c r="B10024" s="1" t="str">
        <f>HYPERLINK("https://asmlis.vasa.lt/Dashboard/Served?ServiceDateFrom=2025-11-24&amp;ServiceDateTo=2025-11-24&amp;DumpsterInvNr=13-S-106988", "13-S-106988")</f>
        <v>13-S-106988</v>
      </c>
      <c r="C10024">
        <v>0.12</v>
      </c>
      <c r="D10024" t="s">
        <v>13052</v>
      </c>
      <c r="E10024" t="s">
        <v>11</v>
      </c>
      <c r="F10024" t="s">
        <v>1209</v>
      </c>
      <c r="G10024" t="s">
        <v>1917</v>
      </c>
      <c r="H10024" t="s">
        <v>432</v>
      </c>
    </row>
    <row r="10025" spans="1:8" hidden="1" x14ac:dyDescent="0.25">
      <c r="A10025" t="s">
        <v>13418</v>
      </c>
      <c r="B10025" s="1" t="str">
        <f>HYPERLINK("https://asmlis.vasa.lt/Dashboard/Served?ServiceDateFrom=2025-11-24&amp;ServiceDateTo=2025-11-24&amp;DumpsterInvNr=13-L-212139", "13-L-212139")</f>
        <v>13-L-212139</v>
      </c>
      <c r="C10025">
        <v>1.1000000000000001</v>
      </c>
      <c r="D10025" t="s">
        <v>13246</v>
      </c>
      <c r="E10025" t="s">
        <v>11</v>
      </c>
      <c r="G10025" t="s">
        <v>936</v>
      </c>
      <c r="H10025" t="s">
        <v>938</v>
      </c>
    </row>
    <row r="10026" spans="1:8" hidden="1" x14ac:dyDescent="0.25">
      <c r="A10026" t="s">
        <v>13419</v>
      </c>
      <c r="B10026" s="1" t="str">
        <f>HYPERLINK("https://asmlis.vasa.lt/Dashboard/Served?ServiceDateFrom=2025-11-24&amp;ServiceDateTo=2025-11-24&amp;DumpsterInvNr=13-P-502334", "13-P-502334")</f>
        <v>13-P-502334</v>
      </c>
      <c r="C10026">
        <v>5</v>
      </c>
      <c r="D10026" t="s">
        <v>13420</v>
      </c>
      <c r="E10026" t="s">
        <v>11</v>
      </c>
      <c r="F10026" t="s">
        <v>13</v>
      </c>
      <c r="G10026" t="s">
        <v>2178</v>
      </c>
      <c r="H10026" t="s">
        <v>432</v>
      </c>
    </row>
    <row r="10027" spans="1:8" hidden="1" x14ac:dyDescent="0.25">
      <c r="A10027" t="s">
        <v>13422</v>
      </c>
      <c r="B10027" s="1" t="str">
        <f>HYPERLINK("https://asmlis.vasa.lt/Dashboard/Served?ServiceDateFrom=2025-11-24&amp;ServiceDateTo=2025-11-24&amp;DumpsterInvNr=13-S-106403", "13-S-106403")</f>
        <v>13-S-106403</v>
      </c>
      <c r="C10027">
        <v>0.12</v>
      </c>
      <c r="D10027" t="s">
        <v>13399</v>
      </c>
      <c r="E10027" t="s">
        <v>11</v>
      </c>
      <c r="F10027" t="s">
        <v>1209</v>
      </c>
      <c r="G10027" t="s">
        <v>1917</v>
      </c>
      <c r="H10027" t="s">
        <v>432</v>
      </c>
    </row>
    <row r="10028" spans="1:8" hidden="1" x14ac:dyDescent="0.25">
      <c r="A10028" t="s">
        <v>13424</v>
      </c>
      <c r="B10028" s="1" t="str">
        <f>HYPERLINK("https://asmlis.vasa.lt/Dashboard/Served?ServiceDateFrom=2025-11-24&amp;ServiceDateTo=2025-11-24&amp;DumpsterInvNr=13-P-303210", "13-P-303210")</f>
        <v>13-P-303210</v>
      </c>
      <c r="C10028">
        <v>5</v>
      </c>
      <c r="D10028" t="s">
        <v>13425</v>
      </c>
      <c r="E10028" t="s">
        <v>11</v>
      </c>
      <c r="G10028" t="s">
        <v>412</v>
      </c>
      <c r="H10028" t="s">
        <v>14</v>
      </c>
    </row>
    <row r="10029" spans="1:8" hidden="1" x14ac:dyDescent="0.25">
      <c r="A10029" t="s">
        <v>13426</v>
      </c>
      <c r="B10029" s="1" t="str">
        <f>HYPERLINK("https://asmlis.vasa.lt/Dashboard/Served?ServiceDateFrom=2025-11-24&amp;ServiceDateTo=2025-11-24&amp;DumpsterInvNr=13-P-302611", "13-P-302611")</f>
        <v>13-P-302611</v>
      </c>
      <c r="C10029">
        <v>5</v>
      </c>
      <c r="D10029" t="s">
        <v>10745</v>
      </c>
      <c r="E10029" t="s">
        <v>11</v>
      </c>
      <c r="G10029" t="s">
        <v>412</v>
      </c>
      <c r="H10029" t="s">
        <v>14</v>
      </c>
    </row>
    <row r="10030" spans="1:8" hidden="1" x14ac:dyDescent="0.25">
      <c r="A10030" t="s">
        <v>13427</v>
      </c>
      <c r="B10030" s="1" t="str">
        <f>HYPERLINK("https://asmlis.vasa.lt/Dashboard/Served?ServiceDateFrom=2025-11-24&amp;ServiceDateTo=2025-11-24&amp;DumpsterInvNr=13-P-413754", "13-P-413754")</f>
        <v>13-P-413754</v>
      </c>
      <c r="C10030">
        <v>0.24</v>
      </c>
      <c r="D10030" t="s">
        <v>13428</v>
      </c>
      <c r="E10030" t="s">
        <v>11</v>
      </c>
      <c r="G10030" t="s">
        <v>264</v>
      </c>
      <c r="H10030" t="s">
        <v>14</v>
      </c>
    </row>
    <row r="10031" spans="1:8" hidden="1" x14ac:dyDescent="0.25">
      <c r="A10031" t="s">
        <v>13429</v>
      </c>
      <c r="B10031" s="1" t="str">
        <f>HYPERLINK("https://asmlis.vasa.lt/Dashboard/Served?ServiceDateFrom=2025-11-24&amp;ServiceDateTo=2025-11-24&amp;DumpsterInvNr=13-P-102448", "13-P-102448")</f>
        <v>13-P-102448</v>
      </c>
      <c r="C10031">
        <v>5</v>
      </c>
      <c r="D10031" t="s">
        <v>13430</v>
      </c>
      <c r="E10031" t="s">
        <v>11</v>
      </c>
      <c r="F10031" t="s">
        <v>13</v>
      </c>
      <c r="G10031" t="s">
        <v>1917</v>
      </c>
      <c r="H10031" t="s">
        <v>432</v>
      </c>
    </row>
    <row r="10032" spans="1:8" hidden="1" x14ac:dyDescent="0.25">
      <c r="A10032" t="s">
        <v>13431</v>
      </c>
      <c r="B10032" s="1" t="str">
        <f>HYPERLINK("https://asmlis.vasa.lt/Dashboard/Served?ServiceDateFrom=2025-11-24&amp;ServiceDateTo=2025-11-24&amp;DumpsterInvNr=13-P-203714", "13-P-203714")</f>
        <v>13-P-203714</v>
      </c>
      <c r="C10032">
        <v>0.24</v>
      </c>
      <c r="D10032" t="s">
        <v>13432</v>
      </c>
      <c r="E10032" t="s">
        <v>11</v>
      </c>
      <c r="G10032" t="s">
        <v>234</v>
      </c>
      <c r="H10032" t="s">
        <v>14</v>
      </c>
    </row>
    <row r="10033" spans="1:8" hidden="1" x14ac:dyDescent="0.25">
      <c r="A10033" t="s">
        <v>13433</v>
      </c>
      <c r="B10033" s="1" t="str">
        <f>HYPERLINK("https://asmlis.vasa.lt/Dashboard/Served?ServiceDateFrom=2025-11-24&amp;ServiceDateTo=2025-11-24&amp;DumpsterInvNr=13-L-222096", "13-L-222096")</f>
        <v>13-L-222096</v>
      </c>
      <c r="C10033">
        <v>0.24</v>
      </c>
      <c r="D10033" t="s">
        <v>9598</v>
      </c>
      <c r="E10033" t="s">
        <v>11</v>
      </c>
      <c r="G10033" t="s">
        <v>936</v>
      </c>
      <c r="H10033" t="s">
        <v>938</v>
      </c>
    </row>
    <row r="10034" spans="1:8" hidden="1" x14ac:dyDescent="0.25">
      <c r="A10034" t="s">
        <v>13266</v>
      </c>
      <c r="B10034" s="1" t="str">
        <f>HYPERLINK("https://asmlis.vasa.lt/Dashboard/Served?ServiceDateFrom=2025-11-24&amp;ServiceDateTo=2025-11-24&amp;DumpsterInvNr=13-L-304391", "13-L-304391")</f>
        <v>13-L-304391</v>
      </c>
      <c r="C10034">
        <v>5</v>
      </c>
      <c r="D10034" t="s">
        <v>13434</v>
      </c>
      <c r="E10034" t="s">
        <v>11</v>
      </c>
      <c r="G10034" t="s">
        <v>9</v>
      </c>
      <c r="H10034" t="s">
        <v>14</v>
      </c>
    </row>
    <row r="10035" spans="1:8" hidden="1" x14ac:dyDescent="0.25">
      <c r="A10035" t="s">
        <v>13435</v>
      </c>
      <c r="B10035" s="1" t="str">
        <f>HYPERLINK("https://asmlis.vasa.lt/Dashboard/Served?ServiceDateFrom=2025-11-24&amp;ServiceDateTo=2025-11-24&amp;DumpsterInvNr=13-L-104023", "13-L-104023")</f>
        <v>13-L-104023</v>
      </c>
      <c r="C10035">
        <v>5</v>
      </c>
      <c r="D10035" t="s">
        <v>13436</v>
      </c>
      <c r="E10035" t="s">
        <v>11</v>
      </c>
      <c r="F10035" t="s">
        <v>13</v>
      </c>
      <c r="G10035" t="s">
        <v>430</v>
      </c>
      <c r="H10035" t="s">
        <v>432</v>
      </c>
    </row>
    <row r="10036" spans="1:8" hidden="1" x14ac:dyDescent="0.25">
      <c r="A10036" t="s">
        <v>13437</v>
      </c>
      <c r="B10036" s="1" t="str">
        <f>HYPERLINK("https://asmlis.vasa.lt/Dashboard/Served?ServiceDateFrom=2025-11-24&amp;ServiceDateTo=2025-11-24&amp;DumpsterInvNr=13-L-124526", "13-L-124526")</f>
        <v>13-L-124526</v>
      </c>
      <c r="C10036">
        <v>0.24</v>
      </c>
      <c r="D10036" t="s">
        <v>5439</v>
      </c>
      <c r="E10036" t="s">
        <v>11</v>
      </c>
      <c r="G10036" t="s">
        <v>430</v>
      </c>
      <c r="H10036" t="s">
        <v>432</v>
      </c>
    </row>
    <row r="10037" spans="1:8" hidden="1" x14ac:dyDescent="0.25">
      <c r="A10037" t="s">
        <v>13439</v>
      </c>
      <c r="B10037" s="1" t="str">
        <f>HYPERLINK("https://asmlis.vasa.lt/Dashboard/Served?ServiceDateFrom=2025-11-24&amp;ServiceDateTo=2025-11-24&amp;DumpsterInvNr=13-S-203110", "13-S-203110")</f>
        <v>13-S-203110</v>
      </c>
      <c r="C10037">
        <v>0.12</v>
      </c>
      <c r="D10037" t="s">
        <v>13432</v>
      </c>
      <c r="E10037" t="s">
        <v>11</v>
      </c>
      <c r="G10037" t="s">
        <v>234</v>
      </c>
      <c r="H10037" t="s">
        <v>14</v>
      </c>
    </row>
    <row r="10038" spans="1:8" hidden="1" x14ac:dyDescent="0.25">
      <c r="A10038" t="s">
        <v>13440</v>
      </c>
      <c r="B10038" s="1" t="str">
        <f>HYPERLINK("https://asmlis.vasa.lt/Dashboard/Served?ServiceDateFrom=2025-11-24&amp;ServiceDateTo=2025-11-24&amp;DumpsterInvNr=13-P-413266", "13-P-413266")</f>
        <v>13-P-413266</v>
      </c>
      <c r="C10038">
        <v>0.24</v>
      </c>
      <c r="D10038" t="s">
        <v>13441</v>
      </c>
      <c r="E10038" t="s">
        <v>11</v>
      </c>
      <c r="G10038" t="s">
        <v>264</v>
      </c>
      <c r="H10038" t="s">
        <v>14</v>
      </c>
    </row>
    <row r="10039" spans="1:8" hidden="1" x14ac:dyDescent="0.25">
      <c r="A10039" t="s">
        <v>13442</v>
      </c>
      <c r="B10039" s="1" t="str">
        <f>HYPERLINK("https://asmlis.vasa.lt/Dashboard/Served?ServiceDateFrom=2025-11-24&amp;ServiceDateTo=2025-11-24&amp;DumpsterInvNr=13-L-403977", "13-L-403977")</f>
        <v>13-L-403977</v>
      </c>
      <c r="C10039">
        <v>0.12</v>
      </c>
      <c r="D10039" t="s">
        <v>8281</v>
      </c>
      <c r="E10039" t="s">
        <v>11</v>
      </c>
      <c r="G10039" t="s">
        <v>74</v>
      </c>
      <c r="H10039" t="s">
        <v>14</v>
      </c>
    </row>
    <row r="10040" spans="1:8" hidden="1" x14ac:dyDescent="0.25">
      <c r="A10040" t="s">
        <v>13443</v>
      </c>
      <c r="B10040" s="1" t="str">
        <f>HYPERLINK("https://asmlis.vasa.lt/Dashboard/Served?ServiceDateFrom=2025-11-24&amp;ServiceDateTo=2025-11-24&amp;DumpsterInvNr=13-L-403978", "13-L-403978")</f>
        <v>13-L-403978</v>
      </c>
      <c r="C10040">
        <v>0.12</v>
      </c>
      <c r="D10040" t="s">
        <v>8280</v>
      </c>
      <c r="E10040" t="s">
        <v>11</v>
      </c>
      <c r="G10040" t="s">
        <v>74</v>
      </c>
      <c r="H10040" t="s">
        <v>14</v>
      </c>
    </row>
    <row r="10041" spans="1:8" hidden="1" x14ac:dyDescent="0.25">
      <c r="A10041" t="s">
        <v>13444</v>
      </c>
      <c r="B10041" s="1" t="str">
        <f>HYPERLINK("https://asmlis.vasa.lt/Dashboard/Served?ServiceDateFrom=2025-11-24&amp;ServiceDateTo=2025-11-24&amp;DumpsterInvNr=13-L-111247", "13-L-111247")</f>
        <v>13-L-111247</v>
      </c>
      <c r="C10041">
        <v>0.24</v>
      </c>
      <c r="D10041" t="s">
        <v>13445</v>
      </c>
      <c r="E10041" t="s">
        <v>11</v>
      </c>
      <c r="G10041" t="s">
        <v>1912</v>
      </c>
      <c r="H10041" t="s">
        <v>432</v>
      </c>
    </row>
    <row r="10042" spans="1:8" hidden="1" x14ac:dyDescent="0.25">
      <c r="A10042" t="s">
        <v>13447</v>
      </c>
      <c r="B10042" s="1" t="str">
        <f>HYPERLINK("https://asmlis.vasa.lt/Dashboard/Served?ServiceDateFrom=2025-11-24&amp;ServiceDateTo=2025-11-24&amp;DumpsterInvNr=13-L-124524", "13-L-124524")</f>
        <v>13-L-124524</v>
      </c>
      <c r="C10042">
        <v>0.24</v>
      </c>
      <c r="D10042" t="s">
        <v>5439</v>
      </c>
      <c r="E10042" t="s">
        <v>11</v>
      </c>
      <c r="G10042" t="s">
        <v>430</v>
      </c>
      <c r="H10042" t="s">
        <v>432</v>
      </c>
    </row>
    <row r="10043" spans="1:8" hidden="1" x14ac:dyDescent="0.25">
      <c r="A10043" t="s">
        <v>13447</v>
      </c>
      <c r="B10043" s="1" t="str">
        <f>HYPERLINK("https://asmlis.vasa.lt/Dashboard/Served?ServiceDateFrom=2025-11-24&amp;ServiceDateTo=2025-11-24&amp;DumpsterInvNr=13-L-317238", "13-L-317238")</f>
        <v>13-L-317238</v>
      </c>
      <c r="C10043">
        <v>1.1000000000000001</v>
      </c>
      <c r="D10043" t="s">
        <v>9590</v>
      </c>
      <c r="E10043" t="s">
        <v>11</v>
      </c>
      <c r="G10043" t="s">
        <v>9</v>
      </c>
      <c r="H10043" t="s">
        <v>14</v>
      </c>
    </row>
    <row r="10044" spans="1:8" hidden="1" x14ac:dyDescent="0.25">
      <c r="A10044" t="s">
        <v>13449</v>
      </c>
      <c r="B10044" s="1" t="str">
        <f>HYPERLINK("https://asmlis.vasa.lt/Dashboard/Served?ServiceDateFrom=2025-11-24&amp;ServiceDateTo=2025-11-24&amp;DumpsterInvNr=13-L-124747", "13-L-124747")</f>
        <v>13-L-124747</v>
      </c>
      <c r="C10044">
        <v>1.1000000000000001</v>
      </c>
      <c r="D10044" t="s">
        <v>13450</v>
      </c>
      <c r="E10044" t="s">
        <v>11</v>
      </c>
      <c r="G10044" t="s">
        <v>1912</v>
      </c>
      <c r="H10044" t="s">
        <v>432</v>
      </c>
    </row>
    <row r="10045" spans="1:8" hidden="1" x14ac:dyDescent="0.25">
      <c r="A10045" t="s">
        <v>13449</v>
      </c>
      <c r="B10045" s="1" t="str">
        <f>HYPERLINK("https://asmlis.vasa.lt/Dashboard/Served?ServiceDateFrom=2025-11-24&amp;ServiceDateTo=2025-11-24&amp;DumpsterInvNr=13-L-423236", "13-L-423236")</f>
        <v>13-L-423236</v>
      </c>
      <c r="C10045">
        <v>5</v>
      </c>
      <c r="D10045" t="s">
        <v>13451</v>
      </c>
      <c r="E10045" t="s">
        <v>11</v>
      </c>
      <c r="F10045" t="s">
        <v>13</v>
      </c>
      <c r="G10045" t="s">
        <v>74</v>
      </c>
      <c r="H10045" t="s">
        <v>14</v>
      </c>
    </row>
    <row r="10046" spans="1:8" hidden="1" x14ac:dyDescent="0.25">
      <c r="A10046" t="s">
        <v>13452</v>
      </c>
      <c r="B10046" s="1" t="str">
        <f>HYPERLINK("https://asmlis.vasa.lt/Dashboard/Served?ServiceDateFrom=2025-11-24&amp;ServiceDateTo=2025-11-24&amp;DumpsterInvNr=13-P-101120", "13-P-101120")</f>
        <v>13-P-101120</v>
      </c>
      <c r="C10046">
        <v>0.12</v>
      </c>
      <c r="D10046" t="s">
        <v>13445</v>
      </c>
      <c r="E10046" t="s">
        <v>11</v>
      </c>
      <c r="G10046" t="s">
        <v>1917</v>
      </c>
      <c r="H10046" t="s">
        <v>432</v>
      </c>
    </row>
    <row r="10047" spans="1:8" hidden="1" x14ac:dyDescent="0.25">
      <c r="A10047" t="s">
        <v>13454</v>
      </c>
      <c r="B10047" s="1" t="str">
        <f>HYPERLINK("https://asmlis.vasa.lt/Dashboard/Served?ServiceDateFrom=2025-11-24&amp;ServiceDateTo=2025-11-24&amp;DumpsterInvNr=13-P-101116", "13-P-101116")</f>
        <v>13-P-101116</v>
      </c>
      <c r="C10047">
        <v>0.12</v>
      </c>
      <c r="D10047" t="s">
        <v>13445</v>
      </c>
      <c r="E10047" t="s">
        <v>11</v>
      </c>
      <c r="F10047" t="s">
        <v>1209</v>
      </c>
      <c r="G10047" t="s">
        <v>1917</v>
      </c>
      <c r="H10047" t="s">
        <v>432</v>
      </c>
    </row>
    <row r="10048" spans="1:8" hidden="1" x14ac:dyDescent="0.25">
      <c r="A10048" t="s">
        <v>13455</v>
      </c>
      <c r="B10048" s="1" t="str">
        <f>HYPERLINK("https://asmlis.vasa.lt/Dashboard/Served?ServiceDateFrom=2025-11-24&amp;ServiceDateTo=2025-11-24&amp;DumpsterInvNr=13-L-111246", "13-L-111246")</f>
        <v>13-L-111246</v>
      </c>
      <c r="C10048">
        <v>0.24</v>
      </c>
      <c r="D10048" t="s">
        <v>13445</v>
      </c>
      <c r="E10048" t="s">
        <v>11</v>
      </c>
      <c r="F10048" t="s">
        <v>1209</v>
      </c>
      <c r="G10048" t="s">
        <v>1912</v>
      </c>
      <c r="H10048" t="s">
        <v>432</v>
      </c>
    </row>
    <row r="10049" spans="1:10" hidden="1" x14ac:dyDescent="0.25">
      <c r="A10049" t="s">
        <v>13457</v>
      </c>
      <c r="B10049" s="1" t="str">
        <f>HYPERLINK("https://asmlis.vasa.lt/Dashboard/Served?ServiceDateFrom=2025-11-24&amp;ServiceDateTo=2025-11-24&amp;DumpsterInvNr=13-L-138887", "13-L-138887")</f>
        <v>13-L-138887</v>
      </c>
      <c r="C10049">
        <v>1.1000000000000001</v>
      </c>
      <c r="D10049" t="s">
        <v>13450</v>
      </c>
      <c r="E10049" t="s">
        <v>11</v>
      </c>
      <c r="G10049" t="s">
        <v>1912</v>
      </c>
      <c r="H10049" t="s">
        <v>432</v>
      </c>
    </row>
    <row r="10050" spans="1:10" hidden="1" x14ac:dyDescent="0.25">
      <c r="A10050" t="s">
        <v>13458</v>
      </c>
      <c r="B10050" s="1" t="str">
        <f>HYPERLINK("https://asmlis.vasa.lt/Dashboard/Served?ServiceDateFrom=2025-11-24&amp;ServiceDateTo=2025-11-24&amp;DumpsterInvNr=13-P-505886", "13-P-505886")</f>
        <v>13-P-505886</v>
      </c>
      <c r="C10050">
        <v>0.24</v>
      </c>
      <c r="D10050" t="s">
        <v>13459</v>
      </c>
      <c r="E10050" t="s">
        <v>11</v>
      </c>
      <c r="F10050" t="s">
        <v>1209</v>
      </c>
      <c r="G10050" t="s">
        <v>2178</v>
      </c>
      <c r="H10050" t="s">
        <v>432</v>
      </c>
    </row>
    <row r="10051" spans="1:10" hidden="1" x14ac:dyDescent="0.25">
      <c r="A10051" t="s">
        <v>13460</v>
      </c>
      <c r="B10051" s="1" t="str">
        <f>HYPERLINK("https://asmlis.vasa.lt/Dashboard/Served?ServiceDateFrom=2025-11-24&amp;ServiceDateTo=2025-11-24&amp;DumpsterInvNr=13-L-139743", "13-L-139743")</f>
        <v>13-L-139743</v>
      </c>
      <c r="C10051">
        <v>0.24</v>
      </c>
      <c r="D10051" t="s">
        <v>13459</v>
      </c>
      <c r="E10051" t="s">
        <v>11</v>
      </c>
      <c r="F10051" t="s">
        <v>1209</v>
      </c>
      <c r="G10051" t="s">
        <v>430</v>
      </c>
      <c r="H10051" t="s">
        <v>432</v>
      </c>
    </row>
    <row r="10052" spans="1:10" hidden="1" x14ac:dyDescent="0.25">
      <c r="A10052" t="s">
        <v>13461</v>
      </c>
      <c r="B10052" s="1" t="str">
        <f>HYPERLINK("https://asmlis.vasa.lt/Dashboard/Served?ServiceDateFrom=2025-11-24&amp;ServiceDateTo=2025-11-24&amp;DumpsterInvNr=13-L-318929", "13-L-318929")</f>
        <v>13-L-318929</v>
      </c>
      <c r="C10052">
        <v>1.1000000000000001</v>
      </c>
      <c r="D10052" t="s">
        <v>9590</v>
      </c>
      <c r="E10052" t="s">
        <v>11</v>
      </c>
      <c r="F10052" t="s">
        <v>13</v>
      </c>
      <c r="G10052" t="s">
        <v>9</v>
      </c>
      <c r="H10052" t="s">
        <v>14</v>
      </c>
    </row>
    <row r="10053" spans="1:10" hidden="1" x14ac:dyDescent="0.25">
      <c r="A10053" t="s">
        <v>13462</v>
      </c>
      <c r="B10053" s="1" t="str">
        <f>HYPERLINK("https://asmlis.vasa.lt/Dashboard/Served?ServiceDateFrom=2025-11-24&amp;ServiceDateTo=2025-11-24&amp;DumpsterInvNr=13-P-203712", "13-P-203712")</f>
        <v>13-P-203712</v>
      </c>
      <c r="C10053">
        <v>0.24</v>
      </c>
      <c r="D10053" t="s">
        <v>12891</v>
      </c>
      <c r="E10053" t="s">
        <v>11</v>
      </c>
      <c r="G10053" t="s">
        <v>234</v>
      </c>
      <c r="H10053" t="s">
        <v>14</v>
      </c>
    </row>
    <row r="10054" spans="1:10" hidden="1" x14ac:dyDescent="0.25">
      <c r="A10054" t="s">
        <v>13463</v>
      </c>
      <c r="B10054" s="1" t="str">
        <f>HYPERLINK("https://asmlis.vasa.lt/Dashboard/Served?ServiceDateFrom=2025-11-24&amp;ServiceDateTo=2025-11-24&amp;DumpsterInvNr=13-P-414503", "13-P-414503")</f>
        <v>13-P-414503</v>
      </c>
      <c r="C10054">
        <v>0.24</v>
      </c>
      <c r="D10054" t="s">
        <v>13464</v>
      </c>
      <c r="E10054" t="s">
        <v>11</v>
      </c>
      <c r="G10054" t="s">
        <v>264</v>
      </c>
      <c r="H10054" t="s">
        <v>14</v>
      </c>
    </row>
    <row r="10055" spans="1:10" hidden="1" x14ac:dyDescent="0.25">
      <c r="A10055" t="s">
        <v>13465</v>
      </c>
      <c r="B10055" s="1" t="str">
        <f>HYPERLINK("https://asmlis.vasa.lt/Dashboard/Served?ServiceDateFrom=2025-11-24&amp;ServiceDateTo=2025-11-24&amp;DumpsterInvNr=13-L-124746", "13-L-124746")</f>
        <v>13-L-124746</v>
      </c>
      <c r="C10055">
        <v>1.1000000000000001</v>
      </c>
      <c r="D10055" t="s">
        <v>13450</v>
      </c>
      <c r="E10055" t="s">
        <v>11</v>
      </c>
      <c r="G10055" t="s">
        <v>1912</v>
      </c>
      <c r="H10055" t="s">
        <v>432</v>
      </c>
    </row>
    <row r="10056" spans="1:10" x14ac:dyDescent="0.25">
      <c r="A10056" t="s">
        <v>13466</v>
      </c>
      <c r="B10056" s="1" t="str">
        <f>HYPERLINK("https://asmlis.vasa.lt/Dashboard/Served?ServiceDateFrom=2025-11-24&amp;ServiceDateTo=2025-11-24&amp;DumpsterInvNr=13-L-403958", "13-L-403958")</f>
        <v>13-L-403958</v>
      </c>
      <c r="C10056">
        <v>0.12</v>
      </c>
      <c r="D10056" t="s">
        <v>8402</v>
      </c>
      <c r="E10056" t="s">
        <v>11</v>
      </c>
      <c r="F10056" t="s">
        <v>1215</v>
      </c>
      <c r="G10056" t="s">
        <v>74</v>
      </c>
      <c r="H10056" t="s">
        <v>14</v>
      </c>
      <c r="J10056" t="s">
        <v>17511</v>
      </c>
    </row>
    <row r="10057" spans="1:10" x14ac:dyDescent="0.25">
      <c r="A10057" t="s">
        <v>13467</v>
      </c>
      <c r="B10057" s="1" t="str">
        <f>HYPERLINK("https://asmlis.vasa.lt/Dashboard/Served?ServiceDateFrom=2025-11-24&amp;ServiceDateTo=2025-11-24&amp;DumpsterInvNr=13-L-111248", "13-L-111248")</f>
        <v>13-L-111248</v>
      </c>
      <c r="C10057">
        <v>0.24</v>
      </c>
      <c r="D10057" t="s">
        <v>13468</v>
      </c>
      <c r="E10057" t="s">
        <v>11</v>
      </c>
      <c r="F10057" t="s">
        <v>2556</v>
      </c>
      <c r="G10057" t="s">
        <v>1912</v>
      </c>
      <c r="H10057" t="s">
        <v>432</v>
      </c>
      <c r="J10057" t="s">
        <v>17511</v>
      </c>
    </row>
    <row r="10058" spans="1:10" hidden="1" x14ac:dyDescent="0.25">
      <c r="A10058" t="s">
        <v>13469</v>
      </c>
      <c r="B10058" s="1" t="str">
        <f>HYPERLINK("https://asmlis.vasa.lt/Dashboard/Served?ServiceDateFrom=2025-11-24&amp;ServiceDateTo=2025-11-24&amp;DumpsterInvNr=13-P-404472", "13-P-404472")</f>
        <v>13-P-404472</v>
      </c>
      <c r="C10058">
        <v>5</v>
      </c>
      <c r="D10058" t="s">
        <v>6406</v>
      </c>
      <c r="E10058" t="s">
        <v>11</v>
      </c>
      <c r="F10058" t="s">
        <v>13</v>
      </c>
      <c r="G10058" t="s">
        <v>264</v>
      </c>
      <c r="H10058" t="s">
        <v>14</v>
      </c>
    </row>
    <row r="10059" spans="1:10" hidden="1" x14ac:dyDescent="0.25">
      <c r="A10059" t="s">
        <v>13470</v>
      </c>
      <c r="B10059" s="1" t="str">
        <f>HYPERLINK("https://asmlis.vasa.lt/Dashboard/Served?ServiceDateFrom=2025-11-24&amp;ServiceDateTo=2025-11-24&amp;DumpsterInvNr=13-P-203713", "13-P-203713")</f>
        <v>13-P-203713</v>
      </c>
      <c r="C10059">
        <v>0.24</v>
      </c>
      <c r="D10059" t="s">
        <v>12912</v>
      </c>
      <c r="E10059" t="s">
        <v>11</v>
      </c>
      <c r="G10059" t="s">
        <v>234</v>
      </c>
      <c r="H10059" t="s">
        <v>14</v>
      </c>
    </row>
    <row r="10060" spans="1:10" hidden="1" x14ac:dyDescent="0.25">
      <c r="A10060" t="s">
        <v>13471</v>
      </c>
      <c r="B10060" s="1" t="str">
        <f>HYPERLINK("https://asmlis.vasa.lt/Dashboard/Served?ServiceDateFrom=2025-11-24&amp;ServiceDateTo=2025-11-24&amp;DumpsterInvNr=13-L-138886", "13-L-138886")</f>
        <v>13-L-138886</v>
      </c>
      <c r="C10060">
        <v>1.1000000000000001</v>
      </c>
      <c r="D10060" t="s">
        <v>13450</v>
      </c>
      <c r="E10060" t="s">
        <v>11</v>
      </c>
      <c r="G10060" t="s">
        <v>1912</v>
      </c>
      <c r="H10060" t="s">
        <v>432</v>
      </c>
    </row>
    <row r="10061" spans="1:10" x14ac:dyDescent="0.25">
      <c r="A10061" t="s">
        <v>13472</v>
      </c>
      <c r="B10061" s="1" t="str">
        <f>HYPERLINK("https://asmlis.vasa.lt/Dashboard/Served?ServiceDateFrom=2025-11-24&amp;ServiceDateTo=2025-11-24&amp;DumpsterInvNr=13-S-102377", "13-S-102377")</f>
        <v>13-S-102377</v>
      </c>
      <c r="C10061">
        <v>0.12</v>
      </c>
      <c r="D10061" t="s">
        <v>13468</v>
      </c>
      <c r="E10061" t="s">
        <v>11</v>
      </c>
      <c r="F10061" t="s">
        <v>2556</v>
      </c>
      <c r="G10061" t="s">
        <v>1917</v>
      </c>
      <c r="H10061" t="s">
        <v>432</v>
      </c>
      <c r="J10061" t="s">
        <v>17511</v>
      </c>
    </row>
    <row r="10062" spans="1:10" hidden="1" x14ac:dyDescent="0.25">
      <c r="A10062" t="s">
        <v>13473</v>
      </c>
      <c r="B10062" s="1" t="str">
        <f>HYPERLINK("https://asmlis.vasa.lt/Dashboard/Served?ServiceDateFrom=2025-11-24&amp;ServiceDateTo=2025-11-24&amp;DumpsterInvNr=13-P-507968", "13-P-507968")</f>
        <v>13-P-507968</v>
      </c>
      <c r="C10062">
        <v>1.1000000000000001</v>
      </c>
      <c r="D10062" t="s">
        <v>13474</v>
      </c>
      <c r="E10062" t="s">
        <v>11</v>
      </c>
      <c r="G10062" t="s">
        <v>2178</v>
      </c>
      <c r="H10062" t="s">
        <v>432</v>
      </c>
    </row>
    <row r="10063" spans="1:10" hidden="1" x14ac:dyDescent="0.25">
      <c r="A10063" t="s">
        <v>13475</v>
      </c>
      <c r="B10063" s="1" t="str">
        <f>HYPERLINK("https://asmlis.vasa.lt/Dashboard/Served?ServiceDateFrom=2025-11-24&amp;ServiceDateTo=2025-11-24&amp;DumpsterInvNr=13-L-124748", "13-L-124748")</f>
        <v>13-L-124748</v>
      </c>
      <c r="C10063">
        <v>1.1000000000000001</v>
      </c>
      <c r="D10063" t="s">
        <v>13450</v>
      </c>
      <c r="E10063" t="s">
        <v>11</v>
      </c>
      <c r="G10063" t="s">
        <v>1912</v>
      </c>
      <c r="H10063" t="s">
        <v>432</v>
      </c>
    </row>
    <row r="10064" spans="1:10" x14ac:dyDescent="0.25">
      <c r="A10064" t="s">
        <v>13476</v>
      </c>
      <c r="B10064" s="1" t="str">
        <f>HYPERLINK("https://asmlis.vasa.lt/Dashboard/Served?ServiceDateFrom=2025-11-24&amp;ServiceDateTo=2025-11-24&amp;DumpsterInvNr=13-P-101138", "13-P-101138")</f>
        <v>13-P-101138</v>
      </c>
      <c r="C10064">
        <v>0.12</v>
      </c>
      <c r="D10064" t="s">
        <v>13468</v>
      </c>
      <c r="E10064" t="s">
        <v>11</v>
      </c>
      <c r="F10064" t="s">
        <v>2556</v>
      </c>
      <c r="G10064" t="s">
        <v>1917</v>
      </c>
      <c r="H10064" t="s">
        <v>432</v>
      </c>
      <c r="J10064" t="s">
        <v>17511</v>
      </c>
    </row>
    <row r="10065" spans="1:10" hidden="1" x14ac:dyDescent="0.25">
      <c r="A10065" t="s">
        <v>13477</v>
      </c>
      <c r="B10065" s="1" t="str">
        <f>HYPERLINK("https://asmlis.vasa.lt/Dashboard/Served?ServiceDateFrom=2025-11-24&amp;ServiceDateTo=2025-11-24&amp;DumpsterInvNr=13-S-102398", "13-S-102398")</f>
        <v>13-S-102398</v>
      </c>
      <c r="C10065">
        <v>0.12</v>
      </c>
      <c r="D10065" t="s">
        <v>13445</v>
      </c>
      <c r="E10065" t="s">
        <v>11</v>
      </c>
      <c r="F10065" t="s">
        <v>1209</v>
      </c>
      <c r="G10065" t="s">
        <v>1917</v>
      </c>
      <c r="H10065" t="s">
        <v>432</v>
      </c>
    </row>
    <row r="10066" spans="1:10" hidden="1" x14ac:dyDescent="0.25">
      <c r="A10066" t="s">
        <v>13226</v>
      </c>
      <c r="B10066" s="1" t="str">
        <f>HYPERLINK("https://asmlis.vasa.lt/Dashboard/Served?ServiceDateFrom=2025-11-24&amp;ServiceDateTo=2025-11-24&amp;DumpsterInvNr=13-L-310359", "13-L-310359")</f>
        <v>13-L-310359</v>
      </c>
      <c r="C10066">
        <v>5</v>
      </c>
      <c r="D10066" t="s">
        <v>13478</v>
      </c>
      <c r="E10066" t="s">
        <v>11</v>
      </c>
      <c r="F10066" t="s">
        <v>13</v>
      </c>
      <c r="G10066" t="s">
        <v>9</v>
      </c>
      <c r="H10066" t="s">
        <v>14</v>
      </c>
    </row>
    <row r="10067" spans="1:10" hidden="1" x14ac:dyDescent="0.25">
      <c r="A10067" t="s">
        <v>13299</v>
      </c>
      <c r="B10067" s="1" t="str">
        <f>HYPERLINK("https://asmlis.vasa.lt/Dashboard/Served?ServiceDateFrom=2025-11-24&amp;ServiceDateTo=2025-11-24&amp;DumpsterInvNr=13-P-302556", "13-P-302556")</f>
        <v>13-P-302556</v>
      </c>
      <c r="C10067">
        <v>5</v>
      </c>
      <c r="D10067" t="s">
        <v>13479</v>
      </c>
      <c r="E10067" t="s">
        <v>11</v>
      </c>
      <c r="G10067" t="s">
        <v>412</v>
      </c>
      <c r="H10067" t="s">
        <v>14</v>
      </c>
    </row>
    <row r="10068" spans="1:10" hidden="1" x14ac:dyDescent="0.25">
      <c r="A10068" t="s">
        <v>13341</v>
      </c>
      <c r="B10068" s="1" t="str">
        <f>HYPERLINK("https://asmlis.vasa.lt/Dashboard/Served?ServiceDateFrom=2025-11-24&amp;ServiceDateTo=2025-11-24&amp;DumpsterInvNr=13-L-135804", "13-L-135804")</f>
        <v>13-L-135804</v>
      </c>
      <c r="C10068">
        <v>5</v>
      </c>
      <c r="D10068" t="s">
        <v>6908</v>
      </c>
      <c r="E10068" t="s">
        <v>11</v>
      </c>
      <c r="F10068" t="s">
        <v>13</v>
      </c>
      <c r="G10068" t="s">
        <v>430</v>
      </c>
      <c r="H10068" t="s">
        <v>432</v>
      </c>
    </row>
    <row r="10069" spans="1:10" hidden="1" x14ac:dyDescent="0.25">
      <c r="A10069" t="s">
        <v>13480</v>
      </c>
      <c r="B10069" s="1" t="str">
        <f>HYPERLINK("https://asmlis.vasa.lt/Dashboard/Served?ServiceDateFrom=2025-11-24&amp;ServiceDateTo=2025-11-24&amp;DumpsterInvNr=13-P-404027", "13-P-404027")</f>
        <v>13-P-404027</v>
      </c>
      <c r="C10069">
        <v>0.24</v>
      </c>
      <c r="D10069" t="s">
        <v>13464</v>
      </c>
      <c r="E10069" t="s">
        <v>11</v>
      </c>
      <c r="F10069" t="s">
        <v>13</v>
      </c>
      <c r="G10069" t="s">
        <v>264</v>
      </c>
      <c r="H10069" t="s">
        <v>14</v>
      </c>
    </row>
    <row r="10070" spans="1:10" hidden="1" x14ac:dyDescent="0.25">
      <c r="A10070" t="s">
        <v>13480</v>
      </c>
      <c r="B10070" s="1" t="str">
        <f>HYPERLINK("https://asmlis.vasa.lt/Dashboard/Served?ServiceDateFrom=2025-11-24&amp;ServiceDateTo=2025-11-24&amp;DumpsterInvNr=13-P-502486", "13-P-502486")</f>
        <v>13-P-502486</v>
      </c>
      <c r="C10070">
        <v>1.1000000000000001</v>
      </c>
      <c r="D10070" t="s">
        <v>13474</v>
      </c>
      <c r="E10070" t="s">
        <v>11</v>
      </c>
      <c r="G10070" t="s">
        <v>2178</v>
      </c>
      <c r="H10070" t="s">
        <v>432</v>
      </c>
    </row>
    <row r="10071" spans="1:10" x14ac:dyDescent="0.25">
      <c r="A10071" t="s">
        <v>13326</v>
      </c>
      <c r="B10071" s="1" t="str">
        <f>HYPERLINK("https://asmlis.vasa.lt/Dashboard/Served?ServiceDateFrom=2025-11-24&amp;ServiceDateTo=2025-11-24&amp;DumpsterInvNr=13-S-107333", "13-S-107333")</f>
        <v>13-S-107333</v>
      </c>
      <c r="C10071">
        <v>0.12</v>
      </c>
      <c r="D10071" t="s">
        <v>13481</v>
      </c>
      <c r="E10071" t="s">
        <v>11</v>
      </c>
      <c r="F10071" t="s">
        <v>2556</v>
      </c>
      <c r="G10071" t="s">
        <v>1917</v>
      </c>
      <c r="H10071" t="s">
        <v>432</v>
      </c>
      <c r="J10071" t="s">
        <v>17511</v>
      </c>
    </row>
    <row r="10072" spans="1:10" hidden="1" x14ac:dyDescent="0.25">
      <c r="A10072" t="s">
        <v>13320</v>
      </c>
      <c r="B10072" s="1" t="str">
        <f>HYPERLINK("https://asmlis.vasa.lt/Dashboard/Served?ServiceDateFrom=2025-11-24&amp;ServiceDateTo=2025-11-24&amp;DumpsterInvNr=13-P-301647", "13-P-301647")</f>
        <v>13-P-301647</v>
      </c>
      <c r="C10072">
        <v>5</v>
      </c>
      <c r="D10072" t="s">
        <v>2578</v>
      </c>
      <c r="E10072" t="s">
        <v>11</v>
      </c>
      <c r="G10072" t="s">
        <v>412</v>
      </c>
      <c r="H10072" t="s">
        <v>14</v>
      </c>
    </row>
    <row r="10073" spans="1:10" hidden="1" x14ac:dyDescent="0.25">
      <c r="A10073" t="s">
        <v>13320</v>
      </c>
      <c r="B10073" s="1" t="str">
        <f>HYPERLINK("https://asmlis.vasa.lt/Dashboard/Served?ServiceDateFrom=2025-11-24&amp;ServiceDateTo=2025-11-24&amp;DumpsterInvNr=13-L-121059", "13-L-121059")</f>
        <v>13-L-121059</v>
      </c>
      <c r="C10073">
        <v>0.66</v>
      </c>
      <c r="D10073" t="s">
        <v>13482</v>
      </c>
      <c r="E10073" t="s">
        <v>11</v>
      </c>
      <c r="G10073" t="s">
        <v>430</v>
      </c>
      <c r="H10073" t="s">
        <v>432</v>
      </c>
    </row>
    <row r="10074" spans="1:10" hidden="1" x14ac:dyDescent="0.25">
      <c r="A10074" t="s">
        <v>13358</v>
      </c>
      <c r="B10074" s="1" t="str">
        <f>HYPERLINK("https://asmlis.vasa.lt/Dashboard/Served?ServiceDateFrom=2025-11-24&amp;ServiceDateTo=2025-11-24&amp;DumpsterInvNr=13-P-502335", "13-P-502335")</f>
        <v>13-P-502335</v>
      </c>
      <c r="C10074">
        <v>5</v>
      </c>
      <c r="D10074" t="s">
        <v>13420</v>
      </c>
      <c r="E10074" t="s">
        <v>11</v>
      </c>
      <c r="F10074" t="s">
        <v>13</v>
      </c>
      <c r="G10074" t="s">
        <v>2178</v>
      </c>
      <c r="H10074" t="s">
        <v>432</v>
      </c>
    </row>
    <row r="10075" spans="1:10" hidden="1" x14ac:dyDescent="0.25">
      <c r="A10075" t="s">
        <v>13390</v>
      </c>
      <c r="B10075" s="1" t="str">
        <f>HYPERLINK("https://asmlis.vasa.lt/Dashboard/Served?ServiceDateFrom=2025-11-24&amp;ServiceDateTo=2025-11-24&amp;DumpsterInvNr=13-P-212426", "13-P-212426")</f>
        <v>13-P-212426</v>
      </c>
      <c r="C10075">
        <v>0.24</v>
      </c>
      <c r="D10075" t="s">
        <v>12918</v>
      </c>
      <c r="E10075" t="s">
        <v>11</v>
      </c>
      <c r="G10075" t="s">
        <v>234</v>
      </c>
      <c r="H10075" t="s">
        <v>14</v>
      </c>
    </row>
    <row r="10076" spans="1:10" hidden="1" x14ac:dyDescent="0.25">
      <c r="A10076" t="s">
        <v>13395</v>
      </c>
      <c r="B10076" s="1" t="str">
        <f>HYPERLINK("https://asmlis.vasa.lt/Dashboard/Served?ServiceDateFrom=2025-11-24&amp;ServiceDateTo=2025-11-24&amp;DumpsterInvNr=13-L-423238", "13-L-423238")</f>
        <v>13-L-423238</v>
      </c>
      <c r="C10076">
        <v>5</v>
      </c>
      <c r="D10076" t="s">
        <v>11045</v>
      </c>
      <c r="E10076" t="s">
        <v>11</v>
      </c>
      <c r="F10076" t="s">
        <v>13</v>
      </c>
      <c r="G10076" t="s">
        <v>74</v>
      </c>
      <c r="H10076" t="s">
        <v>14</v>
      </c>
    </row>
    <row r="10077" spans="1:10" hidden="1" x14ac:dyDescent="0.25">
      <c r="A10077" t="s">
        <v>13484</v>
      </c>
      <c r="B10077" s="1" t="str">
        <f>HYPERLINK("https://asmlis.vasa.lt/Dashboard/Served?ServiceDateFrom=2025-11-24&amp;ServiceDateTo=2025-11-24&amp;DumpsterInvNr=13-L-121058", "13-L-121058")</f>
        <v>13-L-121058</v>
      </c>
      <c r="C10077">
        <v>1.1000000000000001</v>
      </c>
      <c r="D10077" t="s">
        <v>13482</v>
      </c>
      <c r="E10077" t="s">
        <v>11</v>
      </c>
      <c r="G10077" t="s">
        <v>430</v>
      </c>
      <c r="H10077" t="s">
        <v>432</v>
      </c>
    </row>
    <row r="10078" spans="1:10" x14ac:dyDescent="0.25">
      <c r="A10078" t="s">
        <v>13485</v>
      </c>
      <c r="B10078" s="1" t="str">
        <f>HYPERLINK("https://asmlis.vasa.lt/Dashboard/Served?ServiceDateFrom=2025-11-24&amp;ServiceDateTo=2025-11-24&amp;DumpsterInvNr=13-L-128124", "13-L-128124")</f>
        <v>13-L-128124</v>
      </c>
      <c r="C10078">
        <v>0.24</v>
      </c>
      <c r="D10078" t="s">
        <v>13481</v>
      </c>
      <c r="E10078" t="s">
        <v>11</v>
      </c>
      <c r="F10078" t="s">
        <v>2556</v>
      </c>
      <c r="G10078" t="s">
        <v>1912</v>
      </c>
      <c r="H10078" t="s">
        <v>432</v>
      </c>
      <c r="J10078" t="s">
        <v>17511</v>
      </c>
    </row>
    <row r="10079" spans="1:10" hidden="1" x14ac:dyDescent="0.25">
      <c r="A10079" t="s">
        <v>13486</v>
      </c>
      <c r="B10079" s="1" t="str">
        <f>HYPERLINK("https://asmlis.vasa.lt/Dashboard/Served?ServiceDateFrom=2025-11-24&amp;ServiceDateTo=2025-11-24&amp;DumpsterInvNr=13-L-315155", "13-L-315155")</f>
        <v>13-L-315155</v>
      </c>
      <c r="C10079">
        <v>1.1000000000000001</v>
      </c>
      <c r="D10079" t="s">
        <v>13487</v>
      </c>
      <c r="E10079" t="s">
        <v>11</v>
      </c>
      <c r="G10079" t="s">
        <v>9</v>
      </c>
      <c r="H10079" t="s">
        <v>14</v>
      </c>
    </row>
    <row r="10080" spans="1:10" hidden="1" x14ac:dyDescent="0.25">
      <c r="A10080" t="s">
        <v>13488</v>
      </c>
      <c r="B10080" s="1" t="str">
        <f>HYPERLINK("https://asmlis.vasa.lt/Dashboard/Served?ServiceDateFrom=2025-11-24&amp;ServiceDateTo=2025-11-24&amp;DumpsterInvNr=13-L-423237", "13-L-423237")</f>
        <v>13-L-423237</v>
      </c>
      <c r="C10080">
        <v>5</v>
      </c>
      <c r="D10080" t="s">
        <v>11017</v>
      </c>
      <c r="E10080" t="s">
        <v>11</v>
      </c>
      <c r="F10080" t="s">
        <v>13</v>
      </c>
      <c r="G10080" t="s">
        <v>74</v>
      </c>
      <c r="H10080" t="s">
        <v>14</v>
      </c>
    </row>
    <row r="10081" spans="1:10" hidden="1" x14ac:dyDescent="0.25">
      <c r="A10081" t="s">
        <v>13489</v>
      </c>
      <c r="B10081" s="1" t="str">
        <f>HYPERLINK("https://asmlis.vasa.lt/Dashboard/Served?ServiceDateFrom=2025-11-24&amp;ServiceDateTo=2025-11-24&amp;DumpsterInvNr=13-L-137676", "13-L-137676")</f>
        <v>13-L-137676</v>
      </c>
      <c r="C10081">
        <v>0.24</v>
      </c>
      <c r="D10081" t="s">
        <v>13490</v>
      </c>
      <c r="E10081" t="s">
        <v>11</v>
      </c>
      <c r="G10081" t="s">
        <v>430</v>
      </c>
      <c r="H10081" t="s">
        <v>432</v>
      </c>
    </row>
    <row r="10082" spans="1:10" hidden="1" x14ac:dyDescent="0.25">
      <c r="A10082" t="s">
        <v>13489</v>
      </c>
      <c r="B10082" s="1" t="str">
        <f>HYPERLINK("https://asmlis.vasa.lt/Dashboard/Served?ServiceDateFrom=2025-11-24&amp;ServiceDateTo=2025-11-24&amp;DumpsterInvNr=13-P-502716", "13-P-502716")</f>
        <v>13-P-502716</v>
      </c>
      <c r="C10082">
        <v>0.24</v>
      </c>
      <c r="D10082" t="s">
        <v>13490</v>
      </c>
      <c r="E10082" t="s">
        <v>11</v>
      </c>
      <c r="G10082" t="s">
        <v>2178</v>
      </c>
      <c r="H10082" t="s">
        <v>432</v>
      </c>
    </row>
    <row r="10083" spans="1:10" hidden="1" x14ac:dyDescent="0.25">
      <c r="A10083" t="s">
        <v>13491</v>
      </c>
      <c r="B10083" s="1" t="str">
        <f>HYPERLINK("https://asmlis.vasa.lt/Dashboard/Served?ServiceDateFrom=2025-11-24&amp;ServiceDateTo=2025-11-24&amp;DumpsterInvNr=13-L-304400", "13-L-304400")</f>
        <v>13-L-304400</v>
      </c>
      <c r="C10083">
        <v>3</v>
      </c>
      <c r="D10083" t="s">
        <v>13492</v>
      </c>
      <c r="E10083" t="s">
        <v>11</v>
      </c>
      <c r="F10083" t="s">
        <v>13</v>
      </c>
      <c r="G10083" t="s">
        <v>9</v>
      </c>
      <c r="H10083" t="s">
        <v>14</v>
      </c>
    </row>
    <row r="10084" spans="1:10" hidden="1" x14ac:dyDescent="0.25">
      <c r="A10084" t="s">
        <v>13493</v>
      </c>
      <c r="B10084" s="1" t="str">
        <f>HYPERLINK("https://asmlis.vasa.lt/Dashboard/Served?ServiceDateFrom=2025-11-24&amp;ServiceDateTo=2025-11-24&amp;DumpsterInvNr=13-S-209101", "13-S-209101")</f>
        <v>13-S-209101</v>
      </c>
      <c r="C10084">
        <v>0.12</v>
      </c>
      <c r="D10084" t="s">
        <v>12918</v>
      </c>
      <c r="E10084" t="s">
        <v>11</v>
      </c>
      <c r="F10084" t="s">
        <v>1209</v>
      </c>
      <c r="G10084" t="s">
        <v>234</v>
      </c>
      <c r="H10084" t="s">
        <v>14</v>
      </c>
    </row>
    <row r="10085" spans="1:10" x14ac:dyDescent="0.25">
      <c r="A10085" t="s">
        <v>13494</v>
      </c>
      <c r="B10085" s="1" t="str">
        <f>HYPERLINK("https://asmlis.vasa.lt/Dashboard/Served?ServiceDateFrom=2025-11-24&amp;ServiceDateTo=2025-11-24&amp;DumpsterInvNr=13-P-112333", "13-P-112333")</f>
        <v>13-P-112333</v>
      </c>
      <c r="C10085">
        <v>0.24</v>
      </c>
      <c r="D10085" t="s">
        <v>13481</v>
      </c>
      <c r="E10085" t="s">
        <v>11</v>
      </c>
      <c r="F10085" t="s">
        <v>2556</v>
      </c>
      <c r="G10085" t="s">
        <v>1917</v>
      </c>
      <c r="H10085" t="s">
        <v>432</v>
      </c>
      <c r="J10085" t="s">
        <v>17511</v>
      </c>
    </row>
    <row r="10086" spans="1:10" hidden="1" x14ac:dyDescent="0.25">
      <c r="A10086" t="s">
        <v>13495</v>
      </c>
      <c r="B10086" s="1" t="str">
        <f>HYPERLINK("https://asmlis.vasa.lt/Dashboard/Served?ServiceDateFrom=2025-11-24&amp;ServiceDateTo=2025-11-24&amp;DumpsterInvNr=13-L-404290", "13-L-404290")</f>
        <v>13-L-404290</v>
      </c>
      <c r="C10086">
        <v>0.12</v>
      </c>
      <c r="D10086" t="s">
        <v>8252</v>
      </c>
      <c r="E10086" t="s">
        <v>11</v>
      </c>
      <c r="G10086" t="s">
        <v>74</v>
      </c>
      <c r="H10086" t="s">
        <v>14</v>
      </c>
    </row>
    <row r="10087" spans="1:10" hidden="1" x14ac:dyDescent="0.25">
      <c r="A10087" t="s">
        <v>13495</v>
      </c>
      <c r="B10087" s="1" t="str">
        <f>HYPERLINK("https://asmlis.vasa.lt/Dashboard/Served?ServiceDateFrom=2025-11-24&amp;ServiceDateTo=2025-11-24&amp;DumpsterInvNr=13-L-410610", "13-L-410610")</f>
        <v>13-L-410610</v>
      </c>
      <c r="C10087">
        <v>0.12</v>
      </c>
      <c r="D10087" t="s">
        <v>8464</v>
      </c>
      <c r="E10087" t="s">
        <v>11</v>
      </c>
      <c r="G10087" t="s">
        <v>74</v>
      </c>
      <c r="H10087" t="s">
        <v>14</v>
      </c>
    </row>
    <row r="10088" spans="1:10" hidden="1" x14ac:dyDescent="0.25">
      <c r="A10088" t="s">
        <v>13496</v>
      </c>
      <c r="B10088" s="1" t="str">
        <f>HYPERLINK("https://asmlis.vasa.lt/Dashboard/Served?ServiceDateFrom=2025-11-24&amp;ServiceDateTo=2025-11-24&amp;DumpsterInvNr=13-S-505454", "13-S-505454")</f>
        <v>13-S-505454</v>
      </c>
      <c r="C10088">
        <v>0.12</v>
      </c>
      <c r="D10088" t="s">
        <v>13490</v>
      </c>
      <c r="E10088" t="s">
        <v>11</v>
      </c>
      <c r="F10088" t="s">
        <v>1209</v>
      </c>
      <c r="G10088" t="s">
        <v>2178</v>
      </c>
      <c r="H10088" t="s">
        <v>432</v>
      </c>
    </row>
    <row r="10089" spans="1:10" hidden="1" x14ac:dyDescent="0.25">
      <c r="A10089" t="s">
        <v>13254</v>
      </c>
      <c r="B10089" s="1" t="str">
        <f>HYPERLINK("https://asmlis.vasa.lt/Dashboard/Served?ServiceDateFrom=2025-11-24&amp;ServiceDateTo=2025-11-24&amp;DumpsterInvNr=13-L-310595", "13-L-310595")</f>
        <v>13-L-310595</v>
      </c>
      <c r="C10089">
        <v>1.1000000000000001</v>
      </c>
      <c r="D10089" t="s">
        <v>13487</v>
      </c>
      <c r="E10089" t="s">
        <v>11</v>
      </c>
      <c r="F10089" t="s">
        <v>13</v>
      </c>
      <c r="G10089" t="s">
        <v>9</v>
      </c>
      <c r="H10089" t="s">
        <v>14</v>
      </c>
    </row>
    <row r="10090" spans="1:10" x14ac:dyDescent="0.25">
      <c r="A10090" t="s">
        <v>13254</v>
      </c>
      <c r="B10090" s="1" t="str">
        <f>HYPERLINK("https://asmlis.vasa.lt/Dashboard/Served?ServiceDateFrom=2025-11-24&amp;ServiceDateTo=2025-11-24&amp;DumpsterInvNr=13-S-103186", "13-S-103186")</f>
        <v>13-S-103186</v>
      </c>
      <c r="C10090">
        <v>0.12</v>
      </c>
      <c r="D10090" t="s">
        <v>13498</v>
      </c>
      <c r="E10090" t="s">
        <v>11</v>
      </c>
      <c r="F10090" t="s">
        <v>2556</v>
      </c>
      <c r="G10090" t="s">
        <v>1917</v>
      </c>
      <c r="H10090" t="s">
        <v>432</v>
      </c>
      <c r="J10090" t="s">
        <v>17511</v>
      </c>
    </row>
    <row r="10091" spans="1:10" hidden="1" x14ac:dyDescent="0.25">
      <c r="A10091" t="s">
        <v>13499</v>
      </c>
      <c r="B10091" s="1" t="str">
        <f>HYPERLINK("https://asmlis.vasa.lt/Dashboard/Served?ServiceDateFrom=2025-11-24&amp;ServiceDateTo=2025-11-24&amp;DumpsterInvNr=13-L-424809", "13-L-424809")</f>
        <v>13-L-424809</v>
      </c>
      <c r="C10091">
        <v>1.1000000000000001</v>
      </c>
      <c r="D10091" t="s">
        <v>13500</v>
      </c>
      <c r="E10091" t="s">
        <v>11</v>
      </c>
      <c r="G10091" t="s">
        <v>74</v>
      </c>
      <c r="H10091" t="s">
        <v>14</v>
      </c>
    </row>
    <row r="10092" spans="1:10" hidden="1" x14ac:dyDescent="0.25">
      <c r="A10092" t="s">
        <v>13501</v>
      </c>
      <c r="B10092" s="1" t="str">
        <f>HYPERLINK("https://asmlis.vasa.lt/Dashboard/Served?ServiceDateFrom=2025-11-24&amp;ServiceDateTo=2025-11-24&amp;DumpsterInvNr=13-L-121060", "13-L-121060")</f>
        <v>13-L-121060</v>
      </c>
      <c r="C10092">
        <v>1.1000000000000001</v>
      </c>
      <c r="D10092" t="s">
        <v>13502</v>
      </c>
      <c r="E10092" t="s">
        <v>11</v>
      </c>
      <c r="G10092" t="s">
        <v>430</v>
      </c>
      <c r="H10092" t="s">
        <v>432</v>
      </c>
    </row>
    <row r="10093" spans="1:10" x14ac:dyDescent="0.25">
      <c r="A10093" t="s">
        <v>13503</v>
      </c>
      <c r="B10093" s="1" t="str">
        <f>HYPERLINK("https://asmlis.vasa.lt/Dashboard/Served?ServiceDateFrom=2025-11-24&amp;ServiceDateTo=2025-11-24&amp;DumpsterInvNr=13-S-103187", "13-S-103187")</f>
        <v>13-S-103187</v>
      </c>
      <c r="C10093">
        <v>0.12</v>
      </c>
      <c r="D10093" t="s">
        <v>13504</v>
      </c>
      <c r="E10093" t="s">
        <v>11</v>
      </c>
      <c r="F10093" t="s">
        <v>2556</v>
      </c>
      <c r="G10093" t="s">
        <v>1917</v>
      </c>
      <c r="H10093" t="s">
        <v>432</v>
      </c>
      <c r="J10093" t="s">
        <v>17511</v>
      </c>
    </row>
    <row r="10094" spans="1:10" hidden="1" x14ac:dyDescent="0.25">
      <c r="A10094" t="s">
        <v>13505</v>
      </c>
      <c r="B10094" s="1" t="str">
        <f>HYPERLINK("https://asmlis.vasa.lt/Dashboard/Served?ServiceDateFrom=2025-11-24&amp;ServiceDateTo=2025-11-24&amp;DumpsterInvNr=13-L-133323", "13-L-133323")</f>
        <v>13-L-133323</v>
      </c>
      <c r="C10094">
        <v>0.24</v>
      </c>
      <c r="D10094" t="s">
        <v>13506</v>
      </c>
      <c r="E10094" t="s">
        <v>11</v>
      </c>
      <c r="G10094" t="s">
        <v>430</v>
      </c>
      <c r="H10094" t="s">
        <v>432</v>
      </c>
    </row>
    <row r="10095" spans="1:10" hidden="1" x14ac:dyDescent="0.25">
      <c r="A10095" t="s">
        <v>13505</v>
      </c>
      <c r="B10095" s="1" t="str">
        <f>HYPERLINK("https://asmlis.vasa.lt/Dashboard/Served?ServiceDateFrom=2025-11-24&amp;ServiceDateTo=2025-11-24&amp;DumpsterInvNr=13-P-506700", "13-P-506700")</f>
        <v>13-P-506700</v>
      </c>
      <c r="C10095">
        <v>0.24</v>
      </c>
      <c r="D10095" t="s">
        <v>13506</v>
      </c>
      <c r="E10095" t="s">
        <v>11</v>
      </c>
      <c r="G10095" t="s">
        <v>2178</v>
      </c>
      <c r="H10095" t="s">
        <v>432</v>
      </c>
    </row>
    <row r="10096" spans="1:10" hidden="1" x14ac:dyDescent="0.25">
      <c r="A10096" t="s">
        <v>13507</v>
      </c>
      <c r="B10096" s="1" t="str">
        <f>HYPERLINK("https://asmlis.vasa.lt/Dashboard/Served?ServiceDateFrom=2025-11-24&amp;ServiceDateTo=2025-11-24&amp;DumpsterInvNr=13-P-413827", "13-P-413827")</f>
        <v>13-P-413827</v>
      </c>
      <c r="C10096">
        <v>5</v>
      </c>
      <c r="D10096" t="s">
        <v>6338</v>
      </c>
      <c r="E10096" t="s">
        <v>11</v>
      </c>
      <c r="F10096" t="s">
        <v>13</v>
      </c>
      <c r="G10096" t="s">
        <v>264</v>
      </c>
      <c r="H10096" t="s">
        <v>14</v>
      </c>
    </row>
    <row r="10097" spans="1:10" hidden="1" x14ac:dyDescent="0.25">
      <c r="A10097" t="s">
        <v>13507</v>
      </c>
      <c r="B10097" s="1" t="str">
        <f>HYPERLINK("https://asmlis.vasa.lt/Dashboard/Served?ServiceDateFrom=2025-11-24&amp;ServiceDateTo=2025-11-24&amp;DumpsterInvNr=13-S-505392", "13-S-505392")</f>
        <v>13-S-505392</v>
      </c>
      <c r="C10097">
        <v>0.12</v>
      </c>
      <c r="D10097" t="s">
        <v>13506</v>
      </c>
      <c r="E10097" t="s">
        <v>11</v>
      </c>
      <c r="F10097" t="s">
        <v>1209</v>
      </c>
      <c r="G10097" t="s">
        <v>2178</v>
      </c>
      <c r="H10097" t="s">
        <v>432</v>
      </c>
    </row>
    <row r="10098" spans="1:10" x14ac:dyDescent="0.25">
      <c r="A10098" t="s">
        <v>13508</v>
      </c>
      <c r="B10098" s="1" t="str">
        <f>HYPERLINK("https://asmlis.vasa.lt/Dashboard/Served?ServiceDateFrom=2025-11-24&amp;ServiceDateTo=2025-11-24&amp;DumpsterInvNr=13-L-102688", "13-L-102688")</f>
        <v>13-L-102688</v>
      </c>
      <c r="C10098">
        <v>0.12</v>
      </c>
      <c r="D10098" t="s">
        <v>13498</v>
      </c>
      <c r="E10098" t="s">
        <v>11</v>
      </c>
      <c r="F10098" t="s">
        <v>2556</v>
      </c>
      <c r="G10098" t="s">
        <v>1912</v>
      </c>
      <c r="H10098" t="s">
        <v>432</v>
      </c>
      <c r="J10098" t="s">
        <v>17511</v>
      </c>
    </row>
    <row r="10099" spans="1:10" hidden="1" x14ac:dyDescent="0.25">
      <c r="A10099" t="s">
        <v>13510</v>
      </c>
      <c r="B10099" s="1" t="str">
        <f>HYPERLINK("https://asmlis.vasa.lt/Dashboard/Served?ServiceDateFrom=2025-11-24&amp;ServiceDateTo=2025-11-24&amp;DumpsterInvNr=13-L-317967", "13-L-317967")</f>
        <v>13-L-317967</v>
      </c>
      <c r="C10099">
        <v>1.1000000000000001</v>
      </c>
      <c r="D10099" t="s">
        <v>13511</v>
      </c>
      <c r="E10099" t="s">
        <v>11</v>
      </c>
      <c r="G10099" t="s">
        <v>9</v>
      </c>
      <c r="H10099" t="s">
        <v>14</v>
      </c>
    </row>
    <row r="10100" spans="1:10" hidden="1" x14ac:dyDescent="0.25">
      <c r="A10100" t="s">
        <v>13512</v>
      </c>
      <c r="B10100" s="1" t="str">
        <f>HYPERLINK("https://asmlis.vasa.lt/Dashboard/Served?ServiceDateFrom=2025-11-24&amp;ServiceDateTo=2025-11-24&amp;DumpsterInvNr=13-L-404289", "13-L-404289")</f>
        <v>13-L-404289</v>
      </c>
      <c r="C10100">
        <v>0.12</v>
      </c>
      <c r="D10100" t="s">
        <v>8466</v>
      </c>
      <c r="E10100" t="s">
        <v>11</v>
      </c>
      <c r="G10100" t="s">
        <v>74</v>
      </c>
      <c r="H10100" t="s">
        <v>14</v>
      </c>
    </row>
    <row r="10101" spans="1:10" hidden="1" x14ac:dyDescent="0.25">
      <c r="A10101" t="s">
        <v>13512</v>
      </c>
      <c r="B10101" s="1" t="str">
        <f>HYPERLINK("https://asmlis.vasa.lt/Dashboard/Served?ServiceDateFrom=2025-11-24&amp;ServiceDateTo=2025-11-24&amp;DumpsterInvNr=13-L-404288", "13-L-404288")</f>
        <v>13-L-404288</v>
      </c>
      <c r="C10101">
        <v>0.12</v>
      </c>
      <c r="D10101" t="s">
        <v>8479</v>
      </c>
      <c r="E10101" t="s">
        <v>11</v>
      </c>
      <c r="G10101" t="s">
        <v>74</v>
      </c>
      <c r="H10101" t="s">
        <v>14</v>
      </c>
    </row>
    <row r="10102" spans="1:10" hidden="1" x14ac:dyDescent="0.25">
      <c r="A10102" t="s">
        <v>13513</v>
      </c>
      <c r="B10102" s="1" t="str">
        <f>HYPERLINK("https://asmlis.vasa.lt/Dashboard/Served?ServiceDateFrom=2025-11-24&amp;ServiceDateTo=2025-11-24&amp;DumpsterInvNr=13-P-500236", "13-P-500236")</f>
        <v>13-P-500236</v>
      </c>
      <c r="C10102">
        <v>5</v>
      </c>
      <c r="D10102" t="s">
        <v>13514</v>
      </c>
      <c r="E10102" t="s">
        <v>11</v>
      </c>
      <c r="F10102" t="s">
        <v>13</v>
      </c>
      <c r="G10102" t="s">
        <v>2178</v>
      </c>
      <c r="H10102" t="s">
        <v>432</v>
      </c>
    </row>
    <row r="10103" spans="1:10" x14ac:dyDescent="0.25">
      <c r="A10103" t="s">
        <v>13515</v>
      </c>
      <c r="B10103" s="1" t="str">
        <f>HYPERLINK("https://asmlis.vasa.lt/Dashboard/Served?ServiceDateFrom=2025-11-24&amp;ServiceDateTo=2025-11-24&amp;DumpsterInvNr=13-P-103509", "13-P-103509")</f>
        <v>13-P-103509</v>
      </c>
      <c r="C10103">
        <v>0.24</v>
      </c>
      <c r="D10103" t="s">
        <v>13504</v>
      </c>
      <c r="E10103" t="s">
        <v>11</v>
      </c>
      <c r="F10103" t="s">
        <v>2556</v>
      </c>
      <c r="G10103" t="s">
        <v>1917</v>
      </c>
      <c r="H10103" t="s">
        <v>432</v>
      </c>
      <c r="J10103" t="s">
        <v>17511</v>
      </c>
    </row>
    <row r="10104" spans="1:10" hidden="1" x14ac:dyDescent="0.25">
      <c r="A10104" t="s">
        <v>13516</v>
      </c>
      <c r="B10104" s="1" t="str">
        <f>HYPERLINK("https://asmlis.vasa.lt/Dashboard/Served?ServiceDateFrom=2025-11-24&amp;ServiceDateTo=2025-11-24&amp;DumpsterInvNr=13-P-208109", "13-P-208109")</f>
        <v>13-P-208109</v>
      </c>
      <c r="C10104">
        <v>0.24</v>
      </c>
      <c r="D10104" t="s">
        <v>12965</v>
      </c>
      <c r="E10104" t="s">
        <v>11</v>
      </c>
      <c r="G10104" t="s">
        <v>234</v>
      </c>
      <c r="H10104" t="s">
        <v>14</v>
      </c>
    </row>
    <row r="10105" spans="1:10" hidden="1" x14ac:dyDescent="0.25">
      <c r="A10105" t="s">
        <v>13517</v>
      </c>
      <c r="B10105" s="1" t="str">
        <f>HYPERLINK("https://asmlis.vasa.lt/Dashboard/Served?ServiceDateFrom=2025-11-24&amp;ServiceDateTo=2025-11-24&amp;DumpsterInvNr=13-L-104243", "13-L-104243")</f>
        <v>13-L-104243</v>
      </c>
      <c r="C10105">
        <v>5</v>
      </c>
      <c r="D10105" t="s">
        <v>13518</v>
      </c>
      <c r="E10105" t="s">
        <v>11</v>
      </c>
      <c r="F10105" t="s">
        <v>13</v>
      </c>
      <c r="G10105" t="s">
        <v>430</v>
      </c>
      <c r="H10105" t="s">
        <v>432</v>
      </c>
    </row>
    <row r="10106" spans="1:10" hidden="1" x14ac:dyDescent="0.25">
      <c r="A10106" t="s">
        <v>13519</v>
      </c>
      <c r="B10106" s="1" t="str">
        <f>HYPERLINK("https://asmlis.vasa.lt/Dashboard/Served?ServiceDateFrom=2025-11-24&amp;ServiceDateTo=2025-11-24&amp;DumpsterInvNr=13-P-416029", "13-P-416029")</f>
        <v>13-P-416029</v>
      </c>
      <c r="C10106">
        <v>1.1000000000000001</v>
      </c>
      <c r="D10106" t="s">
        <v>8712</v>
      </c>
      <c r="E10106" t="s">
        <v>11</v>
      </c>
      <c r="G10106" t="s">
        <v>264</v>
      </c>
      <c r="H10106" t="s">
        <v>14</v>
      </c>
    </row>
    <row r="10107" spans="1:10" hidden="1" x14ac:dyDescent="0.25">
      <c r="A10107" t="s">
        <v>13520</v>
      </c>
      <c r="B10107" s="1" t="str">
        <f>HYPERLINK("https://asmlis.vasa.lt/Dashboard/Served?ServiceDateFrom=2025-11-24&amp;ServiceDateTo=2025-11-24&amp;DumpsterInvNr=13-L-318719", "13-L-318719")</f>
        <v>13-L-318719</v>
      </c>
      <c r="C10107">
        <v>1.1000000000000001</v>
      </c>
      <c r="D10107" t="s">
        <v>13521</v>
      </c>
      <c r="E10107" t="s">
        <v>11</v>
      </c>
      <c r="G10107" t="s">
        <v>9</v>
      </c>
      <c r="H10107" t="s">
        <v>14</v>
      </c>
    </row>
    <row r="10108" spans="1:10" x14ac:dyDescent="0.25">
      <c r="A10108" t="s">
        <v>13522</v>
      </c>
      <c r="B10108" s="1" t="str">
        <f>HYPERLINK("https://asmlis.vasa.lt/Dashboard/Served?ServiceDateFrom=2025-11-24&amp;ServiceDateTo=2025-11-24&amp;DumpsterInvNr=13-P-111730", "13-P-111730")</f>
        <v>13-P-111730</v>
      </c>
      <c r="C10108">
        <v>0.24</v>
      </c>
      <c r="D10108" t="s">
        <v>13498</v>
      </c>
      <c r="E10108" t="s">
        <v>11</v>
      </c>
      <c r="F10108" t="s">
        <v>2556</v>
      </c>
      <c r="G10108" t="s">
        <v>1917</v>
      </c>
      <c r="H10108" t="s">
        <v>432</v>
      </c>
      <c r="J10108" t="s">
        <v>17511</v>
      </c>
    </row>
    <row r="10109" spans="1:10" hidden="1" x14ac:dyDescent="0.25">
      <c r="A10109" t="s">
        <v>13523</v>
      </c>
      <c r="B10109" s="1" t="str">
        <f>HYPERLINK("https://asmlis.vasa.lt/Dashboard/Served?ServiceDateFrom=2025-11-24&amp;ServiceDateTo=2025-11-24&amp;DumpsterInvNr=13-L-424357", "13-L-424357")</f>
        <v>13-L-424357</v>
      </c>
      <c r="C10109">
        <v>1.1000000000000001</v>
      </c>
      <c r="D10109" t="s">
        <v>13524</v>
      </c>
      <c r="E10109" t="s">
        <v>11</v>
      </c>
      <c r="G10109" t="s">
        <v>74</v>
      </c>
      <c r="H10109" t="s">
        <v>14</v>
      </c>
    </row>
    <row r="10110" spans="1:10" hidden="1" x14ac:dyDescent="0.25">
      <c r="A10110" t="s">
        <v>13525</v>
      </c>
      <c r="B10110" s="1" t="str">
        <f>HYPERLINK("https://asmlis.vasa.lt/Dashboard/Served?ServiceDateFrom=2025-11-24&amp;ServiceDateTo=2025-11-24&amp;DumpsterInvNr=13-L-317280", "13-L-317280")</f>
        <v>13-L-317280</v>
      </c>
      <c r="C10110">
        <v>1.1000000000000001</v>
      </c>
      <c r="D10110" t="s">
        <v>13511</v>
      </c>
      <c r="E10110" t="s">
        <v>11</v>
      </c>
      <c r="G10110" t="s">
        <v>9</v>
      </c>
      <c r="H10110" t="s">
        <v>14</v>
      </c>
    </row>
    <row r="10111" spans="1:10" hidden="1" x14ac:dyDescent="0.25">
      <c r="A10111" t="s">
        <v>13526</v>
      </c>
      <c r="B10111" s="1" t="str">
        <f>HYPERLINK("https://asmlis.vasa.lt/Dashboard/Served?ServiceDateFrom=2025-11-24&amp;ServiceDateTo=2025-11-24&amp;DumpsterInvNr=13-L-140592", "13-L-140592")</f>
        <v>13-L-140592</v>
      </c>
      <c r="C10111">
        <v>1.1000000000000001</v>
      </c>
      <c r="D10111" t="s">
        <v>13450</v>
      </c>
      <c r="E10111" t="s">
        <v>11</v>
      </c>
      <c r="G10111" t="s">
        <v>1912</v>
      </c>
      <c r="H10111" t="s">
        <v>432</v>
      </c>
    </row>
    <row r="10112" spans="1:10" x14ac:dyDescent="0.25">
      <c r="A10112" t="s">
        <v>13526</v>
      </c>
      <c r="B10112" s="1" t="str">
        <f>HYPERLINK("https://asmlis.vasa.lt/Dashboard/Served?ServiceDateFrom=2025-11-24&amp;ServiceDateTo=2025-11-24&amp;DumpsterInvNr=13-P-103511", "13-P-103511")</f>
        <v>13-P-103511</v>
      </c>
      <c r="C10112">
        <v>0.24</v>
      </c>
      <c r="D10112" t="s">
        <v>13498</v>
      </c>
      <c r="E10112" t="s">
        <v>11</v>
      </c>
      <c r="F10112" t="s">
        <v>2556</v>
      </c>
      <c r="G10112" t="s">
        <v>1917</v>
      </c>
      <c r="H10112" t="s">
        <v>432</v>
      </c>
      <c r="J10112" t="s">
        <v>17511</v>
      </c>
    </row>
    <row r="10113" spans="1:10" hidden="1" x14ac:dyDescent="0.25">
      <c r="A10113" t="s">
        <v>13527</v>
      </c>
      <c r="B10113" s="1" t="str">
        <f>HYPERLINK("https://asmlis.vasa.lt/Dashboard/Served?ServiceDateFrom=2025-11-24&amp;ServiceDateTo=2025-11-24&amp;DumpsterInvNr=13-L-115239", "13-L-115239")</f>
        <v>13-L-115239</v>
      </c>
      <c r="C10113">
        <v>0.12</v>
      </c>
      <c r="D10113" t="s">
        <v>13528</v>
      </c>
      <c r="E10113" t="s">
        <v>11</v>
      </c>
      <c r="G10113" t="s">
        <v>430</v>
      </c>
      <c r="H10113" t="s">
        <v>432</v>
      </c>
    </row>
    <row r="10114" spans="1:10" hidden="1" x14ac:dyDescent="0.25">
      <c r="A10114" t="s">
        <v>13529</v>
      </c>
      <c r="B10114" s="1" t="str">
        <f>HYPERLINK("https://asmlis.vasa.lt/Dashboard/Served?ServiceDateFrom=2025-11-24&amp;ServiceDateTo=2025-11-24&amp;DumpsterInvNr=13-P-502715", "13-P-502715")</f>
        <v>13-P-502715</v>
      </c>
      <c r="C10114">
        <v>0.24</v>
      </c>
      <c r="D10114" t="s">
        <v>13528</v>
      </c>
      <c r="E10114" t="s">
        <v>11</v>
      </c>
      <c r="G10114" t="s">
        <v>2178</v>
      </c>
      <c r="H10114" t="s">
        <v>432</v>
      </c>
    </row>
    <row r="10115" spans="1:10" hidden="1" x14ac:dyDescent="0.25">
      <c r="A10115" t="s">
        <v>13529</v>
      </c>
      <c r="B10115" s="1" t="str">
        <f>HYPERLINK("https://asmlis.vasa.lt/Dashboard/Served?ServiceDateFrom=2025-11-24&amp;ServiceDateTo=2025-11-24&amp;DumpsterInvNr=13-L-225724", "13-L-225724")</f>
        <v>13-L-225724</v>
      </c>
      <c r="C10115">
        <v>1.1000000000000001</v>
      </c>
      <c r="D10115" t="s">
        <v>13530</v>
      </c>
      <c r="E10115" t="s">
        <v>12</v>
      </c>
      <c r="G10115" t="s">
        <v>936</v>
      </c>
      <c r="H10115" t="s">
        <v>938</v>
      </c>
    </row>
    <row r="10116" spans="1:10" hidden="1" x14ac:dyDescent="0.25">
      <c r="A10116" t="s">
        <v>13529</v>
      </c>
      <c r="B10116" s="1" t="str">
        <f>HYPERLINK("https://asmlis.vasa.lt/Dashboard/Served?ServiceDateFrom=2025-11-24&amp;ServiceDateTo=2025-11-24&amp;DumpsterInvNr=13-L-142395", "13-L-142395")</f>
        <v>13-L-142395</v>
      </c>
      <c r="C10116">
        <v>1.1000000000000001</v>
      </c>
      <c r="D10116" t="s">
        <v>13531</v>
      </c>
      <c r="E10116" t="s">
        <v>11</v>
      </c>
      <c r="G10116" t="s">
        <v>430</v>
      </c>
      <c r="H10116" t="s">
        <v>432</v>
      </c>
    </row>
    <row r="10117" spans="1:10" hidden="1" x14ac:dyDescent="0.25">
      <c r="A10117" t="s">
        <v>13532</v>
      </c>
      <c r="B10117" s="1" t="str">
        <f>HYPERLINK("https://asmlis.vasa.lt/Dashboard/Served?ServiceDateFrom=2025-11-24&amp;ServiceDateTo=2025-11-24&amp;DumpsterInvNr=13-P-416162", "13-P-416162")</f>
        <v>13-P-416162</v>
      </c>
      <c r="C10117">
        <v>1.1000000000000001</v>
      </c>
      <c r="D10117" t="s">
        <v>8712</v>
      </c>
      <c r="E10117" t="s">
        <v>11</v>
      </c>
      <c r="G10117" t="s">
        <v>264</v>
      </c>
      <c r="H10117" t="s">
        <v>14</v>
      </c>
    </row>
    <row r="10118" spans="1:10" hidden="1" x14ac:dyDescent="0.25">
      <c r="A10118" t="s">
        <v>13533</v>
      </c>
      <c r="B10118" s="1" t="str">
        <f>HYPERLINK("https://asmlis.vasa.lt/Dashboard/Served?ServiceDateFrom=2025-11-24&amp;ServiceDateTo=2025-11-24&amp;DumpsterInvNr=13-L-315394", "13-L-315394")</f>
        <v>13-L-315394</v>
      </c>
      <c r="C10118">
        <v>1.1000000000000001</v>
      </c>
      <c r="D10118" t="s">
        <v>13511</v>
      </c>
      <c r="E10118" t="s">
        <v>11</v>
      </c>
      <c r="G10118" t="s">
        <v>9</v>
      </c>
      <c r="H10118" t="s">
        <v>14</v>
      </c>
    </row>
    <row r="10119" spans="1:10" x14ac:dyDescent="0.25">
      <c r="A10119" t="s">
        <v>13534</v>
      </c>
      <c r="B10119" s="1" t="str">
        <f>HYPERLINK("https://asmlis.vasa.lt/Dashboard/Served?ServiceDateFrom=2025-11-24&amp;ServiceDateTo=2025-11-24&amp;DumpsterInvNr=13-S-103528", "13-S-103528")</f>
        <v>13-S-103528</v>
      </c>
      <c r="C10119">
        <v>0.12</v>
      </c>
      <c r="D10119" t="s">
        <v>13498</v>
      </c>
      <c r="E10119" t="s">
        <v>11</v>
      </c>
      <c r="F10119" t="s">
        <v>2556</v>
      </c>
      <c r="G10119" t="s">
        <v>1917</v>
      </c>
      <c r="H10119" t="s">
        <v>432</v>
      </c>
      <c r="J10119" t="s">
        <v>17511</v>
      </c>
    </row>
    <row r="10120" spans="1:10" hidden="1" x14ac:dyDescent="0.25">
      <c r="A10120" t="s">
        <v>13535</v>
      </c>
      <c r="B10120" s="1" t="str">
        <f>HYPERLINK("https://asmlis.vasa.lt/Dashboard/Served?ServiceDateFrom=2025-11-24&amp;ServiceDateTo=2025-11-24&amp;DumpsterInvNr=13-P-203715", "13-P-203715")</f>
        <v>13-P-203715</v>
      </c>
      <c r="C10120">
        <v>0.24</v>
      </c>
      <c r="D10120" t="s">
        <v>12943</v>
      </c>
      <c r="E10120" t="s">
        <v>11</v>
      </c>
      <c r="G10120" t="s">
        <v>234</v>
      </c>
      <c r="H10120" t="s">
        <v>14</v>
      </c>
    </row>
    <row r="10121" spans="1:10" hidden="1" x14ac:dyDescent="0.25">
      <c r="A10121" t="s">
        <v>13535</v>
      </c>
      <c r="B10121" s="1" t="str">
        <f>HYPERLINK("https://asmlis.vasa.lt/Dashboard/Served?ServiceDateFrom=2025-11-24&amp;ServiceDateTo=2025-11-24&amp;DumpsterInvNr=13-S-203111", "13-S-203111")</f>
        <v>13-S-203111</v>
      </c>
      <c r="C10121">
        <v>0.12</v>
      </c>
      <c r="D10121" t="s">
        <v>12943</v>
      </c>
      <c r="E10121" t="s">
        <v>11</v>
      </c>
      <c r="G10121" t="s">
        <v>234</v>
      </c>
      <c r="H10121" t="s">
        <v>14</v>
      </c>
    </row>
    <row r="10122" spans="1:10" hidden="1" x14ac:dyDescent="0.25">
      <c r="A10122" t="s">
        <v>13536</v>
      </c>
      <c r="B10122" s="1" t="str">
        <f>HYPERLINK("https://asmlis.vasa.lt/Dashboard/Served?ServiceDateFrom=2025-11-24&amp;ServiceDateTo=2025-11-24&amp;DumpsterInvNr=13-L-301892", "13-L-301892")</f>
        <v>13-L-301892</v>
      </c>
      <c r="C10122">
        <v>1.1000000000000001</v>
      </c>
      <c r="D10122" t="s">
        <v>13521</v>
      </c>
      <c r="E10122" t="s">
        <v>11</v>
      </c>
      <c r="G10122" t="s">
        <v>9</v>
      </c>
      <c r="H10122" t="s">
        <v>14</v>
      </c>
    </row>
    <row r="10123" spans="1:10" hidden="1" x14ac:dyDescent="0.25">
      <c r="A10123" t="s">
        <v>13536</v>
      </c>
      <c r="B10123" s="1" t="str">
        <f>HYPERLINK("https://asmlis.vasa.lt/Dashboard/Served?ServiceDateFrom=2025-11-24&amp;ServiceDateTo=2025-11-24&amp;DumpsterInvNr=13-L-140594", "13-L-140594")</f>
        <v>13-L-140594</v>
      </c>
      <c r="C10123">
        <v>1.1000000000000001</v>
      </c>
      <c r="D10123" t="s">
        <v>13450</v>
      </c>
      <c r="E10123" t="s">
        <v>11</v>
      </c>
      <c r="G10123" t="s">
        <v>1912</v>
      </c>
      <c r="H10123" t="s">
        <v>432</v>
      </c>
    </row>
    <row r="10124" spans="1:10" hidden="1" x14ac:dyDescent="0.25">
      <c r="A10124" t="s">
        <v>13538</v>
      </c>
      <c r="B10124" s="1" t="str">
        <f>HYPERLINK("https://asmlis.vasa.lt/Dashboard/Served?ServiceDateFrom=2025-11-24&amp;ServiceDateTo=2025-11-24&amp;DumpsterInvNr=13-L-302358", "13-L-302358")</f>
        <v>13-L-302358</v>
      </c>
      <c r="C10124">
        <v>0.24</v>
      </c>
      <c r="D10124" t="s">
        <v>13539</v>
      </c>
      <c r="E10124" t="s">
        <v>11</v>
      </c>
      <c r="G10124" t="s">
        <v>9</v>
      </c>
      <c r="H10124" t="s">
        <v>14</v>
      </c>
    </row>
    <row r="10125" spans="1:10" x14ac:dyDescent="0.25">
      <c r="A10125" t="s">
        <v>13540</v>
      </c>
      <c r="B10125" s="1" t="str">
        <f>HYPERLINK("https://asmlis.vasa.lt/Dashboard/Served?ServiceDateFrom=2025-11-24&amp;ServiceDateTo=2025-11-24&amp;DumpsterInvNr=13-L-111249", "13-L-111249")</f>
        <v>13-L-111249</v>
      </c>
      <c r="C10125">
        <v>0.24</v>
      </c>
      <c r="D10125" t="s">
        <v>13504</v>
      </c>
      <c r="E10125" t="s">
        <v>11</v>
      </c>
      <c r="F10125" t="s">
        <v>2556</v>
      </c>
      <c r="G10125" t="s">
        <v>1912</v>
      </c>
      <c r="H10125" t="s">
        <v>432</v>
      </c>
      <c r="J10125" t="s">
        <v>17511</v>
      </c>
    </row>
    <row r="10126" spans="1:10" hidden="1" x14ac:dyDescent="0.25">
      <c r="A10126" t="s">
        <v>13542</v>
      </c>
      <c r="B10126" s="1" t="str">
        <f>HYPERLINK("https://asmlis.vasa.lt/Dashboard/Served?ServiceDateFrom=2025-11-24&amp;ServiceDateTo=2025-11-24&amp;DumpsterInvNr=13-L-304405", "13-L-304405")</f>
        <v>13-L-304405</v>
      </c>
      <c r="C10126">
        <v>5</v>
      </c>
      <c r="D10126" t="s">
        <v>13543</v>
      </c>
      <c r="E10126" t="s">
        <v>11</v>
      </c>
      <c r="F10126" t="s">
        <v>13</v>
      </c>
      <c r="G10126" t="s">
        <v>9</v>
      </c>
      <c r="H10126" t="s">
        <v>14</v>
      </c>
    </row>
    <row r="10127" spans="1:10" hidden="1" x14ac:dyDescent="0.25">
      <c r="A10127" t="s">
        <v>13542</v>
      </c>
      <c r="B10127" s="1" t="str">
        <f>HYPERLINK("https://asmlis.vasa.lt/Dashboard/Served?ServiceDateFrom=2025-11-24&amp;ServiceDateTo=2025-11-24&amp;DumpsterInvNr=13-P-501892", "13-P-501892")</f>
        <v>13-P-501892</v>
      </c>
      <c r="C10127">
        <v>5</v>
      </c>
      <c r="D10127" t="s">
        <v>13544</v>
      </c>
      <c r="E10127" t="s">
        <v>11</v>
      </c>
      <c r="F10127" t="s">
        <v>13</v>
      </c>
      <c r="G10127" t="s">
        <v>2178</v>
      </c>
      <c r="H10127" t="s">
        <v>432</v>
      </c>
    </row>
    <row r="10128" spans="1:10" hidden="1" x14ac:dyDescent="0.25">
      <c r="A10128" t="s">
        <v>13545</v>
      </c>
      <c r="B10128" s="1" t="str">
        <f>HYPERLINK("https://asmlis.vasa.lt/Dashboard/Served?ServiceDateFrom=2025-11-24&amp;ServiceDateTo=2025-11-24&amp;DumpsterInvNr=13-L-135803", "13-L-135803")</f>
        <v>13-L-135803</v>
      </c>
      <c r="C10128">
        <v>5</v>
      </c>
      <c r="D10128" t="s">
        <v>7018</v>
      </c>
      <c r="E10128" t="s">
        <v>11</v>
      </c>
      <c r="F10128" t="s">
        <v>13</v>
      </c>
      <c r="G10128" t="s">
        <v>430</v>
      </c>
      <c r="H10128" t="s">
        <v>432</v>
      </c>
    </row>
    <row r="10129" spans="1:10" hidden="1" x14ac:dyDescent="0.25">
      <c r="A10129" t="s">
        <v>13546</v>
      </c>
      <c r="B10129" s="1" t="str">
        <f>HYPERLINK("https://asmlis.vasa.lt/Dashboard/Served?ServiceDateFrom=2025-11-24&amp;ServiceDateTo=2025-11-24&amp;DumpsterInvNr=13-L-425233", "13-L-425233")</f>
        <v>13-L-425233</v>
      </c>
      <c r="C10129">
        <v>1.1000000000000001</v>
      </c>
      <c r="D10129" t="s">
        <v>13500</v>
      </c>
      <c r="E10129" t="s">
        <v>11</v>
      </c>
      <c r="G10129" t="s">
        <v>74</v>
      </c>
      <c r="H10129" t="s">
        <v>14</v>
      </c>
    </row>
    <row r="10130" spans="1:10" hidden="1" x14ac:dyDescent="0.25">
      <c r="A10130" t="s">
        <v>13547</v>
      </c>
      <c r="B10130" s="1" t="str">
        <f>HYPERLINK("https://asmlis.vasa.lt/Dashboard/Served?ServiceDateFrom=2025-11-24&amp;ServiceDateTo=2025-11-24&amp;DumpsterInvNr=13-P-207147", "13-P-207147")</f>
        <v>13-P-207147</v>
      </c>
      <c r="C10130">
        <v>1.1000000000000001</v>
      </c>
      <c r="D10130" t="s">
        <v>11780</v>
      </c>
      <c r="E10130" t="s">
        <v>11</v>
      </c>
      <c r="G10130" t="s">
        <v>234</v>
      </c>
      <c r="H10130" t="s">
        <v>14</v>
      </c>
    </row>
    <row r="10131" spans="1:10" hidden="1" x14ac:dyDescent="0.25">
      <c r="A10131" t="s">
        <v>13548</v>
      </c>
      <c r="B10131" s="1" t="str">
        <f>HYPERLINK("https://asmlis.vasa.lt/Dashboard/Served?ServiceDateFrom=2025-11-24&amp;ServiceDateTo=2025-11-24&amp;DumpsterInvNr=13-L-423347", "13-L-423347")</f>
        <v>13-L-423347</v>
      </c>
      <c r="C10131">
        <v>0.12</v>
      </c>
      <c r="D10131" t="s">
        <v>8480</v>
      </c>
      <c r="E10131" t="s">
        <v>11</v>
      </c>
      <c r="G10131" t="s">
        <v>74</v>
      </c>
      <c r="H10131" t="s">
        <v>14</v>
      </c>
    </row>
    <row r="10132" spans="1:10" hidden="1" x14ac:dyDescent="0.25">
      <c r="A10132" t="s">
        <v>13548</v>
      </c>
      <c r="B10132" s="1" t="str">
        <f>HYPERLINK("https://asmlis.vasa.lt/Dashboard/Served?ServiceDateFrom=2025-11-24&amp;ServiceDateTo=2025-11-24&amp;DumpsterInvNr=13-L-412512", "13-L-412512")</f>
        <v>13-L-412512</v>
      </c>
      <c r="C10132">
        <v>0.24</v>
      </c>
      <c r="D10132" t="s">
        <v>8490</v>
      </c>
      <c r="E10132" t="s">
        <v>11</v>
      </c>
      <c r="G10132" t="s">
        <v>74</v>
      </c>
      <c r="H10132" t="s">
        <v>14</v>
      </c>
    </row>
    <row r="10133" spans="1:10" hidden="1" x14ac:dyDescent="0.25">
      <c r="A10133" t="s">
        <v>13541</v>
      </c>
      <c r="B10133" s="1" t="str">
        <f>HYPERLINK("https://asmlis.vasa.lt/Dashboard/Served?ServiceDateFrom=2025-11-24&amp;ServiceDateTo=2025-11-24&amp;DumpsterInvNr=13-L-142394", "13-L-142394")</f>
        <v>13-L-142394</v>
      </c>
      <c r="C10133">
        <v>1.1000000000000001</v>
      </c>
      <c r="D10133" t="s">
        <v>13531</v>
      </c>
      <c r="E10133" t="s">
        <v>11</v>
      </c>
      <c r="G10133" t="s">
        <v>430</v>
      </c>
      <c r="H10133" t="s">
        <v>432</v>
      </c>
    </row>
    <row r="10134" spans="1:10" hidden="1" x14ac:dyDescent="0.25">
      <c r="A10134" t="s">
        <v>13550</v>
      </c>
      <c r="B10134" s="1" t="str">
        <f>HYPERLINK("https://asmlis.vasa.lt/Dashboard/Served?ServiceDateFrom=2025-11-24&amp;ServiceDateTo=2025-11-24&amp;DumpsterInvNr=13-L-222535", "13-L-222535")</f>
        <v>13-L-222535</v>
      </c>
      <c r="C10134">
        <v>0.24</v>
      </c>
      <c r="D10134" t="s">
        <v>8243</v>
      </c>
      <c r="E10134" t="s">
        <v>11</v>
      </c>
      <c r="G10134" t="s">
        <v>936</v>
      </c>
      <c r="H10134" t="s">
        <v>938</v>
      </c>
    </row>
    <row r="10135" spans="1:10" x14ac:dyDescent="0.25">
      <c r="A10135" t="s">
        <v>13551</v>
      </c>
      <c r="B10135" s="1" t="str">
        <f>HYPERLINK("https://asmlis.vasa.lt/Dashboard/Served?ServiceDateFrom=2025-11-24&amp;ServiceDateTo=2025-11-24&amp;DumpsterInvNr=13-S-102382", "13-S-102382")</f>
        <v>13-S-102382</v>
      </c>
      <c r="C10135">
        <v>0.12</v>
      </c>
      <c r="D10135" t="s">
        <v>13552</v>
      </c>
      <c r="E10135" t="s">
        <v>11</v>
      </c>
      <c r="F10135" t="s">
        <v>2556</v>
      </c>
      <c r="G10135" t="s">
        <v>1917</v>
      </c>
      <c r="H10135" t="s">
        <v>432</v>
      </c>
      <c r="J10135" t="s">
        <v>17511</v>
      </c>
    </row>
    <row r="10136" spans="1:10" hidden="1" x14ac:dyDescent="0.25">
      <c r="A10136" t="s">
        <v>13553</v>
      </c>
      <c r="B10136" s="1" t="str">
        <f>HYPERLINK("https://asmlis.vasa.lt/Dashboard/Served?ServiceDateFrom=2025-11-24&amp;ServiceDateTo=2025-11-24&amp;DumpsterInvNr=13-P-502714", "13-P-502714")</f>
        <v>13-P-502714</v>
      </c>
      <c r="C10136">
        <v>0.12</v>
      </c>
      <c r="D10136" t="s">
        <v>13554</v>
      </c>
      <c r="E10136" t="s">
        <v>11</v>
      </c>
      <c r="G10136" t="s">
        <v>2178</v>
      </c>
      <c r="H10136" t="s">
        <v>432</v>
      </c>
    </row>
    <row r="10137" spans="1:10" hidden="1" x14ac:dyDescent="0.25">
      <c r="A10137" t="s">
        <v>13555</v>
      </c>
      <c r="B10137" s="1" t="str">
        <f>HYPERLINK("https://asmlis.vasa.lt/Dashboard/Served?ServiceDateFrom=2025-11-24&amp;ServiceDateTo=2025-11-24&amp;DumpsterInvNr=13-L-425204", "13-L-425204")</f>
        <v>13-L-425204</v>
      </c>
      <c r="C10137">
        <v>1.1000000000000001</v>
      </c>
      <c r="D10137" t="s">
        <v>13500</v>
      </c>
      <c r="E10137" t="s">
        <v>11</v>
      </c>
      <c r="G10137" t="s">
        <v>74</v>
      </c>
      <c r="H10137" t="s">
        <v>14</v>
      </c>
    </row>
    <row r="10138" spans="1:10" hidden="1" x14ac:dyDescent="0.25">
      <c r="A10138" t="s">
        <v>13556</v>
      </c>
      <c r="B10138" s="1" t="str">
        <f>HYPERLINK("https://asmlis.vasa.lt/Dashboard/Served?ServiceDateFrom=2025-11-24&amp;ServiceDateTo=2025-11-24&amp;DumpsterInvNr=13-L-140593", "13-L-140593")</f>
        <v>13-L-140593</v>
      </c>
      <c r="C10138">
        <v>1.1000000000000001</v>
      </c>
      <c r="D10138" t="s">
        <v>13450</v>
      </c>
      <c r="E10138" t="s">
        <v>11</v>
      </c>
      <c r="G10138" t="s">
        <v>1912</v>
      </c>
      <c r="H10138" t="s">
        <v>432</v>
      </c>
    </row>
    <row r="10139" spans="1:10" hidden="1" x14ac:dyDescent="0.25">
      <c r="A10139" t="s">
        <v>13557</v>
      </c>
      <c r="B10139" s="1" t="str">
        <f>HYPERLINK("https://asmlis.vasa.lt/Dashboard/Served?ServiceDateFrom=2025-11-24&amp;ServiceDateTo=2025-11-24&amp;DumpsterInvNr=13-L-108281", "13-L-108281")</f>
        <v>13-L-108281</v>
      </c>
      <c r="C10139">
        <v>0.24</v>
      </c>
      <c r="D10139" t="s">
        <v>13554</v>
      </c>
      <c r="E10139" t="s">
        <v>11</v>
      </c>
      <c r="G10139" t="s">
        <v>430</v>
      </c>
      <c r="H10139" t="s">
        <v>432</v>
      </c>
    </row>
    <row r="10140" spans="1:10" hidden="1" x14ac:dyDescent="0.25">
      <c r="A10140" t="s">
        <v>13558</v>
      </c>
      <c r="B10140" s="1" t="str">
        <f>HYPERLINK("https://asmlis.vasa.lt/Dashboard/Served?ServiceDateFrom=2025-11-24&amp;ServiceDateTo=2025-11-24&amp;DumpsterInvNr=13-L-142393", "13-L-142393")</f>
        <v>13-L-142393</v>
      </c>
      <c r="C10140">
        <v>1.1000000000000001</v>
      </c>
      <c r="D10140" t="s">
        <v>13531</v>
      </c>
      <c r="E10140" t="s">
        <v>11</v>
      </c>
      <c r="G10140" t="s">
        <v>430</v>
      </c>
      <c r="H10140" t="s">
        <v>432</v>
      </c>
    </row>
    <row r="10141" spans="1:10" x14ac:dyDescent="0.25">
      <c r="A10141" t="s">
        <v>13560</v>
      </c>
      <c r="B10141" s="1" t="str">
        <f>HYPERLINK("https://asmlis.vasa.lt/Dashboard/Served?ServiceDateFrom=2025-11-24&amp;ServiceDateTo=2025-11-24&amp;DumpsterInvNr=13-P-101100", "13-P-101100")</f>
        <v>13-P-101100</v>
      </c>
      <c r="C10141">
        <v>0.12</v>
      </c>
      <c r="D10141" t="s">
        <v>13552</v>
      </c>
      <c r="E10141" t="s">
        <v>11</v>
      </c>
      <c r="F10141" t="s">
        <v>2556</v>
      </c>
      <c r="G10141" t="s">
        <v>1917</v>
      </c>
      <c r="H10141" t="s">
        <v>432</v>
      </c>
      <c r="J10141" t="s">
        <v>17511</v>
      </c>
    </row>
    <row r="10142" spans="1:10" hidden="1" x14ac:dyDescent="0.25">
      <c r="A10142" t="s">
        <v>13560</v>
      </c>
      <c r="B10142" s="1" t="str">
        <f>HYPERLINK("https://asmlis.vasa.lt/Dashboard/Served?ServiceDateFrom=2025-11-24&amp;ServiceDateTo=2025-11-24&amp;DumpsterInvNr=13-P-209082", "13-P-209082")</f>
        <v>13-P-209082</v>
      </c>
      <c r="C10142">
        <v>0.24</v>
      </c>
      <c r="D10142" t="s">
        <v>13561</v>
      </c>
      <c r="E10142" t="s">
        <v>11</v>
      </c>
      <c r="G10142" t="s">
        <v>234</v>
      </c>
      <c r="H10142" t="s">
        <v>14</v>
      </c>
    </row>
    <row r="10143" spans="1:10" hidden="1" x14ac:dyDescent="0.25">
      <c r="A10143" t="s">
        <v>13562</v>
      </c>
      <c r="B10143" s="1" t="str">
        <f>HYPERLINK("https://asmlis.vasa.lt/Dashboard/Served?ServiceDateFrom=2025-11-24&amp;ServiceDateTo=2025-11-24&amp;DumpsterInvNr=13-P-102409", "13-P-102409")</f>
        <v>13-P-102409</v>
      </c>
      <c r="C10143">
        <v>5</v>
      </c>
      <c r="D10143" t="s">
        <v>13563</v>
      </c>
      <c r="E10143" t="s">
        <v>11</v>
      </c>
      <c r="F10143" t="s">
        <v>13</v>
      </c>
      <c r="G10143" t="s">
        <v>1917</v>
      </c>
      <c r="H10143" t="s">
        <v>432</v>
      </c>
    </row>
    <row r="10144" spans="1:10" hidden="1" x14ac:dyDescent="0.25">
      <c r="A10144" t="s">
        <v>13564</v>
      </c>
      <c r="B10144" s="1" t="str">
        <f>HYPERLINK("https://asmlis.vasa.lt/Dashboard/Served?ServiceDateFrom=2025-11-24&amp;ServiceDateTo=2025-11-24&amp;DumpsterInvNr=13-S-504963", "13-S-504963")</f>
        <v>13-S-504963</v>
      </c>
      <c r="C10144">
        <v>0.12</v>
      </c>
      <c r="D10144" t="s">
        <v>13528</v>
      </c>
      <c r="E10144" t="s">
        <v>11</v>
      </c>
      <c r="F10144" t="s">
        <v>1209</v>
      </c>
      <c r="G10144" t="s">
        <v>2178</v>
      </c>
      <c r="H10144" t="s">
        <v>432</v>
      </c>
    </row>
    <row r="10145" spans="1:10" hidden="1" x14ac:dyDescent="0.25">
      <c r="A10145" t="s">
        <v>13565</v>
      </c>
      <c r="B10145" s="1" t="str">
        <f>HYPERLINK("https://asmlis.vasa.lt/Dashboard/Served?ServiceDateFrom=2025-11-24&amp;ServiceDateTo=2025-11-24&amp;DumpsterInvNr=13-P-400615", "13-P-400615")</f>
        <v>13-P-400615</v>
      </c>
      <c r="C10145">
        <v>5</v>
      </c>
      <c r="D10145" t="s">
        <v>6378</v>
      </c>
      <c r="E10145" t="s">
        <v>11</v>
      </c>
      <c r="F10145" t="s">
        <v>13</v>
      </c>
      <c r="G10145" t="s">
        <v>264</v>
      </c>
      <c r="H10145" t="s">
        <v>14</v>
      </c>
    </row>
    <row r="10146" spans="1:10" x14ac:dyDescent="0.25">
      <c r="A10146" t="s">
        <v>13565</v>
      </c>
      <c r="B10146" s="1" t="str">
        <f>HYPERLINK("https://asmlis.vasa.lt/Dashboard/Served?ServiceDateFrom=2025-11-24&amp;ServiceDateTo=2025-11-24&amp;DumpsterInvNr=13-P-101089", "13-P-101089")</f>
        <v>13-P-101089</v>
      </c>
      <c r="C10146">
        <v>0.24</v>
      </c>
      <c r="D10146" t="s">
        <v>13566</v>
      </c>
      <c r="E10146" t="s">
        <v>11</v>
      </c>
      <c r="F10146" t="s">
        <v>2556</v>
      </c>
      <c r="G10146" t="s">
        <v>1917</v>
      </c>
      <c r="H10146" t="s">
        <v>432</v>
      </c>
      <c r="J10146" t="s">
        <v>17511</v>
      </c>
    </row>
    <row r="10147" spans="1:10" hidden="1" x14ac:dyDescent="0.25">
      <c r="A10147" t="s">
        <v>13567</v>
      </c>
      <c r="B10147" s="1" t="str">
        <f>HYPERLINK("https://asmlis.vasa.lt/Dashboard/Served?ServiceDateFrom=2025-11-24&amp;ServiceDateTo=2025-11-24&amp;DumpsterInvNr=13-L-418593", "13-L-418593")</f>
        <v>13-L-418593</v>
      </c>
      <c r="C10147">
        <v>0.24</v>
      </c>
      <c r="D10147" t="s">
        <v>13568</v>
      </c>
      <c r="E10147" t="s">
        <v>11</v>
      </c>
      <c r="G10147" t="s">
        <v>74</v>
      </c>
      <c r="H10147" t="s">
        <v>14</v>
      </c>
    </row>
    <row r="10148" spans="1:10" hidden="1" x14ac:dyDescent="0.25">
      <c r="A10148" t="s">
        <v>13569</v>
      </c>
      <c r="B10148" s="1" t="str">
        <f>HYPERLINK("https://asmlis.vasa.lt/Dashboard/Served?ServiceDateFrom=2025-11-24&amp;ServiceDateTo=2025-11-24&amp;DumpsterInvNr=13-P-304025", "13-P-304025")</f>
        <v>13-P-304025</v>
      </c>
      <c r="C10148">
        <v>2.5</v>
      </c>
      <c r="D10148" t="s">
        <v>13571</v>
      </c>
      <c r="E10148" t="s">
        <v>11</v>
      </c>
      <c r="G10148" t="s">
        <v>412</v>
      </c>
      <c r="H10148" t="s">
        <v>14</v>
      </c>
    </row>
    <row r="10149" spans="1:10" x14ac:dyDescent="0.25">
      <c r="A10149" t="s">
        <v>13572</v>
      </c>
      <c r="B10149" s="1" t="str">
        <f>HYPERLINK("https://asmlis.vasa.lt/Dashboard/Served?ServiceDateFrom=2025-11-24&amp;ServiceDateTo=2025-11-24&amp;DumpsterInvNr=13-L-138505", "13-L-138505")</f>
        <v>13-L-138505</v>
      </c>
      <c r="C10149">
        <v>0.24</v>
      </c>
      <c r="D10149" t="s">
        <v>13566</v>
      </c>
      <c r="E10149" t="s">
        <v>11</v>
      </c>
      <c r="F10149" t="s">
        <v>2556</v>
      </c>
      <c r="G10149" t="s">
        <v>1912</v>
      </c>
      <c r="H10149" t="s">
        <v>432</v>
      </c>
      <c r="J10149" t="s">
        <v>17511</v>
      </c>
    </row>
    <row r="10150" spans="1:10" hidden="1" x14ac:dyDescent="0.25">
      <c r="A10150" t="s">
        <v>13574</v>
      </c>
      <c r="B10150" s="1" t="str">
        <f>HYPERLINK("https://asmlis.vasa.lt/Dashboard/Served?ServiceDateFrom=2025-11-24&amp;ServiceDateTo=2025-11-24&amp;DumpsterInvNr=13-L-140591", "13-L-140591")</f>
        <v>13-L-140591</v>
      </c>
      <c r="C10150">
        <v>1.1000000000000001</v>
      </c>
      <c r="D10150" t="s">
        <v>13450</v>
      </c>
      <c r="E10150" t="s">
        <v>11</v>
      </c>
      <c r="G10150" t="s">
        <v>1912</v>
      </c>
      <c r="H10150" t="s">
        <v>432</v>
      </c>
    </row>
    <row r="10151" spans="1:10" hidden="1" x14ac:dyDescent="0.25">
      <c r="A10151" t="s">
        <v>13573</v>
      </c>
      <c r="B10151" s="1" t="str">
        <f>HYPERLINK("https://asmlis.vasa.lt/Dashboard/Served?ServiceDateFrom=2025-11-24&amp;ServiceDateTo=2025-11-24&amp;DumpsterInvNr=13-S-209237", "13-S-209237")</f>
        <v>13-S-209237</v>
      </c>
      <c r="C10151">
        <v>0.12</v>
      </c>
      <c r="D10151" t="s">
        <v>13561</v>
      </c>
      <c r="E10151" t="s">
        <v>11</v>
      </c>
      <c r="F10151" t="s">
        <v>1209</v>
      </c>
      <c r="G10151" t="s">
        <v>234</v>
      </c>
      <c r="H10151" t="s">
        <v>14</v>
      </c>
    </row>
    <row r="10152" spans="1:10" hidden="1" x14ac:dyDescent="0.25">
      <c r="A10152" t="s">
        <v>13575</v>
      </c>
      <c r="B10152" s="1" t="str">
        <f>HYPERLINK("https://asmlis.vasa.lt/Dashboard/Served?ServiceDateFrom=2025-11-24&amp;ServiceDateTo=2025-11-24&amp;DumpsterInvNr=13-P-413315", "13-P-413315")</f>
        <v>13-P-413315</v>
      </c>
      <c r="C10152">
        <v>0.24</v>
      </c>
      <c r="D10152" t="s">
        <v>13576</v>
      </c>
      <c r="E10152" t="s">
        <v>11</v>
      </c>
      <c r="G10152" t="s">
        <v>264</v>
      </c>
      <c r="H10152" t="s">
        <v>14</v>
      </c>
    </row>
    <row r="10153" spans="1:10" hidden="1" x14ac:dyDescent="0.25">
      <c r="A10153" t="s">
        <v>13577</v>
      </c>
      <c r="B10153" s="1" t="str">
        <f>HYPERLINK("https://asmlis.vasa.lt/Dashboard/Served?ServiceDateFrom=2025-11-24&amp;ServiceDateTo=2025-11-24&amp;DumpsterInvNr=13-S-504962", "13-S-504962")</f>
        <v>13-S-504962</v>
      </c>
      <c r="C10153">
        <v>0.12</v>
      </c>
      <c r="D10153" t="s">
        <v>13554</v>
      </c>
      <c r="E10153" t="s">
        <v>11</v>
      </c>
      <c r="F10153" t="s">
        <v>1209</v>
      </c>
      <c r="G10153" t="s">
        <v>2178</v>
      </c>
      <c r="H10153" t="s">
        <v>432</v>
      </c>
    </row>
    <row r="10154" spans="1:10" hidden="1" x14ac:dyDescent="0.25">
      <c r="A10154" t="s">
        <v>13578</v>
      </c>
      <c r="B10154" s="1" t="str">
        <f>HYPERLINK("https://asmlis.vasa.lt/Dashboard/Served?ServiceDateFrom=2025-11-24&amp;ServiceDateTo=2025-11-24&amp;DumpsterInvNr=13-L-147570", "13-L-147570")</f>
        <v>13-L-147570</v>
      </c>
      <c r="C10154">
        <v>0.24</v>
      </c>
      <c r="D10154" t="s">
        <v>13579</v>
      </c>
      <c r="E10154" t="s">
        <v>11</v>
      </c>
      <c r="G10154" t="s">
        <v>430</v>
      </c>
      <c r="H10154" t="s">
        <v>432</v>
      </c>
    </row>
    <row r="10155" spans="1:10" hidden="1" x14ac:dyDescent="0.25">
      <c r="A10155" t="s">
        <v>13578</v>
      </c>
      <c r="B10155" s="1" t="str">
        <f>HYPERLINK("https://asmlis.vasa.lt/Dashboard/Served?ServiceDateFrom=2025-11-24&amp;ServiceDateTo=2025-11-24&amp;DumpsterInvNr=13-P-502015", "13-P-502015")</f>
        <v>13-P-502015</v>
      </c>
      <c r="C10155">
        <v>0.24</v>
      </c>
      <c r="D10155" t="s">
        <v>13579</v>
      </c>
      <c r="E10155" t="s">
        <v>11</v>
      </c>
      <c r="G10155" t="s">
        <v>2178</v>
      </c>
      <c r="H10155" t="s">
        <v>432</v>
      </c>
    </row>
    <row r="10156" spans="1:10" x14ac:dyDescent="0.25">
      <c r="A10156" t="s">
        <v>13581</v>
      </c>
      <c r="B10156" s="1" t="str">
        <f>HYPERLINK("https://asmlis.vasa.lt/Dashboard/Served?ServiceDateFrom=2025-11-24&amp;ServiceDateTo=2025-11-24&amp;DumpsterInvNr=13-L-102685", "13-L-102685")</f>
        <v>13-L-102685</v>
      </c>
      <c r="C10156">
        <v>0.24</v>
      </c>
      <c r="D10156" t="s">
        <v>13582</v>
      </c>
      <c r="E10156" t="s">
        <v>11</v>
      </c>
      <c r="F10156" t="s">
        <v>2556</v>
      </c>
      <c r="G10156" t="s">
        <v>1912</v>
      </c>
      <c r="H10156" t="s">
        <v>432</v>
      </c>
      <c r="J10156" t="s">
        <v>17511</v>
      </c>
    </row>
    <row r="10157" spans="1:10" hidden="1" x14ac:dyDescent="0.25">
      <c r="A10157" t="s">
        <v>13583</v>
      </c>
      <c r="B10157" s="1" t="str">
        <f>HYPERLINK("https://asmlis.vasa.lt/Dashboard/Served?ServiceDateFrom=2025-11-24&amp;ServiceDateTo=2025-11-24&amp;DumpsterInvNr=13-L-129418", "13-L-129418")</f>
        <v>13-L-129418</v>
      </c>
      <c r="C10157">
        <v>1.1000000000000001</v>
      </c>
      <c r="D10157" t="s">
        <v>13450</v>
      </c>
      <c r="E10157" t="s">
        <v>11</v>
      </c>
      <c r="G10157" t="s">
        <v>1912</v>
      </c>
      <c r="H10157" t="s">
        <v>432</v>
      </c>
    </row>
    <row r="10158" spans="1:10" x14ac:dyDescent="0.25">
      <c r="A10158" t="s">
        <v>13584</v>
      </c>
      <c r="B10158" s="1" t="str">
        <f>HYPERLINK("https://asmlis.vasa.lt/Dashboard/Served?ServiceDateFrom=2025-11-24&amp;ServiceDateTo=2025-11-24&amp;DumpsterInvNr=13-S-102381", "13-S-102381")</f>
        <v>13-S-102381</v>
      </c>
      <c r="C10158">
        <v>0.12</v>
      </c>
      <c r="D10158" t="s">
        <v>13585</v>
      </c>
      <c r="E10158" t="s">
        <v>11</v>
      </c>
      <c r="F10158" t="s">
        <v>2556</v>
      </c>
      <c r="G10158" t="s">
        <v>1917</v>
      </c>
      <c r="H10158" t="s">
        <v>432</v>
      </c>
      <c r="J10158" t="s">
        <v>17511</v>
      </c>
    </row>
    <row r="10159" spans="1:10" hidden="1" x14ac:dyDescent="0.25">
      <c r="A10159" t="s">
        <v>13586</v>
      </c>
      <c r="B10159" s="1" t="str">
        <f>HYPERLINK("https://asmlis.vasa.lt/Dashboard/Served?ServiceDateFrom=2025-11-24&amp;ServiceDateTo=2025-11-24&amp;DumpsterInvNr=13-P-115819", "13-P-115819")</f>
        <v>13-P-115819</v>
      </c>
      <c r="C10159">
        <v>1.1000000000000001</v>
      </c>
      <c r="D10159" t="s">
        <v>13587</v>
      </c>
      <c r="E10159" t="s">
        <v>11</v>
      </c>
      <c r="G10159" t="s">
        <v>1917</v>
      </c>
      <c r="H10159" t="s">
        <v>432</v>
      </c>
    </row>
    <row r="10160" spans="1:10" x14ac:dyDescent="0.25">
      <c r="A10160" t="s">
        <v>12584</v>
      </c>
      <c r="B10160" s="1" t="str">
        <f>HYPERLINK("https://asmlis.vasa.lt/Dashboard/Served?ServiceDateFrom=2025-11-24&amp;ServiceDateTo=2025-11-24&amp;DumpsterInvNr=13-L-102686", "13-L-102686")</f>
        <v>13-L-102686</v>
      </c>
      <c r="C10160">
        <v>0.12</v>
      </c>
      <c r="D10160" t="s">
        <v>13585</v>
      </c>
      <c r="E10160" t="s">
        <v>11</v>
      </c>
      <c r="F10160" t="s">
        <v>2556</v>
      </c>
      <c r="G10160" t="s">
        <v>1912</v>
      </c>
      <c r="H10160" t="s">
        <v>432</v>
      </c>
      <c r="J10160" t="s">
        <v>17511</v>
      </c>
    </row>
    <row r="10161" spans="1:10" hidden="1" x14ac:dyDescent="0.25">
      <c r="A10161" t="s">
        <v>13386</v>
      </c>
      <c r="B10161" s="1" t="str">
        <f>HYPERLINK("https://asmlis.vasa.lt/Dashboard/Served?ServiceDateFrom=2025-11-24&amp;ServiceDateTo=2025-11-24&amp;DumpsterInvNr=13-L-422193", "13-L-422193")</f>
        <v>13-L-422193</v>
      </c>
      <c r="C10161">
        <v>0.24</v>
      </c>
      <c r="D10161" t="s">
        <v>13589</v>
      </c>
      <c r="E10161" t="s">
        <v>11</v>
      </c>
      <c r="G10161" t="s">
        <v>74</v>
      </c>
      <c r="H10161" t="s">
        <v>14</v>
      </c>
    </row>
    <row r="10162" spans="1:10" hidden="1" x14ac:dyDescent="0.25">
      <c r="A10162" t="s">
        <v>13590</v>
      </c>
      <c r="B10162" s="1" t="str">
        <f>HYPERLINK("https://asmlis.vasa.lt/Dashboard/Served?ServiceDateFrom=2025-11-24&amp;ServiceDateTo=2025-11-24&amp;DumpsterInvNr=13-L-134696", "13-L-134696")</f>
        <v>13-L-134696</v>
      </c>
      <c r="C10162">
        <v>1.1000000000000001</v>
      </c>
      <c r="D10162" t="s">
        <v>13450</v>
      </c>
      <c r="E10162" t="s">
        <v>11</v>
      </c>
      <c r="G10162" t="s">
        <v>1912</v>
      </c>
      <c r="H10162" t="s">
        <v>432</v>
      </c>
    </row>
    <row r="10163" spans="1:10" hidden="1" x14ac:dyDescent="0.25">
      <c r="A10163" t="s">
        <v>13590</v>
      </c>
      <c r="B10163" s="1" t="str">
        <f>HYPERLINK("https://asmlis.vasa.lt/Dashboard/Served?ServiceDateFrom=2025-11-24&amp;ServiceDateTo=2025-11-24&amp;DumpsterInvNr=13-L-404281", "13-L-404281")</f>
        <v>13-L-404281</v>
      </c>
      <c r="C10163">
        <v>0.12</v>
      </c>
      <c r="D10163" t="s">
        <v>9183</v>
      </c>
      <c r="E10163" t="s">
        <v>11</v>
      </c>
      <c r="G10163" t="s">
        <v>74</v>
      </c>
      <c r="H10163" t="s">
        <v>14</v>
      </c>
    </row>
    <row r="10164" spans="1:10" x14ac:dyDescent="0.25">
      <c r="A10164" t="s">
        <v>13588</v>
      </c>
      <c r="B10164" s="1" t="str">
        <f>HYPERLINK("https://asmlis.vasa.lt/Dashboard/Served?ServiceDateFrom=2025-11-24&amp;ServiceDateTo=2025-11-24&amp;DumpsterInvNr=13-P-101099", "13-P-101099")</f>
        <v>13-P-101099</v>
      </c>
      <c r="C10164">
        <v>0.12</v>
      </c>
      <c r="D10164" t="s">
        <v>13582</v>
      </c>
      <c r="E10164" t="s">
        <v>11</v>
      </c>
      <c r="F10164" t="s">
        <v>2556</v>
      </c>
      <c r="G10164" t="s">
        <v>1917</v>
      </c>
      <c r="H10164" t="s">
        <v>432</v>
      </c>
      <c r="J10164" t="s">
        <v>17511</v>
      </c>
    </row>
    <row r="10165" spans="1:10" hidden="1" x14ac:dyDescent="0.25">
      <c r="A10165" t="s">
        <v>13591</v>
      </c>
      <c r="B10165" s="1" t="str">
        <f>HYPERLINK("https://asmlis.vasa.lt/Dashboard/Served?ServiceDateFrom=2025-11-24&amp;ServiceDateTo=2025-11-24&amp;DumpsterInvNr=13-L-420912", "13-L-420912")</f>
        <v>13-L-420912</v>
      </c>
      <c r="C10165">
        <v>5</v>
      </c>
      <c r="D10165" t="s">
        <v>10934</v>
      </c>
      <c r="E10165" t="s">
        <v>11</v>
      </c>
      <c r="F10165" t="s">
        <v>13</v>
      </c>
      <c r="G10165" t="s">
        <v>74</v>
      </c>
      <c r="H10165" t="s">
        <v>14</v>
      </c>
    </row>
    <row r="10166" spans="1:10" hidden="1" x14ac:dyDescent="0.25">
      <c r="A10166" t="s">
        <v>13592</v>
      </c>
      <c r="B10166" s="1" t="str">
        <f>HYPERLINK("https://asmlis.vasa.lt/Dashboard/Served?ServiceDateFrom=2025-11-24&amp;ServiceDateTo=2025-11-24&amp;DumpsterInvNr=13-L-424358", "13-L-424358")</f>
        <v>13-L-424358</v>
      </c>
      <c r="C10166">
        <v>1.1000000000000001</v>
      </c>
      <c r="D10166" t="s">
        <v>13524</v>
      </c>
      <c r="E10166" t="s">
        <v>11</v>
      </c>
      <c r="G10166" t="s">
        <v>74</v>
      </c>
      <c r="H10166" t="s">
        <v>14</v>
      </c>
    </row>
    <row r="10167" spans="1:10" x14ac:dyDescent="0.25">
      <c r="A10167" t="s">
        <v>13593</v>
      </c>
      <c r="B10167" s="1" t="str">
        <f>HYPERLINK("https://asmlis.vasa.lt/Dashboard/Served?ServiceDateFrom=2025-11-24&amp;ServiceDateTo=2025-11-24&amp;DumpsterInvNr=13-L-133728", "13-L-133728")</f>
        <v>13-L-133728</v>
      </c>
      <c r="C10167">
        <v>0.24</v>
      </c>
      <c r="D10167" t="s">
        <v>13498</v>
      </c>
      <c r="E10167" t="s">
        <v>11</v>
      </c>
      <c r="F10167" t="s">
        <v>2556</v>
      </c>
      <c r="G10167" t="s">
        <v>1912</v>
      </c>
      <c r="H10167" t="s">
        <v>432</v>
      </c>
      <c r="J10167" t="s">
        <v>17511</v>
      </c>
    </row>
    <row r="10168" spans="1:10" hidden="1" x14ac:dyDescent="0.25">
      <c r="A10168" t="s">
        <v>13593</v>
      </c>
      <c r="B10168" s="1" t="str">
        <f>HYPERLINK("https://asmlis.vasa.lt/Dashboard/Served?ServiceDateFrom=2025-11-24&amp;ServiceDateTo=2025-11-24&amp;DumpsterInvNr=13-P-413275", "13-P-413275")</f>
        <v>13-P-413275</v>
      </c>
      <c r="C10168">
        <v>0.24</v>
      </c>
      <c r="D10168" t="s">
        <v>13595</v>
      </c>
      <c r="E10168" t="s">
        <v>11</v>
      </c>
      <c r="G10168" t="s">
        <v>264</v>
      </c>
      <c r="H10168" t="s">
        <v>14</v>
      </c>
    </row>
    <row r="10169" spans="1:10" hidden="1" x14ac:dyDescent="0.25">
      <c r="A10169" t="s">
        <v>13596</v>
      </c>
      <c r="B10169" s="1" t="str">
        <f>HYPERLINK("https://asmlis.vasa.lt/Dashboard/Served?ServiceDateFrom=2025-11-24&amp;ServiceDateTo=2025-11-24&amp;DumpsterInvNr=13-L-138888", "13-L-138888")</f>
        <v>13-L-138888</v>
      </c>
      <c r="C10169">
        <v>1.1000000000000001</v>
      </c>
      <c r="D10169" t="s">
        <v>13450</v>
      </c>
      <c r="E10169" t="s">
        <v>11</v>
      </c>
      <c r="G10169" t="s">
        <v>1912</v>
      </c>
      <c r="H10169" t="s">
        <v>432</v>
      </c>
    </row>
    <row r="10170" spans="1:10" hidden="1" x14ac:dyDescent="0.25">
      <c r="A10170" t="s">
        <v>13597</v>
      </c>
      <c r="B10170" s="1" t="str">
        <f>HYPERLINK("https://asmlis.vasa.lt/Dashboard/Served?ServiceDateFrom=2025-11-24&amp;ServiceDateTo=2025-11-24&amp;DumpsterInvNr=13-L-148487", "13-L-148487")</f>
        <v>13-L-148487</v>
      </c>
      <c r="C10170">
        <v>0.24</v>
      </c>
      <c r="D10170" t="s">
        <v>13598</v>
      </c>
      <c r="E10170" t="s">
        <v>11</v>
      </c>
      <c r="G10170" t="s">
        <v>430</v>
      </c>
      <c r="H10170" t="s">
        <v>432</v>
      </c>
    </row>
    <row r="10171" spans="1:10" hidden="1" x14ac:dyDescent="0.25">
      <c r="A10171" t="s">
        <v>13594</v>
      </c>
      <c r="B10171" s="1" t="str">
        <f>HYPERLINK("https://asmlis.vasa.lt/Dashboard/Served?ServiceDateFrom=2025-11-24&amp;ServiceDateTo=2025-11-24&amp;DumpsterInvNr=13-L-115238", "13-L-115238")</f>
        <v>13-L-115238</v>
      </c>
      <c r="C10171">
        <v>0.24</v>
      </c>
      <c r="D10171" t="s">
        <v>13599</v>
      </c>
      <c r="E10171" t="s">
        <v>11</v>
      </c>
      <c r="G10171" t="s">
        <v>430</v>
      </c>
      <c r="H10171" t="s">
        <v>432</v>
      </c>
    </row>
    <row r="10172" spans="1:10" hidden="1" x14ac:dyDescent="0.25">
      <c r="A10172" t="s">
        <v>13594</v>
      </c>
      <c r="B10172" s="1" t="str">
        <f>HYPERLINK("https://asmlis.vasa.lt/Dashboard/Served?ServiceDateFrom=2025-11-24&amp;ServiceDateTo=2025-11-24&amp;DumpsterInvNr=13-P-509620", "13-P-509620")</f>
        <v>13-P-509620</v>
      </c>
      <c r="C10172">
        <v>0.24</v>
      </c>
      <c r="D10172" t="s">
        <v>13598</v>
      </c>
      <c r="E10172" t="s">
        <v>11</v>
      </c>
      <c r="G10172" t="s">
        <v>2178</v>
      </c>
      <c r="H10172" t="s">
        <v>432</v>
      </c>
    </row>
    <row r="10173" spans="1:10" hidden="1" x14ac:dyDescent="0.25">
      <c r="A10173" t="s">
        <v>12400</v>
      </c>
      <c r="B10173" s="1" t="str">
        <f>HYPERLINK("https://asmlis.vasa.lt/Dashboard/Served?ServiceDateFrom=2025-11-24&amp;ServiceDateTo=2025-11-24&amp;DumpsterInvNr=13-L-426764", "13-L-426764")</f>
        <v>13-L-426764</v>
      </c>
      <c r="C10173">
        <v>1.1000000000000001</v>
      </c>
      <c r="D10173" t="s">
        <v>13601</v>
      </c>
      <c r="E10173" t="s">
        <v>11</v>
      </c>
      <c r="G10173" t="s">
        <v>74</v>
      </c>
      <c r="H10173" t="s">
        <v>14</v>
      </c>
    </row>
    <row r="10174" spans="1:10" x14ac:dyDescent="0.25">
      <c r="A10174" t="s">
        <v>12400</v>
      </c>
      <c r="B10174" s="1" t="str">
        <f>HYPERLINK("https://asmlis.vasa.lt/Dashboard/Served?ServiceDateFrom=2025-11-24&amp;ServiceDateTo=2025-11-24&amp;DumpsterInvNr=13-S-103190", "13-S-103190")</f>
        <v>13-S-103190</v>
      </c>
      <c r="C10174">
        <v>0.12</v>
      </c>
      <c r="D10174" t="s">
        <v>13602</v>
      </c>
      <c r="E10174" t="s">
        <v>11</v>
      </c>
      <c r="F10174" t="s">
        <v>2556</v>
      </c>
      <c r="G10174" t="s">
        <v>1917</v>
      </c>
      <c r="H10174" t="s">
        <v>432</v>
      </c>
      <c r="J10174" t="s">
        <v>17511</v>
      </c>
    </row>
    <row r="10175" spans="1:10" hidden="1" x14ac:dyDescent="0.25">
      <c r="A10175" t="s">
        <v>13603</v>
      </c>
      <c r="B10175" s="1" t="str">
        <f>HYPERLINK("https://asmlis.vasa.lt/Dashboard/Served?ServiceDateFrom=2025-11-24&amp;ServiceDateTo=2025-11-24&amp;DumpsterInvNr=13-L-424480", "13-L-424480")</f>
        <v>13-L-424480</v>
      </c>
      <c r="C10175">
        <v>0.12</v>
      </c>
      <c r="D10175" t="s">
        <v>8534</v>
      </c>
      <c r="E10175" t="s">
        <v>11</v>
      </c>
      <c r="G10175" t="s">
        <v>74</v>
      </c>
      <c r="H10175" t="s">
        <v>14</v>
      </c>
    </row>
    <row r="10176" spans="1:10" hidden="1" x14ac:dyDescent="0.25">
      <c r="A10176" t="s">
        <v>13603</v>
      </c>
      <c r="B10176" s="1" t="str">
        <f>HYPERLINK("https://asmlis.vasa.lt/Dashboard/Served?ServiceDateFrom=2025-11-24&amp;ServiceDateTo=2025-11-24&amp;DumpsterInvNr=13-L-404284", "13-L-404284")</f>
        <v>13-L-404284</v>
      </c>
      <c r="C10176">
        <v>0.12</v>
      </c>
      <c r="D10176" t="s">
        <v>8504</v>
      </c>
      <c r="E10176" t="s">
        <v>11</v>
      </c>
      <c r="G10176" t="s">
        <v>74</v>
      </c>
      <c r="H10176" t="s">
        <v>14</v>
      </c>
    </row>
    <row r="10177" spans="1:10" x14ac:dyDescent="0.25">
      <c r="A10177" t="s">
        <v>13604</v>
      </c>
      <c r="B10177" s="1" t="str">
        <f>HYPERLINK("https://asmlis.vasa.lt/Dashboard/Served?ServiceDateFrom=2025-11-24&amp;ServiceDateTo=2025-11-24&amp;DumpsterInvNr=13-P-103506", "13-P-103506")</f>
        <v>13-P-103506</v>
      </c>
      <c r="C10177">
        <v>0.24</v>
      </c>
      <c r="D10177" t="s">
        <v>13602</v>
      </c>
      <c r="E10177" t="s">
        <v>11</v>
      </c>
      <c r="F10177" t="s">
        <v>2556</v>
      </c>
      <c r="G10177" t="s">
        <v>1917</v>
      </c>
      <c r="H10177" t="s">
        <v>432</v>
      </c>
      <c r="J10177" t="s">
        <v>17511</v>
      </c>
    </row>
    <row r="10178" spans="1:10" hidden="1" x14ac:dyDescent="0.25">
      <c r="A10178" t="s">
        <v>13605</v>
      </c>
      <c r="B10178" s="1" t="str">
        <f>HYPERLINK("https://asmlis.vasa.lt/Dashboard/Served?ServiceDateFrom=2025-11-24&amp;ServiceDateTo=2025-11-24&amp;DumpsterInvNr=13-L-308853", "13-L-308853")</f>
        <v>13-L-308853</v>
      </c>
      <c r="C10178">
        <v>5</v>
      </c>
      <c r="D10178" t="s">
        <v>13606</v>
      </c>
      <c r="E10178" t="s">
        <v>11</v>
      </c>
      <c r="F10178" t="s">
        <v>13</v>
      </c>
      <c r="G10178" t="s">
        <v>9</v>
      </c>
      <c r="H10178" t="s">
        <v>14</v>
      </c>
    </row>
    <row r="10179" spans="1:10" x14ac:dyDescent="0.25">
      <c r="A10179" t="s">
        <v>13607</v>
      </c>
      <c r="B10179" s="1" t="str">
        <f>HYPERLINK("https://asmlis.vasa.lt/Dashboard/Served?ServiceDateFrom=2025-11-24&amp;ServiceDateTo=2025-11-24&amp;DumpsterInvNr=13-L-125398", "13-L-125398")</f>
        <v>13-L-125398</v>
      </c>
      <c r="C10179">
        <v>0.12</v>
      </c>
      <c r="D10179" t="s">
        <v>13585</v>
      </c>
      <c r="E10179" t="s">
        <v>11</v>
      </c>
      <c r="F10179" t="s">
        <v>2556</v>
      </c>
      <c r="G10179" t="s">
        <v>1912</v>
      </c>
      <c r="H10179" t="s">
        <v>432</v>
      </c>
      <c r="J10179" t="s">
        <v>17511</v>
      </c>
    </row>
    <row r="10180" spans="1:10" hidden="1" x14ac:dyDescent="0.25">
      <c r="A10180" t="s">
        <v>13608</v>
      </c>
      <c r="B10180" s="1" t="str">
        <f>HYPERLINK("https://asmlis.vasa.lt/Dashboard/Served?ServiceDateFrom=2025-11-24&amp;ServiceDateTo=2025-11-24&amp;DumpsterInvNr=13-P-209155", "13-P-209155")</f>
        <v>13-P-209155</v>
      </c>
      <c r="C10180">
        <v>0.24</v>
      </c>
      <c r="D10180" t="s">
        <v>12996</v>
      </c>
      <c r="E10180" t="s">
        <v>11</v>
      </c>
      <c r="G10180" t="s">
        <v>234</v>
      </c>
      <c r="H10180" t="s">
        <v>14</v>
      </c>
    </row>
    <row r="10181" spans="1:10" hidden="1" x14ac:dyDescent="0.25">
      <c r="A10181" t="s">
        <v>13609</v>
      </c>
      <c r="B10181" s="1" t="str">
        <f>HYPERLINK("https://asmlis.vasa.lt/Dashboard/Served?ServiceDateFrom=2025-11-24&amp;ServiceDateTo=2025-11-24&amp;DumpsterInvNr=13-P-502713", "13-P-502713")</f>
        <v>13-P-502713</v>
      </c>
      <c r="C10181">
        <v>0.12</v>
      </c>
      <c r="D10181" t="s">
        <v>13599</v>
      </c>
      <c r="E10181" t="s">
        <v>11</v>
      </c>
      <c r="F10181" t="s">
        <v>1209</v>
      </c>
      <c r="G10181" t="s">
        <v>2178</v>
      </c>
      <c r="H10181" t="s">
        <v>432</v>
      </c>
    </row>
    <row r="10182" spans="1:10" hidden="1" x14ac:dyDescent="0.25">
      <c r="A10182" t="s">
        <v>13610</v>
      </c>
      <c r="B10182" s="1" t="str">
        <f>HYPERLINK("https://asmlis.vasa.lt/Dashboard/Served?ServiceDateFrom=2025-11-24&amp;ServiceDateTo=2025-11-24&amp;DumpsterInvNr=13-P-304024", "13-P-304024")</f>
        <v>13-P-304024</v>
      </c>
      <c r="C10182">
        <v>2.5</v>
      </c>
      <c r="D10182" t="s">
        <v>13571</v>
      </c>
      <c r="E10182" t="s">
        <v>11</v>
      </c>
      <c r="G10182" t="s">
        <v>412</v>
      </c>
      <c r="H10182" t="s">
        <v>14</v>
      </c>
    </row>
    <row r="10183" spans="1:10" hidden="1" x14ac:dyDescent="0.25">
      <c r="A10183" t="s">
        <v>13611</v>
      </c>
      <c r="B10183" s="1" t="str">
        <f>HYPERLINK("https://asmlis.vasa.lt/Dashboard/Served?ServiceDateFrom=2025-11-24&amp;ServiceDateTo=2025-11-24&amp;DumpsterInvNr=13-S-506419", "13-S-506419")</f>
        <v>13-S-506419</v>
      </c>
      <c r="C10183">
        <v>0.12</v>
      </c>
      <c r="D10183" t="s">
        <v>13598</v>
      </c>
      <c r="E10183" t="s">
        <v>11</v>
      </c>
      <c r="F10183" t="s">
        <v>1209</v>
      </c>
      <c r="G10183" t="s">
        <v>2178</v>
      </c>
      <c r="H10183" t="s">
        <v>432</v>
      </c>
    </row>
    <row r="10184" spans="1:10" hidden="1" x14ac:dyDescent="0.25">
      <c r="A10184" t="s">
        <v>13612</v>
      </c>
      <c r="B10184" s="1" t="str">
        <f>HYPERLINK("https://asmlis.vasa.lt/Dashboard/Served?ServiceDateFrom=2025-11-24&amp;ServiceDateTo=2025-11-24&amp;DumpsterInvNr=13-S-207411", "13-S-207411")</f>
        <v>13-S-207411</v>
      </c>
      <c r="C10184">
        <v>0.12</v>
      </c>
      <c r="D10184" t="s">
        <v>12982</v>
      </c>
      <c r="E10184" t="s">
        <v>11</v>
      </c>
      <c r="G10184" t="s">
        <v>234</v>
      </c>
      <c r="H10184" t="s">
        <v>14</v>
      </c>
    </row>
    <row r="10185" spans="1:10" x14ac:dyDescent="0.25">
      <c r="A10185" t="s">
        <v>13613</v>
      </c>
      <c r="B10185" s="1" t="str">
        <f>HYPERLINK("https://asmlis.vasa.lt/Dashboard/Served?ServiceDateFrom=2025-11-24&amp;ServiceDateTo=2025-11-24&amp;DumpsterInvNr=13-L-125194", "13-L-125194")</f>
        <v>13-L-125194</v>
      </c>
      <c r="C10185">
        <v>0.12</v>
      </c>
      <c r="D10185" t="s">
        <v>13602</v>
      </c>
      <c r="E10185" t="s">
        <v>11</v>
      </c>
      <c r="F10185" t="s">
        <v>2556</v>
      </c>
      <c r="G10185" t="s">
        <v>1912</v>
      </c>
      <c r="H10185" t="s">
        <v>432</v>
      </c>
      <c r="J10185" t="s">
        <v>17511</v>
      </c>
    </row>
    <row r="10186" spans="1:10" x14ac:dyDescent="0.25">
      <c r="A10186" t="s">
        <v>13614</v>
      </c>
      <c r="B10186" s="1" t="str">
        <f>HYPERLINK("https://asmlis.vasa.lt/Dashboard/Served?ServiceDateFrom=2025-11-24&amp;ServiceDateTo=2025-11-24&amp;DumpsterInvNr=13-S-102380", "13-S-102380")</f>
        <v>13-S-102380</v>
      </c>
      <c r="C10186">
        <v>0.12</v>
      </c>
      <c r="D10186" t="s">
        <v>13585</v>
      </c>
      <c r="E10186" t="s">
        <v>11</v>
      </c>
      <c r="F10186" t="s">
        <v>2556</v>
      </c>
      <c r="G10186" t="s">
        <v>1917</v>
      </c>
      <c r="H10186" t="s">
        <v>432</v>
      </c>
      <c r="J10186" t="s">
        <v>17511</v>
      </c>
    </row>
    <row r="10187" spans="1:10" hidden="1" x14ac:dyDescent="0.25">
      <c r="A10187" t="s">
        <v>13615</v>
      </c>
      <c r="B10187" s="1" t="str">
        <f>HYPERLINK("https://asmlis.vasa.lt/Dashboard/Served?ServiceDateFrom=2025-11-24&amp;ServiceDateTo=2025-11-24&amp;DumpsterInvNr=13-L-108888", "13-L-108888")</f>
        <v>13-L-108888</v>
      </c>
      <c r="C10187">
        <v>5</v>
      </c>
      <c r="D10187" t="s">
        <v>10792</v>
      </c>
      <c r="E10187" t="s">
        <v>11</v>
      </c>
      <c r="F10187" t="s">
        <v>13</v>
      </c>
      <c r="G10187" t="s">
        <v>430</v>
      </c>
      <c r="H10187" t="s">
        <v>432</v>
      </c>
    </row>
    <row r="10188" spans="1:10" hidden="1" x14ac:dyDescent="0.25">
      <c r="A10188" t="s">
        <v>13616</v>
      </c>
      <c r="B10188" s="1" t="str">
        <f>HYPERLINK("https://asmlis.vasa.lt/Dashboard/Served?ServiceDateFrom=2025-11-24&amp;ServiceDateTo=2025-11-24&amp;DumpsterInvNr=13-P-500237", "13-P-500237")</f>
        <v>13-P-500237</v>
      </c>
      <c r="C10188">
        <v>5</v>
      </c>
      <c r="D10188" t="s">
        <v>13514</v>
      </c>
      <c r="E10188" t="s">
        <v>11</v>
      </c>
      <c r="F10188" t="s">
        <v>13</v>
      </c>
      <c r="G10188" t="s">
        <v>2178</v>
      </c>
      <c r="H10188" t="s">
        <v>432</v>
      </c>
    </row>
    <row r="10189" spans="1:10" hidden="1" x14ac:dyDescent="0.25">
      <c r="A10189" t="s">
        <v>13617</v>
      </c>
      <c r="B10189" s="1" t="str">
        <f>HYPERLINK("https://asmlis.vasa.lt/Dashboard/Served?ServiceDateFrom=2025-11-24&amp;ServiceDateTo=2025-11-24&amp;DumpsterInvNr=13-L-308954", "13-L-308954")</f>
        <v>13-L-308954</v>
      </c>
      <c r="C10189">
        <v>0.24</v>
      </c>
      <c r="D10189" t="s">
        <v>13618</v>
      </c>
      <c r="E10189" t="s">
        <v>11</v>
      </c>
      <c r="G10189" t="s">
        <v>9</v>
      </c>
      <c r="H10189" t="s">
        <v>14</v>
      </c>
    </row>
    <row r="10190" spans="1:10" hidden="1" x14ac:dyDescent="0.25">
      <c r="A10190" t="s">
        <v>13617</v>
      </c>
      <c r="B10190" s="1" t="str">
        <f>HYPERLINK("https://asmlis.vasa.lt/Dashboard/Served?ServiceDateFrom=2025-11-24&amp;ServiceDateTo=2025-11-24&amp;DumpsterInvNr=13-L-309359", "13-L-309359")</f>
        <v>13-L-309359</v>
      </c>
      <c r="C10190">
        <v>0.24</v>
      </c>
      <c r="D10190" t="s">
        <v>13619</v>
      </c>
      <c r="E10190" t="s">
        <v>11</v>
      </c>
      <c r="G10190" t="s">
        <v>9</v>
      </c>
      <c r="H10190" t="s">
        <v>14</v>
      </c>
    </row>
    <row r="10191" spans="1:10" hidden="1" x14ac:dyDescent="0.25">
      <c r="A10191" t="s">
        <v>13617</v>
      </c>
      <c r="B10191" s="1" t="str">
        <f>HYPERLINK("https://asmlis.vasa.lt/Dashboard/Served?ServiceDateFrom=2025-11-24&amp;ServiceDateTo=2025-11-24&amp;DumpsterInvNr=13-L-223943", "13-L-223943")</f>
        <v>13-L-223943</v>
      </c>
      <c r="C10191">
        <v>5</v>
      </c>
      <c r="D10191" t="s">
        <v>1618</v>
      </c>
      <c r="E10191" t="s">
        <v>11</v>
      </c>
      <c r="F10191" t="s">
        <v>13</v>
      </c>
      <c r="G10191" t="s">
        <v>936</v>
      </c>
      <c r="H10191" t="s">
        <v>938</v>
      </c>
    </row>
    <row r="10192" spans="1:10" hidden="1" x14ac:dyDescent="0.25">
      <c r="A10192" t="s">
        <v>13617</v>
      </c>
      <c r="B10192" s="1" t="str">
        <f>HYPERLINK("https://asmlis.vasa.lt/Dashboard/Served?ServiceDateFrom=2025-11-24&amp;ServiceDateTo=2025-11-24&amp;DumpsterInvNr=13-P-115828", "13-P-115828")</f>
        <v>13-P-115828</v>
      </c>
      <c r="C10192">
        <v>1.1000000000000001</v>
      </c>
      <c r="D10192" t="s">
        <v>13587</v>
      </c>
      <c r="E10192" t="s">
        <v>11</v>
      </c>
      <c r="G10192" t="s">
        <v>1917</v>
      </c>
      <c r="H10192" t="s">
        <v>432</v>
      </c>
    </row>
    <row r="10193" spans="1:10" hidden="1" x14ac:dyDescent="0.25">
      <c r="A10193" t="s">
        <v>13621</v>
      </c>
      <c r="B10193" s="1" t="str">
        <f>HYPERLINK("https://asmlis.vasa.lt/Dashboard/Served?ServiceDateFrom=2025-11-24&amp;ServiceDateTo=2025-11-24&amp;DumpsterInvNr=13-L-115237", "13-L-115237")</f>
        <v>13-L-115237</v>
      </c>
      <c r="C10193">
        <v>0.12</v>
      </c>
      <c r="D10193" t="s">
        <v>13622</v>
      </c>
      <c r="E10193" t="s">
        <v>11</v>
      </c>
      <c r="G10193" t="s">
        <v>430</v>
      </c>
      <c r="H10193" t="s">
        <v>432</v>
      </c>
    </row>
    <row r="10194" spans="1:10" x14ac:dyDescent="0.25">
      <c r="A10194" t="s">
        <v>13623</v>
      </c>
      <c r="B10194" s="1" t="str">
        <f>HYPERLINK("https://asmlis.vasa.lt/Dashboard/Served?ServiceDateFrom=2025-11-24&amp;ServiceDateTo=2025-11-24&amp;DumpsterInvNr=13-L-120426", "13-L-120426")</f>
        <v>13-L-120426</v>
      </c>
      <c r="C10194">
        <v>0.12</v>
      </c>
      <c r="D10194" t="s">
        <v>13552</v>
      </c>
      <c r="E10194" t="s">
        <v>11</v>
      </c>
      <c r="F10194" t="s">
        <v>2556</v>
      </c>
      <c r="G10194" t="s">
        <v>1912</v>
      </c>
      <c r="H10194" t="s">
        <v>432</v>
      </c>
      <c r="J10194" t="s">
        <v>17511</v>
      </c>
    </row>
    <row r="10195" spans="1:10" hidden="1" x14ac:dyDescent="0.25">
      <c r="A10195" t="s">
        <v>13624</v>
      </c>
      <c r="B10195" s="1" t="str">
        <f>HYPERLINK("https://asmlis.vasa.lt/Dashboard/Served?ServiceDateFrom=2025-11-24&amp;ServiceDateTo=2025-11-24&amp;DumpsterInvNr=13-S-203109", "13-S-203109")</f>
        <v>13-S-203109</v>
      </c>
      <c r="C10195">
        <v>0.12</v>
      </c>
      <c r="D10195" t="s">
        <v>12992</v>
      </c>
      <c r="E10195" t="s">
        <v>11</v>
      </c>
      <c r="G10195" t="s">
        <v>234</v>
      </c>
      <c r="H10195" t="s">
        <v>14</v>
      </c>
    </row>
    <row r="10196" spans="1:10" hidden="1" x14ac:dyDescent="0.25">
      <c r="A10196" t="s">
        <v>13624</v>
      </c>
      <c r="B10196" s="1" t="str">
        <f>HYPERLINK("https://asmlis.vasa.lt/Dashboard/Served?ServiceDateFrom=2025-11-24&amp;ServiceDateTo=2025-11-24&amp;DumpsterInvNr=13-P-508398", "13-P-508398")</f>
        <v>13-P-508398</v>
      </c>
      <c r="C10196">
        <v>0.24</v>
      </c>
      <c r="D10196" t="s">
        <v>13622</v>
      </c>
      <c r="E10196" t="s">
        <v>11</v>
      </c>
      <c r="G10196" t="s">
        <v>2178</v>
      </c>
      <c r="H10196" t="s">
        <v>432</v>
      </c>
    </row>
    <row r="10197" spans="1:10" hidden="1" x14ac:dyDescent="0.25">
      <c r="A10197" t="s">
        <v>13624</v>
      </c>
      <c r="B10197" s="1" t="str">
        <f>HYPERLINK("https://asmlis.vasa.lt/Dashboard/Served?ServiceDateFrom=2025-11-24&amp;ServiceDateTo=2025-11-24&amp;DumpsterInvNr=13-S-505645", "13-S-505645")</f>
        <v>13-S-505645</v>
      </c>
      <c r="C10197">
        <v>0.12</v>
      </c>
      <c r="D10197" t="s">
        <v>13622</v>
      </c>
      <c r="E10197" t="s">
        <v>11</v>
      </c>
      <c r="G10197" t="s">
        <v>2178</v>
      </c>
      <c r="H10197" t="s">
        <v>432</v>
      </c>
    </row>
    <row r="10198" spans="1:10" hidden="1" x14ac:dyDescent="0.25">
      <c r="A10198" t="s">
        <v>13626</v>
      </c>
      <c r="B10198" s="1" t="str">
        <f>HYPERLINK("https://asmlis.vasa.lt/Dashboard/Served?ServiceDateFrom=2025-11-24&amp;ServiceDateTo=2025-11-24&amp;DumpsterInvNr=13-L-426406", "13-L-426406")</f>
        <v>13-L-426406</v>
      </c>
      <c r="C10198">
        <v>0.24</v>
      </c>
      <c r="D10198" t="s">
        <v>9181</v>
      </c>
      <c r="E10198" t="s">
        <v>11</v>
      </c>
      <c r="G10198" t="s">
        <v>74</v>
      </c>
      <c r="H10198" t="s">
        <v>14</v>
      </c>
    </row>
    <row r="10199" spans="1:10" hidden="1" x14ac:dyDescent="0.25">
      <c r="A10199" t="s">
        <v>13626</v>
      </c>
      <c r="B10199" s="1" t="str">
        <f>HYPERLINK("https://asmlis.vasa.lt/Dashboard/Served?ServiceDateFrom=2025-11-24&amp;ServiceDateTo=2025-11-24&amp;DumpsterInvNr=13-L-404280", "13-L-404280")</f>
        <v>13-L-404280</v>
      </c>
      <c r="C10199">
        <v>0.24</v>
      </c>
      <c r="D10199" t="s">
        <v>8548</v>
      </c>
      <c r="E10199" t="s">
        <v>11</v>
      </c>
      <c r="G10199" t="s">
        <v>74</v>
      </c>
      <c r="H10199" t="s">
        <v>14</v>
      </c>
    </row>
    <row r="10200" spans="1:10" x14ac:dyDescent="0.25">
      <c r="A10200" t="s">
        <v>13626</v>
      </c>
      <c r="B10200" s="1" t="str">
        <f>HYPERLINK("https://asmlis.vasa.lt/Dashboard/Served?ServiceDateFrom=2025-11-24&amp;ServiceDateTo=2025-11-24&amp;DumpsterInvNr=13-P-101091", "13-P-101091")</f>
        <v>13-P-101091</v>
      </c>
      <c r="C10200">
        <v>0.12</v>
      </c>
      <c r="D10200" t="s">
        <v>13585</v>
      </c>
      <c r="E10200" t="s">
        <v>11</v>
      </c>
      <c r="F10200" t="s">
        <v>2556</v>
      </c>
      <c r="G10200" t="s">
        <v>1917</v>
      </c>
      <c r="H10200" t="s">
        <v>432</v>
      </c>
      <c r="J10200" t="s">
        <v>17511</v>
      </c>
    </row>
    <row r="10201" spans="1:10" hidden="1" x14ac:dyDescent="0.25">
      <c r="A10201" t="s">
        <v>13627</v>
      </c>
      <c r="B10201" s="1" t="str">
        <f>HYPERLINK("https://asmlis.vasa.lt/Dashboard/Served?ServiceDateFrom=2025-11-24&amp;ServiceDateTo=2025-11-24&amp;DumpsterInvNr=13-L-139359", "13-L-139359")</f>
        <v>13-L-139359</v>
      </c>
      <c r="C10201">
        <v>1.1000000000000001</v>
      </c>
      <c r="D10201" t="s">
        <v>13628</v>
      </c>
      <c r="E10201" t="s">
        <v>11</v>
      </c>
      <c r="G10201" t="s">
        <v>430</v>
      </c>
      <c r="H10201" t="s">
        <v>432</v>
      </c>
    </row>
    <row r="10202" spans="1:10" x14ac:dyDescent="0.25">
      <c r="A10202" t="s">
        <v>13629</v>
      </c>
      <c r="B10202" s="1" t="str">
        <f>HYPERLINK("https://asmlis.vasa.lt/Dashboard/Served?ServiceDateFrom=2025-11-24&amp;ServiceDateTo=2025-11-24&amp;DumpsterInvNr=13-P-101090", "13-P-101090")</f>
        <v>13-P-101090</v>
      </c>
      <c r="C10202">
        <v>0.12</v>
      </c>
      <c r="D10202" t="s">
        <v>13585</v>
      </c>
      <c r="E10202" t="s">
        <v>11</v>
      </c>
      <c r="F10202" t="s">
        <v>2556</v>
      </c>
      <c r="G10202" t="s">
        <v>1917</v>
      </c>
      <c r="H10202" t="s">
        <v>432</v>
      </c>
      <c r="J10202" t="s">
        <v>17511</v>
      </c>
    </row>
    <row r="10203" spans="1:10" hidden="1" x14ac:dyDescent="0.25">
      <c r="A10203" t="s">
        <v>13630</v>
      </c>
      <c r="B10203" s="1" t="str">
        <f>HYPERLINK("https://asmlis.vasa.lt/Dashboard/Served?ServiceDateFrom=2025-11-24&amp;ServiceDateTo=2025-11-24&amp;DumpsterInvNr=13-L-420250", "13-L-420250")</f>
        <v>13-L-420250</v>
      </c>
      <c r="C10203">
        <v>5</v>
      </c>
      <c r="D10203" t="s">
        <v>3496</v>
      </c>
      <c r="E10203" t="s">
        <v>11</v>
      </c>
      <c r="F10203" t="s">
        <v>13</v>
      </c>
      <c r="G10203" t="s">
        <v>74</v>
      </c>
      <c r="H10203" t="s">
        <v>14</v>
      </c>
    </row>
    <row r="10204" spans="1:10" hidden="1" x14ac:dyDescent="0.25">
      <c r="A10204" t="s">
        <v>13630</v>
      </c>
      <c r="B10204" s="1" t="str">
        <f>HYPERLINK("https://asmlis.vasa.lt/Dashboard/Served?ServiceDateFrom=2025-11-24&amp;ServiceDateTo=2025-11-24&amp;DumpsterInvNr=13-P-203710", "13-P-203710")</f>
        <v>13-P-203710</v>
      </c>
      <c r="C10204">
        <v>0.24</v>
      </c>
      <c r="D10204" t="s">
        <v>12992</v>
      </c>
      <c r="E10204" t="s">
        <v>11</v>
      </c>
      <c r="G10204" t="s">
        <v>234</v>
      </c>
      <c r="H10204" t="s">
        <v>14</v>
      </c>
    </row>
    <row r="10205" spans="1:10" hidden="1" x14ac:dyDescent="0.25">
      <c r="A10205" t="s">
        <v>13630</v>
      </c>
      <c r="B10205" s="1" t="str">
        <f>HYPERLINK("https://asmlis.vasa.lt/Dashboard/Served?ServiceDateFrom=2025-11-24&amp;ServiceDateTo=2025-11-24&amp;DumpsterInvNr=13-P-203711", "13-P-203711")</f>
        <v>13-P-203711</v>
      </c>
      <c r="C10205">
        <v>0.24</v>
      </c>
      <c r="D10205" t="s">
        <v>12982</v>
      </c>
      <c r="E10205" t="s">
        <v>11</v>
      </c>
      <c r="G10205" t="s">
        <v>234</v>
      </c>
      <c r="H10205" t="s">
        <v>14</v>
      </c>
    </row>
    <row r="10206" spans="1:10" hidden="1" x14ac:dyDescent="0.25">
      <c r="A10206" t="s">
        <v>13631</v>
      </c>
      <c r="B10206" s="1" t="str">
        <f>HYPERLINK("https://asmlis.vasa.lt/Dashboard/Served?ServiceDateFrom=2025-11-24&amp;ServiceDateTo=2025-11-24&amp;DumpsterInvNr=13-P-304023", "13-P-304023")</f>
        <v>13-P-304023</v>
      </c>
      <c r="C10206">
        <v>2.5</v>
      </c>
      <c r="D10206" t="s">
        <v>13571</v>
      </c>
      <c r="E10206" t="s">
        <v>11</v>
      </c>
      <c r="G10206" t="s">
        <v>412</v>
      </c>
      <c r="H10206" t="s">
        <v>14</v>
      </c>
    </row>
    <row r="10207" spans="1:10" x14ac:dyDescent="0.25">
      <c r="A10207" t="s">
        <v>13421</v>
      </c>
      <c r="B10207" s="1" t="str">
        <f>HYPERLINK("https://asmlis.vasa.lt/Dashboard/Served?ServiceDateFrom=2025-11-24&amp;ServiceDateTo=2025-11-24&amp;DumpsterInvNr=13-P-103187", "13-P-103187")</f>
        <v>13-P-103187</v>
      </c>
      <c r="C10207">
        <v>0.24</v>
      </c>
      <c r="D10207" t="s">
        <v>13632</v>
      </c>
      <c r="E10207" t="s">
        <v>11</v>
      </c>
      <c r="F10207" t="s">
        <v>2556</v>
      </c>
      <c r="G10207" t="s">
        <v>1917</v>
      </c>
      <c r="H10207" t="s">
        <v>432</v>
      </c>
      <c r="J10207" t="s">
        <v>17511</v>
      </c>
    </row>
    <row r="10208" spans="1:10" hidden="1" x14ac:dyDescent="0.25">
      <c r="A10208" t="s">
        <v>13400</v>
      </c>
      <c r="B10208" s="1" t="str">
        <f>HYPERLINK("https://asmlis.vasa.lt/Dashboard/Served?ServiceDateFrom=2025-11-24&amp;ServiceDateTo=2025-11-24&amp;DumpsterInvNr=13-L-301944", "13-L-301944")</f>
        <v>13-L-301944</v>
      </c>
      <c r="C10208">
        <v>0.24</v>
      </c>
      <c r="D10208" t="s">
        <v>13633</v>
      </c>
      <c r="E10208" t="s">
        <v>11</v>
      </c>
      <c r="G10208" t="s">
        <v>9</v>
      </c>
      <c r="H10208" t="s">
        <v>14</v>
      </c>
    </row>
    <row r="10209" spans="1:10" x14ac:dyDescent="0.25">
      <c r="A10209" t="s">
        <v>13406</v>
      </c>
      <c r="B10209" s="1" t="str">
        <f>HYPERLINK("https://asmlis.vasa.lt/Dashboard/Served?ServiceDateFrom=2025-11-24&amp;ServiceDateTo=2025-11-24&amp;DumpsterInvNr=13-L-106463", "13-L-106463")</f>
        <v>13-L-106463</v>
      </c>
      <c r="C10209">
        <v>0.14000000000000001</v>
      </c>
      <c r="D10209" t="s">
        <v>13632</v>
      </c>
      <c r="E10209" t="s">
        <v>11</v>
      </c>
      <c r="F10209" t="s">
        <v>2556</v>
      </c>
      <c r="G10209" t="s">
        <v>1912</v>
      </c>
      <c r="H10209" t="s">
        <v>432</v>
      </c>
      <c r="J10209" t="s">
        <v>17511</v>
      </c>
    </row>
    <row r="10210" spans="1:10" hidden="1" x14ac:dyDescent="0.25">
      <c r="A10210" t="s">
        <v>13634</v>
      </c>
      <c r="B10210" s="1" t="str">
        <f>HYPERLINK("https://asmlis.vasa.lt/Dashboard/Served?ServiceDateFrom=2025-11-24&amp;ServiceDateTo=2025-11-24&amp;DumpsterInvNr=13-S-209352", "13-S-209352")</f>
        <v>13-S-209352</v>
      </c>
      <c r="C10210">
        <v>0.12</v>
      </c>
      <c r="D10210" t="s">
        <v>12996</v>
      </c>
      <c r="E10210" t="s">
        <v>11</v>
      </c>
      <c r="F10210" t="s">
        <v>1209</v>
      </c>
      <c r="G10210" t="s">
        <v>234</v>
      </c>
      <c r="H10210" t="s">
        <v>14</v>
      </c>
    </row>
    <row r="10211" spans="1:10" hidden="1" x14ac:dyDescent="0.25">
      <c r="A10211" t="s">
        <v>13497</v>
      </c>
      <c r="B10211" s="1" t="str">
        <f>HYPERLINK("https://asmlis.vasa.lt/Dashboard/Served?ServiceDateFrom=2025-11-24&amp;ServiceDateTo=2025-11-24&amp;DumpsterInvNr=13-L-422750", "13-L-422750")</f>
        <v>13-L-422750</v>
      </c>
      <c r="C10211">
        <v>1.1000000000000001</v>
      </c>
      <c r="D10211" t="s">
        <v>13500</v>
      </c>
      <c r="E10211" t="s">
        <v>11</v>
      </c>
      <c r="G10211" t="s">
        <v>74</v>
      </c>
      <c r="H10211" t="s">
        <v>14</v>
      </c>
    </row>
    <row r="10212" spans="1:10" hidden="1" x14ac:dyDescent="0.25">
      <c r="A10212" t="s">
        <v>13497</v>
      </c>
      <c r="B10212" s="1" t="str">
        <f>HYPERLINK("https://asmlis.vasa.lt/Dashboard/Served?ServiceDateFrom=2025-11-24&amp;ServiceDateTo=2025-11-24&amp;DumpsterInvNr=13-L-115236", "13-L-115236")</f>
        <v>13-L-115236</v>
      </c>
      <c r="C10212">
        <v>0.24</v>
      </c>
      <c r="D10212" t="s">
        <v>13636</v>
      </c>
      <c r="E10212" t="s">
        <v>11</v>
      </c>
      <c r="G10212" t="s">
        <v>430</v>
      </c>
      <c r="H10212" t="s">
        <v>432</v>
      </c>
    </row>
    <row r="10213" spans="1:10" x14ac:dyDescent="0.25">
      <c r="A10213" t="s">
        <v>13423</v>
      </c>
      <c r="B10213" s="1" t="str">
        <f>HYPERLINK("https://asmlis.vasa.lt/Dashboard/Served?ServiceDateFrom=2025-11-24&amp;ServiceDateTo=2025-11-24&amp;DumpsterInvNr=13-S-100960", "13-S-100960")</f>
        <v>13-S-100960</v>
      </c>
      <c r="C10213">
        <v>0.12</v>
      </c>
      <c r="D10213" t="s">
        <v>13637</v>
      </c>
      <c r="E10213" t="s">
        <v>11</v>
      </c>
      <c r="F10213" t="s">
        <v>2556</v>
      </c>
      <c r="G10213" t="s">
        <v>1917</v>
      </c>
      <c r="H10213" t="s">
        <v>432</v>
      </c>
      <c r="J10213" t="s">
        <v>17511</v>
      </c>
    </row>
    <row r="10214" spans="1:10" hidden="1" x14ac:dyDescent="0.25">
      <c r="A10214" t="s">
        <v>13446</v>
      </c>
      <c r="B10214" s="1" t="str">
        <f>HYPERLINK("https://asmlis.vasa.lt/Dashboard/Served?ServiceDateFrom=2025-11-24&amp;ServiceDateTo=2025-11-24&amp;DumpsterInvNr=13-L-404278", "13-L-404278")</f>
        <v>13-L-404278</v>
      </c>
      <c r="C10214">
        <v>0.24</v>
      </c>
      <c r="D10214" t="s">
        <v>8566</v>
      </c>
      <c r="E10214" t="s">
        <v>11</v>
      </c>
      <c r="G10214" t="s">
        <v>74</v>
      </c>
      <c r="H10214" t="s">
        <v>14</v>
      </c>
    </row>
    <row r="10215" spans="1:10" hidden="1" x14ac:dyDescent="0.25">
      <c r="A10215" t="s">
        <v>13453</v>
      </c>
      <c r="B10215" s="1" t="str">
        <f>HYPERLINK("https://asmlis.vasa.lt/Dashboard/Served?ServiceDateFrom=2025-11-24&amp;ServiceDateTo=2025-11-24&amp;DumpsterInvNr=13-P-500235", "13-P-500235")</f>
        <v>13-P-500235</v>
      </c>
      <c r="C10215">
        <v>5</v>
      </c>
      <c r="D10215" t="s">
        <v>13638</v>
      </c>
      <c r="E10215" t="s">
        <v>11</v>
      </c>
      <c r="F10215" t="s">
        <v>13</v>
      </c>
      <c r="G10215" t="s">
        <v>2178</v>
      </c>
      <c r="H10215" t="s">
        <v>432</v>
      </c>
    </row>
    <row r="10216" spans="1:10" hidden="1" x14ac:dyDescent="0.25">
      <c r="A10216" t="s">
        <v>13639</v>
      </c>
      <c r="B10216" s="1" t="str">
        <f>HYPERLINK("https://asmlis.vasa.lt/Dashboard/Served?ServiceDateFrom=2025-11-24&amp;ServiceDateTo=2025-11-24&amp;DumpsterInvNr=13-P-416110", "13-P-416110")</f>
        <v>13-P-416110</v>
      </c>
      <c r="C10216">
        <v>1.1000000000000001</v>
      </c>
      <c r="D10216" t="s">
        <v>13640</v>
      </c>
      <c r="E10216" t="s">
        <v>11</v>
      </c>
      <c r="G10216" t="s">
        <v>264</v>
      </c>
      <c r="H10216" t="s">
        <v>14</v>
      </c>
    </row>
    <row r="10217" spans="1:10" hidden="1" x14ac:dyDescent="0.25">
      <c r="A10217" t="s">
        <v>13456</v>
      </c>
      <c r="B10217" s="1" t="str">
        <f>HYPERLINK("https://asmlis.vasa.lt/Dashboard/Served?ServiceDateFrom=2025-11-24&amp;ServiceDateTo=2025-11-24&amp;DumpsterInvNr=13-S-505455", "13-S-505455")</f>
        <v>13-S-505455</v>
      </c>
      <c r="C10217">
        <v>0.12</v>
      </c>
      <c r="D10217" t="s">
        <v>13636</v>
      </c>
      <c r="E10217" t="s">
        <v>11</v>
      </c>
      <c r="F10217" t="s">
        <v>1209</v>
      </c>
      <c r="G10217" t="s">
        <v>2178</v>
      </c>
      <c r="H10217" t="s">
        <v>432</v>
      </c>
    </row>
    <row r="10218" spans="1:10" hidden="1" x14ac:dyDescent="0.25">
      <c r="A10218" t="s">
        <v>13641</v>
      </c>
      <c r="B10218" s="1" t="str">
        <f>HYPERLINK("https://asmlis.vasa.lt/Dashboard/Served?ServiceDateFrom=2025-11-24&amp;ServiceDateTo=2025-11-24&amp;DumpsterInvNr=13-P-506777", "13-P-506777")</f>
        <v>13-P-506777</v>
      </c>
      <c r="C10218">
        <v>0.24</v>
      </c>
      <c r="D10218" t="s">
        <v>13636</v>
      </c>
      <c r="E10218" t="s">
        <v>11</v>
      </c>
      <c r="F10218" t="s">
        <v>1209</v>
      </c>
      <c r="G10218" t="s">
        <v>2178</v>
      </c>
      <c r="H10218" t="s">
        <v>432</v>
      </c>
    </row>
    <row r="10219" spans="1:10" x14ac:dyDescent="0.25">
      <c r="A10219" t="s">
        <v>13580</v>
      </c>
      <c r="B10219" s="1" t="str">
        <f>HYPERLINK("https://asmlis.vasa.lt/Dashboard/Served?ServiceDateFrom=2025-11-24&amp;ServiceDateTo=2025-11-24&amp;DumpsterInvNr=13-L-128389", "13-L-128389")</f>
        <v>13-L-128389</v>
      </c>
      <c r="C10219">
        <v>0.24</v>
      </c>
      <c r="D10219" t="s">
        <v>13632</v>
      </c>
      <c r="E10219" t="s">
        <v>11</v>
      </c>
      <c r="F10219" t="s">
        <v>2556</v>
      </c>
      <c r="G10219" t="s">
        <v>1912</v>
      </c>
      <c r="H10219" t="s">
        <v>432</v>
      </c>
      <c r="J10219" t="s">
        <v>17511</v>
      </c>
    </row>
    <row r="10220" spans="1:10" hidden="1" x14ac:dyDescent="0.25">
      <c r="A10220" t="s">
        <v>13600</v>
      </c>
      <c r="B10220" s="1" t="str">
        <f>HYPERLINK("https://asmlis.vasa.lt/Dashboard/Served?ServiceDateFrom=2025-11-24&amp;ServiceDateTo=2025-11-24&amp;DumpsterInvNr=13-L-404285", "13-L-404285")</f>
        <v>13-L-404285</v>
      </c>
      <c r="C10220">
        <v>0.12</v>
      </c>
      <c r="D10220" t="s">
        <v>8583</v>
      </c>
      <c r="E10220" t="s">
        <v>11</v>
      </c>
      <c r="F10220" t="s">
        <v>1209</v>
      </c>
      <c r="G10220" t="s">
        <v>74</v>
      </c>
      <c r="H10220" t="s">
        <v>14</v>
      </c>
    </row>
    <row r="10221" spans="1:10" hidden="1" x14ac:dyDescent="0.25">
      <c r="A10221" t="s">
        <v>13625</v>
      </c>
      <c r="B10221" s="1" t="str">
        <f>HYPERLINK("https://asmlis.vasa.lt/Dashboard/Served?ServiceDateFrom=2025-11-24&amp;ServiceDateTo=2025-11-24&amp;DumpsterInvNr=13-L-315367", "13-L-315367")</f>
        <v>13-L-315367</v>
      </c>
      <c r="C10221">
        <v>1.1000000000000001</v>
      </c>
      <c r="D10221" t="s">
        <v>13642</v>
      </c>
      <c r="E10221" t="s">
        <v>11</v>
      </c>
      <c r="G10221" t="s">
        <v>9</v>
      </c>
      <c r="H10221" t="s">
        <v>14</v>
      </c>
    </row>
    <row r="10222" spans="1:10" x14ac:dyDescent="0.25">
      <c r="A10222" t="s">
        <v>13438</v>
      </c>
      <c r="B10222" s="1" t="str">
        <f>HYPERLINK("https://asmlis.vasa.lt/Dashboard/Served?ServiceDateFrom=2025-11-24&amp;ServiceDateTo=2025-11-24&amp;DumpsterInvNr=13-P-114678", "13-P-114678")</f>
        <v>13-P-114678</v>
      </c>
      <c r="C10222">
        <v>0.12</v>
      </c>
      <c r="D10222" t="s">
        <v>13637</v>
      </c>
      <c r="E10222" t="s">
        <v>11</v>
      </c>
      <c r="F10222" t="s">
        <v>2556</v>
      </c>
      <c r="G10222" t="s">
        <v>1917</v>
      </c>
      <c r="H10222" t="s">
        <v>432</v>
      </c>
      <c r="J10222" t="s">
        <v>17511</v>
      </c>
    </row>
    <row r="10223" spans="1:10" hidden="1" x14ac:dyDescent="0.25">
      <c r="A10223" t="s">
        <v>13448</v>
      </c>
      <c r="B10223" s="1" t="str">
        <f>HYPERLINK("https://asmlis.vasa.lt/Dashboard/Served?ServiceDateFrom=2025-11-24&amp;ServiceDateTo=2025-11-24&amp;DumpsterInvNr=13-L-219252", "13-L-219252")</f>
        <v>13-L-219252</v>
      </c>
      <c r="C10223">
        <v>1.1000000000000001</v>
      </c>
      <c r="D10223" t="s">
        <v>13246</v>
      </c>
      <c r="E10223" t="s">
        <v>11</v>
      </c>
      <c r="G10223" t="s">
        <v>936</v>
      </c>
      <c r="H10223" t="s">
        <v>938</v>
      </c>
    </row>
    <row r="10224" spans="1:10" hidden="1" x14ac:dyDescent="0.25">
      <c r="A10224" t="s">
        <v>13549</v>
      </c>
      <c r="B10224" s="1" t="str">
        <f>HYPERLINK("https://asmlis.vasa.lt/Dashboard/Served?ServiceDateFrom=2025-11-24&amp;ServiceDateTo=2025-11-24&amp;DumpsterInvNr=13-P-416130", "13-P-416130")</f>
        <v>13-P-416130</v>
      </c>
      <c r="C10224">
        <v>1.1000000000000001</v>
      </c>
      <c r="D10224" t="s">
        <v>9275</v>
      </c>
      <c r="E10224" t="s">
        <v>11</v>
      </c>
      <c r="G10224" t="s">
        <v>264</v>
      </c>
      <c r="H10224" t="s">
        <v>14</v>
      </c>
    </row>
    <row r="10225" spans="1:10" hidden="1" x14ac:dyDescent="0.25">
      <c r="A10225" t="s">
        <v>13559</v>
      </c>
      <c r="B10225" s="1" t="str">
        <f>HYPERLINK("https://asmlis.vasa.lt/Dashboard/Served?ServiceDateFrom=2025-11-24&amp;ServiceDateTo=2025-11-24&amp;DumpsterInvNr=13-P-500655", "13-P-500655")</f>
        <v>13-P-500655</v>
      </c>
      <c r="C10225">
        <v>5</v>
      </c>
      <c r="D10225" t="s">
        <v>13643</v>
      </c>
      <c r="E10225" t="s">
        <v>11</v>
      </c>
      <c r="F10225" t="s">
        <v>13</v>
      </c>
      <c r="G10225" t="s">
        <v>2178</v>
      </c>
      <c r="H10225" t="s">
        <v>432</v>
      </c>
    </row>
    <row r="10226" spans="1:10" hidden="1" x14ac:dyDescent="0.25">
      <c r="A10226" t="s">
        <v>13644</v>
      </c>
      <c r="B10226" s="1" t="str">
        <f>HYPERLINK("https://asmlis.vasa.lt/Dashboard/Served?ServiceDateFrom=2025-11-24&amp;ServiceDateTo=2025-11-24&amp;DumpsterInvNr=13-L-316027", "13-L-316027")</f>
        <v>13-L-316027</v>
      </c>
      <c r="C10226">
        <v>1.1000000000000001</v>
      </c>
      <c r="D10226" t="s">
        <v>13645</v>
      </c>
      <c r="E10226" t="s">
        <v>11</v>
      </c>
      <c r="G10226" t="s">
        <v>9</v>
      </c>
      <c r="H10226" t="s">
        <v>14</v>
      </c>
    </row>
    <row r="10227" spans="1:10" x14ac:dyDescent="0.25">
      <c r="A10227" t="s">
        <v>13646</v>
      </c>
      <c r="B10227" s="1" t="str">
        <f>HYPERLINK("https://asmlis.vasa.lt/Dashboard/Served?ServiceDateFrom=2025-11-24&amp;ServiceDateTo=2025-11-24&amp;DumpsterInvNr=13-S-103297", "13-S-103297")</f>
        <v>13-S-103297</v>
      </c>
      <c r="C10227">
        <v>0.12</v>
      </c>
      <c r="D10227" t="s">
        <v>13632</v>
      </c>
      <c r="E10227" t="s">
        <v>11</v>
      </c>
      <c r="F10227" t="s">
        <v>2556</v>
      </c>
      <c r="G10227" t="s">
        <v>1917</v>
      </c>
      <c r="H10227" t="s">
        <v>432</v>
      </c>
      <c r="J10227" t="s">
        <v>17511</v>
      </c>
    </row>
    <row r="10228" spans="1:10" hidden="1" x14ac:dyDescent="0.25">
      <c r="A10228" t="s">
        <v>13648</v>
      </c>
      <c r="B10228" s="1" t="str">
        <f>HYPERLINK("https://asmlis.vasa.lt/Dashboard/Served?ServiceDateFrom=2025-11-24&amp;ServiceDateTo=2025-11-24&amp;DumpsterInvNr=13-L-423203", "13-L-423203")</f>
        <v>13-L-423203</v>
      </c>
      <c r="C10228">
        <v>5</v>
      </c>
      <c r="D10228" t="s">
        <v>10833</v>
      </c>
      <c r="E10228" t="s">
        <v>11</v>
      </c>
      <c r="F10228" t="s">
        <v>13</v>
      </c>
      <c r="G10228" t="s">
        <v>74</v>
      </c>
      <c r="H10228" t="s">
        <v>14</v>
      </c>
    </row>
    <row r="10229" spans="1:10" hidden="1" x14ac:dyDescent="0.25">
      <c r="A10229" t="s">
        <v>13649</v>
      </c>
      <c r="B10229" s="1" t="str">
        <f>HYPERLINK("https://asmlis.vasa.lt/Dashboard/Served?ServiceDateFrom=2025-11-24&amp;ServiceDateTo=2025-11-24&amp;DumpsterInvNr=13-L-115235", "13-L-115235")</f>
        <v>13-L-115235</v>
      </c>
      <c r="C10229">
        <v>0.24</v>
      </c>
      <c r="D10229" t="s">
        <v>13650</v>
      </c>
      <c r="E10229" t="s">
        <v>11</v>
      </c>
      <c r="G10229" t="s">
        <v>430</v>
      </c>
      <c r="H10229" t="s">
        <v>432</v>
      </c>
    </row>
    <row r="10230" spans="1:10" x14ac:dyDescent="0.25">
      <c r="A10230" t="s">
        <v>665</v>
      </c>
      <c r="B10230" s="1" t="str">
        <f>HYPERLINK("https://asmlis.vasa.lt/Dashboard/Served?ServiceDateFrom=2025-11-24&amp;ServiceDateTo=2025-11-24&amp;DumpsterInvNr=13-L-102684", "13-L-102684")</f>
        <v>13-L-102684</v>
      </c>
      <c r="C10230">
        <v>0.24</v>
      </c>
      <c r="D10230" t="s">
        <v>13651</v>
      </c>
      <c r="E10230" t="s">
        <v>11</v>
      </c>
      <c r="F10230" t="s">
        <v>2556</v>
      </c>
      <c r="G10230" t="s">
        <v>1912</v>
      </c>
      <c r="H10230" t="s">
        <v>432</v>
      </c>
      <c r="J10230" t="s">
        <v>17511</v>
      </c>
    </row>
    <row r="10231" spans="1:10" hidden="1" x14ac:dyDescent="0.25">
      <c r="A10231" t="s">
        <v>12458</v>
      </c>
      <c r="B10231" s="1" t="str">
        <f>HYPERLINK("https://asmlis.vasa.lt/Dashboard/Served?ServiceDateFrom=2025-11-24&amp;ServiceDateTo=2025-11-24&amp;DumpsterInvNr=13-P-506757", "13-P-506757")</f>
        <v>13-P-506757</v>
      </c>
      <c r="C10231">
        <v>0.24</v>
      </c>
      <c r="D10231" t="s">
        <v>13650</v>
      </c>
      <c r="E10231" t="s">
        <v>11</v>
      </c>
      <c r="F10231" t="s">
        <v>1209</v>
      </c>
      <c r="G10231" t="s">
        <v>2178</v>
      </c>
      <c r="H10231" t="s">
        <v>432</v>
      </c>
    </row>
    <row r="10232" spans="1:10" hidden="1" x14ac:dyDescent="0.25">
      <c r="A10232" t="s">
        <v>13652</v>
      </c>
      <c r="B10232" s="1" t="str">
        <f>HYPERLINK("https://asmlis.vasa.lt/Dashboard/Served?ServiceDateFrom=2025-11-24&amp;ServiceDateTo=2025-11-24&amp;DumpsterInvNr=13-P-400492", "13-P-400492")</f>
        <v>13-P-400492</v>
      </c>
      <c r="C10232">
        <v>5</v>
      </c>
      <c r="D10232" t="s">
        <v>13653</v>
      </c>
      <c r="E10232" t="s">
        <v>11</v>
      </c>
      <c r="F10232" t="s">
        <v>13</v>
      </c>
      <c r="G10232" t="s">
        <v>264</v>
      </c>
      <c r="H10232" t="s">
        <v>14</v>
      </c>
    </row>
    <row r="10233" spans="1:10" hidden="1" x14ac:dyDescent="0.25">
      <c r="A10233" t="s">
        <v>13652</v>
      </c>
      <c r="B10233" s="1" t="str">
        <f>HYPERLINK("https://asmlis.vasa.lt/Dashboard/Served?ServiceDateFrom=2025-11-24&amp;ServiceDateTo=2025-11-24&amp;DumpsterInvNr=13-S-505442", "13-S-505442")</f>
        <v>13-S-505442</v>
      </c>
      <c r="C10233">
        <v>0.12</v>
      </c>
      <c r="D10233" t="s">
        <v>13650</v>
      </c>
      <c r="E10233" t="s">
        <v>11</v>
      </c>
      <c r="F10233" t="s">
        <v>1209</v>
      </c>
      <c r="G10233" t="s">
        <v>2178</v>
      </c>
      <c r="H10233" t="s">
        <v>432</v>
      </c>
    </row>
    <row r="10234" spans="1:10" hidden="1" x14ac:dyDescent="0.25">
      <c r="A10234" t="s">
        <v>13654</v>
      </c>
      <c r="B10234" s="1" t="str">
        <f>HYPERLINK("https://asmlis.vasa.lt/Dashboard/Served?ServiceDateFrom=2025-11-24&amp;ServiceDateTo=2025-11-24&amp;DumpsterInvNr=13-L-134788", "13-L-134788")</f>
        <v>13-L-134788</v>
      </c>
      <c r="C10234">
        <v>5</v>
      </c>
      <c r="D10234" t="s">
        <v>5740</v>
      </c>
      <c r="E10234" t="s">
        <v>11</v>
      </c>
      <c r="F10234" t="s">
        <v>13</v>
      </c>
      <c r="G10234" t="s">
        <v>430</v>
      </c>
      <c r="H10234" t="s">
        <v>432</v>
      </c>
    </row>
    <row r="10235" spans="1:10" hidden="1" x14ac:dyDescent="0.25">
      <c r="A10235" t="s">
        <v>13655</v>
      </c>
      <c r="B10235" s="1" t="str">
        <f>HYPERLINK("https://asmlis.vasa.lt/Dashboard/Served?ServiceDateFrom=2025-11-24&amp;ServiceDateTo=2025-11-24&amp;DumpsterInvNr=13-L-220489", "13-L-220489")</f>
        <v>13-L-220489</v>
      </c>
      <c r="C10235">
        <v>1.1000000000000001</v>
      </c>
      <c r="D10235" t="s">
        <v>13246</v>
      </c>
      <c r="E10235" t="s">
        <v>11</v>
      </c>
      <c r="G10235" t="s">
        <v>936</v>
      </c>
      <c r="H10235" t="s">
        <v>938</v>
      </c>
    </row>
    <row r="10236" spans="1:10" hidden="1" x14ac:dyDescent="0.25">
      <c r="A10236" t="s">
        <v>13656</v>
      </c>
      <c r="B10236" s="1" t="str">
        <f>HYPERLINK("https://asmlis.vasa.lt/Dashboard/Served?ServiceDateFrom=2025-11-24&amp;ServiceDateTo=2025-11-24&amp;DumpsterInvNr=13-P-203709", "13-P-203709")</f>
        <v>13-P-203709</v>
      </c>
      <c r="C10236">
        <v>0.24</v>
      </c>
      <c r="D10236" t="s">
        <v>13107</v>
      </c>
      <c r="E10236" t="s">
        <v>11</v>
      </c>
      <c r="G10236" t="s">
        <v>234</v>
      </c>
      <c r="H10236" t="s">
        <v>14</v>
      </c>
    </row>
    <row r="10237" spans="1:10" hidden="1" x14ac:dyDescent="0.25">
      <c r="A10237" t="s">
        <v>13656</v>
      </c>
      <c r="B10237" s="1" t="str">
        <f>HYPERLINK("https://asmlis.vasa.lt/Dashboard/Served?ServiceDateFrom=2025-11-24&amp;ServiceDateTo=2025-11-24&amp;DumpsterInvNr=13-P-209229", "13-P-209229")</f>
        <v>13-P-209229</v>
      </c>
      <c r="C10237">
        <v>0.24</v>
      </c>
      <c r="D10237" t="s">
        <v>13657</v>
      </c>
      <c r="E10237" t="s">
        <v>11</v>
      </c>
      <c r="G10237" t="s">
        <v>234</v>
      </c>
      <c r="H10237" t="s">
        <v>14</v>
      </c>
    </row>
    <row r="10238" spans="1:10" hidden="1" x14ac:dyDescent="0.25">
      <c r="A10238" t="s">
        <v>13658</v>
      </c>
      <c r="B10238" s="1" t="str">
        <f>HYPERLINK("https://asmlis.vasa.lt/Dashboard/Served?ServiceDateFrom=2025-11-24&amp;ServiceDateTo=2025-11-24&amp;DumpsterInvNr=13-S-211410", "13-S-211410")</f>
        <v>13-S-211410</v>
      </c>
      <c r="C10238">
        <v>1.8</v>
      </c>
      <c r="D10238" t="s">
        <v>12235</v>
      </c>
      <c r="E10238" t="s">
        <v>11</v>
      </c>
      <c r="F10238" t="s">
        <v>13</v>
      </c>
      <c r="G10238" t="s">
        <v>234</v>
      </c>
      <c r="H10238" t="s">
        <v>14</v>
      </c>
    </row>
    <row r="10239" spans="1:10" hidden="1" x14ac:dyDescent="0.25">
      <c r="A10239" t="s">
        <v>13659</v>
      </c>
      <c r="B10239" s="1" t="str">
        <f>HYPERLINK("https://asmlis.vasa.lt/Dashboard/Served?ServiceDateFrom=2025-11-24&amp;ServiceDateTo=2025-11-24&amp;DumpsterInvNr=13-P-302647", "13-P-302647")</f>
        <v>13-P-302647</v>
      </c>
      <c r="C10239">
        <v>5</v>
      </c>
      <c r="D10239" t="s">
        <v>4749</v>
      </c>
      <c r="E10239" t="s">
        <v>11</v>
      </c>
      <c r="G10239" t="s">
        <v>412</v>
      </c>
      <c r="H10239" t="s">
        <v>14</v>
      </c>
    </row>
    <row r="10240" spans="1:10" hidden="1" x14ac:dyDescent="0.25">
      <c r="A10240" t="s">
        <v>13537</v>
      </c>
      <c r="B10240" s="1" t="str">
        <f>HYPERLINK("https://asmlis.vasa.lt/Dashboard/Served?ServiceDateFrom=2025-11-24&amp;ServiceDateTo=2025-11-24&amp;DumpsterInvNr=13-S-203108", "13-S-203108")</f>
        <v>13-S-203108</v>
      </c>
      <c r="C10240">
        <v>0.12</v>
      </c>
      <c r="D10240" t="s">
        <v>13107</v>
      </c>
      <c r="E10240" t="s">
        <v>11</v>
      </c>
      <c r="G10240" t="s">
        <v>234</v>
      </c>
      <c r="H10240" t="s">
        <v>14</v>
      </c>
    </row>
    <row r="10241" spans="1:8" hidden="1" x14ac:dyDescent="0.25">
      <c r="A10241" t="s">
        <v>12359</v>
      </c>
      <c r="B10241" s="1" t="str">
        <f>HYPERLINK("https://asmlis.vasa.lt/Dashboard/Served?ServiceDateFrom=2025-11-24&amp;ServiceDateTo=2025-11-24&amp;DumpsterInvNr=13-L-221295", "13-L-221295")</f>
        <v>13-L-221295</v>
      </c>
      <c r="C10241">
        <v>1.1000000000000001</v>
      </c>
      <c r="D10241" t="s">
        <v>13246</v>
      </c>
      <c r="E10241" t="s">
        <v>11</v>
      </c>
      <c r="G10241" t="s">
        <v>936</v>
      </c>
      <c r="H10241" t="s">
        <v>938</v>
      </c>
    </row>
    <row r="10242" spans="1:8" hidden="1" x14ac:dyDescent="0.25">
      <c r="A10242" t="s">
        <v>13660</v>
      </c>
      <c r="B10242" s="1" t="str">
        <f>HYPERLINK("https://asmlis.vasa.lt/Dashboard/Served?ServiceDateFrom=2025-11-24&amp;ServiceDateTo=2025-11-24&amp;DumpsterInvNr=13-L-315885", "13-L-315885")</f>
        <v>13-L-315885</v>
      </c>
      <c r="C10242">
        <v>1.1000000000000001</v>
      </c>
      <c r="D10242" t="s">
        <v>13642</v>
      </c>
      <c r="E10242" t="s">
        <v>11</v>
      </c>
      <c r="G10242" t="s">
        <v>9</v>
      </c>
      <c r="H10242" t="s">
        <v>14</v>
      </c>
    </row>
    <row r="10243" spans="1:8" hidden="1" x14ac:dyDescent="0.25">
      <c r="A10243" t="s">
        <v>13661</v>
      </c>
      <c r="B10243" s="1" t="str">
        <f>HYPERLINK("https://asmlis.vasa.lt/Dashboard/Served?ServiceDateFrom=2025-11-24&amp;ServiceDateTo=2025-11-24&amp;DumpsterInvNr=13-L-129061", "13-L-129061")</f>
        <v>13-L-129061</v>
      </c>
      <c r="C10243">
        <v>0.66</v>
      </c>
      <c r="D10243" t="s">
        <v>13662</v>
      </c>
      <c r="E10243" t="s">
        <v>11</v>
      </c>
      <c r="G10243" t="s">
        <v>430</v>
      </c>
      <c r="H10243" t="s">
        <v>432</v>
      </c>
    </row>
    <row r="10244" spans="1:8" hidden="1" x14ac:dyDescent="0.25">
      <c r="A10244" t="s">
        <v>13663</v>
      </c>
      <c r="B10244" s="1" t="str">
        <f>HYPERLINK("https://asmlis.vasa.lt/Dashboard/Served?ServiceDateFrom=2025-11-24&amp;ServiceDateTo=2025-11-24&amp;DumpsterInvNr=13-P-102408", "13-P-102408")</f>
        <v>13-P-102408</v>
      </c>
      <c r="C10244">
        <v>5</v>
      </c>
      <c r="D10244" t="s">
        <v>9943</v>
      </c>
      <c r="E10244" t="s">
        <v>11</v>
      </c>
      <c r="F10244" t="s">
        <v>13</v>
      </c>
      <c r="G10244" t="s">
        <v>1917</v>
      </c>
      <c r="H10244" t="s">
        <v>432</v>
      </c>
    </row>
    <row r="10245" spans="1:8" hidden="1" x14ac:dyDescent="0.25">
      <c r="A10245" t="s">
        <v>13664</v>
      </c>
      <c r="B10245" s="1" t="str">
        <f>HYPERLINK("https://asmlis.vasa.lt/Dashboard/Served?ServiceDateFrom=2025-11-24&amp;ServiceDateTo=2025-11-24&amp;DumpsterInvNr=13-L-102160", "13-L-102160")</f>
        <v>13-L-102160</v>
      </c>
      <c r="C10245">
        <v>1.1000000000000001</v>
      </c>
      <c r="D10245" t="s">
        <v>13665</v>
      </c>
      <c r="E10245" t="s">
        <v>11</v>
      </c>
      <c r="G10245" t="s">
        <v>1912</v>
      </c>
      <c r="H10245" t="s">
        <v>432</v>
      </c>
    </row>
    <row r="10246" spans="1:8" hidden="1" x14ac:dyDescent="0.25">
      <c r="A10246" t="s">
        <v>13666</v>
      </c>
      <c r="B10246" s="1" t="str">
        <f>HYPERLINK("https://asmlis.vasa.lt/Dashboard/Served?ServiceDateFrom=2025-11-24&amp;ServiceDateTo=2025-11-24&amp;DumpsterInvNr=13-L-147769", "13-L-147769")</f>
        <v>13-L-147769</v>
      </c>
      <c r="C10246">
        <v>0.24</v>
      </c>
      <c r="D10246" t="s">
        <v>13667</v>
      </c>
      <c r="E10246" t="s">
        <v>11</v>
      </c>
      <c r="F10246" t="s">
        <v>1209</v>
      </c>
      <c r="G10246" t="s">
        <v>430</v>
      </c>
      <c r="H10246" t="s">
        <v>432</v>
      </c>
    </row>
    <row r="10247" spans="1:8" hidden="1" x14ac:dyDescent="0.25">
      <c r="A10247" t="s">
        <v>13668</v>
      </c>
      <c r="B10247" s="1" t="str">
        <f>HYPERLINK("https://asmlis.vasa.lt/Dashboard/Served?ServiceDateFrom=2025-11-24&amp;ServiceDateTo=2025-11-24&amp;DumpsterInvNr=13-S-506961", "13-S-506961")</f>
        <v>13-S-506961</v>
      </c>
      <c r="C10247">
        <v>0.12</v>
      </c>
      <c r="D10247" t="s">
        <v>13669</v>
      </c>
      <c r="E10247" t="s">
        <v>11</v>
      </c>
      <c r="F10247" t="s">
        <v>1209</v>
      </c>
      <c r="G10247" t="s">
        <v>2178</v>
      </c>
      <c r="H10247" t="s">
        <v>432</v>
      </c>
    </row>
    <row r="10248" spans="1:8" hidden="1" x14ac:dyDescent="0.25">
      <c r="A10248" t="s">
        <v>13670</v>
      </c>
      <c r="B10248" s="1" t="str">
        <f>HYPERLINK("https://asmlis.vasa.lt/Dashboard/Served?ServiceDateFrom=2025-11-24&amp;ServiceDateTo=2025-11-24&amp;DumpsterInvNr=13-L-417560", "13-L-417560")</f>
        <v>13-L-417560</v>
      </c>
      <c r="C10248">
        <v>0.24</v>
      </c>
      <c r="D10248" t="s">
        <v>8835</v>
      </c>
      <c r="E10248" t="s">
        <v>11</v>
      </c>
      <c r="G10248" t="s">
        <v>74</v>
      </c>
      <c r="H10248" t="s">
        <v>14</v>
      </c>
    </row>
    <row r="10249" spans="1:8" hidden="1" x14ac:dyDescent="0.25">
      <c r="A10249" t="s">
        <v>13670</v>
      </c>
      <c r="B10249" s="1" t="str">
        <f>HYPERLINK("https://asmlis.vasa.lt/Dashboard/Served?ServiceDateFrom=2025-11-24&amp;ServiceDateTo=2025-11-24&amp;DumpsterInvNr=13-P-509181", "13-P-509181")</f>
        <v>13-P-509181</v>
      </c>
      <c r="C10249">
        <v>0.24</v>
      </c>
      <c r="D10249" t="s">
        <v>13667</v>
      </c>
      <c r="E10249" t="s">
        <v>11</v>
      </c>
      <c r="F10249" t="s">
        <v>1209</v>
      </c>
      <c r="G10249" t="s">
        <v>2178</v>
      </c>
      <c r="H10249" t="s">
        <v>432</v>
      </c>
    </row>
    <row r="10250" spans="1:8" hidden="1" x14ac:dyDescent="0.25">
      <c r="A10250" t="s">
        <v>13671</v>
      </c>
      <c r="B10250" s="1" t="str">
        <f>HYPERLINK("https://asmlis.vasa.lt/Dashboard/Served?ServiceDateFrom=2025-11-24&amp;ServiceDateTo=2025-11-24&amp;DumpsterInvNr=13-P-509180", "13-P-509180")</f>
        <v>13-P-509180</v>
      </c>
      <c r="C10250">
        <v>0.24</v>
      </c>
      <c r="D10250" t="s">
        <v>13669</v>
      </c>
      <c r="E10250" t="s">
        <v>11</v>
      </c>
      <c r="F10250" t="s">
        <v>1209</v>
      </c>
      <c r="G10250" t="s">
        <v>2178</v>
      </c>
      <c r="H10250" t="s">
        <v>432</v>
      </c>
    </row>
    <row r="10251" spans="1:8" hidden="1" x14ac:dyDescent="0.25">
      <c r="A10251" t="s">
        <v>13673</v>
      </c>
      <c r="B10251" s="1" t="str">
        <f>HYPERLINK("https://asmlis.vasa.lt/Dashboard/Served?ServiceDateFrom=2025-11-24&amp;ServiceDateTo=2025-11-24&amp;DumpsterInvNr=13-L-147770", "13-L-147770")</f>
        <v>13-L-147770</v>
      </c>
      <c r="C10251">
        <v>0.24</v>
      </c>
      <c r="D10251" t="s">
        <v>13669</v>
      </c>
      <c r="E10251" t="s">
        <v>11</v>
      </c>
      <c r="F10251" t="s">
        <v>1209</v>
      </c>
      <c r="G10251" t="s">
        <v>430</v>
      </c>
      <c r="H10251" t="s">
        <v>432</v>
      </c>
    </row>
    <row r="10252" spans="1:8" hidden="1" x14ac:dyDescent="0.25">
      <c r="A10252" t="s">
        <v>13675</v>
      </c>
      <c r="B10252" s="1" t="str">
        <f>HYPERLINK("https://asmlis.vasa.lt/Dashboard/Served?ServiceDateFrom=2025-11-24&amp;ServiceDateTo=2025-11-24&amp;DumpsterInvNr=13-P-413549", "13-P-413549")</f>
        <v>13-P-413549</v>
      </c>
      <c r="C10252">
        <v>0.24</v>
      </c>
      <c r="D10252" t="s">
        <v>13676</v>
      </c>
      <c r="E10252" t="s">
        <v>11</v>
      </c>
      <c r="G10252" t="s">
        <v>264</v>
      </c>
      <c r="H10252" t="s">
        <v>14</v>
      </c>
    </row>
    <row r="10253" spans="1:8" hidden="1" x14ac:dyDescent="0.25">
      <c r="A10253" t="s">
        <v>13675</v>
      </c>
      <c r="B10253" s="1" t="str">
        <f>HYPERLINK("https://asmlis.vasa.lt/Dashboard/Served?ServiceDateFrom=2025-11-24&amp;ServiceDateTo=2025-11-24&amp;DumpsterInvNr=13-P-431428", "13-P-431428")</f>
        <v>13-P-431428</v>
      </c>
      <c r="C10253">
        <v>0.24</v>
      </c>
      <c r="D10253" t="s">
        <v>13677</v>
      </c>
      <c r="E10253" t="s">
        <v>11</v>
      </c>
      <c r="G10253" t="s">
        <v>264</v>
      </c>
      <c r="H10253" t="s">
        <v>14</v>
      </c>
    </row>
    <row r="10254" spans="1:8" hidden="1" x14ac:dyDescent="0.25">
      <c r="A10254" t="s">
        <v>13483</v>
      </c>
      <c r="B10254" s="1" t="str">
        <f>HYPERLINK("https://asmlis.vasa.lt/Dashboard/Served?ServiceDateFrom=2025-11-24&amp;ServiceDateTo=2025-11-24&amp;DumpsterInvNr=13-L-144855", "13-L-144855")</f>
        <v>13-L-144855</v>
      </c>
      <c r="C10254">
        <v>5</v>
      </c>
      <c r="D10254" t="s">
        <v>13678</v>
      </c>
      <c r="E10254" t="s">
        <v>11</v>
      </c>
      <c r="F10254" t="s">
        <v>13</v>
      </c>
      <c r="G10254" t="s">
        <v>430</v>
      </c>
      <c r="H10254" t="s">
        <v>432</v>
      </c>
    </row>
    <row r="10255" spans="1:8" hidden="1" x14ac:dyDescent="0.25">
      <c r="A10255" t="s">
        <v>13680</v>
      </c>
      <c r="B10255" s="1" t="str">
        <f>HYPERLINK("https://asmlis.vasa.lt/Dashboard/Served?ServiceDateFrom=2025-11-24&amp;ServiceDateTo=2025-11-24&amp;DumpsterInvNr=13-L-424359", "13-L-424359")</f>
        <v>13-L-424359</v>
      </c>
      <c r="C10255">
        <v>1.1000000000000001</v>
      </c>
      <c r="D10255" t="s">
        <v>13524</v>
      </c>
      <c r="E10255" t="s">
        <v>11</v>
      </c>
      <c r="F10255" t="s">
        <v>13</v>
      </c>
      <c r="G10255" t="s">
        <v>74</v>
      </c>
      <c r="H10255" t="s">
        <v>14</v>
      </c>
    </row>
    <row r="10256" spans="1:8" hidden="1" x14ac:dyDescent="0.25">
      <c r="A10256" t="s">
        <v>13680</v>
      </c>
      <c r="B10256" s="1" t="str">
        <f>HYPERLINK("https://asmlis.vasa.lt/Dashboard/Served?ServiceDateFrom=2025-11-24&amp;ServiceDateTo=2025-11-24&amp;DumpsterInvNr=13-L-208430", "13-L-208430")</f>
        <v>13-L-208430</v>
      </c>
      <c r="C10256">
        <v>1.1000000000000001</v>
      </c>
      <c r="D10256" t="s">
        <v>13246</v>
      </c>
      <c r="E10256" t="s">
        <v>11</v>
      </c>
      <c r="F10256" t="s">
        <v>13</v>
      </c>
      <c r="G10256" t="s">
        <v>936</v>
      </c>
      <c r="H10256" t="s">
        <v>938</v>
      </c>
    </row>
    <row r="10257" spans="1:10" hidden="1" x14ac:dyDescent="0.25">
      <c r="A10257" t="s">
        <v>13680</v>
      </c>
      <c r="B10257" s="1" t="str">
        <f>HYPERLINK("https://asmlis.vasa.lt/Dashboard/Served?ServiceDateFrom=2025-11-24&amp;ServiceDateTo=2025-11-24&amp;DumpsterInvNr=13-S-506962", "13-S-506962")</f>
        <v>13-S-506962</v>
      </c>
      <c r="C10257">
        <v>0.12</v>
      </c>
      <c r="D10257" t="s">
        <v>13667</v>
      </c>
      <c r="E10257" t="s">
        <v>11</v>
      </c>
      <c r="F10257" t="s">
        <v>1209</v>
      </c>
      <c r="G10257" t="s">
        <v>2178</v>
      </c>
      <c r="H10257" t="s">
        <v>432</v>
      </c>
    </row>
    <row r="10258" spans="1:10" hidden="1" x14ac:dyDescent="0.25">
      <c r="A10258" t="s">
        <v>13681</v>
      </c>
      <c r="B10258" s="1" t="str">
        <f>HYPERLINK("https://asmlis.vasa.lt/Dashboard/Served?ServiceDateFrom=2025-11-24&amp;ServiceDateTo=2025-11-24&amp;DumpsterInvNr=13-S-209234", "13-S-209234")</f>
        <v>13-S-209234</v>
      </c>
      <c r="C10258">
        <v>0.12</v>
      </c>
      <c r="D10258" t="s">
        <v>13657</v>
      </c>
      <c r="E10258" t="s">
        <v>11</v>
      </c>
      <c r="G10258" t="s">
        <v>234</v>
      </c>
      <c r="H10258" t="s">
        <v>14</v>
      </c>
    </row>
    <row r="10259" spans="1:10" hidden="1" x14ac:dyDescent="0.25">
      <c r="A10259" t="s">
        <v>13682</v>
      </c>
      <c r="B10259" s="1" t="str">
        <f>HYPERLINK("https://asmlis.vasa.lt/Dashboard/Served?ServiceDateFrom=2025-11-24&amp;ServiceDateTo=2025-11-24&amp;DumpsterInvNr=13-L-102162", "13-L-102162")</f>
        <v>13-L-102162</v>
      </c>
      <c r="C10259">
        <v>1.1000000000000001</v>
      </c>
      <c r="D10259" t="s">
        <v>13665</v>
      </c>
      <c r="E10259" t="s">
        <v>11</v>
      </c>
      <c r="G10259" t="s">
        <v>1912</v>
      </c>
      <c r="H10259" t="s">
        <v>432</v>
      </c>
    </row>
    <row r="10260" spans="1:10" hidden="1" x14ac:dyDescent="0.25">
      <c r="A10260" t="s">
        <v>13685</v>
      </c>
      <c r="B10260" s="1" t="str">
        <f>HYPERLINK("https://asmlis.vasa.lt/Dashboard/Served?ServiceDateFrom=2025-11-24&amp;ServiceDateTo=2025-11-24&amp;DumpsterInvNr=13-L-216271", "13-L-216271")</f>
        <v>13-L-216271</v>
      </c>
      <c r="C10260">
        <v>1.1000000000000001</v>
      </c>
      <c r="D10260" t="s">
        <v>13246</v>
      </c>
      <c r="E10260" t="s">
        <v>11</v>
      </c>
      <c r="F10260" t="s">
        <v>13</v>
      </c>
      <c r="G10260" t="s">
        <v>936</v>
      </c>
      <c r="H10260" t="s">
        <v>938</v>
      </c>
    </row>
    <row r="10261" spans="1:10" hidden="1" x14ac:dyDescent="0.25">
      <c r="A10261" t="s">
        <v>13686</v>
      </c>
      <c r="B10261" s="1" t="str">
        <f>HYPERLINK("https://asmlis.vasa.lt/Dashboard/Served?ServiceDateFrom=2025-11-24&amp;ServiceDateTo=2025-11-24&amp;DumpsterInvNr=13-P-404034", "13-P-404034")</f>
        <v>13-P-404034</v>
      </c>
      <c r="C10261">
        <v>0.24</v>
      </c>
      <c r="D10261" t="s">
        <v>13687</v>
      </c>
      <c r="E10261" t="s">
        <v>11</v>
      </c>
      <c r="G10261" t="s">
        <v>264</v>
      </c>
      <c r="H10261" t="s">
        <v>14</v>
      </c>
    </row>
    <row r="10262" spans="1:10" hidden="1" x14ac:dyDescent="0.25">
      <c r="A10262" t="s">
        <v>13688</v>
      </c>
      <c r="B10262" s="1" t="str">
        <f>HYPERLINK("https://asmlis.vasa.lt/Dashboard/Served?ServiceDateFrom=2025-11-24&amp;ServiceDateTo=2025-11-24&amp;DumpsterInvNr=13-P-209053", "13-P-209053")</f>
        <v>13-P-209053</v>
      </c>
      <c r="C10262">
        <v>0.24</v>
      </c>
      <c r="D10262" t="s">
        <v>13689</v>
      </c>
      <c r="E10262" t="s">
        <v>11</v>
      </c>
      <c r="G10262" t="s">
        <v>234</v>
      </c>
      <c r="H10262" t="s">
        <v>14</v>
      </c>
    </row>
    <row r="10263" spans="1:10" hidden="1" x14ac:dyDescent="0.25">
      <c r="A10263" t="s">
        <v>13688</v>
      </c>
      <c r="B10263" s="1" t="str">
        <f>HYPERLINK("https://asmlis.vasa.lt/Dashboard/Served?ServiceDateFrom=2025-11-24&amp;ServiceDateTo=2025-11-24&amp;DumpsterInvNr=13-S-209192", "13-S-209192")</f>
        <v>13-S-209192</v>
      </c>
      <c r="C10263">
        <v>0.12</v>
      </c>
      <c r="D10263" t="s">
        <v>13689</v>
      </c>
      <c r="E10263" t="s">
        <v>11</v>
      </c>
      <c r="G10263" t="s">
        <v>234</v>
      </c>
      <c r="H10263" t="s">
        <v>14</v>
      </c>
    </row>
    <row r="10264" spans="1:10" hidden="1" x14ac:dyDescent="0.25">
      <c r="A10264" t="s">
        <v>13690</v>
      </c>
      <c r="B10264" s="1" t="str">
        <f>HYPERLINK("https://asmlis.vasa.lt/Dashboard/Served?ServiceDateFrom=2025-11-24&amp;ServiceDateTo=2025-11-24&amp;DumpsterInvNr=13-P-413398", "13-P-413398")</f>
        <v>13-P-413398</v>
      </c>
      <c r="C10264">
        <v>0.24</v>
      </c>
      <c r="D10264" t="s">
        <v>13691</v>
      </c>
      <c r="E10264" t="s">
        <v>11</v>
      </c>
      <c r="F10264" t="s">
        <v>1209</v>
      </c>
      <c r="G10264" t="s">
        <v>264</v>
      </c>
      <c r="H10264" t="s">
        <v>14</v>
      </c>
    </row>
    <row r="10265" spans="1:10" hidden="1" x14ac:dyDescent="0.25">
      <c r="A10265" t="s">
        <v>13692</v>
      </c>
      <c r="B10265" s="1" t="str">
        <f>HYPERLINK("https://asmlis.vasa.lt/Dashboard/Served?ServiceDateFrom=2025-11-24&amp;ServiceDateTo=2025-11-24&amp;DumpsterInvNr=13-L-218970", "13-L-218970")</f>
        <v>13-L-218970</v>
      </c>
      <c r="C10265">
        <v>0.24</v>
      </c>
      <c r="D10265" t="s">
        <v>7713</v>
      </c>
      <c r="E10265" t="s">
        <v>11</v>
      </c>
      <c r="G10265" t="s">
        <v>936</v>
      </c>
      <c r="H10265" t="s">
        <v>938</v>
      </c>
    </row>
    <row r="10266" spans="1:10" hidden="1" x14ac:dyDescent="0.25">
      <c r="A10266" t="s">
        <v>13693</v>
      </c>
      <c r="B10266" s="1" t="str">
        <f>HYPERLINK("https://asmlis.vasa.lt/Dashboard/Served?ServiceDateFrom=2025-11-24&amp;ServiceDateTo=2025-11-24&amp;DumpsterInvNr=13-P-412333", "13-P-412333")</f>
        <v>13-P-412333</v>
      </c>
      <c r="C10266">
        <v>0.24</v>
      </c>
      <c r="D10266" t="s">
        <v>13694</v>
      </c>
      <c r="E10266" t="s">
        <v>11</v>
      </c>
      <c r="G10266" t="s">
        <v>264</v>
      </c>
      <c r="H10266" t="s">
        <v>14</v>
      </c>
    </row>
    <row r="10267" spans="1:10" hidden="1" x14ac:dyDescent="0.25">
      <c r="A10267" t="s">
        <v>13695</v>
      </c>
      <c r="B10267" s="1" t="str">
        <f>HYPERLINK("https://asmlis.vasa.lt/Dashboard/Served?ServiceDateFrom=2025-11-24&amp;ServiceDateTo=2025-11-24&amp;DumpsterInvNr=13-S-209223", "13-S-209223")</f>
        <v>13-S-209223</v>
      </c>
      <c r="C10267">
        <v>0.12</v>
      </c>
      <c r="D10267" t="s">
        <v>13696</v>
      </c>
      <c r="E10267" t="s">
        <v>11</v>
      </c>
      <c r="G10267" t="s">
        <v>234</v>
      </c>
      <c r="H10267" t="s">
        <v>14</v>
      </c>
    </row>
    <row r="10268" spans="1:10" hidden="1" x14ac:dyDescent="0.25">
      <c r="A10268" t="s">
        <v>13697</v>
      </c>
      <c r="B10268" s="1" t="str">
        <f>HYPERLINK("https://asmlis.vasa.lt/Dashboard/Served?ServiceDateFrom=2025-11-24&amp;ServiceDateTo=2025-11-24&amp;DumpsterInvNr=13-L-422012", "13-L-422012")</f>
        <v>13-L-422012</v>
      </c>
      <c r="C10268">
        <v>5</v>
      </c>
      <c r="D10268" t="s">
        <v>13698</v>
      </c>
      <c r="E10268" t="s">
        <v>11</v>
      </c>
      <c r="G10268" t="s">
        <v>74</v>
      </c>
      <c r="H10268" t="s">
        <v>14</v>
      </c>
    </row>
    <row r="10269" spans="1:10" hidden="1" x14ac:dyDescent="0.25">
      <c r="A10269" t="s">
        <v>13699</v>
      </c>
      <c r="B10269" s="1" t="str">
        <f>HYPERLINK("https://asmlis.vasa.lt/Dashboard/Served?ServiceDateFrom=2025-11-24&amp;ServiceDateTo=2025-11-24&amp;DumpsterInvNr=13-P-209079", "13-P-209079")</f>
        <v>13-P-209079</v>
      </c>
      <c r="C10269">
        <v>0.24</v>
      </c>
      <c r="D10269" t="s">
        <v>13696</v>
      </c>
      <c r="E10269" t="s">
        <v>11</v>
      </c>
      <c r="G10269" t="s">
        <v>234</v>
      </c>
      <c r="H10269" t="s">
        <v>14</v>
      </c>
    </row>
    <row r="10270" spans="1:10" hidden="1" x14ac:dyDescent="0.25">
      <c r="A10270" t="s">
        <v>13701</v>
      </c>
      <c r="B10270" s="1" t="str">
        <f>HYPERLINK("https://asmlis.vasa.lt/Dashboard/Served?ServiceDateFrom=2025-11-24&amp;ServiceDateTo=2025-11-24&amp;DumpsterInvNr=13-L-108898", "13-L-108898")</f>
        <v>13-L-108898</v>
      </c>
      <c r="C10270">
        <v>0.77</v>
      </c>
      <c r="D10270" t="s">
        <v>13702</v>
      </c>
      <c r="E10270" t="s">
        <v>11</v>
      </c>
      <c r="G10270" t="s">
        <v>430</v>
      </c>
      <c r="H10270" t="s">
        <v>432</v>
      </c>
    </row>
    <row r="10271" spans="1:10" x14ac:dyDescent="0.25">
      <c r="A10271" t="s">
        <v>13703</v>
      </c>
      <c r="B10271" s="1" t="str">
        <f>HYPERLINK("https://asmlis.vasa.lt/Dashboard/Served?ServiceDateFrom=2025-11-24&amp;ServiceDateTo=2025-11-24&amp;DumpsterInvNr=13-L-225254", "13-L-225254")</f>
        <v>13-L-225254</v>
      </c>
      <c r="C10271">
        <v>1.1000000000000001</v>
      </c>
      <c r="D10271" t="s">
        <v>13246</v>
      </c>
      <c r="E10271" t="s">
        <v>11</v>
      </c>
      <c r="F10271" t="s">
        <v>2491</v>
      </c>
      <c r="G10271" t="s">
        <v>936</v>
      </c>
      <c r="H10271" t="s">
        <v>938</v>
      </c>
      <c r="J10271" t="s">
        <v>17511</v>
      </c>
    </row>
    <row r="10272" spans="1:10" hidden="1" x14ac:dyDescent="0.25">
      <c r="A10272" t="s">
        <v>13703</v>
      </c>
      <c r="B10272" s="1" t="str">
        <f>HYPERLINK("https://asmlis.vasa.lt/Dashboard/Served?ServiceDateFrom=2025-11-24&amp;ServiceDateTo=2025-11-24&amp;DumpsterInvNr=13-L-425322", "13-L-425322")</f>
        <v>13-L-425322</v>
      </c>
      <c r="C10272">
        <v>1.1000000000000001</v>
      </c>
      <c r="D10272" t="s">
        <v>13601</v>
      </c>
      <c r="E10272" t="s">
        <v>11</v>
      </c>
      <c r="G10272" t="s">
        <v>74</v>
      </c>
      <c r="H10272" t="s">
        <v>14</v>
      </c>
    </row>
    <row r="10273" spans="1:8" hidden="1" x14ac:dyDescent="0.25">
      <c r="A10273" t="s">
        <v>13705</v>
      </c>
      <c r="B10273" s="1" t="str">
        <f>HYPERLINK("https://asmlis.vasa.lt/Dashboard/Served?ServiceDateFrom=2025-11-24&amp;ServiceDateTo=2025-11-24&amp;DumpsterInvNr=13-P-209276", "13-P-209276")</f>
        <v>13-P-209276</v>
      </c>
      <c r="C10273">
        <v>0.24</v>
      </c>
      <c r="D10273" t="s">
        <v>13706</v>
      </c>
      <c r="E10273" t="s">
        <v>11</v>
      </c>
      <c r="F10273" t="s">
        <v>1209</v>
      </c>
      <c r="G10273" t="s">
        <v>234</v>
      </c>
      <c r="H10273" t="s">
        <v>14</v>
      </c>
    </row>
    <row r="10274" spans="1:8" hidden="1" x14ac:dyDescent="0.25">
      <c r="A10274" t="s">
        <v>13707</v>
      </c>
      <c r="B10274" s="1" t="str">
        <f>HYPERLINK("https://asmlis.vasa.lt/Dashboard/Served?ServiceDateFrom=2025-11-24&amp;ServiceDateTo=2025-11-24&amp;DumpsterInvNr=13-P-209152", "13-P-209152")</f>
        <v>13-P-209152</v>
      </c>
      <c r="C10274">
        <v>0.24</v>
      </c>
      <c r="D10274" t="s">
        <v>13708</v>
      </c>
      <c r="E10274" t="s">
        <v>11</v>
      </c>
      <c r="F10274" t="s">
        <v>1209</v>
      </c>
      <c r="G10274" t="s">
        <v>234</v>
      </c>
      <c r="H10274" t="s">
        <v>14</v>
      </c>
    </row>
    <row r="10275" spans="1:8" hidden="1" x14ac:dyDescent="0.25">
      <c r="A10275" t="s">
        <v>13709</v>
      </c>
      <c r="B10275" s="1" t="str">
        <f>HYPERLINK("https://asmlis.vasa.lt/Dashboard/Served?ServiceDateFrom=2025-11-24&amp;ServiceDateTo=2025-11-24&amp;DumpsterInvNr=13-L-139334", "13-L-139334")</f>
        <v>13-L-139334</v>
      </c>
      <c r="C10275">
        <v>5</v>
      </c>
      <c r="D10275" t="s">
        <v>13710</v>
      </c>
      <c r="E10275" t="s">
        <v>11</v>
      </c>
      <c r="F10275" t="s">
        <v>13</v>
      </c>
      <c r="G10275" t="s">
        <v>1912</v>
      </c>
      <c r="H10275" t="s">
        <v>432</v>
      </c>
    </row>
    <row r="10276" spans="1:8" hidden="1" x14ac:dyDescent="0.25">
      <c r="A10276" t="s">
        <v>13709</v>
      </c>
      <c r="B10276" s="1" t="str">
        <f>HYPERLINK("https://asmlis.vasa.lt/Dashboard/Served?ServiceDateFrom=2025-11-24&amp;ServiceDateTo=2025-11-24&amp;DumpsterInvNr=13-L-412801", "13-L-412801")</f>
        <v>13-L-412801</v>
      </c>
      <c r="C10276">
        <v>0.24</v>
      </c>
      <c r="D10276" t="s">
        <v>8857</v>
      </c>
      <c r="E10276" t="s">
        <v>11</v>
      </c>
      <c r="F10276" t="s">
        <v>1209</v>
      </c>
      <c r="G10276" t="s">
        <v>74</v>
      </c>
      <c r="H10276" t="s">
        <v>14</v>
      </c>
    </row>
    <row r="10277" spans="1:8" hidden="1" x14ac:dyDescent="0.25">
      <c r="A10277" t="s">
        <v>13711</v>
      </c>
      <c r="B10277" s="1" t="str">
        <f>HYPERLINK("https://asmlis.vasa.lt/Dashboard/Served?ServiceDateFrom=2025-11-24&amp;ServiceDateTo=2025-11-24&amp;DumpsterInvNr=13-P-403661", "13-P-403661")</f>
        <v>13-P-403661</v>
      </c>
      <c r="C10277">
        <v>0.24</v>
      </c>
      <c r="D10277" t="s">
        <v>13712</v>
      </c>
      <c r="E10277" t="s">
        <v>11</v>
      </c>
      <c r="G10277" t="s">
        <v>264</v>
      </c>
      <c r="H10277" t="s">
        <v>14</v>
      </c>
    </row>
    <row r="10278" spans="1:8" hidden="1" x14ac:dyDescent="0.25">
      <c r="A10278" t="s">
        <v>13713</v>
      </c>
      <c r="B10278" s="1" t="str">
        <f>HYPERLINK("https://asmlis.vasa.lt/Dashboard/Served?ServiceDateFrom=2025-11-24&amp;ServiceDateTo=2025-11-24&amp;DumpsterInvNr=13-L-316451", "13-L-316451")</f>
        <v>13-L-316451</v>
      </c>
      <c r="C10278">
        <v>0.77</v>
      </c>
      <c r="D10278" t="s">
        <v>13714</v>
      </c>
      <c r="E10278" t="s">
        <v>11</v>
      </c>
      <c r="G10278" t="s">
        <v>9</v>
      </c>
      <c r="H10278" t="s">
        <v>14</v>
      </c>
    </row>
    <row r="10279" spans="1:8" hidden="1" x14ac:dyDescent="0.25">
      <c r="A10279" t="s">
        <v>13704</v>
      </c>
      <c r="B10279" s="1" t="str">
        <f>HYPERLINK("https://asmlis.vasa.lt/Dashboard/Served?ServiceDateFrom=2025-11-24&amp;ServiceDateTo=2025-11-24&amp;DumpsterInvNr=13-L-424038", "13-L-424038")</f>
        <v>13-L-424038</v>
      </c>
      <c r="C10279">
        <v>0.77</v>
      </c>
      <c r="D10279" t="s">
        <v>13715</v>
      </c>
      <c r="E10279" t="s">
        <v>11</v>
      </c>
      <c r="G10279" t="s">
        <v>74</v>
      </c>
      <c r="H10279" t="s">
        <v>14</v>
      </c>
    </row>
    <row r="10280" spans="1:8" hidden="1" x14ac:dyDescent="0.25">
      <c r="A10280" t="s">
        <v>13716</v>
      </c>
      <c r="B10280" s="1" t="str">
        <f>HYPERLINK("https://asmlis.vasa.lt/Dashboard/Served?ServiceDateFrom=2025-11-24&amp;ServiceDateTo=2025-11-24&amp;DumpsterInvNr=13-P-400610", "13-P-400610")</f>
        <v>13-P-400610</v>
      </c>
      <c r="C10280">
        <v>5</v>
      </c>
      <c r="D10280" t="s">
        <v>2434</v>
      </c>
      <c r="E10280" t="s">
        <v>11</v>
      </c>
      <c r="G10280" t="s">
        <v>264</v>
      </c>
      <c r="H10280" t="s">
        <v>14</v>
      </c>
    </row>
    <row r="10281" spans="1:8" hidden="1" x14ac:dyDescent="0.25">
      <c r="A10281" t="s">
        <v>13717</v>
      </c>
      <c r="B10281" s="1" t="str">
        <f>HYPERLINK("https://asmlis.vasa.lt/Dashboard/Served?ServiceDateFrom=2025-11-24&amp;ServiceDateTo=2025-11-24&amp;DumpsterInvNr=13-L-421563", "13-L-421563")</f>
        <v>13-L-421563</v>
      </c>
      <c r="C10281">
        <v>5</v>
      </c>
      <c r="D10281" t="s">
        <v>13718</v>
      </c>
      <c r="E10281" t="s">
        <v>11</v>
      </c>
      <c r="F10281" t="s">
        <v>13</v>
      </c>
      <c r="G10281" t="s">
        <v>74</v>
      </c>
      <c r="H10281" t="s">
        <v>14</v>
      </c>
    </row>
    <row r="10282" spans="1:8" hidden="1" x14ac:dyDescent="0.25">
      <c r="A10282" t="s">
        <v>13719</v>
      </c>
      <c r="B10282" s="1" t="str">
        <f>HYPERLINK("https://asmlis.vasa.lt/Dashboard/Served?ServiceDateFrom=2025-11-24&amp;ServiceDateTo=2025-11-24&amp;DumpsterInvNr=13-P-115241", "13-P-115241")</f>
        <v>13-P-115241</v>
      </c>
      <c r="C10282">
        <v>1.1000000000000001</v>
      </c>
      <c r="D10282" t="s">
        <v>13720</v>
      </c>
      <c r="E10282" t="s">
        <v>11</v>
      </c>
      <c r="G10282" t="s">
        <v>1917</v>
      </c>
      <c r="H10282" t="s">
        <v>432</v>
      </c>
    </row>
    <row r="10283" spans="1:8" hidden="1" x14ac:dyDescent="0.25">
      <c r="A10283" t="s">
        <v>13722</v>
      </c>
      <c r="B10283" s="1" t="str">
        <f>HYPERLINK("https://asmlis.vasa.lt/Dashboard/Served?ServiceDateFrom=2025-11-24&amp;ServiceDateTo=2025-11-24&amp;DumpsterInvNr=13-L-424360", "13-L-424360")</f>
        <v>13-L-424360</v>
      </c>
      <c r="C10283">
        <v>1.1000000000000001</v>
      </c>
      <c r="D10283" t="s">
        <v>13601</v>
      </c>
      <c r="E10283" t="s">
        <v>11</v>
      </c>
      <c r="G10283" t="s">
        <v>74</v>
      </c>
      <c r="H10283" t="s">
        <v>14</v>
      </c>
    </row>
    <row r="10284" spans="1:8" hidden="1" x14ac:dyDescent="0.25">
      <c r="A10284" t="s">
        <v>13723</v>
      </c>
      <c r="B10284" s="1" t="str">
        <f>HYPERLINK("https://asmlis.vasa.lt/Dashboard/Served?ServiceDateFrom=2025-11-24&amp;ServiceDateTo=2025-11-24&amp;DumpsterInvNr=13-L-144524", "13-L-144524")</f>
        <v>13-L-144524</v>
      </c>
      <c r="C10284">
        <v>5</v>
      </c>
      <c r="D10284" t="s">
        <v>5835</v>
      </c>
      <c r="E10284" t="s">
        <v>11</v>
      </c>
      <c r="F10284" t="s">
        <v>13</v>
      </c>
      <c r="G10284" t="s">
        <v>430</v>
      </c>
      <c r="H10284" t="s">
        <v>432</v>
      </c>
    </row>
    <row r="10285" spans="1:8" hidden="1" x14ac:dyDescent="0.25">
      <c r="A10285" t="s">
        <v>13724</v>
      </c>
      <c r="B10285" s="1" t="str">
        <f>HYPERLINK("https://asmlis.vasa.lt/Dashboard/Served?ServiceDateFrom=2025-11-24&amp;ServiceDateTo=2025-11-24&amp;DumpsterInvNr=13-L-139352", "13-L-139352")</f>
        <v>13-L-139352</v>
      </c>
      <c r="C10285">
        <v>1.1000000000000001</v>
      </c>
      <c r="D10285" t="s">
        <v>13725</v>
      </c>
      <c r="E10285" t="s">
        <v>11</v>
      </c>
      <c r="G10285" t="s">
        <v>430</v>
      </c>
      <c r="H10285" t="s">
        <v>432</v>
      </c>
    </row>
    <row r="10286" spans="1:8" hidden="1" x14ac:dyDescent="0.25">
      <c r="A10286" t="s">
        <v>13726</v>
      </c>
      <c r="B10286" s="1" t="str">
        <f>HYPERLINK("https://asmlis.vasa.lt/Dashboard/Served?ServiceDateFrom=2025-11-24&amp;ServiceDateTo=2025-11-24&amp;DumpsterInvNr=13-P-500656", "13-P-500656")</f>
        <v>13-P-500656</v>
      </c>
      <c r="C10286">
        <v>5</v>
      </c>
      <c r="D10286" t="s">
        <v>11651</v>
      </c>
      <c r="E10286" t="s">
        <v>11</v>
      </c>
      <c r="F10286" t="s">
        <v>13</v>
      </c>
      <c r="G10286" t="s">
        <v>2178</v>
      </c>
      <c r="H10286" t="s">
        <v>432</v>
      </c>
    </row>
    <row r="10287" spans="1:8" hidden="1" x14ac:dyDescent="0.25">
      <c r="A10287" t="s">
        <v>13727</v>
      </c>
      <c r="B10287" s="1" t="str">
        <f>HYPERLINK("https://asmlis.vasa.lt/Dashboard/Served?ServiceDateFrom=2025-11-24&amp;ServiceDateTo=2025-11-24&amp;DumpsterInvNr=13-L-418512", "13-L-418512")</f>
        <v>13-L-418512</v>
      </c>
      <c r="C10287">
        <v>0.24</v>
      </c>
      <c r="D10287" t="s">
        <v>8893</v>
      </c>
      <c r="E10287" t="s">
        <v>11</v>
      </c>
      <c r="G10287" t="s">
        <v>74</v>
      </c>
      <c r="H10287" t="s">
        <v>14</v>
      </c>
    </row>
    <row r="10288" spans="1:8" hidden="1" x14ac:dyDescent="0.25">
      <c r="A10288" t="s">
        <v>13727</v>
      </c>
      <c r="B10288" s="1" t="str">
        <f>HYPERLINK("https://asmlis.vasa.lt/Dashboard/Served?ServiceDateFrom=2025-11-24&amp;ServiceDateTo=2025-11-24&amp;DumpsterInvNr=13-L-412526", "13-L-412526")</f>
        <v>13-L-412526</v>
      </c>
      <c r="C10288">
        <v>0.24</v>
      </c>
      <c r="D10288" t="s">
        <v>8893</v>
      </c>
      <c r="E10288" t="s">
        <v>11</v>
      </c>
      <c r="G10288" t="s">
        <v>74</v>
      </c>
      <c r="H10288" t="s">
        <v>14</v>
      </c>
    </row>
    <row r="10289" spans="1:8" hidden="1" x14ac:dyDescent="0.25">
      <c r="A10289" t="s">
        <v>13728</v>
      </c>
      <c r="B10289" s="1" t="str">
        <f>HYPERLINK("https://asmlis.vasa.lt/Dashboard/Served?ServiceDateFrom=2025-11-24&amp;ServiceDateTo=2025-11-24&amp;DumpsterInvNr=13-P-306940", "13-P-306940")</f>
        <v>13-P-306940</v>
      </c>
      <c r="C10289">
        <v>5</v>
      </c>
      <c r="D10289" t="s">
        <v>4309</v>
      </c>
      <c r="E10289" t="s">
        <v>11</v>
      </c>
      <c r="G10289" t="s">
        <v>412</v>
      </c>
      <c r="H10289" t="s">
        <v>14</v>
      </c>
    </row>
    <row r="10290" spans="1:8" hidden="1" x14ac:dyDescent="0.25">
      <c r="A10290" t="s">
        <v>13729</v>
      </c>
      <c r="B10290" s="1" t="str">
        <f>HYPERLINK("https://asmlis.vasa.lt/Dashboard/Served?ServiceDateFrom=2025-11-24&amp;ServiceDateTo=2025-11-24&amp;DumpsterInvNr=13-L-119876", "13-L-119876")</f>
        <v>13-L-119876</v>
      </c>
      <c r="C10290">
        <v>0.24</v>
      </c>
      <c r="D10290" t="s">
        <v>3744</v>
      </c>
      <c r="E10290" t="s">
        <v>11</v>
      </c>
      <c r="G10290" t="s">
        <v>430</v>
      </c>
      <c r="H10290" t="s">
        <v>432</v>
      </c>
    </row>
    <row r="10291" spans="1:8" hidden="1" x14ac:dyDescent="0.25">
      <c r="A10291" t="s">
        <v>13730</v>
      </c>
      <c r="B10291" s="1" t="str">
        <f>HYPERLINK("https://asmlis.vasa.lt/Dashboard/Served?ServiceDateFrom=2025-11-24&amp;ServiceDateTo=2025-11-24&amp;DumpsterInvNr=13-P-503047", "13-P-503047")</f>
        <v>13-P-503047</v>
      </c>
      <c r="C10291">
        <v>0.24</v>
      </c>
      <c r="D10291" t="s">
        <v>3744</v>
      </c>
      <c r="E10291" t="s">
        <v>11</v>
      </c>
      <c r="G10291" t="s">
        <v>2178</v>
      </c>
      <c r="H10291" t="s">
        <v>432</v>
      </c>
    </row>
    <row r="10292" spans="1:8" hidden="1" x14ac:dyDescent="0.25">
      <c r="A10292" t="s">
        <v>13731</v>
      </c>
      <c r="B10292" s="1" t="str">
        <f>HYPERLINK("https://asmlis.vasa.lt/Dashboard/Served?ServiceDateFrom=2025-11-24&amp;ServiceDateTo=2025-11-24&amp;DumpsterInvNr=13-P-414456", "13-P-414456")</f>
        <v>13-P-414456</v>
      </c>
      <c r="C10292">
        <v>0.24</v>
      </c>
      <c r="D10292" t="s">
        <v>13732</v>
      </c>
      <c r="E10292" t="s">
        <v>11</v>
      </c>
      <c r="F10292" t="s">
        <v>1209</v>
      </c>
      <c r="G10292" t="s">
        <v>264</v>
      </c>
      <c r="H10292" t="s">
        <v>14</v>
      </c>
    </row>
    <row r="10293" spans="1:8" hidden="1" x14ac:dyDescent="0.25">
      <c r="A10293" t="s">
        <v>13733</v>
      </c>
      <c r="B10293" s="1" t="str">
        <f>HYPERLINK("https://asmlis.vasa.lt/Dashboard/Served?ServiceDateFrom=2025-11-24&amp;ServiceDateTo=2025-11-24&amp;DumpsterInvNr=13-S-503758", "13-S-503758")</f>
        <v>13-S-503758</v>
      </c>
      <c r="C10293">
        <v>0.12</v>
      </c>
      <c r="D10293" t="s">
        <v>3744</v>
      </c>
      <c r="E10293" t="s">
        <v>11</v>
      </c>
      <c r="G10293" t="s">
        <v>2178</v>
      </c>
      <c r="H10293" t="s">
        <v>432</v>
      </c>
    </row>
    <row r="10294" spans="1:8" hidden="1" x14ac:dyDescent="0.25">
      <c r="A10294" t="s">
        <v>13734</v>
      </c>
      <c r="B10294" s="1" t="str">
        <f>HYPERLINK("https://asmlis.vasa.lt/Dashboard/Served?ServiceDateFrom=2025-11-24&amp;ServiceDateTo=2025-11-24&amp;DumpsterInvNr=13-P-209115", "13-P-209115")</f>
        <v>13-P-209115</v>
      </c>
      <c r="C10294">
        <v>0.24</v>
      </c>
      <c r="D10294" t="s">
        <v>13735</v>
      </c>
      <c r="E10294" t="s">
        <v>11</v>
      </c>
      <c r="G10294" t="s">
        <v>234</v>
      </c>
      <c r="H10294" t="s">
        <v>14</v>
      </c>
    </row>
    <row r="10295" spans="1:8" hidden="1" x14ac:dyDescent="0.25">
      <c r="A10295" t="s">
        <v>13734</v>
      </c>
      <c r="B10295" s="1" t="str">
        <f>HYPERLINK("https://asmlis.vasa.lt/Dashboard/Served?ServiceDateFrom=2025-11-24&amp;ServiceDateTo=2025-11-24&amp;DumpsterInvNr=13-S-209265", "13-S-209265")</f>
        <v>13-S-209265</v>
      </c>
      <c r="C10295">
        <v>0.12</v>
      </c>
      <c r="D10295" t="s">
        <v>13735</v>
      </c>
      <c r="E10295" t="s">
        <v>11</v>
      </c>
      <c r="G10295" t="s">
        <v>234</v>
      </c>
      <c r="H10295" t="s">
        <v>14</v>
      </c>
    </row>
    <row r="10296" spans="1:8" hidden="1" x14ac:dyDescent="0.25">
      <c r="A10296" t="s">
        <v>13736</v>
      </c>
      <c r="B10296" s="1" t="str">
        <f>HYPERLINK("https://asmlis.vasa.lt/Dashboard/Served?ServiceDateFrom=2025-11-24&amp;ServiceDateTo=2025-11-24&amp;DumpsterInvNr=13-S-203161", "13-S-203161")</f>
        <v>13-S-203161</v>
      </c>
      <c r="C10296">
        <v>0.12</v>
      </c>
      <c r="D10296" t="s">
        <v>13098</v>
      </c>
      <c r="E10296" t="s">
        <v>11</v>
      </c>
      <c r="G10296" t="s">
        <v>234</v>
      </c>
      <c r="H10296" t="s">
        <v>14</v>
      </c>
    </row>
    <row r="10297" spans="1:8" hidden="1" x14ac:dyDescent="0.25">
      <c r="A10297" t="s">
        <v>13737</v>
      </c>
      <c r="B10297" s="1" t="str">
        <f>HYPERLINK("https://asmlis.vasa.lt/Dashboard/Served?ServiceDateFrom=2025-11-24&amp;ServiceDateTo=2025-11-24&amp;DumpsterInvNr=13-L-424362", "13-L-424362")</f>
        <v>13-L-424362</v>
      </c>
      <c r="C10297">
        <v>1.1000000000000001</v>
      </c>
      <c r="D10297" t="s">
        <v>13601</v>
      </c>
      <c r="E10297" t="s">
        <v>11</v>
      </c>
      <c r="G10297" t="s">
        <v>74</v>
      </c>
      <c r="H10297" t="s">
        <v>14</v>
      </c>
    </row>
    <row r="10298" spans="1:8" hidden="1" x14ac:dyDescent="0.25">
      <c r="A10298" t="s">
        <v>13738</v>
      </c>
      <c r="B10298" s="1" t="str">
        <f>HYPERLINK("https://asmlis.vasa.lt/Dashboard/Served?ServiceDateFrom=2025-11-24&amp;ServiceDateTo=2025-11-24&amp;DumpsterInvNr=13-L-424478", "13-L-424478")</f>
        <v>13-L-424478</v>
      </c>
      <c r="C10298">
        <v>0.12</v>
      </c>
      <c r="D10298" t="s">
        <v>8912</v>
      </c>
      <c r="E10298" t="s">
        <v>11</v>
      </c>
      <c r="G10298" t="s">
        <v>74</v>
      </c>
      <c r="H10298" t="s">
        <v>14</v>
      </c>
    </row>
    <row r="10299" spans="1:8" hidden="1" x14ac:dyDescent="0.25">
      <c r="A10299" t="s">
        <v>13739</v>
      </c>
      <c r="B10299" s="1" t="str">
        <f>HYPERLINK("https://asmlis.vasa.lt/Dashboard/Served?ServiceDateFrom=2025-11-24&amp;ServiceDateTo=2025-11-24&amp;DumpsterInvNr=13-P-500622", "13-P-500622")</f>
        <v>13-P-500622</v>
      </c>
      <c r="C10299">
        <v>5</v>
      </c>
      <c r="D10299" t="s">
        <v>13740</v>
      </c>
      <c r="E10299" t="s">
        <v>11</v>
      </c>
      <c r="F10299" t="s">
        <v>13</v>
      </c>
      <c r="G10299" t="s">
        <v>2178</v>
      </c>
      <c r="H10299" t="s">
        <v>432</v>
      </c>
    </row>
    <row r="10300" spans="1:8" hidden="1" x14ac:dyDescent="0.25">
      <c r="A10300" t="s">
        <v>13741</v>
      </c>
      <c r="B10300" s="1" t="str">
        <f>HYPERLINK("https://asmlis.vasa.lt/Dashboard/Served?ServiceDateFrom=2025-11-24&amp;ServiceDateTo=2025-11-24&amp;DumpsterInvNr=13-P-205215", "13-P-205215")</f>
        <v>13-P-205215</v>
      </c>
      <c r="C10300">
        <v>0.24</v>
      </c>
      <c r="D10300" t="s">
        <v>13742</v>
      </c>
      <c r="E10300" t="s">
        <v>11</v>
      </c>
      <c r="G10300" t="s">
        <v>234</v>
      </c>
      <c r="H10300" t="s">
        <v>14</v>
      </c>
    </row>
    <row r="10301" spans="1:8" hidden="1" x14ac:dyDescent="0.25">
      <c r="A10301" t="s">
        <v>13741</v>
      </c>
      <c r="B10301" s="1" t="str">
        <f>HYPERLINK("https://asmlis.vasa.lt/Dashboard/Served?ServiceDateFrom=2025-11-24&amp;ServiceDateTo=2025-11-24&amp;DumpsterInvNr=13-S-205768", "13-S-205768")</f>
        <v>13-S-205768</v>
      </c>
      <c r="C10301">
        <v>0.12</v>
      </c>
      <c r="D10301" t="s">
        <v>13742</v>
      </c>
      <c r="E10301" t="s">
        <v>11</v>
      </c>
      <c r="G10301" t="s">
        <v>234</v>
      </c>
      <c r="H10301" t="s">
        <v>14</v>
      </c>
    </row>
    <row r="10302" spans="1:8" hidden="1" x14ac:dyDescent="0.25">
      <c r="A10302" t="s">
        <v>13743</v>
      </c>
      <c r="B10302" s="1" t="str">
        <f>HYPERLINK("https://asmlis.vasa.lt/Dashboard/Served?ServiceDateFrom=2025-11-24&amp;ServiceDateTo=2025-11-24&amp;DumpsterInvNr=13-P-210317", "13-P-210317")</f>
        <v>13-P-210317</v>
      </c>
      <c r="C10302">
        <v>0.24</v>
      </c>
      <c r="D10302" t="s">
        <v>13098</v>
      </c>
      <c r="E10302" t="s">
        <v>11</v>
      </c>
      <c r="G10302" t="s">
        <v>234</v>
      </c>
      <c r="H10302" t="s">
        <v>14</v>
      </c>
    </row>
    <row r="10303" spans="1:8" hidden="1" x14ac:dyDescent="0.25">
      <c r="A10303" t="s">
        <v>13744</v>
      </c>
      <c r="B10303" s="1" t="str">
        <f>HYPERLINK("https://asmlis.vasa.lt/Dashboard/Served?ServiceDateFrom=2025-11-24&amp;ServiceDateTo=2025-11-24&amp;DumpsterInvNr=13-L-315704", "13-L-315704")</f>
        <v>13-L-315704</v>
      </c>
      <c r="C10303">
        <v>5</v>
      </c>
      <c r="D10303" t="s">
        <v>13746</v>
      </c>
      <c r="E10303" t="s">
        <v>11</v>
      </c>
      <c r="F10303" t="s">
        <v>13</v>
      </c>
      <c r="G10303" t="s">
        <v>9</v>
      </c>
      <c r="H10303" t="s">
        <v>14</v>
      </c>
    </row>
    <row r="10304" spans="1:8" hidden="1" x14ac:dyDescent="0.25">
      <c r="A10304" t="s">
        <v>13747</v>
      </c>
      <c r="B10304" s="1" t="str">
        <f>HYPERLINK("https://asmlis.vasa.lt/Dashboard/Served?ServiceDateFrom=2025-11-24&amp;ServiceDateTo=2025-11-24&amp;DumpsterInvNr=13-L-426766", "13-L-426766")</f>
        <v>13-L-426766</v>
      </c>
      <c r="C10304">
        <v>1.1000000000000001</v>
      </c>
      <c r="D10304" t="s">
        <v>13601</v>
      </c>
      <c r="E10304" t="s">
        <v>11</v>
      </c>
      <c r="G10304" t="s">
        <v>74</v>
      </c>
      <c r="H10304" t="s">
        <v>14</v>
      </c>
    </row>
    <row r="10305" spans="1:8" hidden="1" x14ac:dyDescent="0.25">
      <c r="A10305" t="s">
        <v>13748</v>
      </c>
      <c r="B10305" s="1" t="str">
        <f>HYPERLINK("https://asmlis.vasa.lt/Dashboard/Served?ServiceDateFrom=2025-11-24&amp;ServiceDateTo=2025-11-24&amp;DumpsterInvNr=13-L-104246", "13-L-104246")</f>
        <v>13-L-104246</v>
      </c>
      <c r="C10305">
        <v>5</v>
      </c>
      <c r="D10305" t="s">
        <v>13749</v>
      </c>
      <c r="E10305" t="s">
        <v>11</v>
      </c>
      <c r="F10305" t="s">
        <v>13</v>
      </c>
      <c r="G10305" t="s">
        <v>430</v>
      </c>
      <c r="H10305" t="s">
        <v>432</v>
      </c>
    </row>
    <row r="10306" spans="1:8" hidden="1" x14ac:dyDescent="0.25">
      <c r="A10306" t="s">
        <v>13751</v>
      </c>
      <c r="B10306" s="1" t="str">
        <f>HYPERLINK("https://asmlis.vasa.lt/Dashboard/Served?ServiceDateFrom=2025-11-24&amp;ServiceDateTo=2025-11-24&amp;DumpsterInvNr=13-P-404035", "13-P-404035")</f>
        <v>13-P-404035</v>
      </c>
      <c r="C10306">
        <v>0.24</v>
      </c>
      <c r="D10306" t="s">
        <v>13752</v>
      </c>
      <c r="E10306" t="s">
        <v>11</v>
      </c>
      <c r="G10306" t="s">
        <v>264</v>
      </c>
      <c r="H10306" t="s">
        <v>14</v>
      </c>
    </row>
    <row r="10307" spans="1:8" hidden="1" x14ac:dyDescent="0.25">
      <c r="A10307" t="s">
        <v>13753</v>
      </c>
      <c r="B10307" s="1" t="str">
        <f>HYPERLINK("https://asmlis.vasa.lt/Dashboard/Served?ServiceDateFrom=2025-11-24&amp;ServiceDateTo=2025-11-24&amp;DumpsterInvNr=13-P-300782", "13-P-300782")</f>
        <v>13-P-300782</v>
      </c>
      <c r="C10307">
        <v>2.5</v>
      </c>
      <c r="D10307" t="s">
        <v>13754</v>
      </c>
      <c r="E10307" t="s">
        <v>11</v>
      </c>
      <c r="G10307" t="s">
        <v>412</v>
      </c>
      <c r="H10307" t="s">
        <v>14</v>
      </c>
    </row>
    <row r="10308" spans="1:8" hidden="1" x14ac:dyDescent="0.25">
      <c r="A10308" t="s">
        <v>13755</v>
      </c>
      <c r="B10308" s="1" t="str">
        <f>HYPERLINK("https://asmlis.vasa.lt/Dashboard/Served?ServiceDateFrom=2025-11-24&amp;ServiceDateTo=2025-11-24&amp;DumpsterInvNr=13-L-140007", "13-L-140007")</f>
        <v>13-L-140007</v>
      </c>
      <c r="C10308">
        <v>0.77</v>
      </c>
      <c r="D10308" t="s">
        <v>13756</v>
      </c>
      <c r="E10308" t="s">
        <v>11</v>
      </c>
      <c r="G10308" t="s">
        <v>430</v>
      </c>
      <c r="H10308" t="s">
        <v>432</v>
      </c>
    </row>
    <row r="10309" spans="1:8" hidden="1" x14ac:dyDescent="0.25">
      <c r="A10309" t="s">
        <v>13757</v>
      </c>
      <c r="B10309" s="1" t="str">
        <f>HYPERLINK("https://asmlis.vasa.lt/Dashboard/Served?ServiceDateFrom=2025-11-24&amp;ServiceDateTo=2025-11-24&amp;DumpsterInvNr=13-L-425799", "13-L-425799")</f>
        <v>13-L-425799</v>
      </c>
      <c r="C10309">
        <v>0.12</v>
      </c>
      <c r="D10309" t="s">
        <v>8940</v>
      </c>
      <c r="E10309" t="s">
        <v>11</v>
      </c>
      <c r="G10309" t="s">
        <v>74</v>
      </c>
      <c r="H10309" t="s">
        <v>14</v>
      </c>
    </row>
    <row r="10310" spans="1:8" hidden="1" x14ac:dyDescent="0.25">
      <c r="A10310" t="s">
        <v>13758</v>
      </c>
      <c r="B10310" s="1" t="str">
        <f>HYPERLINK("https://asmlis.vasa.lt/Dashboard/Served?ServiceDateFrom=2025-11-24&amp;ServiceDateTo=2025-11-24&amp;DumpsterInvNr=13-L-318656", "13-L-318656")</f>
        <v>13-L-318656</v>
      </c>
      <c r="C10310">
        <v>0.77</v>
      </c>
      <c r="D10310" t="s">
        <v>13759</v>
      </c>
      <c r="E10310" t="s">
        <v>11</v>
      </c>
      <c r="G10310" t="s">
        <v>9</v>
      </c>
      <c r="H10310" t="s">
        <v>14</v>
      </c>
    </row>
    <row r="10311" spans="1:8" hidden="1" x14ac:dyDescent="0.25">
      <c r="A10311" t="s">
        <v>13760</v>
      </c>
      <c r="B10311" s="1" t="str">
        <f>HYPERLINK("https://asmlis.vasa.lt/Dashboard/Served?ServiceDateFrom=2025-11-24&amp;ServiceDateTo=2025-11-24&amp;DumpsterInvNr=13-P-403663", "13-P-403663")</f>
        <v>13-P-403663</v>
      </c>
      <c r="C10311">
        <v>0.24</v>
      </c>
      <c r="D10311" t="s">
        <v>13761</v>
      </c>
      <c r="E10311" t="s">
        <v>11</v>
      </c>
      <c r="G10311" t="s">
        <v>264</v>
      </c>
      <c r="H10311" t="s">
        <v>14</v>
      </c>
    </row>
    <row r="10312" spans="1:8" hidden="1" x14ac:dyDescent="0.25">
      <c r="A10312" t="s">
        <v>13762</v>
      </c>
      <c r="B10312" s="1" t="str">
        <f>HYPERLINK("https://asmlis.vasa.lt/Dashboard/Served?ServiceDateFrom=2025-11-24&amp;ServiceDateTo=2025-11-24&amp;DumpsterInvNr=13-L-123348", "13-L-123348")</f>
        <v>13-L-123348</v>
      </c>
      <c r="C10312">
        <v>0.24</v>
      </c>
      <c r="D10312" t="s">
        <v>13763</v>
      </c>
      <c r="E10312" t="s">
        <v>11</v>
      </c>
      <c r="G10312" t="s">
        <v>430</v>
      </c>
      <c r="H10312" t="s">
        <v>432</v>
      </c>
    </row>
    <row r="10313" spans="1:8" hidden="1" x14ac:dyDescent="0.25">
      <c r="A10313" t="s">
        <v>13764</v>
      </c>
      <c r="B10313" s="1" t="str">
        <f>HYPERLINK("https://asmlis.vasa.lt/Dashboard/Served?ServiceDateFrom=2025-11-24&amp;ServiceDateTo=2025-11-24&amp;DumpsterInvNr=13-S-504929", "13-S-504929")</f>
        <v>13-S-504929</v>
      </c>
      <c r="C10313">
        <v>0.12</v>
      </c>
      <c r="D10313" t="s">
        <v>13763</v>
      </c>
      <c r="E10313" t="s">
        <v>11</v>
      </c>
      <c r="G10313" t="s">
        <v>2178</v>
      </c>
      <c r="H10313" t="s">
        <v>432</v>
      </c>
    </row>
    <row r="10314" spans="1:8" hidden="1" x14ac:dyDescent="0.25">
      <c r="A10314" t="s">
        <v>13765</v>
      </c>
      <c r="B10314" s="1" t="str">
        <f>HYPERLINK("https://asmlis.vasa.lt/Dashboard/Served?ServiceDateFrom=2025-11-24&amp;ServiceDateTo=2025-11-24&amp;DumpsterInvNr=13-P-400603", "13-P-400603")</f>
        <v>13-P-400603</v>
      </c>
      <c r="C10314">
        <v>5</v>
      </c>
      <c r="D10314" t="s">
        <v>2326</v>
      </c>
      <c r="E10314" t="s">
        <v>11</v>
      </c>
      <c r="F10314" t="s">
        <v>13</v>
      </c>
      <c r="G10314" t="s">
        <v>264</v>
      </c>
      <c r="H10314" t="s">
        <v>14</v>
      </c>
    </row>
    <row r="10315" spans="1:8" hidden="1" x14ac:dyDescent="0.25">
      <c r="A10315" t="s">
        <v>13766</v>
      </c>
      <c r="B10315" s="1" t="str">
        <f>HYPERLINK("https://asmlis.vasa.lt/Dashboard/Served?ServiceDateFrom=2025-11-24&amp;ServiceDateTo=2025-11-24&amp;DumpsterInvNr=13-L-134272", "13-L-134272")</f>
        <v>13-L-134272</v>
      </c>
      <c r="C10315">
        <v>5</v>
      </c>
      <c r="D10315" t="s">
        <v>13767</v>
      </c>
      <c r="E10315" t="s">
        <v>11</v>
      </c>
      <c r="F10315" t="s">
        <v>13</v>
      </c>
      <c r="G10315" t="s">
        <v>1912</v>
      </c>
      <c r="H10315" t="s">
        <v>432</v>
      </c>
    </row>
    <row r="10316" spans="1:8" hidden="1" x14ac:dyDescent="0.25">
      <c r="A10316" t="s">
        <v>13766</v>
      </c>
      <c r="B10316" s="1" t="str">
        <f>HYPERLINK("https://asmlis.vasa.lt/Dashboard/Served?ServiceDateFrom=2025-11-24&amp;ServiceDateTo=2025-11-24&amp;DumpsterInvNr=13-P-404036", "13-P-404036")</f>
        <v>13-P-404036</v>
      </c>
      <c r="C10316">
        <v>0.24</v>
      </c>
      <c r="D10316" t="s">
        <v>13768</v>
      </c>
      <c r="E10316" t="s">
        <v>11</v>
      </c>
      <c r="G10316" t="s">
        <v>264</v>
      </c>
      <c r="H10316" t="s">
        <v>14</v>
      </c>
    </row>
    <row r="10317" spans="1:8" hidden="1" x14ac:dyDescent="0.25">
      <c r="A10317" t="s">
        <v>13766</v>
      </c>
      <c r="B10317" s="1" t="str">
        <f>HYPERLINK("https://asmlis.vasa.lt/Dashboard/Served?ServiceDateFrom=2025-11-24&amp;ServiceDateTo=2025-11-24&amp;DumpsterInvNr=13-P-412473", "13-P-412473")</f>
        <v>13-P-412473</v>
      </c>
      <c r="C10317">
        <v>0.24</v>
      </c>
      <c r="D10317" t="s">
        <v>13769</v>
      </c>
      <c r="E10317" t="s">
        <v>11</v>
      </c>
      <c r="G10317" t="s">
        <v>264</v>
      </c>
      <c r="H10317" t="s">
        <v>14</v>
      </c>
    </row>
    <row r="10318" spans="1:8" hidden="1" x14ac:dyDescent="0.25">
      <c r="A10318" t="s">
        <v>13766</v>
      </c>
      <c r="B10318" s="1" t="str">
        <f>HYPERLINK("https://asmlis.vasa.lt/Dashboard/Served?ServiceDateFrom=2025-11-24&amp;ServiceDateTo=2025-11-24&amp;DumpsterInvNr=13-P-507387", "13-P-507387")</f>
        <v>13-P-507387</v>
      </c>
      <c r="C10318">
        <v>0.24</v>
      </c>
      <c r="D10318" t="s">
        <v>13763</v>
      </c>
      <c r="E10318" t="s">
        <v>11</v>
      </c>
      <c r="G10318" t="s">
        <v>2178</v>
      </c>
      <c r="H10318" t="s">
        <v>432</v>
      </c>
    </row>
    <row r="10319" spans="1:8" hidden="1" x14ac:dyDescent="0.25">
      <c r="A10319" t="s">
        <v>13770</v>
      </c>
      <c r="B10319" s="1" t="str">
        <f>HYPERLINK("https://asmlis.vasa.lt/Dashboard/Served?ServiceDateFrom=2025-11-24&amp;ServiceDateTo=2025-11-24&amp;DumpsterInvNr=13-L-140009", "13-L-140009")</f>
        <v>13-L-140009</v>
      </c>
      <c r="C10319">
        <v>0.77</v>
      </c>
      <c r="D10319" t="s">
        <v>13771</v>
      </c>
      <c r="E10319" t="s">
        <v>11</v>
      </c>
      <c r="G10319" t="s">
        <v>430</v>
      </c>
      <c r="H10319" t="s">
        <v>432</v>
      </c>
    </row>
    <row r="10320" spans="1:8" hidden="1" x14ac:dyDescent="0.25">
      <c r="A10320" t="s">
        <v>13770</v>
      </c>
      <c r="B10320" s="1" t="str">
        <f>HYPERLINK("https://asmlis.vasa.lt/Dashboard/Served?ServiceDateFrom=2025-11-24&amp;ServiceDateTo=2025-11-24&amp;DumpsterInvNr=13-L-316775", "13-L-316775")</f>
        <v>13-L-316775</v>
      </c>
      <c r="C10320">
        <v>1.1000000000000001</v>
      </c>
      <c r="D10320" t="s">
        <v>13759</v>
      </c>
      <c r="E10320" t="s">
        <v>11</v>
      </c>
      <c r="G10320" t="s">
        <v>9</v>
      </c>
      <c r="H10320" t="s">
        <v>14</v>
      </c>
    </row>
    <row r="10321" spans="1:8" hidden="1" x14ac:dyDescent="0.25">
      <c r="A10321" t="s">
        <v>13772</v>
      </c>
      <c r="B10321" s="1" t="str">
        <f>HYPERLINK("https://asmlis.vasa.lt/Dashboard/Served?ServiceDateFrom=2025-11-24&amp;ServiceDateTo=2025-11-24&amp;DumpsterInvNr=13-P-401110", "13-P-401110")</f>
        <v>13-P-401110</v>
      </c>
      <c r="C10321">
        <v>1.1000000000000001</v>
      </c>
      <c r="D10321" t="s">
        <v>9010</v>
      </c>
      <c r="E10321" t="s">
        <v>11</v>
      </c>
      <c r="G10321" t="s">
        <v>264</v>
      </c>
      <c r="H10321" t="s">
        <v>14</v>
      </c>
    </row>
    <row r="10322" spans="1:8" hidden="1" x14ac:dyDescent="0.25">
      <c r="A10322" t="s">
        <v>13773</v>
      </c>
      <c r="B10322" s="1" t="str">
        <f>HYPERLINK("https://asmlis.vasa.lt/Dashboard/Served?ServiceDateFrom=2025-11-24&amp;ServiceDateTo=2025-11-24&amp;DumpsterInvNr=13-L-413299", "13-L-413299")</f>
        <v>13-L-413299</v>
      </c>
      <c r="C10322">
        <v>0.12</v>
      </c>
      <c r="D10322" t="s">
        <v>8960</v>
      </c>
      <c r="E10322" t="s">
        <v>11</v>
      </c>
      <c r="G10322" t="s">
        <v>74</v>
      </c>
      <c r="H10322" t="s">
        <v>14</v>
      </c>
    </row>
    <row r="10323" spans="1:8" hidden="1" x14ac:dyDescent="0.25">
      <c r="A10323" t="s">
        <v>13774</v>
      </c>
      <c r="B10323" s="1" t="str">
        <f>HYPERLINK("https://asmlis.vasa.lt/Dashboard/Served?ServiceDateFrom=2025-11-24&amp;ServiceDateTo=2025-11-24&amp;DumpsterInvNr=13-P-306703", "13-P-306703")</f>
        <v>13-P-306703</v>
      </c>
      <c r="C10323">
        <v>2.5</v>
      </c>
      <c r="D10323" t="s">
        <v>13754</v>
      </c>
      <c r="E10323" t="s">
        <v>11</v>
      </c>
      <c r="G10323" t="s">
        <v>412</v>
      </c>
      <c r="H10323" t="s">
        <v>14</v>
      </c>
    </row>
    <row r="10324" spans="1:8" hidden="1" x14ac:dyDescent="0.25">
      <c r="A10324" t="s">
        <v>13775</v>
      </c>
      <c r="B10324" s="1" t="str">
        <f>HYPERLINK("https://asmlis.vasa.lt/Dashboard/Served?ServiceDateFrom=2025-11-24&amp;ServiceDateTo=2025-11-24&amp;DumpsterInvNr=13-P-102453", "13-P-102453")</f>
        <v>13-P-102453</v>
      </c>
      <c r="C10324">
        <v>5</v>
      </c>
      <c r="D10324" t="s">
        <v>13776</v>
      </c>
      <c r="E10324" t="s">
        <v>11</v>
      </c>
      <c r="F10324" t="s">
        <v>13</v>
      </c>
      <c r="G10324" t="s">
        <v>1917</v>
      </c>
      <c r="H10324" t="s">
        <v>432</v>
      </c>
    </row>
    <row r="10325" spans="1:8" hidden="1" x14ac:dyDescent="0.25">
      <c r="A10325" t="s">
        <v>13777</v>
      </c>
      <c r="B10325" s="1" t="str">
        <f>HYPERLINK("https://asmlis.vasa.lt/Dashboard/Served?ServiceDateFrom=2025-11-24&amp;ServiceDateTo=2025-11-24&amp;DumpsterInvNr=13-S-211641", "13-S-211641")</f>
        <v>13-S-211641</v>
      </c>
      <c r="C10325">
        <v>1.8</v>
      </c>
      <c r="D10325" t="s">
        <v>13778</v>
      </c>
      <c r="E10325" t="s">
        <v>11</v>
      </c>
      <c r="F10325" t="s">
        <v>13</v>
      </c>
      <c r="G10325" t="s">
        <v>234</v>
      </c>
      <c r="H10325" t="s">
        <v>14</v>
      </c>
    </row>
    <row r="10326" spans="1:8" hidden="1" x14ac:dyDescent="0.25">
      <c r="A10326" t="s">
        <v>13779</v>
      </c>
      <c r="B10326" s="1" t="str">
        <f>HYPERLINK("https://asmlis.vasa.lt/Dashboard/Served?ServiceDateFrom=2025-11-24&amp;ServiceDateTo=2025-11-24&amp;DumpsterInvNr=13-L-144500", "13-L-144500")</f>
        <v>13-L-144500</v>
      </c>
      <c r="C10326">
        <v>5</v>
      </c>
      <c r="D10326" t="s">
        <v>13780</v>
      </c>
      <c r="E10326" t="s">
        <v>11</v>
      </c>
      <c r="F10326" t="s">
        <v>13</v>
      </c>
      <c r="G10326" t="s">
        <v>430</v>
      </c>
      <c r="H10326" t="s">
        <v>432</v>
      </c>
    </row>
    <row r="10327" spans="1:8" hidden="1" x14ac:dyDescent="0.25">
      <c r="A10327" t="s">
        <v>13781</v>
      </c>
      <c r="B10327" s="1" t="str">
        <f>HYPERLINK("https://asmlis.vasa.lt/Dashboard/Served?ServiceDateFrom=2025-11-24&amp;ServiceDateTo=2025-11-24&amp;DumpsterInvNr=13-L-418008", "13-L-418008")</f>
        <v>13-L-418008</v>
      </c>
      <c r="C10327">
        <v>5</v>
      </c>
      <c r="D10327" t="s">
        <v>3426</v>
      </c>
      <c r="E10327" t="s">
        <v>11</v>
      </c>
      <c r="G10327" t="s">
        <v>74</v>
      </c>
      <c r="H10327" t="s">
        <v>14</v>
      </c>
    </row>
    <row r="10328" spans="1:8" hidden="1" x14ac:dyDescent="0.25">
      <c r="A10328" t="s">
        <v>13781</v>
      </c>
      <c r="B10328" s="1" t="str">
        <f>HYPERLINK("https://asmlis.vasa.lt/Dashboard/Served?ServiceDateFrom=2025-11-24&amp;ServiceDateTo=2025-11-24&amp;DumpsterInvNr=13-P-409188", "13-P-409188")</f>
        <v>13-P-409188</v>
      </c>
      <c r="C10328">
        <v>1.1000000000000001</v>
      </c>
      <c r="D10328" t="s">
        <v>9010</v>
      </c>
      <c r="E10328" t="s">
        <v>11</v>
      </c>
      <c r="G10328" t="s">
        <v>264</v>
      </c>
      <c r="H10328" t="s">
        <v>14</v>
      </c>
    </row>
    <row r="10329" spans="1:8" hidden="1" x14ac:dyDescent="0.25">
      <c r="A10329" t="s">
        <v>13782</v>
      </c>
      <c r="B10329" s="1" t="str">
        <f>HYPERLINK("https://asmlis.vasa.lt/Dashboard/Served?ServiceDateFrom=2025-11-24&amp;ServiceDateTo=2025-11-24&amp;DumpsterInvNr=13-P-500654", "13-P-500654")</f>
        <v>13-P-500654</v>
      </c>
      <c r="C10329">
        <v>2.5</v>
      </c>
      <c r="D10329" t="s">
        <v>13783</v>
      </c>
      <c r="E10329" t="s">
        <v>11</v>
      </c>
      <c r="F10329" t="s">
        <v>13</v>
      </c>
      <c r="G10329" t="s">
        <v>2178</v>
      </c>
      <c r="H10329" t="s">
        <v>432</v>
      </c>
    </row>
    <row r="10330" spans="1:8" hidden="1" x14ac:dyDescent="0.25">
      <c r="A10330" t="s">
        <v>13784</v>
      </c>
      <c r="B10330" s="1" t="str">
        <f>HYPERLINK("https://asmlis.vasa.lt/Dashboard/Served?ServiceDateFrom=2025-11-24&amp;ServiceDateTo=2025-11-24&amp;DumpsterInvNr=13-P-500653", "13-P-500653")</f>
        <v>13-P-500653</v>
      </c>
      <c r="C10330">
        <v>2.5</v>
      </c>
      <c r="D10330" t="s">
        <v>13783</v>
      </c>
      <c r="E10330" t="s">
        <v>11</v>
      </c>
      <c r="F10330" t="s">
        <v>13</v>
      </c>
      <c r="G10330" t="s">
        <v>2178</v>
      </c>
      <c r="H10330" t="s">
        <v>432</v>
      </c>
    </row>
    <row r="10331" spans="1:8" hidden="1" x14ac:dyDescent="0.25">
      <c r="A10331" t="s">
        <v>13785</v>
      </c>
      <c r="B10331" s="1" t="str">
        <f>HYPERLINK("https://asmlis.vasa.lt/Dashboard/Served?ServiceDateFrom=2025-11-24&amp;ServiceDateTo=2025-11-24&amp;DumpsterInvNr=13-L-308651", "13-L-308651")</f>
        <v>13-L-308651</v>
      </c>
      <c r="C10331">
        <v>1.1000000000000001</v>
      </c>
      <c r="D10331" t="s">
        <v>13786</v>
      </c>
      <c r="E10331" t="s">
        <v>11</v>
      </c>
      <c r="G10331" t="s">
        <v>9</v>
      </c>
      <c r="H10331" t="s">
        <v>14</v>
      </c>
    </row>
    <row r="10332" spans="1:8" hidden="1" x14ac:dyDescent="0.25">
      <c r="A10332" t="s">
        <v>13787</v>
      </c>
      <c r="B10332" s="1" t="str">
        <f>HYPERLINK("https://asmlis.vasa.lt/Dashboard/Served?ServiceDateFrom=2025-11-24&amp;ServiceDateTo=2025-11-24&amp;DumpsterInvNr=13-L-317788", "13-L-317788")</f>
        <v>13-L-317788</v>
      </c>
      <c r="C10332">
        <v>0.77</v>
      </c>
      <c r="D10332" t="s">
        <v>13788</v>
      </c>
      <c r="E10332" t="s">
        <v>11</v>
      </c>
      <c r="F10332" t="s">
        <v>13</v>
      </c>
      <c r="G10332" t="s">
        <v>9</v>
      </c>
      <c r="H10332" t="s">
        <v>14</v>
      </c>
    </row>
    <row r="10333" spans="1:8" hidden="1" x14ac:dyDescent="0.25">
      <c r="A10333" t="s">
        <v>13789</v>
      </c>
      <c r="B10333" s="1" t="str">
        <f>HYPERLINK("https://asmlis.vasa.lt/Dashboard/Served?ServiceDateFrom=2025-11-24&amp;ServiceDateTo=2025-11-24&amp;DumpsterInvNr=13-P-101098", "13-P-101098")</f>
        <v>13-P-101098</v>
      </c>
      <c r="C10333">
        <v>0.12</v>
      </c>
      <c r="D10333" t="s">
        <v>13651</v>
      </c>
      <c r="E10333" t="s">
        <v>11</v>
      </c>
      <c r="G10333" t="s">
        <v>1917</v>
      </c>
      <c r="H10333" t="s">
        <v>432</v>
      </c>
    </row>
    <row r="10334" spans="1:8" hidden="1" x14ac:dyDescent="0.25">
      <c r="A10334" t="s">
        <v>13789</v>
      </c>
      <c r="B10334" s="1" t="str">
        <f>HYPERLINK("https://asmlis.vasa.lt/Dashboard/Served?ServiceDateFrom=2025-11-24&amp;ServiceDateTo=2025-11-24&amp;DumpsterInvNr=13-L-124252", "13-L-124252")</f>
        <v>13-L-124252</v>
      </c>
      <c r="C10334">
        <v>0.77</v>
      </c>
      <c r="D10334" t="s">
        <v>13790</v>
      </c>
      <c r="E10334" t="s">
        <v>11</v>
      </c>
      <c r="G10334" t="s">
        <v>430</v>
      </c>
      <c r="H10334" t="s">
        <v>432</v>
      </c>
    </row>
    <row r="10335" spans="1:8" hidden="1" x14ac:dyDescent="0.25">
      <c r="A10335" t="s">
        <v>13792</v>
      </c>
      <c r="B10335" s="1" t="str">
        <f>HYPERLINK("https://asmlis.vasa.lt/Dashboard/Served?ServiceDateFrom=2025-11-24&amp;ServiceDateTo=2025-11-24&amp;DumpsterInvNr=13-P-210138", "13-P-210138")</f>
        <v>13-P-210138</v>
      </c>
      <c r="C10335">
        <v>0.24</v>
      </c>
      <c r="D10335" t="s">
        <v>13039</v>
      </c>
      <c r="E10335" t="s">
        <v>11</v>
      </c>
      <c r="F10335" t="s">
        <v>1209</v>
      </c>
      <c r="G10335" t="s">
        <v>234</v>
      </c>
      <c r="H10335" t="s">
        <v>14</v>
      </c>
    </row>
    <row r="10336" spans="1:8" hidden="1" x14ac:dyDescent="0.25">
      <c r="A10336" t="s">
        <v>13793</v>
      </c>
      <c r="B10336" s="1" t="str">
        <f>HYPERLINK("https://asmlis.vasa.lt/Dashboard/Served?ServiceDateFrom=2025-11-24&amp;ServiceDateTo=2025-11-24&amp;DumpsterInvNr=13-L-302614", "13-L-302614")</f>
        <v>13-L-302614</v>
      </c>
      <c r="C10336">
        <v>0.66</v>
      </c>
      <c r="D10336" t="s">
        <v>13794</v>
      </c>
      <c r="E10336" t="s">
        <v>11</v>
      </c>
      <c r="G10336" t="s">
        <v>9</v>
      </c>
      <c r="H10336" t="s">
        <v>14</v>
      </c>
    </row>
    <row r="10337" spans="1:10" hidden="1" x14ac:dyDescent="0.25">
      <c r="A10337" t="s">
        <v>13793</v>
      </c>
      <c r="B10337" s="1" t="str">
        <f>HYPERLINK("https://asmlis.vasa.lt/Dashboard/Served?ServiceDateFrom=2025-11-24&amp;ServiceDateTo=2025-11-24&amp;DumpsterInvNr=13-L-420913", "13-L-420913")</f>
        <v>13-L-420913</v>
      </c>
      <c r="C10337">
        <v>5</v>
      </c>
      <c r="D10337" t="s">
        <v>13795</v>
      </c>
      <c r="E10337" t="s">
        <v>11</v>
      </c>
      <c r="F10337" t="s">
        <v>13</v>
      </c>
      <c r="G10337" t="s">
        <v>74</v>
      </c>
      <c r="H10337" t="s">
        <v>14</v>
      </c>
    </row>
    <row r="10338" spans="1:10" hidden="1" x14ac:dyDescent="0.25">
      <c r="A10338" t="s">
        <v>13796</v>
      </c>
      <c r="B10338" s="1" t="str">
        <f>HYPERLINK("https://asmlis.vasa.lt/Dashboard/Served?ServiceDateFrom=2025-11-24&amp;ServiceDateTo=2025-11-24&amp;DumpsterInvNr=13-T-000350", "13-T-000350")</f>
        <v>13-T-000350</v>
      </c>
      <c r="C10338">
        <v>2.5</v>
      </c>
      <c r="D10338" t="s">
        <v>13797</v>
      </c>
      <c r="E10338" t="s">
        <v>11</v>
      </c>
      <c r="F10338" t="s">
        <v>13</v>
      </c>
      <c r="G10338" t="s">
        <v>1899</v>
      </c>
      <c r="H10338" t="s">
        <v>432</v>
      </c>
    </row>
    <row r="10339" spans="1:10" hidden="1" x14ac:dyDescent="0.25">
      <c r="A10339" t="s">
        <v>13798</v>
      </c>
      <c r="B10339" s="1" t="str">
        <f>HYPERLINK("https://asmlis.vasa.lt/Dashboard/Served?ServiceDateFrom=2025-11-24&amp;ServiceDateTo=2025-11-24&amp;DumpsterInvNr=13-L-217478", "13-L-217478")</f>
        <v>13-L-217478</v>
      </c>
      <c r="C10339">
        <v>1.1000000000000001</v>
      </c>
      <c r="D10339" t="s">
        <v>13799</v>
      </c>
      <c r="E10339" t="s">
        <v>11</v>
      </c>
      <c r="G10339" t="s">
        <v>936</v>
      </c>
      <c r="H10339" t="s">
        <v>938</v>
      </c>
    </row>
    <row r="10340" spans="1:10" x14ac:dyDescent="0.25">
      <c r="A10340" t="s">
        <v>13800</v>
      </c>
      <c r="B10340" s="1" t="str">
        <f>HYPERLINK("https://asmlis.vasa.lt/Dashboard/Served?ServiceDateFrom=2025-11-24&amp;ServiceDateTo=2025-11-24&amp;DumpsterInvNr=13-L-144212", "13-L-144212")</f>
        <v>13-L-144212</v>
      </c>
      <c r="C10340">
        <v>1.1000000000000001</v>
      </c>
      <c r="D10340" t="s">
        <v>13801</v>
      </c>
      <c r="E10340" t="s">
        <v>11</v>
      </c>
      <c r="F10340" t="s">
        <v>13802</v>
      </c>
      <c r="G10340" t="s">
        <v>430</v>
      </c>
      <c r="H10340" t="s">
        <v>432</v>
      </c>
      <c r="J10340" t="s">
        <v>17520</v>
      </c>
    </row>
    <row r="10341" spans="1:10" hidden="1" x14ac:dyDescent="0.25">
      <c r="A10341" t="s">
        <v>13804</v>
      </c>
      <c r="B10341" s="1" t="str">
        <f>HYPERLINK("https://asmlis.vasa.lt/Dashboard/Served?ServiceDateFrom=2025-11-24&amp;ServiceDateTo=2025-11-24&amp;DumpsterInvNr=13-T-000351", "13-T-000351")</f>
        <v>13-T-000351</v>
      </c>
      <c r="C10341">
        <v>2.5</v>
      </c>
      <c r="D10341" t="s">
        <v>13797</v>
      </c>
      <c r="E10341" t="s">
        <v>11</v>
      </c>
      <c r="F10341" t="s">
        <v>13</v>
      </c>
      <c r="G10341" t="s">
        <v>1899</v>
      </c>
      <c r="H10341" t="s">
        <v>432</v>
      </c>
    </row>
    <row r="10342" spans="1:10" hidden="1" x14ac:dyDescent="0.25">
      <c r="A10342" t="s">
        <v>13804</v>
      </c>
      <c r="B10342" s="1" t="str">
        <f>HYPERLINK("https://asmlis.vasa.lt/Dashboard/Served?ServiceDateFrom=2025-11-24&amp;ServiceDateTo=2025-11-24&amp;DumpsterInvNr=13-P-404037", "13-P-404037")</f>
        <v>13-P-404037</v>
      </c>
      <c r="C10342">
        <v>0.24</v>
      </c>
      <c r="D10342" t="s">
        <v>13805</v>
      </c>
      <c r="E10342" t="s">
        <v>11</v>
      </c>
      <c r="G10342" t="s">
        <v>264</v>
      </c>
      <c r="H10342" t="s">
        <v>14</v>
      </c>
    </row>
    <row r="10343" spans="1:10" hidden="1" x14ac:dyDescent="0.25">
      <c r="A10343" t="s">
        <v>13803</v>
      </c>
      <c r="B10343" s="1" t="str">
        <f>HYPERLINK("https://asmlis.vasa.lt/Dashboard/Served?ServiceDateFrom=2025-11-24&amp;ServiceDateTo=2025-11-24&amp;DumpsterInvNr=13-P-209157", "13-P-209157")</f>
        <v>13-P-209157</v>
      </c>
      <c r="C10343">
        <v>0.24</v>
      </c>
      <c r="D10343" t="s">
        <v>13806</v>
      </c>
      <c r="E10343" t="s">
        <v>11</v>
      </c>
      <c r="G10343" t="s">
        <v>234</v>
      </c>
      <c r="H10343" t="s">
        <v>14</v>
      </c>
    </row>
    <row r="10344" spans="1:10" x14ac:dyDescent="0.25">
      <c r="A10344" t="s">
        <v>13807</v>
      </c>
      <c r="B10344" s="1" t="str">
        <f>HYPERLINK("https://asmlis.vasa.lt/Dashboard/Served?ServiceDateFrom=2025-11-24&amp;ServiceDateTo=2025-11-24&amp;DumpsterInvNr=13-L-137674", "13-L-137674")</f>
        <v>13-L-137674</v>
      </c>
      <c r="C10344">
        <v>1.1000000000000001</v>
      </c>
      <c r="D10344" t="s">
        <v>13808</v>
      </c>
      <c r="E10344" t="s">
        <v>11</v>
      </c>
      <c r="F10344" t="s">
        <v>13802</v>
      </c>
      <c r="G10344" t="s">
        <v>430</v>
      </c>
      <c r="H10344" t="s">
        <v>432</v>
      </c>
      <c r="J10344" t="s">
        <v>17520</v>
      </c>
    </row>
    <row r="10345" spans="1:10" hidden="1" x14ac:dyDescent="0.25">
      <c r="A10345" t="s">
        <v>13810</v>
      </c>
      <c r="B10345" s="1" t="str">
        <f>HYPERLINK("https://asmlis.vasa.lt/Dashboard/Served?ServiceDateFrom=2025-11-24&amp;ServiceDateTo=2025-11-24&amp;DumpsterInvNr=13-T-000397", "13-T-000397")</f>
        <v>13-T-000397</v>
      </c>
      <c r="C10345">
        <v>2.5</v>
      </c>
      <c r="D10345" t="s">
        <v>13797</v>
      </c>
      <c r="E10345" t="s">
        <v>11</v>
      </c>
      <c r="F10345" t="s">
        <v>13</v>
      </c>
      <c r="G10345" t="s">
        <v>1899</v>
      </c>
      <c r="H10345" t="s">
        <v>432</v>
      </c>
    </row>
    <row r="10346" spans="1:10" hidden="1" x14ac:dyDescent="0.25">
      <c r="A10346" t="s">
        <v>13809</v>
      </c>
      <c r="B10346" s="1" t="str">
        <f>HYPERLINK("https://asmlis.vasa.lt/Dashboard/Served?ServiceDateFrom=2025-11-24&amp;ServiceDateTo=2025-11-24&amp;DumpsterInvNr=13-L-139860", "13-L-139860")</f>
        <v>13-L-139860</v>
      </c>
      <c r="C10346">
        <v>0.24</v>
      </c>
      <c r="D10346" t="s">
        <v>13812</v>
      </c>
      <c r="E10346" t="s">
        <v>11</v>
      </c>
      <c r="G10346" t="s">
        <v>1912</v>
      </c>
      <c r="H10346" t="s">
        <v>432</v>
      </c>
    </row>
    <row r="10347" spans="1:10" hidden="1" x14ac:dyDescent="0.25">
      <c r="A10347" t="s">
        <v>13809</v>
      </c>
      <c r="B10347" s="1" t="str">
        <f>HYPERLINK("https://asmlis.vasa.lt/Dashboard/Served?ServiceDateFrom=2025-11-24&amp;ServiceDateTo=2025-11-24&amp;DumpsterInvNr=13-P-101115", "13-P-101115")</f>
        <v>13-P-101115</v>
      </c>
      <c r="C10347">
        <v>0.12</v>
      </c>
      <c r="D10347" t="s">
        <v>13812</v>
      </c>
      <c r="E10347" t="s">
        <v>11</v>
      </c>
      <c r="G10347" t="s">
        <v>1917</v>
      </c>
      <c r="H10347" t="s">
        <v>432</v>
      </c>
    </row>
    <row r="10348" spans="1:10" hidden="1" x14ac:dyDescent="0.25">
      <c r="A10348" t="s">
        <v>13813</v>
      </c>
      <c r="B10348" s="1" t="str">
        <f>HYPERLINK("https://asmlis.vasa.lt/Dashboard/Served?ServiceDateFrom=2025-11-24&amp;ServiceDateTo=2025-11-24&amp;DumpsterInvNr=13-P-403664", "13-P-403664")</f>
        <v>13-P-403664</v>
      </c>
      <c r="C10348">
        <v>0.24</v>
      </c>
      <c r="D10348" t="s">
        <v>1447</v>
      </c>
      <c r="E10348" t="s">
        <v>11</v>
      </c>
      <c r="G10348" t="s">
        <v>264</v>
      </c>
      <c r="H10348" t="s">
        <v>14</v>
      </c>
    </row>
    <row r="10349" spans="1:10" hidden="1" x14ac:dyDescent="0.25">
      <c r="A10349" t="s">
        <v>13814</v>
      </c>
      <c r="B10349" s="1" t="str">
        <f>HYPERLINK("https://asmlis.vasa.lt/Dashboard/Served?ServiceDateFrom=2025-11-24&amp;ServiceDateTo=2025-11-24&amp;DumpsterInvNr=13-L-426770", "13-L-426770")</f>
        <v>13-L-426770</v>
      </c>
      <c r="C10349">
        <v>0.12</v>
      </c>
      <c r="D10349" t="s">
        <v>9029</v>
      </c>
      <c r="E10349" t="s">
        <v>11</v>
      </c>
      <c r="G10349" t="s">
        <v>74</v>
      </c>
      <c r="H10349" t="s">
        <v>14</v>
      </c>
    </row>
    <row r="10350" spans="1:10" hidden="1" x14ac:dyDescent="0.25">
      <c r="A10350" t="s">
        <v>13814</v>
      </c>
      <c r="B10350" s="1" t="str">
        <f>HYPERLINK("https://asmlis.vasa.lt/Dashboard/Served?ServiceDateFrom=2025-11-24&amp;ServiceDateTo=2025-11-24&amp;DumpsterInvNr=13-P-400599", "13-P-400599")</f>
        <v>13-P-400599</v>
      </c>
      <c r="C10350">
        <v>5</v>
      </c>
      <c r="D10350" t="s">
        <v>5952</v>
      </c>
      <c r="E10350" t="s">
        <v>11</v>
      </c>
      <c r="G10350" t="s">
        <v>264</v>
      </c>
      <c r="H10350" t="s">
        <v>14</v>
      </c>
    </row>
    <row r="10351" spans="1:10" hidden="1" x14ac:dyDescent="0.25">
      <c r="A10351" t="s">
        <v>13815</v>
      </c>
      <c r="B10351" s="1" t="str">
        <f>HYPERLINK("https://asmlis.vasa.lt/Dashboard/Served?ServiceDateFrom=2025-11-24&amp;ServiceDateTo=2025-11-24&amp;DumpsterInvNr=13-P-502983", "13-P-502983")</f>
        <v>13-P-502983</v>
      </c>
      <c r="C10351">
        <v>0.24</v>
      </c>
      <c r="D10351" t="s">
        <v>13816</v>
      </c>
      <c r="E10351" t="s">
        <v>11</v>
      </c>
      <c r="G10351" t="s">
        <v>2178</v>
      </c>
      <c r="H10351" t="s">
        <v>432</v>
      </c>
    </row>
    <row r="10352" spans="1:10" hidden="1" x14ac:dyDescent="0.25">
      <c r="A10352" t="s">
        <v>13815</v>
      </c>
      <c r="B10352" s="1" t="str">
        <f>HYPERLINK("https://asmlis.vasa.lt/Dashboard/Served?ServiceDateFrom=2025-11-24&amp;ServiceDateTo=2025-11-24&amp;DumpsterInvNr=13-L-104003", "13-L-104003")</f>
        <v>13-L-104003</v>
      </c>
      <c r="C10352">
        <v>5</v>
      </c>
      <c r="D10352" t="s">
        <v>13818</v>
      </c>
      <c r="E10352" t="s">
        <v>11</v>
      </c>
      <c r="F10352" t="s">
        <v>13</v>
      </c>
      <c r="G10352" t="s">
        <v>430</v>
      </c>
      <c r="H10352" t="s">
        <v>432</v>
      </c>
    </row>
    <row r="10353" spans="1:8" hidden="1" x14ac:dyDescent="0.25">
      <c r="A10353" t="s">
        <v>13819</v>
      </c>
      <c r="B10353" s="1" t="str">
        <f>HYPERLINK("https://asmlis.vasa.lt/Dashboard/Served?ServiceDateFrom=2025-11-24&amp;ServiceDateTo=2025-11-24&amp;DumpsterInvNr=13-P-211711", "13-P-211711")</f>
        <v>13-P-211711</v>
      </c>
      <c r="C10353">
        <v>0.24</v>
      </c>
      <c r="D10353" t="s">
        <v>13123</v>
      </c>
      <c r="E10353" t="s">
        <v>11</v>
      </c>
      <c r="G10353" t="s">
        <v>234</v>
      </c>
      <c r="H10353" t="s">
        <v>14</v>
      </c>
    </row>
    <row r="10354" spans="1:8" hidden="1" x14ac:dyDescent="0.25">
      <c r="A10354" t="s">
        <v>13819</v>
      </c>
      <c r="B10354" s="1" t="str">
        <f>HYPERLINK("https://asmlis.vasa.lt/Dashboard/Served?ServiceDateFrom=2025-11-24&amp;ServiceDateTo=2025-11-24&amp;DumpsterInvNr=13-S-503738", "13-S-503738")</f>
        <v>13-S-503738</v>
      </c>
      <c r="C10354">
        <v>0.12</v>
      </c>
      <c r="D10354" t="s">
        <v>13816</v>
      </c>
      <c r="E10354" t="s">
        <v>11</v>
      </c>
      <c r="G10354" t="s">
        <v>2178</v>
      </c>
      <c r="H10354" t="s">
        <v>432</v>
      </c>
    </row>
    <row r="10355" spans="1:8" hidden="1" x14ac:dyDescent="0.25">
      <c r="A10355" t="s">
        <v>13821</v>
      </c>
      <c r="B10355" s="1" t="str">
        <f>HYPERLINK("https://asmlis.vasa.lt/Dashboard/Served?ServiceDateFrom=2025-11-24&amp;ServiceDateTo=2025-11-24&amp;DumpsterInvNr=13-L-142368", "13-L-142368")</f>
        <v>13-L-142368</v>
      </c>
      <c r="C10355">
        <v>0.24</v>
      </c>
      <c r="D10355" t="s">
        <v>13816</v>
      </c>
      <c r="E10355" t="s">
        <v>11</v>
      </c>
      <c r="G10355" t="s">
        <v>430</v>
      </c>
      <c r="H10355" t="s">
        <v>432</v>
      </c>
    </row>
    <row r="10356" spans="1:8" hidden="1" x14ac:dyDescent="0.25">
      <c r="A10356" t="s">
        <v>13821</v>
      </c>
      <c r="B10356" s="1" t="str">
        <f>HYPERLINK("https://asmlis.vasa.lt/Dashboard/Served?ServiceDateFrom=2025-11-24&amp;ServiceDateTo=2025-11-24&amp;DumpsterInvNr=13-P-103418", "13-P-103418")</f>
        <v>13-P-103418</v>
      </c>
      <c r="C10356">
        <v>0.24</v>
      </c>
      <c r="D10356" t="s">
        <v>13822</v>
      </c>
      <c r="E10356" t="s">
        <v>11</v>
      </c>
      <c r="F10356" t="s">
        <v>1209</v>
      </c>
      <c r="G10356" t="s">
        <v>1917</v>
      </c>
      <c r="H10356" t="s">
        <v>432</v>
      </c>
    </row>
    <row r="10357" spans="1:8" hidden="1" x14ac:dyDescent="0.25">
      <c r="A10357" t="s">
        <v>13824</v>
      </c>
      <c r="B10357" s="1" t="str">
        <f>HYPERLINK("https://asmlis.vasa.lt/Dashboard/Served?ServiceDateFrom=2025-11-24&amp;ServiceDateTo=2025-11-24&amp;DumpsterInvNr=13-L-426401", "13-L-426401")</f>
        <v>13-L-426401</v>
      </c>
      <c r="C10357">
        <v>0.24</v>
      </c>
      <c r="D10357" t="s">
        <v>9063</v>
      </c>
      <c r="E10357" t="s">
        <v>11</v>
      </c>
      <c r="G10357" t="s">
        <v>74</v>
      </c>
      <c r="H10357" t="s">
        <v>14</v>
      </c>
    </row>
    <row r="10358" spans="1:8" hidden="1" x14ac:dyDescent="0.25">
      <c r="A10358" t="s">
        <v>13825</v>
      </c>
      <c r="B10358" s="1" t="str">
        <f>HYPERLINK("https://asmlis.vasa.lt/Dashboard/Served?ServiceDateFrom=2025-11-24&amp;ServiceDateTo=2025-11-24&amp;DumpsterInvNr=13-L-312457", "13-L-312457")</f>
        <v>13-L-312457</v>
      </c>
      <c r="C10358">
        <v>5</v>
      </c>
      <c r="D10358" t="s">
        <v>13826</v>
      </c>
      <c r="E10358" t="s">
        <v>11</v>
      </c>
      <c r="F10358" t="s">
        <v>13</v>
      </c>
      <c r="G10358" t="s">
        <v>9</v>
      </c>
      <c r="H10358" t="s">
        <v>14</v>
      </c>
    </row>
    <row r="10359" spans="1:8" hidden="1" x14ac:dyDescent="0.25">
      <c r="A10359" t="s">
        <v>13827</v>
      </c>
      <c r="B10359" s="1" t="str">
        <f>HYPERLINK("https://asmlis.vasa.lt/Dashboard/Served?ServiceDateFrom=2025-11-24&amp;ServiceDateTo=2025-11-24&amp;DumpsterInvNr=13-P-500240", "13-P-500240")</f>
        <v>13-P-500240</v>
      </c>
      <c r="C10359">
        <v>2.5</v>
      </c>
      <c r="D10359" t="s">
        <v>13828</v>
      </c>
      <c r="E10359" t="s">
        <v>11</v>
      </c>
      <c r="F10359" t="s">
        <v>13</v>
      </c>
      <c r="G10359" t="s">
        <v>2178</v>
      </c>
      <c r="H10359" t="s">
        <v>432</v>
      </c>
    </row>
    <row r="10360" spans="1:8" hidden="1" x14ac:dyDescent="0.25">
      <c r="A10360" t="s">
        <v>13829</v>
      </c>
      <c r="B10360" s="1" t="str">
        <f>HYPERLINK("https://asmlis.vasa.lt/Dashboard/Served?ServiceDateFrom=2025-11-24&amp;ServiceDateTo=2025-11-24&amp;DumpsterInvNr=13-L-120392", "13-L-120392")</f>
        <v>13-L-120392</v>
      </c>
      <c r="C10360">
        <v>0.24</v>
      </c>
      <c r="D10360" t="s">
        <v>13822</v>
      </c>
      <c r="E10360" t="s">
        <v>11</v>
      </c>
      <c r="G10360" t="s">
        <v>1912</v>
      </c>
      <c r="H10360" t="s">
        <v>432</v>
      </c>
    </row>
    <row r="10361" spans="1:8" hidden="1" x14ac:dyDescent="0.25">
      <c r="A10361" t="s">
        <v>13830</v>
      </c>
      <c r="B10361" s="1" t="str">
        <f>HYPERLINK("https://asmlis.vasa.lt/Dashboard/Served?ServiceDateFrom=2025-11-24&amp;ServiceDateTo=2025-11-24&amp;DumpsterInvNr=13-L-316230", "13-L-316230")</f>
        <v>13-L-316230</v>
      </c>
      <c r="C10361">
        <v>1.1000000000000001</v>
      </c>
      <c r="D10361" t="s">
        <v>13831</v>
      </c>
      <c r="E10361" t="s">
        <v>11</v>
      </c>
      <c r="G10361" t="s">
        <v>9</v>
      </c>
      <c r="H10361" t="s">
        <v>14</v>
      </c>
    </row>
    <row r="10362" spans="1:8" hidden="1" x14ac:dyDescent="0.25">
      <c r="A10362" t="s">
        <v>13832</v>
      </c>
      <c r="B10362" s="1" t="str">
        <f>HYPERLINK("https://asmlis.vasa.lt/Dashboard/Served?ServiceDateFrom=2025-11-24&amp;ServiceDateTo=2025-11-24&amp;DumpsterInvNr=13-L-133168", "13-L-133168")</f>
        <v>13-L-133168</v>
      </c>
      <c r="C10362">
        <v>0.12</v>
      </c>
      <c r="D10362" t="s">
        <v>13822</v>
      </c>
      <c r="E10362" t="s">
        <v>11</v>
      </c>
      <c r="F10362" t="s">
        <v>1209</v>
      </c>
      <c r="G10362" t="s">
        <v>1912</v>
      </c>
      <c r="H10362" t="s">
        <v>432</v>
      </c>
    </row>
    <row r="10363" spans="1:8" hidden="1" x14ac:dyDescent="0.25">
      <c r="A10363" t="s">
        <v>13833</v>
      </c>
      <c r="B10363" s="1" t="str">
        <f>HYPERLINK("https://asmlis.vasa.lt/Dashboard/Served?ServiceDateFrom=2025-11-24&amp;ServiceDateTo=2025-11-24&amp;DumpsterInvNr=13-P-306063", "13-P-306063")</f>
        <v>13-P-306063</v>
      </c>
      <c r="C10363">
        <v>5</v>
      </c>
      <c r="D10363" t="s">
        <v>4656</v>
      </c>
      <c r="E10363" t="s">
        <v>11</v>
      </c>
      <c r="G10363" t="s">
        <v>412</v>
      </c>
      <c r="H10363" t="s">
        <v>14</v>
      </c>
    </row>
    <row r="10364" spans="1:8" hidden="1" x14ac:dyDescent="0.25">
      <c r="A10364" t="s">
        <v>13834</v>
      </c>
      <c r="B10364" s="1" t="str">
        <f>HYPERLINK("https://asmlis.vasa.lt/Dashboard/Served?ServiceDateFrom=2025-11-24&amp;ServiceDateTo=2025-11-24&amp;DumpsterInvNr=13-P-413851", "13-P-413851")</f>
        <v>13-P-413851</v>
      </c>
      <c r="C10364">
        <v>0.24</v>
      </c>
      <c r="D10364" t="s">
        <v>13835</v>
      </c>
      <c r="E10364" t="s">
        <v>11</v>
      </c>
      <c r="F10364" t="s">
        <v>1209</v>
      </c>
      <c r="G10364" t="s">
        <v>264</v>
      </c>
      <c r="H10364" t="s">
        <v>14</v>
      </c>
    </row>
    <row r="10365" spans="1:8" hidden="1" x14ac:dyDescent="0.25">
      <c r="A10365" t="s">
        <v>13836</v>
      </c>
      <c r="B10365" s="1" t="str">
        <f>HYPERLINK("https://asmlis.vasa.lt/Dashboard/Served?ServiceDateFrom=2025-11-24&amp;ServiceDateTo=2025-11-24&amp;DumpsterInvNr=13-P-403665", "13-P-403665")</f>
        <v>13-P-403665</v>
      </c>
      <c r="C10365">
        <v>0.24</v>
      </c>
      <c r="D10365" t="s">
        <v>13837</v>
      </c>
      <c r="E10365" t="s">
        <v>11</v>
      </c>
      <c r="G10365" t="s">
        <v>264</v>
      </c>
      <c r="H10365" t="s">
        <v>14</v>
      </c>
    </row>
    <row r="10366" spans="1:8" hidden="1" x14ac:dyDescent="0.25">
      <c r="A10366" t="s">
        <v>13672</v>
      </c>
      <c r="B10366" s="1" t="str">
        <f>HYPERLINK("https://asmlis.vasa.lt/Dashboard/Served?ServiceDateFrom=2025-11-24&amp;ServiceDateTo=2025-11-24&amp;DumpsterInvNr=13-L-135275", "13-L-135275")</f>
        <v>13-L-135275</v>
      </c>
      <c r="C10366">
        <v>1.1000000000000001</v>
      </c>
      <c r="D10366" t="s">
        <v>13838</v>
      </c>
      <c r="E10366" t="s">
        <v>11</v>
      </c>
      <c r="G10366" t="s">
        <v>1912</v>
      </c>
      <c r="H10366" t="s">
        <v>432</v>
      </c>
    </row>
    <row r="10367" spans="1:8" hidden="1" x14ac:dyDescent="0.25">
      <c r="A10367" t="s">
        <v>13674</v>
      </c>
      <c r="B10367" s="1" t="str">
        <f>HYPERLINK("https://asmlis.vasa.lt/Dashboard/Served?ServiceDateFrom=2025-11-24&amp;ServiceDateTo=2025-11-24&amp;DumpsterInvNr=13-L-318378", "13-L-318378")</f>
        <v>13-L-318378</v>
      </c>
      <c r="C10367">
        <v>1.1000000000000001</v>
      </c>
      <c r="D10367" t="s">
        <v>13840</v>
      </c>
      <c r="E10367" t="s">
        <v>11</v>
      </c>
      <c r="G10367" t="s">
        <v>9</v>
      </c>
      <c r="H10367" t="s">
        <v>14</v>
      </c>
    </row>
    <row r="10368" spans="1:8" hidden="1" x14ac:dyDescent="0.25">
      <c r="A10368" t="s">
        <v>13841</v>
      </c>
      <c r="B10368" s="1" t="str">
        <f>HYPERLINK("https://asmlis.vasa.lt/Dashboard/Served?ServiceDateFrom=2025-11-24&amp;ServiceDateTo=2025-11-24&amp;DumpsterInvNr=13-L-404603", "13-L-404603")</f>
        <v>13-L-404603</v>
      </c>
      <c r="C10368">
        <v>0.12</v>
      </c>
      <c r="D10368" t="s">
        <v>9035</v>
      </c>
      <c r="E10368" t="s">
        <v>11</v>
      </c>
      <c r="G10368" t="s">
        <v>74</v>
      </c>
      <c r="H10368" t="s">
        <v>14</v>
      </c>
    </row>
    <row r="10369" spans="1:10" hidden="1" x14ac:dyDescent="0.25">
      <c r="A10369" t="s">
        <v>13841</v>
      </c>
      <c r="B10369" s="1" t="str">
        <f>HYPERLINK("https://asmlis.vasa.lt/Dashboard/Served?ServiceDateFrom=2025-11-24&amp;ServiceDateTo=2025-11-24&amp;DumpsterInvNr=13-L-424200", "13-L-424200")</f>
        <v>13-L-424200</v>
      </c>
      <c r="C10369">
        <v>0.24</v>
      </c>
      <c r="D10369" t="s">
        <v>9022</v>
      </c>
      <c r="E10369" t="s">
        <v>11</v>
      </c>
      <c r="G10369" t="s">
        <v>74</v>
      </c>
      <c r="H10369" t="s">
        <v>14</v>
      </c>
    </row>
    <row r="10370" spans="1:10" hidden="1" x14ac:dyDescent="0.25">
      <c r="A10370" t="s">
        <v>13841</v>
      </c>
      <c r="B10370" s="1" t="str">
        <f>HYPERLINK("https://asmlis.vasa.lt/Dashboard/Served?ServiceDateFrom=2025-11-24&amp;ServiceDateTo=2025-11-24&amp;DumpsterInvNr=13-P-206306", "13-P-206306")</f>
        <v>13-P-206306</v>
      </c>
      <c r="C10370">
        <v>0.24</v>
      </c>
      <c r="D10370" t="s">
        <v>12753</v>
      </c>
      <c r="E10370" t="s">
        <v>11</v>
      </c>
      <c r="G10370" t="s">
        <v>234</v>
      </c>
      <c r="H10370" t="s">
        <v>14</v>
      </c>
    </row>
    <row r="10371" spans="1:10" hidden="1" x14ac:dyDescent="0.25">
      <c r="A10371" t="s">
        <v>13841</v>
      </c>
      <c r="B10371" s="1" t="str">
        <f>HYPERLINK("https://asmlis.vasa.lt/Dashboard/Served?ServiceDateFrom=2025-11-24&amp;ServiceDateTo=2025-11-24&amp;DumpsterInvNr=13-S-205617", "13-S-205617")</f>
        <v>13-S-205617</v>
      </c>
      <c r="C10371">
        <v>0.12</v>
      </c>
      <c r="D10371" t="s">
        <v>12753</v>
      </c>
      <c r="E10371" t="s">
        <v>11</v>
      </c>
      <c r="G10371" t="s">
        <v>234</v>
      </c>
      <c r="H10371" t="s">
        <v>14</v>
      </c>
    </row>
    <row r="10372" spans="1:10" hidden="1" x14ac:dyDescent="0.25">
      <c r="A10372" t="s">
        <v>13842</v>
      </c>
      <c r="B10372" s="1" t="str">
        <f>HYPERLINK("https://asmlis.vasa.lt/Dashboard/Served?ServiceDateFrom=2025-11-24&amp;ServiceDateTo=2025-11-24&amp;DumpsterInvNr=13-L-103235", "13-L-103235")</f>
        <v>13-L-103235</v>
      </c>
      <c r="C10372">
        <v>0.77</v>
      </c>
      <c r="D10372" t="s">
        <v>13843</v>
      </c>
      <c r="E10372" t="s">
        <v>11</v>
      </c>
      <c r="G10372" t="s">
        <v>430</v>
      </c>
      <c r="H10372" t="s">
        <v>432</v>
      </c>
    </row>
    <row r="10373" spans="1:10" hidden="1" x14ac:dyDescent="0.25">
      <c r="A10373" t="s">
        <v>13844</v>
      </c>
      <c r="B10373" s="1" t="str">
        <f>HYPERLINK("https://asmlis.vasa.lt/Dashboard/Served?ServiceDateFrom=2025-11-24&amp;ServiceDateTo=2025-11-24&amp;DumpsterInvNr=13-L-426765", "13-L-426765")</f>
        <v>13-L-426765</v>
      </c>
      <c r="C10373">
        <v>1.1000000000000001</v>
      </c>
      <c r="D10373" t="s">
        <v>13601</v>
      </c>
      <c r="E10373" t="s">
        <v>11</v>
      </c>
      <c r="F10373" t="s">
        <v>13</v>
      </c>
      <c r="G10373" t="s">
        <v>74</v>
      </c>
      <c r="H10373" t="s">
        <v>14</v>
      </c>
    </row>
    <row r="10374" spans="1:10" hidden="1" x14ac:dyDescent="0.25">
      <c r="A10374" t="s">
        <v>13845</v>
      </c>
      <c r="B10374" s="1" t="str">
        <f>HYPERLINK("https://asmlis.vasa.lt/Dashboard/Served?ServiceDateFrom=2025-11-24&amp;ServiceDateTo=2025-11-24&amp;DumpsterInvNr=13-L-421674", "13-L-421674")</f>
        <v>13-L-421674</v>
      </c>
      <c r="C10374">
        <v>1.1000000000000001</v>
      </c>
      <c r="D10374" t="s">
        <v>13601</v>
      </c>
      <c r="E10374" t="s">
        <v>11</v>
      </c>
      <c r="F10374" t="s">
        <v>13</v>
      </c>
      <c r="G10374" t="s">
        <v>74</v>
      </c>
      <c r="H10374" t="s">
        <v>14</v>
      </c>
    </row>
    <row r="10375" spans="1:10" hidden="1" x14ac:dyDescent="0.25">
      <c r="A10375" t="s">
        <v>13817</v>
      </c>
      <c r="B10375" s="1" t="str">
        <f>HYPERLINK("https://asmlis.vasa.lt/Dashboard/Served?ServiceDateFrom=2025-11-24&amp;ServiceDateTo=2025-11-24&amp;DumpsterInvNr=13-L-218290", "13-L-218290")</f>
        <v>13-L-218290</v>
      </c>
      <c r="C10375">
        <v>1.1000000000000001</v>
      </c>
      <c r="D10375" t="s">
        <v>13246</v>
      </c>
      <c r="E10375" t="s">
        <v>11</v>
      </c>
      <c r="G10375" t="s">
        <v>936</v>
      </c>
      <c r="H10375" t="s">
        <v>938</v>
      </c>
    </row>
    <row r="10376" spans="1:10" hidden="1" x14ac:dyDescent="0.25">
      <c r="A10376" t="s">
        <v>13846</v>
      </c>
      <c r="B10376" s="1" t="str">
        <f>HYPERLINK("https://asmlis.vasa.lt/Dashboard/Served?ServiceDateFrom=2025-11-24&amp;ServiceDateTo=2025-11-24&amp;DumpsterInvNr=13-L-135423", "13-L-135423")</f>
        <v>13-L-135423</v>
      </c>
      <c r="C10376">
        <v>5</v>
      </c>
      <c r="D10376" t="s">
        <v>13847</v>
      </c>
      <c r="E10376" t="s">
        <v>11</v>
      </c>
      <c r="F10376" t="s">
        <v>13</v>
      </c>
      <c r="G10376" t="s">
        <v>1912</v>
      </c>
      <c r="H10376" t="s">
        <v>432</v>
      </c>
    </row>
    <row r="10377" spans="1:10" hidden="1" x14ac:dyDescent="0.25">
      <c r="A10377" t="s">
        <v>13791</v>
      </c>
      <c r="B10377" s="1" t="str">
        <f>HYPERLINK("https://asmlis.vasa.lt/Dashboard/Served?ServiceDateFrom=2025-11-24&amp;ServiceDateTo=2025-11-24&amp;DumpsterInvNr=13-L-137835", "13-L-137835")</f>
        <v>13-L-137835</v>
      </c>
      <c r="C10377">
        <v>5</v>
      </c>
      <c r="D10377" t="s">
        <v>7188</v>
      </c>
      <c r="E10377" t="s">
        <v>11</v>
      </c>
      <c r="F10377" t="s">
        <v>13</v>
      </c>
      <c r="G10377" t="s">
        <v>430</v>
      </c>
      <c r="H10377" t="s">
        <v>432</v>
      </c>
    </row>
    <row r="10378" spans="1:10" hidden="1" x14ac:dyDescent="0.25">
      <c r="A10378" t="s">
        <v>13679</v>
      </c>
      <c r="B10378" s="1" t="str">
        <f>HYPERLINK("https://asmlis.vasa.lt/Dashboard/Served?ServiceDateFrom=2025-11-24&amp;ServiceDateTo=2025-11-24&amp;DumpsterInvNr=13-L-227572", "13-L-227572")</f>
        <v>13-L-227572</v>
      </c>
      <c r="C10378">
        <v>5</v>
      </c>
      <c r="D10378" t="s">
        <v>1173</v>
      </c>
      <c r="E10378" t="s">
        <v>11</v>
      </c>
      <c r="F10378" t="s">
        <v>13</v>
      </c>
      <c r="G10378" t="s">
        <v>936</v>
      </c>
      <c r="H10378" t="s">
        <v>938</v>
      </c>
    </row>
    <row r="10379" spans="1:10" hidden="1" x14ac:dyDescent="0.25">
      <c r="A10379" t="s">
        <v>13750</v>
      </c>
      <c r="B10379" s="1" t="str">
        <f>HYPERLINK("https://asmlis.vasa.lt/Dashboard/Served?ServiceDateFrom=2025-11-24&amp;ServiceDateTo=2025-11-24&amp;DumpsterInvNr=13-L-124121", "13-L-124121")</f>
        <v>13-L-124121</v>
      </c>
      <c r="C10379">
        <v>0.66</v>
      </c>
      <c r="D10379" t="s">
        <v>13848</v>
      </c>
      <c r="E10379" t="s">
        <v>11</v>
      </c>
      <c r="G10379" t="s">
        <v>430</v>
      </c>
      <c r="H10379" t="s">
        <v>432</v>
      </c>
    </row>
    <row r="10380" spans="1:10" hidden="1" x14ac:dyDescent="0.25">
      <c r="A10380" t="s">
        <v>13850</v>
      </c>
      <c r="B10380" s="1" t="str">
        <f>HYPERLINK("https://asmlis.vasa.lt/Dashboard/Served?ServiceDateFrom=2025-11-24&amp;ServiceDateTo=2025-11-24&amp;DumpsterInvNr=13-L-308325", "13-L-308325")</f>
        <v>13-L-308325</v>
      </c>
      <c r="C10380">
        <v>1.1000000000000001</v>
      </c>
      <c r="D10380" t="s">
        <v>1371</v>
      </c>
      <c r="E10380" t="s">
        <v>11</v>
      </c>
      <c r="G10380" t="s">
        <v>9</v>
      </c>
      <c r="H10380" t="s">
        <v>14</v>
      </c>
    </row>
    <row r="10381" spans="1:10" hidden="1" x14ac:dyDescent="0.25">
      <c r="A10381" t="s">
        <v>13851</v>
      </c>
      <c r="B10381" s="1" t="str">
        <f>HYPERLINK("https://asmlis.vasa.lt/Dashboard/Served?ServiceDateFrom=2025-11-24&amp;ServiceDateTo=2025-11-24&amp;DumpsterInvNr=13-L-404602", "13-L-404602")</f>
        <v>13-L-404602</v>
      </c>
      <c r="C10381">
        <v>0.12</v>
      </c>
      <c r="D10381" t="s">
        <v>9020</v>
      </c>
      <c r="E10381" t="s">
        <v>11</v>
      </c>
      <c r="F10381" t="s">
        <v>13852</v>
      </c>
      <c r="G10381" t="s">
        <v>74</v>
      </c>
      <c r="H10381" t="s">
        <v>14</v>
      </c>
      <c r="J10381" t="s">
        <v>17513</v>
      </c>
    </row>
    <row r="10382" spans="1:10" hidden="1" x14ac:dyDescent="0.25">
      <c r="A10382" t="s">
        <v>13851</v>
      </c>
      <c r="B10382" s="1" t="str">
        <f>HYPERLINK("https://asmlis.vasa.lt/Dashboard/Served?ServiceDateFrom=2025-11-24&amp;ServiceDateTo=2025-11-24&amp;DumpsterInvNr=13-P-402454", "13-P-402454")</f>
        <v>13-P-402454</v>
      </c>
      <c r="C10382">
        <v>0.24</v>
      </c>
      <c r="D10382" t="s">
        <v>13853</v>
      </c>
      <c r="E10382" t="s">
        <v>11</v>
      </c>
      <c r="F10382" t="s">
        <v>1209</v>
      </c>
      <c r="G10382" t="s">
        <v>264</v>
      </c>
      <c r="H10382" t="s">
        <v>14</v>
      </c>
    </row>
    <row r="10383" spans="1:10" hidden="1" x14ac:dyDescent="0.25">
      <c r="A10383" t="s">
        <v>13854</v>
      </c>
      <c r="B10383" s="1" t="str">
        <f>HYPERLINK("https://asmlis.vasa.lt/Dashboard/Served?ServiceDateFrom=2025-11-24&amp;ServiceDateTo=2025-11-24&amp;DumpsterInvNr=13-L-145709", "13-L-145709")</f>
        <v>13-L-145709</v>
      </c>
      <c r="C10383">
        <v>0.24</v>
      </c>
      <c r="D10383" t="s">
        <v>13855</v>
      </c>
      <c r="E10383" t="s">
        <v>11</v>
      </c>
      <c r="G10383" t="s">
        <v>430</v>
      </c>
      <c r="H10383" t="s">
        <v>432</v>
      </c>
    </row>
    <row r="10384" spans="1:10" hidden="1" x14ac:dyDescent="0.25">
      <c r="A10384" t="s">
        <v>13854</v>
      </c>
      <c r="B10384" s="1" t="str">
        <f>HYPERLINK("https://asmlis.vasa.lt/Dashboard/Served?ServiceDateFrom=2025-11-24&amp;ServiceDateTo=2025-11-24&amp;DumpsterInvNr=13-P-506532", "13-P-506532")</f>
        <v>13-P-506532</v>
      </c>
      <c r="C10384">
        <v>0.24</v>
      </c>
      <c r="D10384" t="s">
        <v>13855</v>
      </c>
      <c r="E10384" t="s">
        <v>11</v>
      </c>
      <c r="G10384" t="s">
        <v>2178</v>
      </c>
      <c r="H10384" t="s">
        <v>432</v>
      </c>
    </row>
    <row r="10385" spans="1:8" hidden="1" x14ac:dyDescent="0.25">
      <c r="A10385" t="s">
        <v>13857</v>
      </c>
      <c r="B10385" s="1" t="str">
        <f>HYPERLINK("https://asmlis.vasa.lt/Dashboard/Served?ServiceDateFrom=2025-11-24&amp;ServiceDateTo=2025-11-24&amp;DumpsterInvNr=13-L-222014", "13-L-222014")</f>
        <v>13-L-222014</v>
      </c>
      <c r="C10385">
        <v>0.24</v>
      </c>
      <c r="D10385" t="s">
        <v>11396</v>
      </c>
      <c r="E10385" t="s">
        <v>11</v>
      </c>
      <c r="G10385" t="s">
        <v>936</v>
      </c>
      <c r="H10385" t="s">
        <v>938</v>
      </c>
    </row>
    <row r="10386" spans="1:8" hidden="1" x14ac:dyDescent="0.25">
      <c r="A10386" t="s">
        <v>13858</v>
      </c>
      <c r="B10386" s="1" t="str">
        <f>HYPERLINK("https://asmlis.vasa.lt/Dashboard/Served?ServiceDateFrom=2025-11-24&amp;ServiceDateTo=2025-11-24&amp;DumpsterInvNr=13-S-205649", "13-S-205649")</f>
        <v>13-S-205649</v>
      </c>
      <c r="C10386">
        <v>0.12</v>
      </c>
      <c r="D10386" t="s">
        <v>12755</v>
      </c>
      <c r="E10386" t="s">
        <v>11</v>
      </c>
      <c r="G10386" t="s">
        <v>234</v>
      </c>
      <c r="H10386" t="s">
        <v>14</v>
      </c>
    </row>
    <row r="10387" spans="1:8" hidden="1" x14ac:dyDescent="0.25">
      <c r="A10387" t="s">
        <v>13859</v>
      </c>
      <c r="B10387" s="1" t="str">
        <f>HYPERLINK("https://asmlis.vasa.lt/Dashboard/Served?ServiceDateFrom=2025-11-24&amp;ServiceDateTo=2025-11-24&amp;DumpsterInvNr=13-L-404601", "13-L-404601")</f>
        <v>13-L-404601</v>
      </c>
      <c r="C10387">
        <v>0.12</v>
      </c>
      <c r="D10387" t="s">
        <v>9017</v>
      </c>
      <c r="E10387" t="s">
        <v>11</v>
      </c>
      <c r="F10387" t="s">
        <v>1209</v>
      </c>
      <c r="G10387" t="s">
        <v>74</v>
      </c>
      <c r="H10387" t="s">
        <v>14</v>
      </c>
    </row>
    <row r="10388" spans="1:8" hidden="1" x14ac:dyDescent="0.25">
      <c r="A10388" t="s">
        <v>13860</v>
      </c>
      <c r="B10388" s="1" t="str">
        <f>HYPERLINK("https://asmlis.vasa.lt/Dashboard/Served?ServiceDateFrom=2025-11-24&amp;ServiceDateTo=2025-11-24&amp;DumpsterInvNr=13-P-206308", "13-P-206308")</f>
        <v>13-P-206308</v>
      </c>
      <c r="C10388">
        <v>0.24</v>
      </c>
      <c r="D10388" t="s">
        <v>12735</v>
      </c>
      <c r="E10388" t="s">
        <v>11</v>
      </c>
      <c r="G10388" t="s">
        <v>234</v>
      </c>
      <c r="H10388" t="s">
        <v>14</v>
      </c>
    </row>
    <row r="10389" spans="1:8" hidden="1" x14ac:dyDescent="0.25">
      <c r="A10389" t="s">
        <v>13684</v>
      </c>
      <c r="B10389" s="1" t="str">
        <f>HYPERLINK("https://asmlis.vasa.lt/Dashboard/Served?ServiceDateFrom=2025-11-24&amp;ServiceDateTo=2025-11-24&amp;DumpsterInvNr=13-S-205811", "13-S-205811")</f>
        <v>13-S-205811</v>
      </c>
      <c r="C10389">
        <v>0.12</v>
      </c>
      <c r="D10389" t="s">
        <v>12735</v>
      </c>
      <c r="E10389" t="s">
        <v>11</v>
      </c>
      <c r="G10389" t="s">
        <v>234</v>
      </c>
      <c r="H10389" t="s">
        <v>14</v>
      </c>
    </row>
    <row r="10390" spans="1:8" hidden="1" x14ac:dyDescent="0.25">
      <c r="A10390" t="s">
        <v>13861</v>
      </c>
      <c r="B10390" s="1" t="str">
        <f>HYPERLINK("https://asmlis.vasa.lt/Dashboard/Served?ServiceDateFrom=2025-11-24&amp;ServiceDateTo=2025-11-24&amp;DumpsterInvNr=13-P-206789", "13-P-206789")</f>
        <v>13-P-206789</v>
      </c>
      <c r="C10390">
        <v>0.24</v>
      </c>
      <c r="D10390" t="s">
        <v>12755</v>
      </c>
      <c r="E10390" t="s">
        <v>11</v>
      </c>
      <c r="G10390" t="s">
        <v>234</v>
      </c>
      <c r="H10390" t="s">
        <v>14</v>
      </c>
    </row>
    <row r="10391" spans="1:8" hidden="1" x14ac:dyDescent="0.25">
      <c r="A10391" t="s">
        <v>13862</v>
      </c>
      <c r="B10391" s="1" t="str">
        <f>HYPERLINK("https://asmlis.vasa.lt/Dashboard/Served?ServiceDateFrom=2025-11-24&amp;ServiceDateTo=2025-11-24&amp;DumpsterInvNr=13-L-413320", "13-L-413320")</f>
        <v>13-L-413320</v>
      </c>
      <c r="C10391">
        <v>5</v>
      </c>
      <c r="D10391" t="s">
        <v>13863</v>
      </c>
      <c r="E10391" t="s">
        <v>11</v>
      </c>
      <c r="F10391" t="s">
        <v>13</v>
      </c>
      <c r="G10391" t="s">
        <v>74</v>
      </c>
      <c r="H10391" t="s">
        <v>14</v>
      </c>
    </row>
    <row r="10392" spans="1:8" hidden="1" x14ac:dyDescent="0.25">
      <c r="A10392" t="s">
        <v>13864</v>
      </c>
      <c r="B10392" s="1" t="str">
        <f>HYPERLINK("https://asmlis.vasa.lt/Dashboard/Served?ServiceDateFrom=2025-11-24&amp;ServiceDateTo=2025-11-24&amp;DumpsterInvNr=13-L-219246", "13-L-219246")</f>
        <v>13-L-219246</v>
      </c>
      <c r="C10392">
        <v>0.12</v>
      </c>
      <c r="D10392" t="s">
        <v>11316</v>
      </c>
      <c r="E10392" t="s">
        <v>11</v>
      </c>
      <c r="G10392" t="s">
        <v>936</v>
      </c>
      <c r="H10392" t="s">
        <v>938</v>
      </c>
    </row>
    <row r="10393" spans="1:8" hidden="1" x14ac:dyDescent="0.25">
      <c r="A10393" t="s">
        <v>13823</v>
      </c>
      <c r="B10393" s="1" t="str">
        <f>HYPERLINK("https://asmlis.vasa.lt/Dashboard/Served?ServiceDateFrom=2025-11-24&amp;ServiceDateTo=2025-11-24&amp;DumpsterInvNr=13-L-313517", "13-L-313517")</f>
        <v>13-L-313517</v>
      </c>
      <c r="C10393">
        <v>5</v>
      </c>
      <c r="D10393" t="s">
        <v>13865</v>
      </c>
      <c r="E10393" t="s">
        <v>11</v>
      </c>
      <c r="F10393" t="s">
        <v>13</v>
      </c>
      <c r="G10393" t="s">
        <v>9</v>
      </c>
      <c r="H10393" t="s">
        <v>14</v>
      </c>
    </row>
    <row r="10394" spans="1:8" hidden="1" x14ac:dyDescent="0.25">
      <c r="A10394" t="s">
        <v>13866</v>
      </c>
      <c r="B10394" s="1" t="str">
        <f>HYPERLINK("https://asmlis.vasa.lt/Dashboard/Served?ServiceDateFrom=2025-11-24&amp;ServiceDateTo=2025-11-24&amp;DumpsterInvNr=13-L-426866", "13-L-426866")</f>
        <v>13-L-426866</v>
      </c>
      <c r="C10394">
        <v>1.1000000000000001</v>
      </c>
      <c r="D10394" t="s">
        <v>13867</v>
      </c>
      <c r="E10394" t="s">
        <v>11</v>
      </c>
      <c r="G10394" t="s">
        <v>74</v>
      </c>
      <c r="H10394" t="s">
        <v>14</v>
      </c>
    </row>
    <row r="10395" spans="1:8" hidden="1" x14ac:dyDescent="0.25">
      <c r="A10395" t="s">
        <v>13866</v>
      </c>
      <c r="B10395" s="1" t="str">
        <f>HYPERLINK("https://asmlis.vasa.lt/Dashboard/Served?ServiceDateFrom=2025-11-24&amp;ServiceDateTo=2025-11-24&amp;DumpsterInvNr=13-P-500239", "13-P-500239")</f>
        <v>13-P-500239</v>
      </c>
      <c r="C10395">
        <v>2.5</v>
      </c>
      <c r="D10395" t="s">
        <v>13828</v>
      </c>
      <c r="E10395" t="s">
        <v>11</v>
      </c>
      <c r="F10395" t="s">
        <v>13</v>
      </c>
      <c r="G10395" t="s">
        <v>2178</v>
      </c>
      <c r="H10395" t="s">
        <v>432</v>
      </c>
    </row>
    <row r="10396" spans="1:8" hidden="1" x14ac:dyDescent="0.25">
      <c r="A10396" t="s">
        <v>13868</v>
      </c>
      <c r="B10396" s="1" t="str">
        <f>HYPERLINK("https://asmlis.vasa.lt/Dashboard/Served?ServiceDateFrom=2025-11-24&amp;ServiceDateTo=2025-11-24&amp;DumpsterInvNr=13-L-217151", "13-L-217151")</f>
        <v>13-L-217151</v>
      </c>
      <c r="C10396">
        <v>0.24</v>
      </c>
      <c r="D10396" t="s">
        <v>13869</v>
      </c>
      <c r="E10396" t="s">
        <v>11</v>
      </c>
      <c r="G10396" t="s">
        <v>936</v>
      </c>
      <c r="H10396" t="s">
        <v>938</v>
      </c>
    </row>
    <row r="10397" spans="1:8" hidden="1" x14ac:dyDescent="0.25">
      <c r="A10397" t="s">
        <v>13870</v>
      </c>
      <c r="B10397" s="1" t="str">
        <f>HYPERLINK("https://asmlis.vasa.lt/Dashboard/Served?ServiceDateFrom=2025-11-24&amp;ServiceDateTo=2025-11-24&amp;DumpsterInvNr=13-L-311219", "13-L-311219")</f>
        <v>13-L-311219</v>
      </c>
      <c r="C10397">
        <v>1.1000000000000001</v>
      </c>
      <c r="D10397" t="s">
        <v>1371</v>
      </c>
      <c r="E10397" t="s">
        <v>11</v>
      </c>
      <c r="G10397" t="s">
        <v>9</v>
      </c>
      <c r="H10397" t="s">
        <v>14</v>
      </c>
    </row>
    <row r="10398" spans="1:8" hidden="1" x14ac:dyDescent="0.25">
      <c r="A10398" t="s">
        <v>13871</v>
      </c>
      <c r="B10398" s="1" t="str">
        <f>HYPERLINK("https://asmlis.vasa.lt/Dashboard/Served?ServiceDateFrom=2025-11-24&amp;ServiceDateTo=2025-11-24&amp;DumpsterInvNr=13-L-104247", "13-L-104247")</f>
        <v>13-L-104247</v>
      </c>
      <c r="C10398">
        <v>5</v>
      </c>
      <c r="D10398" t="s">
        <v>13872</v>
      </c>
      <c r="E10398" t="s">
        <v>11</v>
      </c>
      <c r="F10398" t="s">
        <v>13</v>
      </c>
      <c r="G10398" t="s">
        <v>430</v>
      </c>
      <c r="H10398" t="s">
        <v>432</v>
      </c>
    </row>
    <row r="10399" spans="1:8" hidden="1" x14ac:dyDescent="0.25">
      <c r="A10399" t="s">
        <v>13873</v>
      </c>
      <c r="B10399" s="1" t="str">
        <f>HYPERLINK("https://asmlis.vasa.lt/Dashboard/Served?ServiceDateFrom=2025-11-24&amp;ServiceDateTo=2025-11-24&amp;DumpsterInvNr=13-P-400555", "13-P-400555")</f>
        <v>13-P-400555</v>
      </c>
      <c r="C10399">
        <v>5</v>
      </c>
      <c r="D10399" t="s">
        <v>9506</v>
      </c>
      <c r="E10399" t="s">
        <v>11</v>
      </c>
      <c r="F10399" t="s">
        <v>13</v>
      </c>
      <c r="G10399" t="s">
        <v>264</v>
      </c>
      <c r="H10399" t="s">
        <v>14</v>
      </c>
    </row>
    <row r="10400" spans="1:8" hidden="1" x14ac:dyDescent="0.25">
      <c r="A10400" t="s">
        <v>13874</v>
      </c>
      <c r="B10400" s="1" t="str">
        <f>HYPERLINK("https://asmlis.vasa.lt/Dashboard/Served?ServiceDateFrom=2025-11-24&amp;ServiceDateTo=2025-11-24&amp;DumpsterInvNr=13-L-104248", "13-L-104248")</f>
        <v>13-L-104248</v>
      </c>
      <c r="C10400">
        <v>5</v>
      </c>
      <c r="D10400" t="s">
        <v>13872</v>
      </c>
      <c r="E10400" t="s">
        <v>11</v>
      </c>
      <c r="F10400" t="s">
        <v>13</v>
      </c>
      <c r="G10400" t="s">
        <v>430</v>
      </c>
      <c r="H10400" t="s">
        <v>432</v>
      </c>
    </row>
    <row r="10401" spans="1:10" hidden="1" x14ac:dyDescent="0.25">
      <c r="A10401" t="s">
        <v>13875</v>
      </c>
      <c r="B10401" s="1" t="str">
        <f>HYPERLINK("https://asmlis.vasa.lt/Dashboard/Served?ServiceDateFrom=2025-11-24&amp;ServiceDateTo=2025-11-24&amp;DumpsterInvNr=13-P-211804", "13-P-211804")</f>
        <v>13-P-211804</v>
      </c>
      <c r="C10401">
        <v>0.24</v>
      </c>
      <c r="D10401" t="s">
        <v>12731</v>
      </c>
      <c r="E10401" t="s">
        <v>11</v>
      </c>
      <c r="G10401" t="s">
        <v>234</v>
      </c>
      <c r="H10401" t="s">
        <v>14</v>
      </c>
    </row>
    <row r="10402" spans="1:10" hidden="1" x14ac:dyDescent="0.25">
      <c r="A10402" t="s">
        <v>13876</v>
      </c>
      <c r="B10402" s="1" t="str">
        <f>HYPERLINK("https://asmlis.vasa.lt/Dashboard/Served?ServiceDateFrom=2025-11-24&amp;ServiceDateTo=2025-11-24&amp;DumpsterInvNr=13-L-104345", "13-L-104345")</f>
        <v>13-L-104345</v>
      </c>
      <c r="C10402">
        <v>1.1000000000000001</v>
      </c>
      <c r="D10402" t="s">
        <v>13877</v>
      </c>
      <c r="E10402" t="s">
        <v>11</v>
      </c>
      <c r="G10402" t="s">
        <v>430</v>
      </c>
      <c r="H10402" t="s">
        <v>432</v>
      </c>
    </row>
    <row r="10403" spans="1:10" hidden="1" x14ac:dyDescent="0.25">
      <c r="A10403" t="s">
        <v>13879</v>
      </c>
      <c r="B10403" s="1" t="str">
        <f>HYPERLINK("https://asmlis.vasa.lt/Dashboard/Served?ServiceDateFrom=2025-11-24&amp;ServiceDateTo=2025-11-24&amp;DumpsterInvNr=13-P-115818", "13-P-115818")</f>
        <v>13-P-115818</v>
      </c>
      <c r="C10403">
        <v>1.1000000000000001</v>
      </c>
      <c r="D10403" t="s">
        <v>13880</v>
      </c>
      <c r="E10403" t="s">
        <v>11</v>
      </c>
      <c r="G10403" t="s">
        <v>1917</v>
      </c>
      <c r="H10403" t="s">
        <v>432</v>
      </c>
    </row>
    <row r="10404" spans="1:10" hidden="1" x14ac:dyDescent="0.25">
      <c r="A10404" t="s">
        <v>13721</v>
      </c>
      <c r="B10404" s="1" t="str">
        <f>HYPERLINK("https://asmlis.vasa.lt/Dashboard/Served?ServiceDateFrom=2025-11-24&amp;ServiceDateTo=2025-11-24&amp;DumpsterInvNr=13-L-118189", "13-L-118189")</f>
        <v>13-L-118189</v>
      </c>
      <c r="C10404">
        <v>0.24</v>
      </c>
      <c r="D10404" t="s">
        <v>13882</v>
      </c>
      <c r="E10404" t="s">
        <v>11</v>
      </c>
      <c r="G10404" t="s">
        <v>1912</v>
      </c>
      <c r="H10404" t="s">
        <v>432</v>
      </c>
    </row>
    <row r="10405" spans="1:10" hidden="1" x14ac:dyDescent="0.25">
      <c r="A10405" t="s">
        <v>13883</v>
      </c>
      <c r="B10405" s="1" t="str">
        <f>HYPERLINK("https://asmlis.vasa.lt/Dashboard/Served?ServiceDateFrom=2025-11-24&amp;ServiceDateTo=2025-11-24&amp;DumpsterInvNr=13-P-112568", "13-P-112568")</f>
        <v>13-P-112568</v>
      </c>
      <c r="C10405">
        <v>0.24</v>
      </c>
      <c r="D10405" t="s">
        <v>13882</v>
      </c>
      <c r="E10405" t="s">
        <v>11</v>
      </c>
      <c r="G10405" t="s">
        <v>1917</v>
      </c>
      <c r="H10405" t="s">
        <v>432</v>
      </c>
    </row>
    <row r="10406" spans="1:10" hidden="1" x14ac:dyDescent="0.25">
      <c r="A10406" t="s">
        <v>13884</v>
      </c>
      <c r="B10406" s="1" t="str">
        <f>HYPERLINK("https://asmlis.vasa.lt/Dashboard/Served?ServiceDateFrom=2025-11-24&amp;ServiceDateTo=2025-11-24&amp;DumpsterInvNr=13-L-311690", "13-L-311690")</f>
        <v>13-L-311690</v>
      </c>
      <c r="C10406">
        <v>1.1000000000000001</v>
      </c>
      <c r="D10406" t="s">
        <v>13840</v>
      </c>
      <c r="E10406" t="s">
        <v>11</v>
      </c>
      <c r="G10406" t="s">
        <v>9</v>
      </c>
      <c r="H10406" t="s">
        <v>14</v>
      </c>
    </row>
    <row r="10407" spans="1:10" hidden="1" x14ac:dyDescent="0.25">
      <c r="A10407" t="s">
        <v>13886</v>
      </c>
      <c r="B10407" s="1" t="str">
        <f>HYPERLINK("https://asmlis.vasa.lt/Dashboard/Served?ServiceDateFrom=2025-11-24&amp;ServiceDateTo=2025-11-24&amp;DumpsterInvNr=13-L-135802", "13-L-135802")</f>
        <v>13-L-135802</v>
      </c>
      <c r="C10407">
        <v>5</v>
      </c>
      <c r="D10407" t="s">
        <v>7262</v>
      </c>
      <c r="E10407" t="s">
        <v>11</v>
      </c>
      <c r="F10407" t="s">
        <v>13</v>
      </c>
      <c r="G10407" t="s">
        <v>430</v>
      </c>
      <c r="H10407" t="s">
        <v>432</v>
      </c>
    </row>
    <row r="10408" spans="1:10" hidden="1" x14ac:dyDescent="0.25">
      <c r="A10408" t="s">
        <v>13887</v>
      </c>
      <c r="B10408" s="1" t="str">
        <f>HYPERLINK("https://asmlis.vasa.lt/Dashboard/Served?ServiceDateFrom=2025-11-24&amp;ServiceDateTo=2025-11-24&amp;DumpsterInvNr=13-L-315857", "13-L-315857")</f>
        <v>13-L-315857</v>
      </c>
      <c r="C10408">
        <v>1.1000000000000001</v>
      </c>
      <c r="D10408" t="s">
        <v>13840</v>
      </c>
      <c r="E10408" t="s">
        <v>11</v>
      </c>
      <c r="G10408" t="s">
        <v>9</v>
      </c>
      <c r="H10408" t="s">
        <v>14</v>
      </c>
    </row>
    <row r="10409" spans="1:10" hidden="1" x14ac:dyDescent="0.25">
      <c r="A10409" t="s">
        <v>13888</v>
      </c>
      <c r="B10409" s="1" t="str">
        <f>HYPERLINK("https://asmlis.vasa.lt/Dashboard/Served?ServiceDateFrom=2025-11-24&amp;ServiceDateTo=2025-11-24&amp;DumpsterInvNr=13-P-206109", "13-P-206109")</f>
        <v>13-P-206109</v>
      </c>
      <c r="C10409">
        <v>0.24</v>
      </c>
      <c r="D10409" t="s">
        <v>12704</v>
      </c>
      <c r="E10409" t="s">
        <v>11</v>
      </c>
      <c r="G10409" t="s">
        <v>234</v>
      </c>
      <c r="H10409" t="s">
        <v>14</v>
      </c>
    </row>
    <row r="10410" spans="1:10" hidden="1" x14ac:dyDescent="0.25">
      <c r="A10410" t="s">
        <v>13889</v>
      </c>
      <c r="B10410" s="1" t="str">
        <f>HYPERLINK("https://asmlis.vasa.lt/Dashboard/Served?ServiceDateFrom=2025-11-24&amp;ServiceDateTo=2025-11-24&amp;DumpsterInvNr=13-P-213197", "13-P-213197")</f>
        <v>13-P-213197</v>
      </c>
      <c r="C10410">
        <v>1.1000000000000001</v>
      </c>
      <c r="D10410" t="s">
        <v>13890</v>
      </c>
      <c r="E10410" t="s">
        <v>11</v>
      </c>
      <c r="F10410" t="s">
        <v>13</v>
      </c>
      <c r="G10410" t="s">
        <v>234</v>
      </c>
      <c r="H10410" t="s">
        <v>14</v>
      </c>
    </row>
    <row r="10411" spans="1:10" hidden="1" x14ac:dyDescent="0.25">
      <c r="A10411" t="s">
        <v>13891</v>
      </c>
      <c r="B10411" s="1" t="str">
        <f>HYPERLINK("https://asmlis.vasa.lt/Dashboard/Served?ServiceDateFrom=2025-11-24&amp;ServiceDateTo=2025-11-24&amp;DumpsterInvNr=13-L-426865", "13-L-426865")</f>
        <v>13-L-426865</v>
      </c>
      <c r="C10411">
        <v>1.1000000000000001</v>
      </c>
      <c r="D10411" t="s">
        <v>13867</v>
      </c>
      <c r="E10411" t="s">
        <v>11</v>
      </c>
      <c r="G10411" t="s">
        <v>74</v>
      </c>
      <c r="H10411" t="s">
        <v>14</v>
      </c>
    </row>
    <row r="10412" spans="1:10" hidden="1" x14ac:dyDescent="0.25">
      <c r="A10412" t="s">
        <v>13892</v>
      </c>
      <c r="B10412" s="1" t="str">
        <f>HYPERLINK("https://asmlis.vasa.lt/Dashboard/Served?ServiceDateFrom=2025-11-24&amp;ServiceDateTo=2025-11-24&amp;DumpsterInvNr=13-P-212771", "13-P-212771")</f>
        <v>13-P-212771</v>
      </c>
      <c r="C10412">
        <v>0.24</v>
      </c>
      <c r="D10412" t="s">
        <v>12691</v>
      </c>
      <c r="E10412" t="s">
        <v>11</v>
      </c>
      <c r="G10412" t="s">
        <v>234</v>
      </c>
      <c r="H10412" t="s">
        <v>14</v>
      </c>
    </row>
    <row r="10413" spans="1:10" hidden="1" x14ac:dyDescent="0.25">
      <c r="A10413" t="s">
        <v>13892</v>
      </c>
      <c r="B10413" s="1" t="str">
        <f>HYPERLINK("https://asmlis.vasa.lt/Dashboard/Served?ServiceDateFrom=2025-11-24&amp;ServiceDateTo=2025-11-24&amp;DumpsterInvNr=13-S-211027", "13-S-211027")</f>
        <v>13-S-211027</v>
      </c>
      <c r="C10413">
        <v>0.12</v>
      </c>
      <c r="D10413" t="s">
        <v>12691</v>
      </c>
      <c r="E10413" t="s">
        <v>11</v>
      </c>
      <c r="G10413" t="s">
        <v>234</v>
      </c>
      <c r="H10413" t="s">
        <v>14</v>
      </c>
    </row>
    <row r="10414" spans="1:10" x14ac:dyDescent="0.25">
      <c r="A10414" t="s">
        <v>13635</v>
      </c>
      <c r="B10414" s="1" t="str">
        <f>HYPERLINK("https://asmlis.vasa.lt/Dashboard/Served?ServiceDateFrom=2025-11-24&amp;ServiceDateTo=2025-11-24&amp;DumpsterInvNr=13-L-417405", "13-L-417405")</f>
        <v>13-L-417405</v>
      </c>
      <c r="C10414">
        <v>0.24</v>
      </c>
      <c r="D10414" t="s">
        <v>8792</v>
      </c>
      <c r="E10414" t="s">
        <v>11</v>
      </c>
      <c r="F10414" t="s">
        <v>1215</v>
      </c>
      <c r="G10414" t="s">
        <v>74</v>
      </c>
      <c r="H10414" t="s">
        <v>14</v>
      </c>
      <c r="J10414" t="s">
        <v>17511</v>
      </c>
    </row>
    <row r="10415" spans="1:10" hidden="1" x14ac:dyDescent="0.25">
      <c r="A10415" t="s">
        <v>13635</v>
      </c>
      <c r="B10415" s="1" t="str">
        <f>HYPERLINK("https://asmlis.vasa.lt/Dashboard/Served?ServiceDateFrom=2025-11-24&amp;ServiceDateTo=2025-11-24&amp;DumpsterInvNr=13-L-124540", "13-L-124540")</f>
        <v>13-L-124540</v>
      </c>
      <c r="C10415">
        <v>1.1000000000000001</v>
      </c>
      <c r="D10415" t="s">
        <v>13893</v>
      </c>
      <c r="E10415" t="s">
        <v>11</v>
      </c>
      <c r="G10415" t="s">
        <v>430</v>
      </c>
      <c r="H10415" t="s">
        <v>432</v>
      </c>
    </row>
    <row r="10416" spans="1:10" x14ac:dyDescent="0.25">
      <c r="A10416" t="s">
        <v>13895</v>
      </c>
      <c r="B10416" s="1" t="str">
        <f>HYPERLINK("https://asmlis.vasa.lt/Dashboard/Served?ServiceDateFrom=2025-11-24&amp;ServiceDateTo=2025-11-24&amp;DumpsterInvNr=13-L-416613", "13-L-416613")</f>
        <v>13-L-416613</v>
      </c>
      <c r="C10416">
        <v>0.24</v>
      </c>
      <c r="D10416" t="s">
        <v>8835</v>
      </c>
      <c r="E10416" t="s">
        <v>11</v>
      </c>
      <c r="F10416" t="s">
        <v>1215</v>
      </c>
      <c r="G10416" t="s">
        <v>74</v>
      </c>
      <c r="H10416" t="s">
        <v>14</v>
      </c>
      <c r="J10416" t="s">
        <v>17511</v>
      </c>
    </row>
    <row r="10417" spans="1:10" hidden="1" x14ac:dyDescent="0.25">
      <c r="A10417" t="s">
        <v>13895</v>
      </c>
      <c r="B10417" s="1" t="str">
        <f>HYPERLINK("https://asmlis.vasa.lt/Dashboard/Served?ServiceDateFrom=2025-11-24&amp;ServiceDateTo=2025-11-24&amp;DumpsterInvNr=13-P-302634", "13-P-302634")</f>
        <v>13-P-302634</v>
      </c>
      <c r="C10417">
        <v>5</v>
      </c>
      <c r="D10417" t="s">
        <v>4873</v>
      </c>
      <c r="E10417" t="s">
        <v>11</v>
      </c>
      <c r="G10417" t="s">
        <v>412</v>
      </c>
      <c r="H10417" t="s">
        <v>14</v>
      </c>
    </row>
    <row r="10418" spans="1:10" hidden="1" x14ac:dyDescent="0.25">
      <c r="A10418" t="s">
        <v>13895</v>
      </c>
      <c r="B10418" s="1" t="str">
        <f>HYPERLINK("https://asmlis.vasa.lt/Dashboard/Served?ServiceDateFrom=2025-11-24&amp;ServiceDateTo=2025-11-24&amp;DumpsterInvNr=13-P-502522", "13-P-502522")</f>
        <v>13-P-502522</v>
      </c>
      <c r="C10418">
        <v>5</v>
      </c>
      <c r="D10418" t="s">
        <v>13897</v>
      </c>
      <c r="E10418" t="s">
        <v>11</v>
      </c>
      <c r="F10418" t="s">
        <v>13</v>
      </c>
      <c r="G10418" t="s">
        <v>2178</v>
      </c>
      <c r="H10418" t="s">
        <v>432</v>
      </c>
    </row>
    <row r="10419" spans="1:10" hidden="1" x14ac:dyDescent="0.25">
      <c r="A10419" t="s">
        <v>13898</v>
      </c>
      <c r="B10419" s="1" t="str">
        <f>HYPERLINK("https://asmlis.vasa.lt/Dashboard/Served?ServiceDateFrom=2025-11-24&amp;ServiceDateTo=2025-11-24&amp;DumpsterInvNr=13-S-205605", "13-S-205605")</f>
        <v>13-S-205605</v>
      </c>
      <c r="C10419">
        <v>0.12</v>
      </c>
      <c r="D10419" t="s">
        <v>12704</v>
      </c>
      <c r="E10419" t="s">
        <v>11</v>
      </c>
      <c r="F10419" t="s">
        <v>1209</v>
      </c>
      <c r="G10419" t="s">
        <v>234</v>
      </c>
      <c r="H10419" t="s">
        <v>14</v>
      </c>
    </row>
    <row r="10420" spans="1:10" hidden="1" x14ac:dyDescent="0.25">
      <c r="A10420" t="s">
        <v>13898</v>
      </c>
      <c r="B10420" s="1" t="str">
        <f>HYPERLINK("https://asmlis.vasa.lt/Dashboard/Served?ServiceDateFrom=2025-11-24&amp;ServiceDateTo=2025-11-24&amp;DumpsterInvNr=13-P-500243", "13-P-500243")</f>
        <v>13-P-500243</v>
      </c>
      <c r="C10420">
        <v>3</v>
      </c>
      <c r="D10420" t="s">
        <v>13900</v>
      </c>
      <c r="E10420" t="s">
        <v>11</v>
      </c>
      <c r="F10420" t="s">
        <v>13</v>
      </c>
      <c r="G10420" t="s">
        <v>2178</v>
      </c>
      <c r="H10420" t="s">
        <v>432</v>
      </c>
    </row>
    <row r="10421" spans="1:10" hidden="1" x14ac:dyDescent="0.25">
      <c r="A10421" t="s">
        <v>13902</v>
      </c>
      <c r="B10421" s="1" t="str">
        <f>HYPERLINK("https://asmlis.vasa.lt/Dashboard/Served?ServiceDateFrom=2025-11-24&amp;ServiceDateTo=2025-11-24&amp;DumpsterInvNr=13-P-109652", "13-P-109652")</f>
        <v>13-P-109652</v>
      </c>
      <c r="C10421">
        <v>0.24</v>
      </c>
      <c r="D10421" t="s">
        <v>13882</v>
      </c>
      <c r="E10421" t="s">
        <v>11</v>
      </c>
      <c r="G10421" t="s">
        <v>1917</v>
      </c>
      <c r="H10421" t="s">
        <v>432</v>
      </c>
    </row>
    <row r="10422" spans="1:10" hidden="1" x14ac:dyDescent="0.25">
      <c r="A10422" t="s">
        <v>13904</v>
      </c>
      <c r="B10422" s="1" t="str">
        <f>HYPERLINK("https://asmlis.vasa.lt/Dashboard/Served?ServiceDateFrom=2025-11-24&amp;ServiceDateTo=2025-11-24&amp;DumpsterInvNr=13-L-120112", "13-L-120112")</f>
        <v>13-L-120112</v>
      </c>
      <c r="C10422">
        <v>0.24</v>
      </c>
      <c r="D10422" t="s">
        <v>13882</v>
      </c>
      <c r="E10422" t="s">
        <v>11</v>
      </c>
      <c r="G10422" t="s">
        <v>1912</v>
      </c>
      <c r="H10422" t="s">
        <v>432</v>
      </c>
    </row>
    <row r="10423" spans="1:10" x14ac:dyDescent="0.25">
      <c r="A10423" t="s">
        <v>13904</v>
      </c>
      <c r="B10423" s="1" t="str">
        <f>HYPERLINK("https://asmlis.vasa.lt/Dashboard/Served?ServiceDateFrom=2025-11-24&amp;ServiceDateTo=2025-11-24&amp;DumpsterInvNr=13-L-417410", "13-L-417410")</f>
        <v>13-L-417410</v>
      </c>
      <c r="C10423">
        <v>0.24</v>
      </c>
      <c r="D10423" t="s">
        <v>8793</v>
      </c>
      <c r="E10423" t="s">
        <v>11</v>
      </c>
      <c r="F10423" t="s">
        <v>1215</v>
      </c>
      <c r="G10423" t="s">
        <v>74</v>
      </c>
      <c r="H10423" t="s">
        <v>14</v>
      </c>
      <c r="J10423" t="s">
        <v>17511</v>
      </c>
    </row>
    <row r="10424" spans="1:10" hidden="1" x14ac:dyDescent="0.25">
      <c r="A10424" t="s">
        <v>13907</v>
      </c>
      <c r="B10424" s="1" t="str">
        <f>HYPERLINK("https://asmlis.vasa.lt/Dashboard/Served?ServiceDateFrom=2025-11-24&amp;ServiceDateTo=2025-11-24&amp;DumpsterInvNr=13-S-212464", "13-S-212464")</f>
        <v>13-S-212464</v>
      </c>
      <c r="C10424">
        <v>1.8</v>
      </c>
      <c r="D10424" t="s">
        <v>13908</v>
      </c>
      <c r="E10424" t="s">
        <v>11</v>
      </c>
      <c r="F10424" t="s">
        <v>13</v>
      </c>
      <c r="G10424" t="s">
        <v>234</v>
      </c>
      <c r="H10424" t="s">
        <v>14</v>
      </c>
    </row>
    <row r="10425" spans="1:10" hidden="1" x14ac:dyDescent="0.25">
      <c r="A10425" t="s">
        <v>13909</v>
      </c>
      <c r="B10425" s="1" t="str">
        <f>HYPERLINK("https://asmlis.vasa.lt/Dashboard/Served?ServiceDateFrom=2025-11-24&amp;ServiceDateTo=2025-11-24&amp;DumpsterInvNr=13-P-102465", "13-P-102465")</f>
        <v>13-P-102465</v>
      </c>
      <c r="C10425">
        <v>5</v>
      </c>
      <c r="D10425" t="s">
        <v>13910</v>
      </c>
      <c r="E10425" t="s">
        <v>11</v>
      </c>
      <c r="F10425" t="s">
        <v>13</v>
      </c>
      <c r="G10425" t="s">
        <v>1917</v>
      </c>
      <c r="H10425" t="s">
        <v>432</v>
      </c>
    </row>
    <row r="10426" spans="1:10" hidden="1" x14ac:dyDescent="0.25">
      <c r="A10426" t="s">
        <v>13911</v>
      </c>
      <c r="B10426" s="1" t="str">
        <f>HYPERLINK("https://asmlis.vasa.lt/Dashboard/Served?ServiceDateFrom=2025-11-24&amp;ServiceDateTo=2025-11-24&amp;DumpsterInvNr=13-L-124539", "13-L-124539")</f>
        <v>13-L-124539</v>
      </c>
      <c r="C10426">
        <v>1.1000000000000001</v>
      </c>
      <c r="D10426" t="s">
        <v>13912</v>
      </c>
      <c r="E10426" t="s">
        <v>11</v>
      </c>
      <c r="G10426" t="s">
        <v>430</v>
      </c>
      <c r="H10426" t="s">
        <v>432</v>
      </c>
    </row>
    <row r="10427" spans="1:10" x14ac:dyDescent="0.25">
      <c r="A10427" t="s">
        <v>13913</v>
      </c>
      <c r="B10427" s="1" t="str">
        <f>HYPERLINK("https://asmlis.vasa.lt/Dashboard/Served?ServiceDateFrom=2025-11-24&amp;ServiceDateTo=2025-11-24&amp;DumpsterInvNr=13-L-404614", "13-L-404614")</f>
        <v>13-L-404614</v>
      </c>
      <c r="C10427">
        <v>0.12</v>
      </c>
      <c r="D10427" t="s">
        <v>8794</v>
      </c>
      <c r="E10427" t="s">
        <v>11</v>
      </c>
      <c r="F10427" t="s">
        <v>1215</v>
      </c>
      <c r="G10427" t="s">
        <v>74</v>
      </c>
      <c r="H10427" t="s">
        <v>14</v>
      </c>
      <c r="J10427" t="s">
        <v>17511</v>
      </c>
    </row>
    <row r="10428" spans="1:10" hidden="1" x14ac:dyDescent="0.25">
      <c r="A10428" t="s">
        <v>13914</v>
      </c>
      <c r="B10428" s="1" t="str">
        <f>HYPERLINK("https://asmlis.vasa.lt/Dashboard/Served?ServiceDateFrom=2025-11-24&amp;ServiceDateTo=2025-11-24&amp;DumpsterInvNr=13-P-401185", "13-P-401185")</f>
        <v>13-P-401185</v>
      </c>
      <c r="C10428">
        <v>1.1000000000000001</v>
      </c>
      <c r="D10428" t="s">
        <v>13915</v>
      </c>
      <c r="E10428" t="s">
        <v>11</v>
      </c>
      <c r="G10428" t="s">
        <v>264</v>
      </c>
      <c r="H10428" t="s">
        <v>14</v>
      </c>
    </row>
    <row r="10429" spans="1:10" hidden="1" x14ac:dyDescent="0.25">
      <c r="A10429" t="s">
        <v>13916</v>
      </c>
      <c r="B10429" s="1" t="str">
        <f>HYPERLINK("https://asmlis.vasa.lt/Dashboard/Served?ServiceDateFrom=2025-11-24&amp;ServiceDateTo=2025-11-24&amp;DumpsterInvNr=13-L-313778", "13-L-313778")</f>
        <v>13-L-313778</v>
      </c>
      <c r="C10429">
        <v>1.1000000000000001</v>
      </c>
      <c r="D10429" t="s">
        <v>13840</v>
      </c>
      <c r="E10429" t="s">
        <v>11</v>
      </c>
      <c r="G10429" t="s">
        <v>9</v>
      </c>
      <c r="H10429" t="s">
        <v>14</v>
      </c>
    </row>
    <row r="10430" spans="1:10" x14ac:dyDescent="0.25">
      <c r="A10430" t="s">
        <v>13917</v>
      </c>
      <c r="B10430" s="1" t="str">
        <f>HYPERLINK("https://asmlis.vasa.lt/Dashboard/Served?ServiceDateFrom=2025-11-24&amp;ServiceDateTo=2025-11-24&amp;DumpsterInvNr=13-L-417112", "13-L-417112")</f>
        <v>13-L-417112</v>
      </c>
      <c r="C10430">
        <v>0.12</v>
      </c>
      <c r="D10430" t="s">
        <v>8797</v>
      </c>
      <c r="E10430" t="s">
        <v>11</v>
      </c>
      <c r="F10430" t="s">
        <v>1215</v>
      </c>
      <c r="G10430" t="s">
        <v>74</v>
      </c>
      <c r="H10430" t="s">
        <v>14</v>
      </c>
      <c r="J10430" t="s">
        <v>17511</v>
      </c>
    </row>
    <row r="10431" spans="1:10" hidden="1" x14ac:dyDescent="0.25">
      <c r="A10431" t="s">
        <v>13918</v>
      </c>
      <c r="B10431" s="1" t="str">
        <f>HYPERLINK("https://asmlis.vasa.lt/Dashboard/Served?ServiceDateFrom=2025-11-24&amp;ServiceDateTo=2025-11-24&amp;DumpsterInvNr=13-P-400557", "13-P-400557")</f>
        <v>13-P-400557</v>
      </c>
      <c r="C10431">
        <v>5</v>
      </c>
      <c r="D10431" t="s">
        <v>9571</v>
      </c>
      <c r="E10431" t="s">
        <v>11</v>
      </c>
      <c r="F10431" t="s">
        <v>13</v>
      </c>
      <c r="G10431" t="s">
        <v>264</v>
      </c>
      <c r="H10431" t="s">
        <v>14</v>
      </c>
    </row>
    <row r="10432" spans="1:10" hidden="1" x14ac:dyDescent="0.25">
      <c r="A10432" t="s">
        <v>13919</v>
      </c>
      <c r="B10432" s="1" t="str">
        <f>HYPERLINK("https://asmlis.vasa.lt/Dashboard/Served?ServiceDateFrom=2025-11-24&amp;ServiceDateTo=2025-11-24&amp;DumpsterInvNr=13-S-107140", "13-S-107140")</f>
        <v>13-S-107140</v>
      </c>
      <c r="C10432">
        <v>0.12</v>
      </c>
      <c r="D10432" t="s">
        <v>13882</v>
      </c>
      <c r="E10432" t="s">
        <v>11</v>
      </c>
      <c r="F10432" t="s">
        <v>1209</v>
      </c>
      <c r="G10432" t="s">
        <v>1917</v>
      </c>
      <c r="H10432" t="s">
        <v>432</v>
      </c>
    </row>
    <row r="10433" spans="1:10" hidden="1" x14ac:dyDescent="0.25">
      <c r="A10433" t="s">
        <v>13920</v>
      </c>
      <c r="B10433" s="1" t="str">
        <f>HYPERLINK("https://asmlis.vasa.lt/Dashboard/Served?ServiceDateFrom=2025-11-24&amp;ServiceDateTo=2025-11-24&amp;DumpsterInvNr=13-P-112510", "13-P-112510")</f>
        <v>13-P-112510</v>
      </c>
      <c r="C10433">
        <v>0.24</v>
      </c>
      <c r="D10433" t="s">
        <v>13882</v>
      </c>
      <c r="E10433" t="s">
        <v>11</v>
      </c>
      <c r="F10433" t="s">
        <v>1209</v>
      </c>
      <c r="G10433" t="s">
        <v>1917</v>
      </c>
      <c r="H10433" t="s">
        <v>432</v>
      </c>
    </row>
    <row r="10434" spans="1:10" x14ac:dyDescent="0.25">
      <c r="A10434" t="s">
        <v>13922</v>
      </c>
      <c r="B10434" s="1" t="str">
        <f>HYPERLINK("https://asmlis.vasa.lt/Dashboard/Served?ServiceDateFrom=2025-11-24&amp;ServiceDateTo=2025-11-24&amp;DumpsterInvNr=13-L-417926", "13-L-417926")</f>
        <v>13-L-417926</v>
      </c>
      <c r="C10434">
        <v>0.24</v>
      </c>
      <c r="D10434" t="s">
        <v>8795</v>
      </c>
      <c r="E10434" t="s">
        <v>11</v>
      </c>
      <c r="F10434" t="s">
        <v>1215</v>
      </c>
      <c r="G10434" t="s">
        <v>74</v>
      </c>
      <c r="H10434" t="s">
        <v>14</v>
      </c>
      <c r="J10434" t="s">
        <v>17511</v>
      </c>
    </row>
    <row r="10435" spans="1:10" hidden="1" x14ac:dyDescent="0.25">
      <c r="A10435" t="s">
        <v>13923</v>
      </c>
      <c r="B10435" s="1" t="str">
        <f>HYPERLINK("https://asmlis.vasa.lt/Dashboard/Served?ServiceDateFrom=2025-11-24&amp;ServiceDateTo=2025-11-24&amp;DumpsterInvNr=13-L-414344", "13-L-414344")</f>
        <v>13-L-414344</v>
      </c>
      <c r="C10435">
        <v>5</v>
      </c>
      <c r="D10435" t="s">
        <v>13924</v>
      </c>
      <c r="E10435" t="s">
        <v>11</v>
      </c>
      <c r="F10435" t="s">
        <v>13</v>
      </c>
      <c r="G10435" t="s">
        <v>74</v>
      </c>
      <c r="H10435" t="s">
        <v>14</v>
      </c>
    </row>
    <row r="10436" spans="1:10" hidden="1" x14ac:dyDescent="0.25">
      <c r="A10436" t="s">
        <v>13925</v>
      </c>
      <c r="B10436" s="1" t="str">
        <f>HYPERLINK("https://asmlis.vasa.lt/Dashboard/Served?ServiceDateFrom=2025-11-24&amp;ServiceDateTo=2025-11-24&amp;DumpsterInvNr=13-P-206157", "13-P-206157")</f>
        <v>13-P-206157</v>
      </c>
      <c r="C10436">
        <v>0.24</v>
      </c>
      <c r="D10436" t="s">
        <v>12174</v>
      </c>
      <c r="E10436" t="s">
        <v>11</v>
      </c>
      <c r="G10436" t="s">
        <v>234</v>
      </c>
      <c r="H10436" t="s">
        <v>14</v>
      </c>
    </row>
    <row r="10437" spans="1:10" hidden="1" x14ac:dyDescent="0.25">
      <c r="A10437" t="s">
        <v>13925</v>
      </c>
      <c r="B10437" s="1" t="str">
        <f>HYPERLINK("https://asmlis.vasa.lt/Dashboard/Served?ServiceDateFrom=2025-11-24&amp;ServiceDateTo=2025-11-24&amp;DumpsterInvNr=13-S-205650", "13-S-205650")</f>
        <v>13-S-205650</v>
      </c>
      <c r="C10437">
        <v>0.12</v>
      </c>
      <c r="D10437" t="s">
        <v>12174</v>
      </c>
      <c r="E10437" t="s">
        <v>11</v>
      </c>
      <c r="G10437" t="s">
        <v>234</v>
      </c>
      <c r="H10437" t="s">
        <v>14</v>
      </c>
    </row>
    <row r="10438" spans="1:10" x14ac:dyDescent="0.25">
      <c r="A10438" t="s">
        <v>13926</v>
      </c>
      <c r="B10438" s="1" t="str">
        <f>HYPERLINK("https://asmlis.vasa.lt/Dashboard/Served?ServiceDateFrom=2025-11-24&amp;ServiceDateTo=2025-11-24&amp;DumpsterInvNr=13-L-426464", "13-L-426464")</f>
        <v>13-L-426464</v>
      </c>
      <c r="C10438">
        <v>0.24</v>
      </c>
      <c r="D10438" t="s">
        <v>8796</v>
      </c>
      <c r="E10438" t="s">
        <v>11</v>
      </c>
      <c r="F10438" t="s">
        <v>1215</v>
      </c>
      <c r="G10438" t="s">
        <v>74</v>
      </c>
      <c r="H10438" t="s">
        <v>14</v>
      </c>
      <c r="J10438" t="s">
        <v>17511</v>
      </c>
    </row>
    <row r="10439" spans="1:10" hidden="1" x14ac:dyDescent="0.25">
      <c r="A10439" t="s">
        <v>13928</v>
      </c>
      <c r="B10439" s="1" t="str">
        <f>HYPERLINK("https://asmlis.vasa.lt/Dashboard/Served?ServiceDateFrom=2025-11-24&amp;ServiceDateTo=2025-11-24&amp;DumpsterInvNr=13-L-119875", "13-L-119875")</f>
        <v>13-L-119875</v>
      </c>
      <c r="C10439">
        <v>0.24</v>
      </c>
      <c r="D10439" t="s">
        <v>13929</v>
      </c>
      <c r="E10439" t="s">
        <v>11</v>
      </c>
      <c r="G10439" t="s">
        <v>430</v>
      </c>
      <c r="H10439" t="s">
        <v>432</v>
      </c>
    </row>
    <row r="10440" spans="1:10" hidden="1" x14ac:dyDescent="0.25">
      <c r="A10440" t="s">
        <v>13928</v>
      </c>
      <c r="B10440" s="1" t="str">
        <f>HYPERLINK("https://asmlis.vasa.lt/Dashboard/Served?ServiceDateFrom=2025-11-24&amp;ServiceDateTo=2025-11-24&amp;DumpsterInvNr=13-P-502721", "13-P-502721")</f>
        <v>13-P-502721</v>
      </c>
      <c r="C10440">
        <v>0.12</v>
      </c>
      <c r="D10440" t="s">
        <v>13929</v>
      </c>
      <c r="E10440" t="s">
        <v>11</v>
      </c>
      <c r="G10440" t="s">
        <v>2178</v>
      </c>
      <c r="H10440" t="s">
        <v>432</v>
      </c>
    </row>
    <row r="10441" spans="1:10" x14ac:dyDescent="0.25">
      <c r="A10441" t="s">
        <v>13927</v>
      </c>
      <c r="B10441" s="1" t="str">
        <f>HYPERLINK("https://asmlis.vasa.lt/Dashboard/Served?ServiceDateFrom=2025-11-24&amp;ServiceDateTo=2025-11-24&amp;DumpsterInvNr=13-L-415070", "13-L-415070")</f>
        <v>13-L-415070</v>
      </c>
      <c r="C10441">
        <v>0.24</v>
      </c>
      <c r="D10441" t="s">
        <v>8798</v>
      </c>
      <c r="E10441" t="s">
        <v>11</v>
      </c>
      <c r="F10441" t="s">
        <v>1215</v>
      </c>
      <c r="G10441" t="s">
        <v>74</v>
      </c>
      <c r="H10441" t="s">
        <v>14</v>
      </c>
      <c r="J10441" t="s">
        <v>17511</v>
      </c>
    </row>
    <row r="10442" spans="1:10" hidden="1" x14ac:dyDescent="0.25">
      <c r="A10442" t="s">
        <v>13930</v>
      </c>
      <c r="B10442" s="1" t="str">
        <f>HYPERLINK("https://asmlis.vasa.lt/Dashboard/Served?ServiceDateFrom=2025-11-24&amp;ServiceDateTo=2025-11-24&amp;DumpsterInvNr=13-L-120111", "13-L-120111")</f>
        <v>13-L-120111</v>
      </c>
      <c r="C10442">
        <v>0.12</v>
      </c>
      <c r="D10442" t="s">
        <v>13931</v>
      </c>
      <c r="E10442" t="s">
        <v>11</v>
      </c>
      <c r="G10442" t="s">
        <v>1912</v>
      </c>
      <c r="H10442" t="s">
        <v>432</v>
      </c>
    </row>
    <row r="10443" spans="1:10" hidden="1" x14ac:dyDescent="0.25">
      <c r="A10443" t="s">
        <v>13930</v>
      </c>
      <c r="B10443" s="1" t="str">
        <f>HYPERLINK("https://asmlis.vasa.lt/Dashboard/Served?ServiceDateFrom=2025-11-24&amp;ServiceDateTo=2025-11-24&amp;DumpsterInvNr=13-L-423801", "13-L-423801")</f>
        <v>13-L-423801</v>
      </c>
      <c r="C10443">
        <v>5</v>
      </c>
      <c r="D10443" t="s">
        <v>13932</v>
      </c>
      <c r="E10443" t="s">
        <v>11</v>
      </c>
      <c r="F10443" t="s">
        <v>13</v>
      </c>
      <c r="G10443" t="s">
        <v>74</v>
      </c>
      <c r="H10443" t="s">
        <v>14</v>
      </c>
    </row>
    <row r="10444" spans="1:10" hidden="1" x14ac:dyDescent="0.25">
      <c r="A10444" t="s">
        <v>13933</v>
      </c>
      <c r="B10444" s="1" t="str">
        <f>HYPERLINK("https://asmlis.vasa.lt/Dashboard/Served?ServiceDateFrom=2025-11-24&amp;ServiceDateTo=2025-11-24&amp;DumpsterInvNr=13-S-107146", "13-S-107146")</f>
        <v>13-S-107146</v>
      </c>
      <c r="C10444">
        <v>0.12</v>
      </c>
      <c r="D10444" t="s">
        <v>13931</v>
      </c>
      <c r="E10444" t="s">
        <v>11</v>
      </c>
      <c r="G10444" t="s">
        <v>1917</v>
      </c>
      <c r="H10444" t="s">
        <v>432</v>
      </c>
    </row>
    <row r="10445" spans="1:10" hidden="1" x14ac:dyDescent="0.25">
      <c r="A10445" t="s">
        <v>13934</v>
      </c>
      <c r="B10445" s="1" t="str">
        <f>HYPERLINK("https://asmlis.vasa.lt/Dashboard/Served?ServiceDateFrom=2025-11-24&amp;ServiceDateTo=2025-11-24&amp;DumpsterInvNr=13-P-112674", "13-P-112674")</f>
        <v>13-P-112674</v>
      </c>
      <c r="C10445">
        <v>0.24</v>
      </c>
      <c r="D10445" t="s">
        <v>13931</v>
      </c>
      <c r="E10445" t="s">
        <v>11</v>
      </c>
      <c r="G10445" t="s">
        <v>1917</v>
      </c>
      <c r="H10445" t="s">
        <v>432</v>
      </c>
    </row>
    <row r="10446" spans="1:10" hidden="1" x14ac:dyDescent="0.25">
      <c r="A10446" t="s">
        <v>13935</v>
      </c>
      <c r="B10446" s="1" t="str">
        <f>HYPERLINK("https://asmlis.vasa.lt/Dashboard/Served?ServiceDateFrom=2025-11-24&amp;ServiceDateTo=2025-11-24&amp;DumpsterInvNr=13-L-422556", "13-L-422556")</f>
        <v>13-L-422556</v>
      </c>
      <c r="C10446">
        <v>1.1000000000000001</v>
      </c>
      <c r="D10446" t="s">
        <v>13867</v>
      </c>
      <c r="E10446" t="s">
        <v>11</v>
      </c>
      <c r="F10446" t="s">
        <v>13</v>
      </c>
      <c r="G10446" t="s">
        <v>74</v>
      </c>
      <c r="H10446" t="s">
        <v>14</v>
      </c>
    </row>
    <row r="10447" spans="1:10" hidden="1" x14ac:dyDescent="0.25">
      <c r="A10447" t="s">
        <v>13936</v>
      </c>
      <c r="B10447" s="1" t="str">
        <f>HYPERLINK("https://asmlis.vasa.lt/Dashboard/Served?ServiceDateFrom=2025-11-24&amp;ServiceDateTo=2025-11-24&amp;DumpsterInvNr=13-P-212852", "13-P-212852")</f>
        <v>13-P-212852</v>
      </c>
      <c r="C10447">
        <v>0.24</v>
      </c>
      <c r="D10447" t="s">
        <v>13937</v>
      </c>
      <c r="E10447" t="s">
        <v>11</v>
      </c>
      <c r="F10447" t="s">
        <v>13</v>
      </c>
      <c r="G10447" t="s">
        <v>234</v>
      </c>
      <c r="H10447" t="s">
        <v>14</v>
      </c>
    </row>
    <row r="10448" spans="1:10" hidden="1" x14ac:dyDescent="0.25">
      <c r="A10448" t="s">
        <v>13936</v>
      </c>
      <c r="B10448" s="1" t="str">
        <f>HYPERLINK("https://asmlis.vasa.lt/Dashboard/Served?ServiceDateFrom=2025-11-24&amp;ServiceDateTo=2025-11-24&amp;DumpsterInvNr=13-L-319653", "13-L-319653")</f>
        <v>13-L-319653</v>
      </c>
      <c r="C10448">
        <v>5</v>
      </c>
      <c r="D10448" t="s">
        <v>13938</v>
      </c>
      <c r="E10448" t="s">
        <v>11</v>
      </c>
      <c r="F10448" t="s">
        <v>13</v>
      </c>
      <c r="G10448" t="s">
        <v>9</v>
      </c>
      <c r="H10448" t="s">
        <v>14</v>
      </c>
    </row>
    <row r="10449" spans="1:8" hidden="1" x14ac:dyDescent="0.25">
      <c r="A10449" t="s">
        <v>13939</v>
      </c>
      <c r="B10449" s="1" t="str">
        <f>HYPERLINK("https://asmlis.vasa.lt/Dashboard/Served?ServiceDateFrom=2025-11-24&amp;ServiceDateTo=2025-11-24&amp;DumpsterInvNr=13-L-425693", "13-L-425693")</f>
        <v>13-L-425693</v>
      </c>
      <c r="C10449">
        <v>1.1000000000000001</v>
      </c>
      <c r="D10449" t="s">
        <v>13867</v>
      </c>
      <c r="E10449" t="s">
        <v>11</v>
      </c>
      <c r="F10449" t="s">
        <v>13</v>
      </c>
      <c r="G10449" t="s">
        <v>74</v>
      </c>
      <c r="H10449" t="s">
        <v>14</v>
      </c>
    </row>
    <row r="10450" spans="1:8" hidden="1" x14ac:dyDescent="0.25">
      <c r="A10450" t="s">
        <v>13939</v>
      </c>
      <c r="B10450" s="1" t="str">
        <f>HYPERLINK("https://asmlis.vasa.lt/Dashboard/Served?ServiceDateFrom=2025-11-24&amp;ServiceDateTo=2025-11-24&amp;DumpsterInvNr=13-L-311189", "13-L-311189")</f>
        <v>13-L-311189</v>
      </c>
      <c r="C10450">
        <v>1.1000000000000001</v>
      </c>
      <c r="D10450" t="s">
        <v>13840</v>
      </c>
      <c r="E10450" t="s">
        <v>11</v>
      </c>
      <c r="G10450" t="s">
        <v>9</v>
      </c>
      <c r="H10450" t="s">
        <v>14</v>
      </c>
    </row>
    <row r="10451" spans="1:8" hidden="1" x14ac:dyDescent="0.25">
      <c r="A10451" t="s">
        <v>13940</v>
      </c>
      <c r="B10451" s="1" t="str">
        <f>HYPERLINK("https://asmlis.vasa.lt/Dashboard/Served?ServiceDateFrom=2025-11-24&amp;ServiceDateTo=2025-11-24&amp;DumpsterInvNr=13-S-505369", "13-S-505369")</f>
        <v>13-S-505369</v>
      </c>
      <c r="C10451">
        <v>0.12</v>
      </c>
      <c r="D10451" t="s">
        <v>13941</v>
      </c>
      <c r="E10451" t="s">
        <v>11</v>
      </c>
      <c r="G10451" t="s">
        <v>2178</v>
      </c>
      <c r="H10451" t="s">
        <v>432</v>
      </c>
    </row>
    <row r="10452" spans="1:8" hidden="1" x14ac:dyDescent="0.25">
      <c r="A10452" t="s">
        <v>13942</v>
      </c>
      <c r="B10452" s="1" t="str">
        <f>HYPERLINK("https://asmlis.vasa.lt/Dashboard/Served?ServiceDateFrom=2025-11-24&amp;ServiceDateTo=2025-11-24&amp;DumpsterInvNr=13-L-144525", "13-L-144525")</f>
        <v>13-L-144525</v>
      </c>
      <c r="C10452">
        <v>5</v>
      </c>
      <c r="D10452" t="s">
        <v>7371</v>
      </c>
      <c r="E10452" t="s">
        <v>11</v>
      </c>
      <c r="F10452" t="s">
        <v>13</v>
      </c>
      <c r="G10452" t="s">
        <v>430</v>
      </c>
      <c r="H10452" t="s">
        <v>432</v>
      </c>
    </row>
    <row r="10453" spans="1:8" hidden="1" x14ac:dyDescent="0.25">
      <c r="A10453" t="s">
        <v>13943</v>
      </c>
      <c r="B10453" s="1" t="str">
        <f>HYPERLINK("https://asmlis.vasa.lt/Dashboard/Served?ServiceDateFrom=2025-11-24&amp;ServiceDateTo=2025-11-24&amp;DumpsterInvNr=13-L-124538", "13-L-124538")</f>
        <v>13-L-124538</v>
      </c>
      <c r="C10453">
        <v>0.77</v>
      </c>
      <c r="D10453" t="s">
        <v>13944</v>
      </c>
      <c r="E10453" t="s">
        <v>11</v>
      </c>
      <c r="G10453" t="s">
        <v>430</v>
      </c>
      <c r="H10453" t="s">
        <v>432</v>
      </c>
    </row>
    <row r="10454" spans="1:8" hidden="1" x14ac:dyDescent="0.25">
      <c r="A10454" t="s">
        <v>13946</v>
      </c>
      <c r="B10454" s="1" t="str">
        <f>HYPERLINK("https://asmlis.vasa.lt/Dashboard/Served?ServiceDateFrom=2025-11-24&amp;ServiceDateTo=2025-11-24&amp;DumpsterInvNr=13-L-109819", "13-L-109819")</f>
        <v>13-L-109819</v>
      </c>
      <c r="C10454">
        <v>0.12</v>
      </c>
      <c r="D10454" t="s">
        <v>13941</v>
      </c>
      <c r="E10454" t="s">
        <v>11</v>
      </c>
      <c r="G10454" t="s">
        <v>430</v>
      </c>
      <c r="H10454" t="s">
        <v>432</v>
      </c>
    </row>
    <row r="10455" spans="1:8" hidden="1" x14ac:dyDescent="0.25">
      <c r="A10455" t="s">
        <v>13947</v>
      </c>
      <c r="B10455" s="1" t="str">
        <f>HYPERLINK("https://asmlis.vasa.lt/Dashboard/Served?ServiceDateFrom=2025-11-24&amp;ServiceDateTo=2025-11-24&amp;DumpsterInvNr=13-L-139434", "13-L-139434")</f>
        <v>13-L-139434</v>
      </c>
      <c r="C10455">
        <v>5</v>
      </c>
      <c r="D10455" t="s">
        <v>13948</v>
      </c>
      <c r="E10455" t="s">
        <v>11</v>
      </c>
      <c r="F10455" t="s">
        <v>13</v>
      </c>
      <c r="G10455" t="s">
        <v>1912</v>
      </c>
      <c r="H10455" t="s">
        <v>432</v>
      </c>
    </row>
    <row r="10456" spans="1:8" hidden="1" x14ac:dyDescent="0.25">
      <c r="A10456" t="s">
        <v>13949</v>
      </c>
      <c r="B10456" s="1" t="str">
        <f>HYPERLINK("https://asmlis.vasa.lt/Dashboard/Served?ServiceDateFrom=2025-11-24&amp;ServiceDateTo=2025-11-24&amp;DumpsterInvNr=13-L-104244", "13-L-104244")</f>
        <v>13-L-104244</v>
      </c>
      <c r="C10456">
        <v>5</v>
      </c>
      <c r="D10456" t="s">
        <v>13950</v>
      </c>
      <c r="E10456" t="s">
        <v>11</v>
      </c>
      <c r="F10456" t="s">
        <v>13</v>
      </c>
      <c r="G10456" t="s">
        <v>430</v>
      </c>
      <c r="H10456" t="s">
        <v>432</v>
      </c>
    </row>
    <row r="10457" spans="1:8" hidden="1" x14ac:dyDescent="0.25">
      <c r="A10457" t="s">
        <v>13951</v>
      </c>
      <c r="B10457" s="1" t="str">
        <f>HYPERLINK("https://asmlis.vasa.lt/Dashboard/Served?ServiceDateFrom=2025-11-24&amp;ServiceDateTo=2025-11-24&amp;DumpsterInvNr=13-P-502722", "13-P-502722")</f>
        <v>13-P-502722</v>
      </c>
      <c r="C10457">
        <v>0.24</v>
      </c>
      <c r="D10457" t="s">
        <v>13941</v>
      </c>
      <c r="E10457" t="s">
        <v>11</v>
      </c>
      <c r="G10457" t="s">
        <v>2178</v>
      </c>
      <c r="H10457" t="s">
        <v>432</v>
      </c>
    </row>
    <row r="10458" spans="1:8" hidden="1" x14ac:dyDescent="0.25">
      <c r="A10458" t="s">
        <v>13952</v>
      </c>
      <c r="B10458" s="1" t="str">
        <f>HYPERLINK("https://asmlis.vasa.lt/Dashboard/Served?ServiceDateFrom=2025-11-24&amp;ServiceDateTo=2025-11-24&amp;DumpsterInvNr=13-L-144854", "13-L-144854")</f>
        <v>13-L-144854</v>
      </c>
      <c r="C10458">
        <v>5</v>
      </c>
      <c r="D10458" t="s">
        <v>13953</v>
      </c>
      <c r="E10458" t="s">
        <v>11</v>
      </c>
      <c r="F10458" t="s">
        <v>13</v>
      </c>
      <c r="G10458" t="s">
        <v>430</v>
      </c>
      <c r="H10458" t="s">
        <v>432</v>
      </c>
    </row>
    <row r="10459" spans="1:8" hidden="1" x14ac:dyDescent="0.25">
      <c r="A10459" t="s">
        <v>13955</v>
      </c>
      <c r="B10459" s="1" t="str">
        <f>HYPERLINK("https://asmlis.vasa.lt/Dashboard/Served?ServiceDateFrom=2025-11-24&amp;ServiceDateTo=2025-11-24&amp;DumpsterInvNr=13-P-212491", "13-P-212491")</f>
        <v>13-P-212491</v>
      </c>
      <c r="C10459">
        <v>0.24</v>
      </c>
      <c r="D10459" t="s">
        <v>12184</v>
      </c>
      <c r="E10459" t="s">
        <v>11</v>
      </c>
      <c r="G10459" t="s">
        <v>234</v>
      </c>
      <c r="H10459" t="s">
        <v>14</v>
      </c>
    </row>
    <row r="10460" spans="1:8" hidden="1" x14ac:dyDescent="0.25">
      <c r="A10460" t="s">
        <v>13956</v>
      </c>
      <c r="B10460" s="1" t="str">
        <f>HYPERLINK("https://asmlis.vasa.lt/Dashboard/Served?ServiceDateFrom=2025-11-24&amp;ServiceDateTo=2025-11-24&amp;DumpsterInvNr=13-L-317029", "13-L-317029")</f>
        <v>13-L-317029</v>
      </c>
      <c r="C10460">
        <v>1.1000000000000001</v>
      </c>
      <c r="D10460" t="s">
        <v>13840</v>
      </c>
      <c r="E10460" t="s">
        <v>11</v>
      </c>
      <c r="G10460" t="s">
        <v>9</v>
      </c>
      <c r="H10460" t="s">
        <v>14</v>
      </c>
    </row>
    <row r="10461" spans="1:8" hidden="1" x14ac:dyDescent="0.25">
      <c r="A10461" t="s">
        <v>13957</v>
      </c>
      <c r="B10461" s="1" t="str">
        <f>HYPERLINK("https://asmlis.vasa.lt/Dashboard/Served?ServiceDateFrom=2025-11-24&amp;ServiceDateTo=2025-11-24&amp;DumpsterInvNr=13-L-111856", "13-L-111856")</f>
        <v>13-L-111856</v>
      </c>
      <c r="C10461">
        <v>1.1000000000000001</v>
      </c>
      <c r="D10461" t="s">
        <v>13958</v>
      </c>
      <c r="E10461" t="s">
        <v>11</v>
      </c>
      <c r="G10461" t="s">
        <v>1912</v>
      </c>
      <c r="H10461" t="s">
        <v>432</v>
      </c>
    </row>
    <row r="10462" spans="1:8" hidden="1" x14ac:dyDescent="0.25">
      <c r="A10462" t="s">
        <v>13960</v>
      </c>
      <c r="B10462" s="1" t="str">
        <f>HYPERLINK("https://asmlis.vasa.lt/Dashboard/Served?ServiceDateFrom=2025-11-24&amp;ServiceDateTo=2025-11-24&amp;DumpsterInvNr=13-L-124645", "13-L-124645")</f>
        <v>13-L-124645</v>
      </c>
      <c r="C10462">
        <v>1.1000000000000001</v>
      </c>
      <c r="D10462" t="s">
        <v>13961</v>
      </c>
      <c r="E10462" t="s">
        <v>11</v>
      </c>
      <c r="G10462" t="s">
        <v>430</v>
      </c>
      <c r="H10462" t="s">
        <v>432</v>
      </c>
    </row>
    <row r="10463" spans="1:8" hidden="1" x14ac:dyDescent="0.25">
      <c r="A10463" t="s">
        <v>13960</v>
      </c>
      <c r="B10463" s="1" t="str">
        <f>HYPERLINK("https://asmlis.vasa.lt/Dashboard/Served?ServiceDateFrom=2025-11-24&amp;ServiceDateTo=2025-11-24&amp;DumpsterInvNr=13-P-500238", "13-P-500238")</f>
        <v>13-P-500238</v>
      </c>
      <c r="C10463">
        <v>3</v>
      </c>
      <c r="D10463" t="s">
        <v>13962</v>
      </c>
      <c r="E10463" t="s">
        <v>11</v>
      </c>
      <c r="F10463" t="s">
        <v>13</v>
      </c>
      <c r="G10463" t="s">
        <v>2178</v>
      </c>
      <c r="H10463" t="s">
        <v>432</v>
      </c>
    </row>
    <row r="10464" spans="1:8" hidden="1" x14ac:dyDescent="0.25">
      <c r="A10464" t="s">
        <v>13963</v>
      </c>
      <c r="B10464" s="1" t="str">
        <f>HYPERLINK("https://asmlis.vasa.lt/Dashboard/Served?ServiceDateFrom=2025-11-24&amp;ServiceDateTo=2025-11-24&amp;DumpsterInvNr=13-P-212914", "13-P-212914")</f>
        <v>13-P-212914</v>
      </c>
      <c r="C10464">
        <v>0.24</v>
      </c>
      <c r="D10464" t="s">
        <v>12176</v>
      </c>
      <c r="E10464" t="s">
        <v>11</v>
      </c>
      <c r="F10464" t="s">
        <v>1209</v>
      </c>
      <c r="G10464" t="s">
        <v>234</v>
      </c>
      <c r="H10464" t="s">
        <v>14</v>
      </c>
    </row>
    <row r="10465" spans="1:10" hidden="1" x14ac:dyDescent="0.25">
      <c r="A10465" t="s">
        <v>13964</v>
      </c>
      <c r="B10465" s="1" t="str">
        <f>HYPERLINK("https://asmlis.vasa.lt/Dashboard/Served?ServiceDateFrom=2025-11-24&amp;ServiceDateTo=2025-11-24&amp;DumpsterInvNr=13-S-504966", "13-S-504966")</f>
        <v>13-S-504966</v>
      </c>
      <c r="C10465">
        <v>0.12</v>
      </c>
      <c r="D10465" t="s">
        <v>13929</v>
      </c>
      <c r="E10465" t="s">
        <v>11</v>
      </c>
      <c r="F10465" t="s">
        <v>1209</v>
      </c>
      <c r="G10465" t="s">
        <v>2178</v>
      </c>
      <c r="H10465" t="s">
        <v>432</v>
      </c>
    </row>
    <row r="10466" spans="1:10" hidden="1" x14ac:dyDescent="0.25">
      <c r="A10466" t="s">
        <v>13965</v>
      </c>
      <c r="B10466" s="1" t="str">
        <f>HYPERLINK("https://asmlis.vasa.lt/Dashboard/Served?ServiceDateFrom=2025-11-24&amp;ServiceDateTo=2025-11-24&amp;DumpsterInvNr=13-L-421985", "13-L-421985")</f>
        <v>13-L-421985</v>
      </c>
      <c r="C10466">
        <v>5</v>
      </c>
      <c r="D10466" t="s">
        <v>13966</v>
      </c>
      <c r="E10466" t="s">
        <v>11</v>
      </c>
      <c r="G10466" t="s">
        <v>74</v>
      </c>
      <c r="H10466" t="s">
        <v>14</v>
      </c>
    </row>
    <row r="10467" spans="1:10" hidden="1" x14ac:dyDescent="0.25">
      <c r="A10467" t="s">
        <v>13965</v>
      </c>
      <c r="B10467" s="1" t="str">
        <f>HYPERLINK("https://asmlis.vasa.lt/Dashboard/Served?ServiceDateFrom=2025-11-24&amp;ServiceDateTo=2025-11-24&amp;DumpsterInvNr=13-P-500652", "13-P-500652")</f>
        <v>13-P-500652</v>
      </c>
      <c r="C10467">
        <v>5</v>
      </c>
      <c r="D10467" t="s">
        <v>13967</v>
      </c>
      <c r="E10467" t="s">
        <v>11</v>
      </c>
      <c r="F10467" t="s">
        <v>13</v>
      </c>
      <c r="G10467" t="s">
        <v>2178</v>
      </c>
      <c r="H10467" t="s">
        <v>432</v>
      </c>
    </row>
    <row r="10468" spans="1:10" hidden="1" x14ac:dyDescent="0.25">
      <c r="A10468" t="s">
        <v>13968</v>
      </c>
      <c r="B10468" s="1" t="str">
        <f>HYPERLINK("https://asmlis.vasa.lt/Dashboard/Served?ServiceDateFrom=2025-11-24&amp;ServiceDateTo=2025-11-24&amp;DumpsterInvNr=13-P-113716", "13-P-113716")</f>
        <v>13-P-113716</v>
      </c>
      <c r="C10468">
        <v>0.24</v>
      </c>
      <c r="D10468" t="s">
        <v>13969</v>
      </c>
      <c r="E10468" t="s">
        <v>11</v>
      </c>
      <c r="F10468" t="s">
        <v>1209</v>
      </c>
      <c r="G10468" t="s">
        <v>1917</v>
      </c>
      <c r="H10468" t="s">
        <v>432</v>
      </c>
    </row>
    <row r="10469" spans="1:10" hidden="1" x14ac:dyDescent="0.25">
      <c r="A10469" t="s">
        <v>13970</v>
      </c>
      <c r="B10469" s="1" t="str">
        <f>HYPERLINK("https://asmlis.vasa.lt/Dashboard/Served?ServiceDateFrom=2025-11-24&amp;ServiceDateTo=2025-11-24&amp;DumpsterInvNr=13-S-108308", "13-S-108308")</f>
        <v>13-S-108308</v>
      </c>
      <c r="C10469">
        <v>0.12</v>
      </c>
      <c r="D10469" t="s">
        <v>13969</v>
      </c>
      <c r="E10469" t="s">
        <v>11</v>
      </c>
      <c r="F10469" t="s">
        <v>1209</v>
      </c>
      <c r="G10469" t="s">
        <v>1917</v>
      </c>
      <c r="H10469" t="s">
        <v>432</v>
      </c>
    </row>
    <row r="10470" spans="1:10" hidden="1" x14ac:dyDescent="0.25">
      <c r="A10470" t="s">
        <v>13970</v>
      </c>
      <c r="B10470" s="1" t="str">
        <f>HYPERLINK("https://asmlis.vasa.lt/Dashboard/Served?ServiceDateFrom=2025-11-24&amp;ServiceDateTo=2025-11-24&amp;DumpsterInvNr=13-L-106462", "13-L-106462")</f>
        <v>13-L-106462</v>
      </c>
      <c r="C10470">
        <v>0.24</v>
      </c>
      <c r="D10470" t="s">
        <v>13969</v>
      </c>
      <c r="E10470" t="s">
        <v>11</v>
      </c>
      <c r="G10470" t="s">
        <v>1912</v>
      </c>
      <c r="H10470" t="s">
        <v>432</v>
      </c>
    </row>
    <row r="10471" spans="1:10" x14ac:dyDescent="0.25">
      <c r="A10471" t="s">
        <v>13972</v>
      </c>
      <c r="B10471" s="1" t="str">
        <f>HYPERLINK("https://asmlis.vasa.lt/Dashboard/Served?ServiceDateFrom=2025-11-24&amp;ServiceDateTo=2025-11-24&amp;DumpsterInvNr=13-L-213549", "13-L-213549")</f>
        <v>13-L-213549</v>
      </c>
      <c r="C10471">
        <v>0.24</v>
      </c>
      <c r="D10471" t="s">
        <v>13973</v>
      </c>
      <c r="E10471" t="s">
        <v>11</v>
      </c>
      <c r="F10471" t="s">
        <v>2491</v>
      </c>
      <c r="G10471" t="s">
        <v>936</v>
      </c>
      <c r="H10471" t="s">
        <v>938</v>
      </c>
      <c r="J10471" t="s">
        <v>17515</v>
      </c>
    </row>
    <row r="10472" spans="1:10" hidden="1" x14ac:dyDescent="0.25">
      <c r="A10472" t="s">
        <v>13975</v>
      </c>
      <c r="B10472" s="1" t="str">
        <f>HYPERLINK("https://asmlis.vasa.lt/Dashboard/Served?ServiceDateFrom=2025-11-24&amp;ServiceDateTo=2025-11-24&amp;DumpsterInvNr=13-L-128569", "13-L-128569")</f>
        <v>13-L-128569</v>
      </c>
      <c r="C10472">
        <v>0.12</v>
      </c>
      <c r="D10472" t="s">
        <v>13976</v>
      </c>
      <c r="E10472" t="s">
        <v>11</v>
      </c>
      <c r="G10472" t="s">
        <v>430</v>
      </c>
      <c r="H10472" t="s">
        <v>432</v>
      </c>
    </row>
    <row r="10473" spans="1:10" hidden="1" x14ac:dyDescent="0.25">
      <c r="A10473" t="s">
        <v>13977</v>
      </c>
      <c r="B10473" s="1" t="str">
        <f>HYPERLINK("https://asmlis.vasa.lt/Dashboard/Served?ServiceDateFrom=2025-11-24&amp;ServiceDateTo=2025-11-24&amp;DumpsterInvNr=13-L-317030", "13-L-317030")</f>
        <v>13-L-317030</v>
      </c>
      <c r="C10473">
        <v>1.1000000000000001</v>
      </c>
      <c r="D10473" t="s">
        <v>13840</v>
      </c>
      <c r="E10473" t="s">
        <v>11</v>
      </c>
      <c r="G10473" t="s">
        <v>9</v>
      </c>
      <c r="H10473" t="s">
        <v>14</v>
      </c>
    </row>
    <row r="10474" spans="1:10" hidden="1" x14ac:dyDescent="0.25">
      <c r="A10474" t="s">
        <v>13974</v>
      </c>
      <c r="B10474" s="1" t="str">
        <f>HYPERLINK("https://asmlis.vasa.lt/Dashboard/Served?ServiceDateFrom=2025-11-24&amp;ServiceDateTo=2025-11-24&amp;DumpsterInvNr=13-S-505443", "13-S-505443")</f>
        <v>13-S-505443</v>
      </c>
      <c r="C10474">
        <v>0.12</v>
      </c>
      <c r="D10474" t="s">
        <v>13976</v>
      </c>
      <c r="E10474" t="s">
        <v>11</v>
      </c>
      <c r="F10474" t="s">
        <v>1209</v>
      </c>
      <c r="G10474" t="s">
        <v>2178</v>
      </c>
      <c r="H10474" t="s">
        <v>432</v>
      </c>
    </row>
    <row r="10475" spans="1:10" hidden="1" x14ac:dyDescent="0.25">
      <c r="A10475" t="s">
        <v>13978</v>
      </c>
      <c r="B10475" s="1" t="str">
        <f>HYPERLINK("https://asmlis.vasa.lt/Dashboard/Served?ServiceDateFrom=2025-11-24&amp;ServiceDateTo=2025-11-24&amp;DumpsterInvNr=13-P-506762", "13-P-506762")</f>
        <v>13-P-506762</v>
      </c>
      <c r="C10475">
        <v>0.24</v>
      </c>
      <c r="D10475" t="s">
        <v>13976</v>
      </c>
      <c r="E10475" t="s">
        <v>11</v>
      </c>
      <c r="F10475" t="s">
        <v>1209</v>
      </c>
      <c r="G10475" t="s">
        <v>2178</v>
      </c>
      <c r="H10475" t="s">
        <v>432</v>
      </c>
    </row>
    <row r="10476" spans="1:10" hidden="1" x14ac:dyDescent="0.25">
      <c r="A10476" t="s">
        <v>13980</v>
      </c>
      <c r="B10476" s="1" t="str">
        <f>HYPERLINK("https://asmlis.vasa.lt/Dashboard/Served?ServiceDateFrom=2025-11-24&amp;ServiceDateTo=2025-11-24&amp;DumpsterInvNr=13-S-206297", "13-S-206297")</f>
        <v>13-S-206297</v>
      </c>
      <c r="C10476">
        <v>0.12</v>
      </c>
      <c r="D10476" t="s">
        <v>12202</v>
      </c>
      <c r="E10476" t="s">
        <v>11</v>
      </c>
      <c r="G10476" t="s">
        <v>234</v>
      </c>
      <c r="H10476" t="s">
        <v>14</v>
      </c>
    </row>
    <row r="10477" spans="1:10" hidden="1" x14ac:dyDescent="0.25">
      <c r="A10477" t="s">
        <v>13981</v>
      </c>
      <c r="B10477" s="1" t="str">
        <f>HYPERLINK("https://asmlis.vasa.lt/Dashboard/Served?ServiceDateFrom=2025-11-24&amp;ServiceDateTo=2025-11-24&amp;DumpsterInvNr=13-P-206297", "13-P-206297")</f>
        <v>13-P-206297</v>
      </c>
      <c r="C10477">
        <v>0.24</v>
      </c>
      <c r="D10477" t="s">
        <v>12202</v>
      </c>
      <c r="E10477" t="s">
        <v>11</v>
      </c>
      <c r="G10477" t="s">
        <v>234</v>
      </c>
      <c r="H10477" t="s">
        <v>14</v>
      </c>
    </row>
    <row r="10478" spans="1:10" x14ac:dyDescent="0.25">
      <c r="A10478" t="s">
        <v>13982</v>
      </c>
      <c r="B10478" s="1" t="str">
        <f>HYPERLINK("https://asmlis.vasa.lt/Dashboard/Served?ServiceDateFrom=2025-11-24&amp;ServiceDateTo=2025-11-24&amp;DumpsterInvNr=13-L-220333", "13-L-220333")</f>
        <v>13-L-220333</v>
      </c>
      <c r="C10478">
        <v>0.24</v>
      </c>
      <c r="D10478" t="s">
        <v>13983</v>
      </c>
      <c r="E10478" t="s">
        <v>11</v>
      </c>
      <c r="F10478" t="s">
        <v>2491</v>
      </c>
      <c r="G10478" t="s">
        <v>936</v>
      </c>
      <c r="H10478" t="s">
        <v>938</v>
      </c>
      <c r="J10478" t="s">
        <v>17515</v>
      </c>
    </row>
    <row r="10479" spans="1:10" hidden="1" x14ac:dyDescent="0.25">
      <c r="A10479" t="s">
        <v>13985</v>
      </c>
      <c r="B10479" s="1" t="str">
        <f>HYPERLINK("https://asmlis.vasa.lt/Dashboard/Served?ServiceDateFrom=2025-11-24&amp;ServiceDateTo=2025-11-24&amp;DumpsterInvNr=13-L-318150", "13-L-318150")</f>
        <v>13-L-318150</v>
      </c>
      <c r="C10479">
        <v>1.1000000000000001</v>
      </c>
      <c r="D10479" t="s">
        <v>13840</v>
      </c>
      <c r="E10479" t="s">
        <v>11</v>
      </c>
      <c r="G10479" t="s">
        <v>9</v>
      </c>
      <c r="H10479" t="s">
        <v>14</v>
      </c>
    </row>
    <row r="10480" spans="1:10" hidden="1" x14ac:dyDescent="0.25">
      <c r="A10480" t="s">
        <v>13985</v>
      </c>
      <c r="B10480" s="1" t="str">
        <f>HYPERLINK("https://asmlis.vasa.lt/Dashboard/Served?ServiceDateFrom=2025-11-24&amp;ServiceDateTo=2025-11-24&amp;DumpsterInvNr=13-P-301937", "13-P-301937")</f>
        <v>13-P-301937</v>
      </c>
      <c r="C10480">
        <v>5</v>
      </c>
      <c r="D10480" t="s">
        <v>13986</v>
      </c>
      <c r="E10480" t="s">
        <v>11</v>
      </c>
      <c r="G10480" t="s">
        <v>412</v>
      </c>
      <c r="H10480" t="s">
        <v>14</v>
      </c>
    </row>
    <row r="10481" spans="1:8" hidden="1" x14ac:dyDescent="0.25">
      <c r="A10481" t="s">
        <v>13987</v>
      </c>
      <c r="B10481" s="1" t="str">
        <f>HYPERLINK("https://asmlis.vasa.lt/Dashboard/Served?ServiceDateFrom=2025-11-24&amp;ServiceDateTo=2025-11-24&amp;DumpsterInvNr=13-L-131578", "13-L-131578")</f>
        <v>13-L-131578</v>
      </c>
      <c r="C10481">
        <v>0.12</v>
      </c>
      <c r="D10481" t="s">
        <v>13988</v>
      </c>
      <c r="E10481" t="s">
        <v>11</v>
      </c>
      <c r="G10481" t="s">
        <v>430</v>
      </c>
      <c r="H10481" t="s">
        <v>432</v>
      </c>
    </row>
    <row r="10482" spans="1:8" hidden="1" x14ac:dyDescent="0.25">
      <c r="A10482" t="s">
        <v>13989</v>
      </c>
      <c r="B10482" s="1" t="str">
        <f>HYPERLINK("https://asmlis.vasa.lt/Dashboard/Served?ServiceDateFrom=2025-11-24&amp;ServiceDateTo=2025-11-24&amp;DumpsterInvNr=13-L-315614", "13-L-315614")</f>
        <v>13-L-315614</v>
      </c>
      <c r="C10482">
        <v>5</v>
      </c>
      <c r="D10482" t="s">
        <v>13938</v>
      </c>
      <c r="E10482" t="s">
        <v>11</v>
      </c>
      <c r="F10482" t="s">
        <v>13</v>
      </c>
      <c r="G10482" t="s">
        <v>9</v>
      </c>
      <c r="H10482" t="s">
        <v>14</v>
      </c>
    </row>
    <row r="10483" spans="1:8" hidden="1" x14ac:dyDescent="0.25">
      <c r="A10483" t="s">
        <v>13984</v>
      </c>
      <c r="B10483" s="1" t="str">
        <f>HYPERLINK("https://asmlis.vasa.lt/Dashboard/Served?ServiceDateFrom=2025-11-24&amp;ServiceDateTo=2025-11-24&amp;DumpsterInvNr=13-S-208287", "13-S-208287")</f>
        <v>13-S-208287</v>
      </c>
      <c r="C10483">
        <v>3</v>
      </c>
      <c r="D10483" t="s">
        <v>13991</v>
      </c>
      <c r="E10483" t="s">
        <v>11</v>
      </c>
      <c r="G10483" t="s">
        <v>234</v>
      </c>
      <c r="H10483" t="s">
        <v>14</v>
      </c>
    </row>
    <row r="10484" spans="1:8" hidden="1" x14ac:dyDescent="0.25">
      <c r="A10484" t="s">
        <v>13992</v>
      </c>
      <c r="B10484" s="1" t="str">
        <f>HYPERLINK("https://asmlis.vasa.lt/Dashboard/Served?ServiceDateFrom=2025-11-24&amp;ServiceDateTo=2025-11-24&amp;DumpsterInvNr=13-P-304013", "13-P-304013")</f>
        <v>13-P-304013</v>
      </c>
      <c r="C10484">
        <v>3</v>
      </c>
      <c r="D10484" t="s">
        <v>691</v>
      </c>
      <c r="E10484" t="s">
        <v>11</v>
      </c>
      <c r="F10484" t="s">
        <v>13</v>
      </c>
      <c r="G10484" t="s">
        <v>412</v>
      </c>
      <c r="H10484" t="s">
        <v>14</v>
      </c>
    </row>
    <row r="10485" spans="1:8" hidden="1" x14ac:dyDescent="0.25">
      <c r="A10485" t="s">
        <v>13993</v>
      </c>
      <c r="B10485" s="1" t="str">
        <f>HYPERLINK("https://asmlis.vasa.lt/Dashboard/Served?ServiceDateFrom=2025-11-24&amp;ServiceDateTo=2025-11-24&amp;DumpsterInvNr=13-P-302355", "13-P-302355")</f>
        <v>13-P-302355</v>
      </c>
      <c r="C10485">
        <v>3</v>
      </c>
      <c r="D10485" t="s">
        <v>691</v>
      </c>
      <c r="E10485" t="s">
        <v>11</v>
      </c>
      <c r="F10485" t="s">
        <v>13</v>
      </c>
      <c r="G10485" t="s">
        <v>412</v>
      </c>
      <c r="H10485" t="s">
        <v>14</v>
      </c>
    </row>
    <row r="10486" spans="1:8" hidden="1" x14ac:dyDescent="0.25">
      <c r="A10486" t="s">
        <v>13994</v>
      </c>
      <c r="B10486" s="1" t="str">
        <f>HYPERLINK("https://asmlis.vasa.lt/Dashboard/Served?ServiceDateFrom=2025-11-24&amp;ServiceDateTo=2025-11-24&amp;DumpsterInvNr=13-P-206274", "13-P-206274")</f>
        <v>13-P-206274</v>
      </c>
      <c r="C10486">
        <v>0.24</v>
      </c>
      <c r="D10486" t="s">
        <v>12218</v>
      </c>
      <c r="E10486" t="s">
        <v>11</v>
      </c>
      <c r="G10486" t="s">
        <v>234</v>
      </c>
      <c r="H10486" t="s">
        <v>14</v>
      </c>
    </row>
    <row r="10487" spans="1:8" hidden="1" x14ac:dyDescent="0.25">
      <c r="A10487" t="s">
        <v>13994</v>
      </c>
      <c r="B10487" s="1" t="str">
        <f>HYPERLINK("https://asmlis.vasa.lt/Dashboard/Served?ServiceDateFrom=2025-11-24&amp;ServiceDateTo=2025-11-24&amp;DumpsterInvNr=13-P-502723", "13-P-502723")</f>
        <v>13-P-502723</v>
      </c>
      <c r="C10487">
        <v>0.12</v>
      </c>
      <c r="D10487" t="s">
        <v>13995</v>
      </c>
      <c r="E10487" t="s">
        <v>11</v>
      </c>
      <c r="F10487" t="s">
        <v>1209</v>
      </c>
      <c r="G10487" t="s">
        <v>2178</v>
      </c>
      <c r="H10487" t="s">
        <v>432</v>
      </c>
    </row>
    <row r="10488" spans="1:8" hidden="1" x14ac:dyDescent="0.25">
      <c r="A10488" t="s">
        <v>13996</v>
      </c>
      <c r="B10488" s="1" t="str">
        <f>HYPERLINK("https://asmlis.vasa.lt/Dashboard/Served?ServiceDateFrom=2025-11-24&amp;ServiceDateTo=2025-11-24&amp;DumpsterInvNr=13-L-317613", "13-L-317613")</f>
        <v>13-L-317613</v>
      </c>
      <c r="C10488">
        <v>1.1000000000000001</v>
      </c>
      <c r="D10488" t="s">
        <v>13997</v>
      </c>
      <c r="E10488" t="s">
        <v>11</v>
      </c>
      <c r="G10488" t="s">
        <v>9</v>
      </c>
      <c r="H10488" t="s">
        <v>14</v>
      </c>
    </row>
    <row r="10489" spans="1:8" hidden="1" x14ac:dyDescent="0.25">
      <c r="A10489" t="s">
        <v>13996</v>
      </c>
      <c r="B10489" s="1" t="str">
        <f>HYPERLINK("https://asmlis.vasa.lt/Dashboard/Served?ServiceDateFrom=2025-11-24&amp;ServiceDateTo=2025-11-24&amp;DumpsterInvNr=13-L-205370", "13-L-205370")</f>
        <v>13-L-205370</v>
      </c>
      <c r="C10489">
        <v>0.12</v>
      </c>
      <c r="D10489" t="s">
        <v>13998</v>
      </c>
      <c r="E10489" t="s">
        <v>11</v>
      </c>
      <c r="G10489" t="s">
        <v>936</v>
      </c>
      <c r="H10489" t="s">
        <v>938</v>
      </c>
    </row>
    <row r="10490" spans="1:8" hidden="1" x14ac:dyDescent="0.25">
      <c r="A10490" t="s">
        <v>13999</v>
      </c>
      <c r="B10490" s="1" t="str">
        <f>HYPERLINK("https://asmlis.vasa.lt/Dashboard/Served?ServiceDateFrom=2025-11-24&amp;ServiceDateTo=2025-11-24&amp;DumpsterInvNr=13-L-146232", "13-L-146232")</f>
        <v>13-L-146232</v>
      </c>
      <c r="C10490">
        <v>0.12</v>
      </c>
      <c r="D10490" t="s">
        <v>13995</v>
      </c>
      <c r="E10490" t="s">
        <v>11</v>
      </c>
      <c r="F10490" t="s">
        <v>1209</v>
      </c>
      <c r="G10490" t="s">
        <v>430</v>
      </c>
      <c r="H10490" t="s">
        <v>432</v>
      </c>
    </row>
    <row r="10491" spans="1:8" hidden="1" x14ac:dyDescent="0.25">
      <c r="A10491" t="s">
        <v>14001</v>
      </c>
      <c r="B10491" s="1" t="str">
        <f>HYPERLINK("https://asmlis.vasa.lt/Dashboard/Served?ServiceDateFrom=2025-11-24&amp;ServiceDateTo=2025-11-24&amp;DumpsterInvNr=13-L-118391", "13-L-118391")</f>
        <v>13-L-118391</v>
      </c>
      <c r="C10491">
        <v>0.12</v>
      </c>
      <c r="D10491" t="s">
        <v>14002</v>
      </c>
      <c r="E10491" t="s">
        <v>11</v>
      </c>
      <c r="G10491" t="s">
        <v>1912</v>
      </c>
      <c r="H10491" t="s">
        <v>432</v>
      </c>
    </row>
    <row r="10492" spans="1:8" hidden="1" x14ac:dyDescent="0.25">
      <c r="A10492" t="s">
        <v>14003</v>
      </c>
      <c r="B10492" s="1" t="str">
        <f>HYPERLINK("https://asmlis.vasa.lt/Dashboard/Served?ServiceDateFrom=2025-11-24&amp;ServiceDateTo=2025-11-24&amp;DumpsterInvNr=13-P-206173", "13-P-206173")</f>
        <v>13-P-206173</v>
      </c>
      <c r="C10492">
        <v>0.24</v>
      </c>
      <c r="D10492" t="s">
        <v>12209</v>
      </c>
      <c r="E10492" t="s">
        <v>11</v>
      </c>
      <c r="G10492" t="s">
        <v>234</v>
      </c>
      <c r="H10492" t="s">
        <v>14</v>
      </c>
    </row>
    <row r="10493" spans="1:8" hidden="1" x14ac:dyDescent="0.25">
      <c r="A10493" t="s">
        <v>14004</v>
      </c>
      <c r="B10493" s="1" t="str">
        <f>HYPERLINK("https://asmlis.vasa.lt/Dashboard/Served?ServiceDateFrom=2025-11-24&amp;ServiceDateTo=2025-11-24&amp;DumpsterInvNr=13-S-505446", "13-S-505446")</f>
        <v>13-S-505446</v>
      </c>
      <c r="C10493">
        <v>0.12</v>
      </c>
      <c r="D10493" t="s">
        <v>13988</v>
      </c>
      <c r="E10493" t="s">
        <v>11</v>
      </c>
      <c r="F10493" t="s">
        <v>1209</v>
      </c>
      <c r="G10493" t="s">
        <v>2178</v>
      </c>
      <c r="H10493" t="s">
        <v>432</v>
      </c>
    </row>
    <row r="10494" spans="1:8" hidden="1" x14ac:dyDescent="0.25">
      <c r="A10494" t="s">
        <v>14006</v>
      </c>
      <c r="B10494" s="1" t="str">
        <f>HYPERLINK("https://asmlis.vasa.lt/Dashboard/Served?ServiceDateFrom=2025-11-24&amp;ServiceDateTo=2025-11-24&amp;DumpsterInvNr=13-P-506756", "13-P-506756")</f>
        <v>13-P-506756</v>
      </c>
      <c r="C10494">
        <v>0.24</v>
      </c>
      <c r="D10494" t="s">
        <v>13988</v>
      </c>
      <c r="E10494" t="s">
        <v>11</v>
      </c>
      <c r="F10494" t="s">
        <v>1209</v>
      </c>
      <c r="G10494" t="s">
        <v>2178</v>
      </c>
      <c r="H10494" t="s">
        <v>432</v>
      </c>
    </row>
    <row r="10495" spans="1:8" hidden="1" x14ac:dyDescent="0.25">
      <c r="A10495" t="s">
        <v>14007</v>
      </c>
      <c r="B10495" s="1" t="str">
        <f>HYPERLINK("https://asmlis.vasa.lt/Dashboard/Served?ServiceDateFrom=2025-11-24&amp;ServiceDateTo=2025-11-24&amp;DumpsterInvNr=13-L-111230", "13-L-111230")</f>
        <v>13-L-111230</v>
      </c>
      <c r="C10495">
        <v>0.12</v>
      </c>
      <c r="D10495" t="s">
        <v>14008</v>
      </c>
      <c r="E10495" t="s">
        <v>11</v>
      </c>
      <c r="G10495" t="s">
        <v>1912</v>
      </c>
      <c r="H10495" t="s">
        <v>432</v>
      </c>
    </row>
    <row r="10496" spans="1:8" hidden="1" x14ac:dyDescent="0.25">
      <c r="A10496" t="s">
        <v>14009</v>
      </c>
      <c r="B10496" s="1" t="str">
        <f>HYPERLINK("https://asmlis.vasa.lt/Dashboard/Served?ServiceDateFrom=2025-11-24&amp;ServiceDateTo=2025-11-24&amp;DumpsterInvNr=13-P-102466", "13-P-102466")</f>
        <v>13-P-102466</v>
      </c>
      <c r="C10496">
        <v>5</v>
      </c>
      <c r="D10496" t="s">
        <v>14010</v>
      </c>
      <c r="E10496" t="s">
        <v>11</v>
      </c>
      <c r="F10496" t="s">
        <v>13</v>
      </c>
      <c r="G10496" t="s">
        <v>1917</v>
      </c>
      <c r="H10496" t="s">
        <v>432</v>
      </c>
    </row>
    <row r="10497" spans="1:10" hidden="1" x14ac:dyDescent="0.25">
      <c r="A10497" t="s">
        <v>14009</v>
      </c>
      <c r="B10497" s="1" t="str">
        <f>HYPERLINK("https://asmlis.vasa.lt/Dashboard/Served?ServiceDateFrom=2025-11-24&amp;ServiceDateTo=2025-11-24&amp;DumpsterInvNr=13-P-400632", "13-P-400632")</f>
        <v>13-P-400632</v>
      </c>
      <c r="C10497">
        <v>3</v>
      </c>
      <c r="D10497" t="s">
        <v>4360</v>
      </c>
      <c r="E10497" t="s">
        <v>11</v>
      </c>
      <c r="F10497" t="s">
        <v>13</v>
      </c>
      <c r="G10497" t="s">
        <v>264</v>
      </c>
      <c r="H10497" t="s">
        <v>14</v>
      </c>
    </row>
    <row r="10498" spans="1:10" hidden="1" x14ac:dyDescent="0.25">
      <c r="A10498" t="s">
        <v>14011</v>
      </c>
      <c r="B10498" s="1" t="str">
        <f>HYPERLINK("https://asmlis.vasa.lt/Dashboard/Served?ServiceDateFrom=2025-11-24&amp;ServiceDateTo=2025-11-24&amp;DumpsterInvNr=13-L-215418", "13-L-215418")</f>
        <v>13-L-215418</v>
      </c>
      <c r="C10498">
        <v>1.1000000000000001</v>
      </c>
      <c r="D10498" t="s">
        <v>13246</v>
      </c>
      <c r="E10498" t="s">
        <v>11</v>
      </c>
      <c r="G10498" t="s">
        <v>936</v>
      </c>
      <c r="H10498" t="s">
        <v>938</v>
      </c>
    </row>
    <row r="10499" spans="1:10" x14ac:dyDescent="0.25">
      <c r="A10499" t="s">
        <v>14012</v>
      </c>
      <c r="B10499" s="1" t="str">
        <f>HYPERLINK("https://asmlis.vasa.lt/Dashboard/Served?ServiceDateFrom=2025-11-24&amp;ServiceDateTo=2025-11-24&amp;DumpsterInvNr=13-L-203485", "13-L-203485")</f>
        <v>13-L-203485</v>
      </c>
      <c r="C10499">
        <v>0.12</v>
      </c>
      <c r="D10499" t="s">
        <v>14013</v>
      </c>
      <c r="E10499" t="s">
        <v>11</v>
      </c>
      <c r="F10499" t="s">
        <v>2491</v>
      </c>
      <c r="G10499" t="s">
        <v>936</v>
      </c>
      <c r="H10499" t="s">
        <v>938</v>
      </c>
      <c r="J10499" t="s">
        <v>17515</v>
      </c>
    </row>
    <row r="10500" spans="1:10" hidden="1" x14ac:dyDescent="0.25">
      <c r="A10500" t="s">
        <v>14014</v>
      </c>
      <c r="B10500" s="1" t="str">
        <f>HYPERLINK("https://asmlis.vasa.lt/Dashboard/Served?ServiceDateFrom=2025-11-24&amp;ServiceDateTo=2025-11-24&amp;DumpsterInvNr=13-P-413311", "13-P-413311")</f>
        <v>13-P-413311</v>
      </c>
      <c r="C10500">
        <v>1.1000000000000001</v>
      </c>
      <c r="D10500" t="s">
        <v>14015</v>
      </c>
      <c r="E10500" t="s">
        <v>11</v>
      </c>
      <c r="G10500" t="s">
        <v>264</v>
      </c>
      <c r="H10500" t="s">
        <v>14</v>
      </c>
    </row>
    <row r="10501" spans="1:10" hidden="1" x14ac:dyDescent="0.25">
      <c r="A10501" t="s">
        <v>14016</v>
      </c>
      <c r="B10501" s="1" t="str">
        <f>HYPERLINK("https://asmlis.vasa.lt/Dashboard/Served?ServiceDateFrom=2025-11-24&amp;ServiceDateTo=2025-11-24&amp;DumpsterInvNr=13-P-112590", "13-P-112590")</f>
        <v>13-P-112590</v>
      </c>
      <c r="C10501">
        <v>0.24</v>
      </c>
      <c r="D10501" t="s">
        <v>14008</v>
      </c>
      <c r="E10501" t="s">
        <v>11</v>
      </c>
      <c r="G10501" t="s">
        <v>1917</v>
      </c>
      <c r="H10501" t="s">
        <v>432</v>
      </c>
    </row>
    <row r="10502" spans="1:10" hidden="1" x14ac:dyDescent="0.25">
      <c r="A10502" t="s">
        <v>14018</v>
      </c>
      <c r="B10502" s="1" t="str">
        <f>HYPERLINK("https://asmlis.vasa.lt/Dashboard/Served?ServiceDateFrom=2025-11-24&amp;ServiceDateTo=2025-11-24&amp;DumpsterInvNr=13-L-119497", "13-L-119497")</f>
        <v>13-L-119497</v>
      </c>
      <c r="C10502">
        <v>0.24</v>
      </c>
      <c r="D10502" t="s">
        <v>14019</v>
      </c>
      <c r="E10502" t="s">
        <v>11</v>
      </c>
      <c r="G10502" t="s">
        <v>430</v>
      </c>
      <c r="H10502" t="s">
        <v>432</v>
      </c>
    </row>
    <row r="10503" spans="1:10" hidden="1" x14ac:dyDescent="0.25">
      <c r="A10503" t="s">
        <v>14018</v>
      </c>
      <c r="B10503" s="1" t="str">
        <f>HYPERLINK("https://asmlis.vasa.lt/Dashboard/Served?ServiceDateFrom=2025-11-24&amp;ServiceDateTo=2025-11-24&amp;DumpsterInvNr=13-P-505048", "13-P-505048")</f>
        <v>13-P-505048</v>
      </c>
      <c r="C10503">
        <v>0.12</v>
      </c>
      <c r="D10503" t="s">
        <v>14019</v>
      </c>
      <c r="E10503" t="s">
        <v>11</v>
      </c>
      <c r="G10503" t="s">
        <v>2178</v>
      </c>
      <c r="H10503" t="s">
        <v>432</v>
      </c>
    </row>
    <row r="10504" spans="1:10" hidden="1" x14ac:dyDescent="0.25">
      <c r="A10504" t="s">
        <v>14020</v>
      </c>
      <c r="B10504" s="1" t="str">
        <f>HYPERLINK("https://asmlis.vasa.lt/Dashboard/Served?ServiceDateFrom=2025-11-24&amp;ServiceDateTo=2025-11-24&amp;DumpsterInvNr=13-P-400590", "13-P-400590")</f>
        <v>13-P-400590</v>
      </c>
      <c r="C10504">
        <v>5</v>
      </c>
      <c r="D10504" t="s">
        <v>5593</v>
      </c>
      <c r="E10504" t="s">
        <v>11</v>
      </c>
      <c r="G10504" t="s">
        <v>264</v>
      </c>
      <c r="H10504" t="s">
        <v>14</v>
      </c>
    </row>
    <row r="10505" spans="1:10" hidden="1" x14ac:dyDescent="0.25">
      <c r="A10505" t="s">
        <v>14021</v>
      </c>
      <c r="B10505" s="1" t="str">
        <f>HYPERLINK("https://asmlis.vasa.lt/Dashboard/Served?ServiceDateFrom=2025-11-24&amp;ServiceDateTo=2025-11-24&amp;DumpsterInvNr=13-L-215421", "13-L-215421")</f>
        <v>13-L-215421</v>
      </c>
      <c r="C10505">
        <v>0.12</v>
      </c>
      <c r="D10505" t="s">
        <v>13246</v>
      </c>
      <c r="E10505" t="s">
        <v>11</v>
      </c>
      <c r="G10505" t="s">
        <v>936</v>
      </c>
      <c r="H10505" t="s">
        <v>938</v>
      </c>
    </row>
    <row r="10506" spans="1:10" x14ac:dyDescent="0.25">
      <c r="A10506" t="s">
        <v>14022</v>
      </c>
      <c r="B10506" s="1" t="str">
        <f>HYPERLINK("https://asmlis.vasa.lt/Dashboard/Served?ServiceDateFrom=2025-11-24&amp;ServiceDateTo=2025-11-24&amp;DumpsterInvNr=13-L-203484", "13-L-203484")</f>
        <v>13-L-203484</v>
      </c>
      <c r="C10506">
        <v>0.12</v>
      </c>
      <c r="D10506" t="s">
        <v>14023</v>
      </c>
      <c r="E10506" t="s">
        <v>11</v>
      </c>
      <c r="F10506" t="s">
        <v>2491</v>
      </c>
      <c r="G10506" t="s">
        <v>936</v>
      </c>
      <c r="H10506" t="s">
        <v>938</v>
      </c>
      <c r="J10506" t="s">
        <v>17517</v>
      </c>
    </row>
    <row r="10507" spans="1:10" hidden="1" x14ac:dyDescent="0.25">
      <c r="A10507" t="s">
        <v>14024</v>
      </c>
      <c r="B10507" s="1" t="str">
        <f>HYPERLINK("https://asmlis.vasa.lt/Dashboard/Served?ServiceDateFrom=2025-11-24&amp;ServiceDateTo=2025-11-24&amp;DumpsterInvNr=13-S-205920", "13-S-205920")</f>
        <v>13-S-205920</v>
      </c>
      <c r="C10507">
        <v>0.12</v>
      </c>
      <c r="D10507" t="s">
        <v>12220</v>
      </c>
      <c r="E10507" t="s">
        <v>11</v>
      </c>
      <c r="F10507" t="s">
        <v>1209</v>
      </c>
      <c r="G10507" t="s">
        <v>234</v>
      </c>
      <c r="H10507" t="s">
        <v>14</v>
      </c>
    </row>
    <row r="10508" spans="1:10" hidden="1" x14ac:dyDescent="0.25">
      <c r="A10508" t="s">
        <v>14026</v>
      </c>
      <c r="B10508" s="1" t="str">
        <f>HYPERLINK("https://asmlis.vasa.lt/Dashboard/Served?ServiceDateFrom=2025-11-24&amp;ServiceDateTo=2025-11-24&amp;DumpsterInvNr=13-P-206230", "13-P-206230")</f>
        <v>13-P-206230</v>
      </c>
      <c r="C10508">
        <v>0.24</v>
      </c>
      <c r="D10508" t="s">
        <v>12220</v>
      </c>
      <c r="E10508" t="s">
        <v>11</v>
      </c>
      <c r="F10508" t="s">
        <v>1209</v>
      </c>
      <c r="G10508" t="s">
        <v>234</v>
      </c>
      <c r="H10508" t="s">
        <v>14</v>
      </c>
    </row>
    <row r="10509" spans="1:10" hidden="1" x14ac:dyDescent="0.25">
      <c r="A10509" t="s">
        <v>14026</v>
      </c>
      <c r="B10509" s="1" t="str">
        <f>HYPERLINK("https://asmlis.vasa.lt/Dashboard/Served?ServiceDateFrom=2025-11-24&amp;ServiceDateTo=2025-11-24&amp;DumpsterInvNr=13-P-112708", "13-P-112708")</f>
        <v>13-P-112708</v>
      </c>
      <c r="C10509">
        <v>0.24</v>
      </c>
      <c r="D10509" t="s">
        <v>14002</v>
      </c>
      <c r="E10509" t="s">
        <v>11</v>
      </c>
      <c r="F10509" t="s">
        <v>1209</v>
      </c>
      <c r="G10509" t="s">
        <v>1917</v>
      </c>
      <c r="H10509" t="s">
        <v>432</v>
      </c>
    </row>
    <row r="10510" spans="1:10" x14ac:dyDescent="0.25">
      <c r="A10510" t="s">
        <v>14027</v>
      </c>
      <c r="B10510" s="1" t="str">
        <f>HYPERLINK("https://asmlis.vasa.lt/Dashboard/Served?ServiceDateFrom=2025-11-24&amp;ServiceDateTo=2025-11-24&amp;DumpsterInvNr=13-L-208358", "13-L-208358")</f>
        <v>13-L-208358</v>
      </c>
      <c r="C10510">
        <v>0.24</v>
      </c>
      <c r="D10510" t="s">
        <v>14028</v>
      </c>
      <c r="E10510" t="s">
        <v>11</v>
      </c>
      <c r="F10510" t="s">
        <v>2491</v>
      </c>
      <c r="G10510" t="s">
        <v>936</v>
      </c>
      <c r="H10510" t="s">
        <v>938</v>
      </c>
      <c r="J10510" t="s">
        <v>17515</v>
      </c>
    </row>
    <row r="10511" spans="1:10" hidden="1" x14ac:dyDescent="0.25">
      <c r="A10511" t="s">
        <v>14030</v>
      </c>
      <c r="B10511" s="1" t="str">
        <f>HYPERLINK("https://asmlis.vasa.lt/Dashboard/Served?ServiceDateFrom=2025-11-24&amp;ServiceDateTo=2025-11-24&amp;DumpsterInvNr=13-S-107136", "13-S-107136")</f>
        <v>13-S-107136</v>
      </c>
      <c r="C10511">
        <v>0.12</v>
      </c>
      <c r="D10511" t="s">
        <v>14002</v>
      </c>
      <c r="E10511" t="s">
        <v>11</v>
      </c>
      <c r="F10511" t="s">
        <v>1209</v>
      </c>
      <c r="G10511" t="s">
        <v>1917</v>
      </c>
      <c r="H10511" t="s">
        <v>432</v>
      </c>
    </row>
    <row r="10512" spans="1:10" x14ac:dyDescent="0.25">
      <c r="A10512" t="s">
        <v>14031</v>
      </c>
      <c r="B10512" s="1" t="str">
        <f>HYPERLINK("https://asmlis.vasa.lt/Dashboard/Served?ServiceDateFrom=2025-11-24&amp;ServiceDateTo=2025-11-24&amp;DumpsterInvNr=13-L-218971", "13-L-218971")</f>
        <v>13-L-218971</v>
      </c>
      <c r="C10512">
        <v>0.24</v>
      </c>
      <c r="D10512" t="s">
        <v>14032</v>
      </c>
      <c r="E10512" t="s">
        <v>11</v>
      </c>
      <c r="F10512" t="s">
        <v>2491</v>
      </c>
      <c r="G10512" t="s">
        <v>936</v>
      </c>
      <c r="H10512" t="s">
        <v>938</v>
      </c>
      <c r="J10512" t="s">
        <v>17515</v>
      </c>
    </row>
    <row r="10513" spans="1:8" hidden="1" x14ac:dyDescent="0.25">
      <c r="A10513" t="s">
        <v>14033</v>
      </c>
      <c r="B10513" s="1" t="str">
        <f>HYPERLINK("https://asmlis.vasa.lt/Dashboard/Served?ServiceDateFrom=2025-11-24&amp;ServiceDateTo=2025-11-24&amp;DumpsterInvNr=13-L-114250", "13-L-114250")</f>
        <v>13-L-114250</v>
      </c>
      <c r="C10513">
        <v>0.12</v>
      </c>
      <c r="D10513" t="s">
        <v>14034</v>
      </c>
      <c r="E10513" t="s">
        <v>11</v>
      </c>
      <c r="G10513" t="s">
        <v>430</v>
      </c>
      <c r="H10513" t="s">
        <v>432</v>
      </c>
    </row>
    <row r="10514" spans="1:8" hidden="1" x14ac:dyDescent="0.25">
      <c r="A10514" t="s">
        <v>14033</v>
      </c>
      <c r="B10514" s="1" t="str">
        <f>HYPERLINK("https://asmlis.vasa.lt/Dashboard/Served?ServiceDateFrom=2025-11-24&amp;ServiceDateTo=2025-11-24&amp;DumpsterInvNr=13-P-502724", "13-P-502724")</f>
        <v>13-P-502724</v>
      </c>
      <c r="C10514">
        <v>0.24</v>
      </c>
      <c r="D10514" t="s">
        <v>14034</v>
      </c>
      <c r="E10514" t="s">
        <v>11</v>
      </c>
      <c r="G10514" t="s">
        <v>2178</v>
      </c>
      <c r="H10514" t="s">
        <v>432</v>
      </c>
    </row>
    <row r="10515" spans="1:8" hidden="1" x14ac:dyDescent="0.25">
      <c r="A10515" t="s">
        <v>14036</v>
      </c>
      <c r="B10515" s="1" t="str">
        <f>HYPERLINK("https://asmlis.vasa.lt/Dashboard/Served?ServiceDateFrom=2025-11-24&amp;ServiceDateTo=2025-11-24&amp;DumpsterInvNr=13-L-304349", "13-L-304349")</f>
        <v>13-L-304349</v>
      </c>
      <c r="C10515">
        <v>0.66</v>
      </c>
      <c r="D10515" t="s">
        <v>14038</v>
      </c>
      <c r="E10515" t="s">
        <v>11</v>
      </c>
      <c r="G10515" t="s">
        <v>9</v>
      </c>
      <c r="H10515" t="s">
        <v>14</v>
      </c>
    </row>
    <row r="10516" spans="1:8" hidden="1" x14ac:dyDescent="0.25">
      <c r="A10516" t="s">
        <v>14039</v>
      </c>
      <c r="B10516" s="1" t="str">
        <f>HYPERLINK("https://asmlis.vasa.lt/Dashboard/Served?ServiceDateFrom=2025-11-24&amp;ServiceDateTo=2025-11-24&amp;DumpsterInvNr=13-S-504968", "13-S-504968")</f>
        <v>13-S-504968</v>
      </c>
      <c r="C10516">
        <v>0.12</v>
      </c>
      <c r="D10516" t="s">
        <v>14034</v>
      </c>
      <c r="E10516" t="s">
        <v>11</v>
      </c>
      <c r="F10516" t="s">
        <v>1209</v>
      </c>
      <c r="G10516" t="s">
        <v>2178</v>
      </c>
      <c r="H10516" t="s">
        <v>432</v>
      </c>
    </row>
    <row r="10517" spans="1:8" hidden="1" x14ac:dyDescent="0.25">
      <c r="A10517" t="s">
        <v>14041</v>
      </c>
      <c r="B10517" s="1" t="str">
        <f>HYPERLINK("https://asmlis.vasa.lt/Dashboard/Served?ServiceDateFrom=2025-11-24&amp;ServiceDateTo=2025-11-24&amp;DumpsterInvNr=13-P-206316", "13-P-206316")</f>
        <v>13-P-206316</v>
      </c>
      <c r="C10517">
        <v>0.24</v>
      </c>
      <c r="D10517" t="s">
        <v>12671</v>
      </c>
      <c r="E10517" t="s">
        <v>11</v>
      </c>
      <c r="G10517" t="s">
        <v>234</v>
      </c>
      <c r="H10517" t="s">
        <v>14</v>
      </c>
    </row>
    <row r="10518" spans="1:8" hidden="1" x14ac:dyDescent="0.25">
      <c r="A10518" t="s">
        <v>14041</v>
      </c>
      <c r="B10518" s="1" t="str">
        <f>HYPERLINK("https://asmlis.vasa.lt/Dashboard/Served?ServiceDateFrom=2025-11-24&amp;ServiceDateTo=2025-11-24&amp;DumpsterInvNr=13-P-112506", "13-P-112506")</f>
        <v>13-P-112506</v>
      </c>
      <c r="C10518">
        <v>0.24</v>
      </c>
      <c r="D10518" t="s">
        <v>14042</v>
      </c>
      <c r="E10518" t="s">
        <v>11</v>
      </c>
      <c r="F10518" t="s">
        <v>1209</v>
      </c>
      <c r="G10518" t="s">
        <v>1917</v>
      </c>
      <c r="H10518" t="s">
        <v>432</v>
      </c>
    </row>
    <row r="10519" spans="1:8" hidden="1" x14ac:dyDescent="0.25">
      <c r="A10519" t="s">
        <v>14044</v>
      </c>
      <c r="B10519" s="1" t="str">
        <f>HYPERLINK("https://asmlis.vasa.lt/Dashboard/Served?ServiceDateFrom=2025-11-24&amp;ServiceDateTo=2025-11-24&amp;DumpsterInvNr=13-S-107145", "13-S-107145")</f>
        <v>13-S-107145</v>
      </c>
      <c r="C10519">
        <v>0.12</v>
      </c>
      <c r="D10519" t="s">
        <v>14042</v>
      </c>
      <c r="E10519" t="s">
        <v>11</v>
      </c>
      <c r="F10519" t="s">
        <v>1209</v>
      </c>
      <c r="G10519" t="s">
        <v>1917</v>
      </c>
      <c r="H10519" t="s">
        <v>432</v>
      </c>
    </row>
    <row r="10520" spans="1:8" hidden="1" x14ac:dyDescent="0.25">
      <c r="A10520" t="s">
        <v>14045</v>
      </c>
      <c r="B10520" s="1" t="str">
        <f>HYPERLINK("https://asmlis.vasa.lt/Dashboard/Served?ServiceDateFrom=2025-11-24&amp;ServiceDateTo=2025-11-24&amp;DumpsterInvNr=13-L-404623", "13-L-404623")</f>
        <v>13-L-404623</v>
      </c>
      <c r="C10520">
        <v>0.24</v>
      </c>
      <c r="D10520" t="s">
        <v>14046</v>
      </c>
      <c r="E10520" t="s">
        <v>11</v>
      </c>
      <c r="G10520" t="s">
        <v>74</v>
      </c>
      <c r="H10520" t="s">
        <v>14</v>
      </c>
    </row>
    <row r="10521" spans="1:8" hidden="1" x14ac:dyDescent="0.25">
      <c r="A10521" t="s">
        <v>14047</v>
      </c>
      <c r="B10521" s="1" t="str">
        <f>HYPERLINK("https://asmlis.vasa.lt/Dashboard/Served?ServiceDateFrom=2025-11-24&amp;ServiceDateTo=2025-11-24&amp;DumpsterInvNr=13-L-111231", "13-L-111231")</f>
        <v>13-L-111231</v>
      </c>
      <c r="C10521">
        <v>0.12</v>
      </c>
      <c r="D10521" t="s">
        <v>14042</v>
      </c>
      <c r="E10521" t="s">
        <v>11</v>
      </c>
      <c r="G10521" t="s">
        <v>1912</v>
      </c>
      <c r="H10521" t="s">
        <v>432</v>
      </c>
    </row>
    <row r="10522" spans="1:8" hidden="1" x14ac:dyDescent="0.25">
      <c r="A10522" t="s">
        <v>14029</v>
      </c>
      <c r="B10522" s="1" t="str">
        <f>HYPERLINK("https://asmlis.vasa.lt/Dashboard/Served?ServiceDateFrom=2025-11-24&amp;ServiceDateTo=2025-11-24&amp;DumpsterInvNr=13-L-115211", "13-L-115211")</f>
        <v>13-L-115211</v>
      </c>
      <c r="C10522">
        <v>0.12</v>
      </c>
      <c r="D10522" t="s">
        <v>14049</v>
      </c>
      <c r="E10522" t="s">
        <v>11</v>
      </c>
      <c r="G10522" t="s">
        <v>430</v>
      </c>
      <c r="H10522" t="s">
        <v>432</v>
      </c>
    </row>
    <row r="10523" spans="1:8" hidden="1" x14ac:dyDescent="0.25">
      <c r="A10523" t="s">
        <v>13901</v>
      </c>
      <c r="B10523" s="1" t="str">
        <f>HYPERLINK("https://asmlis.vasa.lt/Dashboard/Served?ServiceDateFrom=2025-11-24&amp;ServiceDateTo=2025-11-24&amp;DumpsterInvNr=13-L-313868", "13-L-313868")</f>
        <v>13-L-313868</v>
      </c>
      <c r="C10523">
        <v>1.1000000000000001</v>
      </c>
      <c r="D10523" t="s">
        <v>14050</v>
      </c>
      <c r="E10523" t="s">
        <v>11</v>
      </c>
      <c r="F10523" t="s">
        <v>13</v>
      </c>
      <c r="G10523" t="s">
        <v>9</v>
      </c>
      <c r="H10523" t="s">
        <v>14</v>
      </c>
    </row>
    <row r="10524" spans="1:8" hidden="1" x14ac:dyDescent="0.25">
      <c r="A10524" t="s">
        <v>13901</v>
      </c>
      <c r="B10524" s="1" t="str">
        <f>HYPERLINK("https://asmlis.vasa.lt/Dashboard/Served?ServiceDateFrom=2025-11-24&amp;ServiceDateTo=2025-11-24&amp;DumpsterInvNr=13-P-400656", "13-P-400656")</f>
        <v>13-P-400656</v>
      </c>
      <c r="C10524">
        <v>5</v>
      </c>
      <c r="D10524" t="s">
        <v>4470</v>
      </c>
      <c r="E10524" t="s">
        <v>11</v>
      </c>
      <c r="G10524" t="s">
        <v>264</v>
      </c>
      <c r="H10524" t="s">
        <v>14</v>
      </c>
    </row>
    <row r="10525" spans="1:8" hidden="1" x14ac:dyDescent="0.25">
      <c r="A10525" t="s">
        <v>14051</v>
      </c>
      <c r="B10525" s="1" t="str">
        <f>HYPERLINK("https://asmlis.vasa.lt/Dashboard/Served?ServiceDateFrom=2025-11-24&amp;ServiceDateTo=2025-11-24&amp;DumpsterInvNr=13-L-217301", "13-L-217301")</f>
        <v>13-L-217301</v>
      </c>
      <c r="C10525">
        <v>1.1000000000000001</v>
      </c>
      <c r="D10525" t="s">
        <v>13246</v>
      </c>
      <c r="E10525" t="s">
        <v>11</v>
      </c>
      <c r="G10525" t="s">
        <v>936</v>
      </c>
      <c r="H10525" t="s">
        <v>938</v>
      </c>
    </row>
    <row r="10526" spans="1:8" hidden="1" x14ac:dyDescent="0.25">
      <c r="A10526" t="s">
        <v>14052</v>
      </c>
      <c r="B10526" s="1" t="str">
        <f>HYPERLINK("https://asmlis.vasa.lt/Dashboard/Served?ServiceDateFrom=2025-11-24&amp;ServiceDateTo=2025-11-24&amp;DumpsterInvNr=13-L-421986", "13-L-421986")</f>
        <v>13-L-421986</v>
      </c>
      <c r="C10526">
        <v>5</v>
      </c>
      <c r="D10526" t="s">
        <v>14053</v>
      </c>
      <c r="E10526" t="s">
        <v>11</v>
      </c>
      <c r="G10526" t="s">
        <v>74</v>
      </c>
      <c r="H10526" t="s">
        <v>14</v>
      </c>
    </row>
    <row r="10527" spans="1:8" hidden="1" x14ac:dyDescent="0.25">
      <c r="A10527" t="s">
        <v>13856</v>
      </c>
      <c r="B10527" s="1" t="str">
        <f>HYPERLINK("https://asmlis.vasa.lt/Dashboard/Served?ServiceDateFrom=2025-11-24&amp;ServiceDateTo=2025-11-24&amp;DumpsterInvNr=13-P-500651", "13-P-500651")</f>
        <v>13-P-500651</v>
      </c>
      <c r="C10527">
        <v>5</v>
      </c>
      <c r="D10527" t="s">
        <v>14054</v>
      </c>
      <c r="E10527" t="s">
        <v>11</v>
      </c>
      <c r="F10527" t="s">
        <v>13</v>
      </c>
      <c r="G10527" t="s">
        <v>2178</v>
      </c>
      <c r="H10527" t="s">
        <v>432</v>
      </c>
    </row>
    <row r="10528" spans="1:8" hidden="1" x14ac:dyDescent="0.25">
      <c r="A10528" t="s">
        <v>13856</v>
      </c>
      <c r="B10528" s="1" t="str">
        <f>HYPERLINK("https://asmlis.vasa.lt/Dashboard/Served?ServiceDateFrom=2025-11-24&amp;ServiceDateTo=2025-11-24&amp;DumpsterInvNr=13-P-502725", "13-P-502725")</f>
        <v>13-P-502725</v>
      </c>
      <c r="C10528">
        <v>0.12</v>
      </c>
      <c r="D10528" t="s">
        <v>14049</v>
      </c>
      <c r="E10528" t="s">
        <v>11</v>
      </c>
      <c r="F10528" t="s">
        <v>1209</v>
      </c>
      <c r="G10528" t="s">
        <v>2178</v>
      </c>
      <c r="H10528" t="s">
        <v>432</v>
      </c>
    </row>
    <row r="10529" spans="1:8" hidden="1" x14ac:dyDescent="0.25">
      <c r="A10529" t="s">
        <v>13979</v>
      </c>
      <c r="B10529" s="1" t="str">
        <f>HYPERLINK("https://asmlis.vasa.lt/Dashboard/Served?ServiceDateFrom=2025-11-24&amp;ServiceDateTo=2025-11-24&amp;DumpsterInvNr=13-P-205087", "13-P-205087")</f>
        <v>13-P-205087</v>
      </c>
      <c r="C10529">
        <v>0.24</v>
      </c>
      <c r="D10529" t="s">
        <v>12656</v>
      </c>
      <c r="E10529" t="s">
        <v>11</v>
      </c>
      <c r="G10529" t="s">
        <v>234</v>
      </c>
      <c r="H10529" t="s">
        <v>14</v>
      </c>
    </row>
    <row r="10530" spans="1:8" hidden="1" x14ac:dyDescent="0.25">
      <c r="A10530" t="s">
        <v>13979</v>
      </c>
      <c r="B10530" s="1" t="str">
        <f>HYPERLINK("https://asmlis.vasa.lt/Dashboard/Served?ServiceDateFrom=2025-11-24&amp;ServiceDateTo=2025-11-24&amp;DumpsterInvNr=13-S-206891", "13-S-206891")</f>
        <v>13-S-206891</v>
      </c>
      <c r="C10530">
        <v>0.12</v>
      </c>
      <c r="D10530" t="s">
        <v>12656</v>
      </c>
      <c r="E10530" t="s">
        <v>11</v>
      </c>
      <c r="G10530" t="s">
        <v>234</v>
      </c>
      <c r="H10530" t="s">
        <v>14</v>
      </c>
    </row>
    <row r="10531" spans="1:8" hidden="1" x14ac:dyDescent="0.25">
      <c r="A10531" t="s">
        <v>14000</v>
      </c>
      <c r="B10531" s="1" t="str">
        <f>HYPERLINK("https://asmlis.vasa.lt/Dashboard/Served?ServiceDateFrom=2025-11-24&amp;ServiceDateTo=2025-11-24&amp;DumpsterInvNr=13-L-138034", "13-L-138034")</f>
        <v>13-L-138034</v>
      </c>
      <c r="C10531">
        <v>5</v>
      </c>
      <c r="D10531" t="s">
        <v>7794</v>
      </c>
      <c r="E10531" t="s">
        <v>11</v>
      </c>
      <c r="F10531" t="s">
        <v>13</v>
      </c>
      <c r="G10531" t="s">
        <v>430</v>
      </c>
      <c r="H10531" t="s">
        <v>432</v>
      </c>
    </row>
    <row r="10532" spans="1:8" hidden="1" x14ac:dyDescent="0.25">
      <c r="A10532" t="s">
        <v>14005</v>
      </c>
      <c r="B10532" s="1" t="str">
        <f>HYPERLINK("https://asmlis.vasa.lt/Dashboard/Served?ServiceDateFrom=2025-11-24&amp;ServiceDateTo=2025-11-24&amp;DumpsterInvNr=13-L-220497", "13-L-220497")</f>
        <v>13-L-220497</v>
      </c>
      <c r="C10532">
        <v>1.1000000000000001</v>
      </c>
      <c r="D10532" t="s">
        <v>13246</v>
      </c>
      <c r="E10532" t="s">
        <v>11</v>
      </c>
      <c r="G10532" t="s">
        <v>936</v>
      </c>
      <c r="H10532" t="s">
        <v>938</v>
      </c>
    </row>
    <row r="10533" spans="1:8" hidden="1" x14ac:dyDescent="0.25">
      <c r="A10533" t="s">
        <v>14035</v>
      </c>
      <c r="B10533" s="1" t="str">
        <f>HYPERLINK("https://asmlis.vasa.lt/Dashboard/Served?ServiceDateFrom=2025-11-24&amp;ServiceDateTo=2025-11-24&amp;DumpsterInvNr=13-L-131577", "13-L-131577")</f>
        <v>13-L-131577</v>
      </c>
      <c r="C10533">
        <v>0.24</v>
      </c>
      <c r="D10533" t="s">
        <v>14056</v>
      </c>
      <c r="E10533" t="s">
        <v>11</v>
      </c>
      <c r="F10533" t="s">
        <v>1209</v>
      </c>
      <c r="G10533" t="s">
        <v>430</v>
      </c>
      <c r="H10533" t="s">
        <v>432</v>
      </c>
    </row>
    <row r="10534" spans="1:8" hidden="1" x14ac:dyDescent="0.25">
      <c r="A10534" t="s">
        <v>14040</v>
      </c>
      <c r="B10534" s="1" t="str">
        <f>HYPERLINK("https://asmlis.vasa.lt/Dashboard/Served?ServiceDateFrom=2025-11-24&amp;ServiceDateTo=2025-11-24&amp;DumpsterInvNr=13-S-503657", "13-S-503657")</f>
        <v>13-S-503657</v>
      </c>
      <c r="C10534">
        <v>0.12</v>
      </c>
      <c r="D10534" t="s">
        <v>14056</v>
      </c>
      <c r="E10534" t="s">
        <v>11</v>
      </c>
      <c r="F10534" t="s">
        <v>1209</v>
      </c>
      <c r="G10534" t="s">
        <v>2178</v>
      </c>
      <c r="H10534" t="s">
        <v>432</v>
      </c>
    </row>
    <row r="10535" spans="1:8" hidden="1" x14ac:dyDescent="0.25">
      <c r="A10535" t="s">
        <v>13849</v>
      </c>
      <c r="B10535" s="1" t="str">
        <f>HYPERLINK("https://asmlis.vasa.lt/Dashboard/Served?ServiceDateFrom=2025-11-24&amp;ServiceDateTo=2025-11-24&amp;DumpsterInvNr=13-P-502943", "13-P-502943")</f>
        <v>13-P-502943</v>
      </c>
      <c r="C10535">
        <v>0.24</v>
      </c>
      <c r="D10535" t="s">
        <v>14056</v>
      </c>
      <c r="E10535" t="s">
        <v>11</v>
      </c>
      <c r="F10535" t="s">
        <v>1209</v>
      </c>
      <c r="G10535" t="s">
        <v>2178</v>
      </c>
      <c r="H10535" t="s">
        <v>432</v>
      </c>
    </row>
    <row r="10536" spans="1:8" hidden="1" x14ac:dyDescent="0.25">
      <c r="A10536" t="s">
        <v>13878</v>
      </c>
      <c r="B10536" s="1" t="str">
        <f>HYPERLINK("https://asmlis.vasa.lt/Dashboard/Served?ServiceDateFrom=2025-11-24&amp;ServiceDateTo=2025-11-24&amp;DumpsterInvNr=13-L-120434", "13-L-120434")</f>
        <v>13-L-120434</v>
      </c>
      <c r="C10536">
        <v>0.24</v>
      </c>
      <c r="D10536" t="s">
        <v>14060</v>
      </c>
      <c r="E10536" t="s">
        <v>11</v>
      </c>
      <c r="F10536" t="s">
        <v>1209</v>
      </c>
      <c r="G10536" t="s">
        <v>1912</v>
      </c>
      <c r="H10536" t="s">
        <v>432</v>
      </c>
    </row>
    <row r="10537" spans="1:8" hidden="1" x14ac:dyDescent="0.25">
      <c r="A10537" t="s">
        <v>13894</v>
      </c>
      <c r="B10537" s="1" t="str">
        <f>HYPERLINK("https://asmlis.vasa.lt/Dashboard/Served?ServiceDateFrom=2025-11-24&amp;ServiceDateTo=2025-11-24&amp;DumpsterInvNr=13-L-390042", "13-L-390042")</f>
        <v>13-L-390042</v>
      </c>
      <c r="C10537">
        <v>0.77</v>
      </c>
      <c r="D10537" t="s">
        <v>14061</v>
      </c>
      <c r="E10537" t="s">
        <v>11</v>
      </c>
      <c r="G10537" t="s">
        <v>9</v>
      </c>
      <c r="H10537" t="s">
        <v>14</v>
      </c>
    </row>
    <row r="10538" spans="1:8" hidden="1" x14ac:dyDescent="0.25">
      <c r="A10538" t="s">
        <v>14062</v>
      </c>
      <c r="B10538" s="1" t="str">
        <f>HYPERLINK("https://asmlis.vasa.lt/Dashboard/Served?ServiceDateFrom=2025-11-24&amp;ServiceDateTo=2025-11-24&amp;DumpsterInvNr=13-L-404624", "13-L-404624")</f>
        <v>13-L-404624</v>
      </c>
      <c r="C10538">
        <v>0.12</v>
      </c>
      <c r="D10538" t="s">
        <v>14063</v>
      </c>
      <c r="E10538" t="s">
        <v>11</v>
      </c>
      <c r="F10538" t="s">
        <v>1209</v>
      </c>
      <c r="G10538" t="s">
        <v>74</v>
      </c>
      <c r="H10538" t="s">
        <v>14</v>
      </c>
    </row>
    <row r="10539" spans="1:8" hidden="1" x14ac:dyDescent="0.25">
      <c r="A10539" t="s">
        <v>14062</v>
      </c>
      <c r="B10539" s="1" t="str">
        <f>HYPERLINK("https://asmlis.vasa.lt/Dashboard/Served?ServiceDateFrom=2025-11-24&amp;ServiceDateTo=2025-11-24&amp;DumpsterInvNr=13-S-103299", "13-S-103299")</f>
        <v>13-S-103299</v>
      </c>
      <c r="C10539">
        <v>0.12</v>
      </c>
      <c r="D10539" t="s">
        <v>14060</v>
      </c>
      <c r="E10539" t="s">
        <v>11</v>
      </c>
      <c r="F10539" t="s">
        <v>1209</v>
      </c>
      <c r="G10539" t="s">
        <v>1917</v>
      </c>
      <c r="H10539" t="s">
        <v>432</v>
      </c>
    </row>
    <row r="10540" spans="1:8" hidden="1" x14ac:dyDescent="0.25">
      <c r="A10540" t="s">
        <v>13945</v>
      </c>
      <c r="B10540" s="1" t="str">
        <f>HYPERLINK("https://asmlis.vasa.lt/Dashboard/Served?ServiceDateFrom=2025-11-24&amp;ServiceDateTo=2025-11-24&amp;DumpsterInvNr=13-S-103268", "13-S-103268")</f>
        <v>13-S-103268</v>
      </c>
      <c r="C10540">
        <v>0.12</v>
      </c>
      <c r="D10540" t="s">
        <v>14064</v>
      </c>
      <c r="E10540" t="s">
        <v>11</v>
      </c>
      <c r="F10540" t="s">
        <v>1209</v>
      </c>
      <c r="G10540" t="s">
        <v>1917</v>
      </c>
      <c r="H10540" t="s">
        <v>432</v>
      </c>
    </row>
    <row r="10541" spans="1:8" hidden="1" x14ac:dyDescent="0.25">
      <c r="A10541" t="s">
        <v>13954</v>
      </c>
      <c r="B10541" s="1" t="str">
        <f>HYPERLINK("https://asmlis.vasa.lt/Dashboard/Served?ServiceDateFrom=2025-11-24&amp;ServiceDateTo=2025-11-24&amp;DumpsterInvNr=13-L-125978", "13-L-125978")</f>
        <v>13-L-125978</v>
      </c>
      <c r="C10541">
        <v>0.24</v>
      </c>
      <c r="D10541" t="s">
        <v>14064</v>
      </c>
      <c r="E10541" t="s">
        <v>11</v>
      </c>
      <c r="F10541" t="s">
        <v>1209</v>
      </c>
      <c r="G10541" t="s">
        <v>1912</v>
      </c>
      <c r="H10541" t="s">
        <v>432</v>
      </c>
    </row>
    <row r="10542" spans="1:8" hidden="1" x14ac:dyDescent="0.25">
      <c r="A10542" t="s">
        <v>14065</v>
      </c>
      <c r="B10542" s="1" t="str">
        <f>HYPERLINK("https://asmlis.vasa.lt/Dashboard/Served?ServiceDateFrom=2025-11-24&amp;ServiceDateTo=2025-11-24&amp;DumpsterInvNr=13-L-422328", "13-L-422328")</f>
        <v>13-L-422328</v>
      </c>
      <c r="C10542">
        <v>0.24</v>
      </c>
      <c r="D10542" t="s">
        <v>14046</v>
      </c>
      <c r="E10542" t="s">
        <v>11</v>
      </c>
      <c r="G10542" t="s">
        <v>74</v>
      </c>
      <c r="H10542" t="s">
        <v>14</v>
      </c>
    </row>
    <row r="10543" spans="1:8" hidden="1" x14ac:dyDescent="0.25">
      <c r="A10543" t="s">
        <v>14065</v>
      </c>
      <c r="B10543" s="1" t="str">
        <f>HYPERLINK("https://asmlis.vasa.lt/Dashboard/Served?ServiceDateFrom=2025-11-24&amp;ServiceDateTo=2025-11-24&amp;DumpsterInvNr=13-P-103189", "13-P-103189")</f>
        <v>13-P-103189</v>
      </c>
      <c r="C10543">
        <v>0.24</v>
      </c>
      <c r="D10543" t="s">
        <v>14060</v>
      </c>
      <c r="E10543" t="s">
        <v>11</v>
      </c>
      <c r="F10543" t="s">
        <v>1209</v>
      </c>
      <c r="G10543" t="s">
        <v>1917</v>
      </c>
      <c r="H10543" t="s">
        <v>432</v>
      </c>
    </row>
    <row r="10544" spans="1:8" hidden="1" x14ac:dyDescent="0.25">
      <c r="A10544" t="s">
        <v>14066</v>
      </c>
      <c r="B10544" s="1" t="str">
        <f>HYPERLINK("https://asmlis.vasa.lt/Dashboard/Served?ServiceDateFrom=2025-11-24&amp;ServiceDateTo=2025-11-24&amp;DumpsterInvNr=13-P-103191", "13-P-103191")</f>
        <v>13-P-103191</v>
      </c>
      <c r="C10544">
        <v>0.24</v>
      </c>
      <c r="D10544" t="s">
        <v>14064</v>
      </c>
      <c r="E10544" t="s">
        <v>11</v>
      </c>
      <c r="F10544" t="s">
        <v>1209</v>
      </c>
      <c r="G10544" t="s">
        <v>1917</v>
      </c>
      <c r="H10544" t="s">
        <v>432</v>
      </c>
    </row>
    <row r="10545" spans="1:10" hidden="1" x14ac:dyDescent="0.25">
      <c r="A10545" t="s">
        <v>14067</v>
      </c>
      <c r="B10545" s="1" t="str">
        <f>HYPERLINK("https://asmlis.vasa.lt/Dashboard/Served?ServiceDateFrom=2025-11-24&amp;ServiceDateTo=2025-11-24&amp;DumpsterInvNr=13-P-504978", "13-P-504978")</f>
        <v>13-P-504978</v>
      </c>
      <c r="C10545">
        <v>0.24</v>
      </c>
      <c r="D10545" t="s">
        <v>14068</v>
      </c>
      <c r="E10545" t="s">
        <v>11</v>
      </c>
      <c r="G10545" t="s">
        <v>2178</v>
      </c>
      <c r="H10545" t="s">
        <v>432</v>
      </c>
    </row>
    <row r="10546" spans="1:10" hidden="1" x14ac:dyDescent="0.25">
      <c r="A10546" t="s">
        <v>14067</v>
      </c>
      <c r="B10546" s="1" t="str">
        <f>HYPERLINK("https://asmlis.vasa.lt/Dashboard/Served?ServiceDateFrom=2025-11-24&amp;ServiceDateTo=2025-11-24&amp;DumpsterInvNr=13-T-000230", "13-T-000230")</f>
        <v>13-T-000230</v>
      </c>
      <c r="C10546">
        <v>2.5</v>
      </c>
      <c r="D10546" t="s">
        <v>14069</v>
      </c>
      <c r="E10546" t="s">
        <v>11</v>
      </c>
      <c r="F10546" t="s">
        <v>13</v>
      </c>
      <c r="G10546" t="s">
        <v>1899</v>
      </c>
      <c r="H10546" t="s">
        <v>432</v>
      </c>
    </row>
    <row r="10547" spans="1:10" hidden="1" x14ac:dyDescent="0.25">
      <c r="A10547" t="s">
        <v>14070</v>
      </c>
      <c r="B10547" s="1" t="str">
        <f>HYPERLINK("https://asmlis.vasa.lt/Dashboard/Served?ServiceDateFrom=2025-11-24&amp;ServiceDateTo=2025-11-24&amp;DumpsterInvNr=13-L-136407", "13-L-136407")</f>
        <v>13-L-136407</v>
      </c>
      <c r="C10547">
        <v>0.24</v>
      </c>
      <c r="D10547" t="s">
        <v>14068</v>
      </c>
      <c r="E10547" t="s">
        <v>11</v>
      </c>
      <c r="G10547" t="s">
        <v>430</v>
      </c>
      <c r="H10547" t="s">
        <v>432</v>
      </c>
    </row>
    <row r="10548" spans="1:10" hidden="1" x14ac:dyDescent="0.25">
      <c r="A10548" t="s">
        <v>14071</v>
      </c>
      <c r="B10548" s="1" t="str">
        <f>HYPERLINK("https://asmlis.vasa.lt/Dashboard/Served?ServiceDateFrom=2025-11-24&amp;ServiceDateTo=2025-11-24&amp;DumpsterInvNr=13-L-102718", "13-L-102718")</f>
        <v>13-L-102718</v>
      </c>
      <c r="C10548">
        <v>0.12</v>
      </c>
      <c r="D10548" t="s">
        <v>14072</v>
      </c>
      <c r="E10548" t="s">
        <v>11</v>
      </c>
      <c r="G10548" t="s">
        <v>1912</v>
      </c>
      <c r="H10548" t="s">
        <v>432</v>
      </c>
    </row>
    <row r="10549" spans="1:10" hidden="1" x14ac:dyDescent="0.25">
      <c r="A10549" t="s">
        <v>14073</v>
      </c>
      <c r="B10549" s="1" t="str">
        <f>HYPERLINK("https://asmlis.vasa.lt/Dashboard/Served?ServiceDateFrom=2025-11-24&amp;ServiceDateTo=2025-11-24&amp;DumpsterInvNr=13-P-100916", "13-P-100916")</f>
        <v>13-P-100916</v>
      </c>
      <c r="C10549">
        <v>0.24</v>
      </c>
      <c r="D10549" t="s">
        <v>14072</v>
      </c>
      <c r="E10549" t="s">
        <v>11</v>
      </c>
      <c r="G10549" t="s">
        <v>1917</v>
      </c>
      <c r="H10549" t="s">
        <v>432</v>
      </c>
    </row>
    <row r="10550" spans="1:10" hidden="1" x14ac:dyDescent="0.25">
      <c r="A10550" t="s">
        <v>14074</v>
      </c>
      <c r="B10550" s="1" t="str">
        <f>HYPERLINK("https://asmlis.vasa.lt/Dashboard/Served?ServiceDateFrom=2025-11-24&amp;ServiceDateTo=2025-11-24&amp;DumpsterInvNr=13-L-104245", "13-L-104245")</f>
        <v>13-L-104245</v>
      </c>
      <c r="C10550">
        <v>5</v>
      </c>
      <c r="D10550" t="s">
        <v>14075</v>
      </c>
      <c r="E10550" t="s">
        <v>11</v>
      </c>
      <c r="F10550" t="s">
        <v>13</v>
      </c>
      <c r="G10550" t="s">
        <v>430</v>
      </c>
      <c r="H10550" t="s">
        <v>432</v>
      </c>
    </row>
    <row r="10551" spans="1:10" hidden="1" x14ac:dyDescent="0.25">
      <c r="A10551" t="s">
        <v>14076</v>
      </c>
      <c r="B10551" s="1" t="str">
        <f>HYPERLINK("https://asmlis.vasa.lt/Dashboard/Served?ServiceDateFrom=2025-11-24&amp;ServiceDateTo=2025-11-24&amp;DumpsterInvNr=13-P-116084", "13-P-116084")</f>
        <v>13-P-116084</v>
      </c>
      <c r="C10551">
        <v>1.1000000000000001</v>
      </c>
      <c r="D10551" t="s">
        <v>14077</v>
      </c>
      <c r="E10551" t="s">
        <v>11</v>
      </c>
      <c r="G10551" t="s">
        <v>1917</v>
      </c>
      <c r="H10551" t="s">
        <v>432</v>
      </c>
    </row>
    <row r="10552" spans="1:10" hidden="1" x14ac:dyDescent="0.25">
      <c r="A10552" t="s">
        <v>14078</v>
      </c>
      <c r="B10552" s="1" t="str">
        <f>HYPERLINK("https://asmlis.vasa.lt/Dashboard/Served?ServiceDateFrom=2025-11-24&amp;ServiceDateTo=2025-11-24&amp;DumpsterInvNr=13-L-138438", "13-L-138438")</f>
        <v>13-L-138438</v>
      </c>
      <c r="C10552">
        <v>5</v>
      </c>
      <c r="D10552" t="s">
        <v>14075</v>
      </c>
      <c r="E10552" t="s">
        <v>11</v>
      </c>
      <c r="F10552" t="s">
        <v>13</v>
      </c>
      <c r="G10552" t="s">
        <v>430</v>
      </c>
      <c r="H10552" t="s">
        <v>432</v>
      </c>
    </row>
    <row r="10553" spans="1:10" hidden="1" x14ac:dyDescent="0.25">
      <c r="A10553" t="s">
        <v>14079</v>
      </c>
      <c r="B10553" s="1" t="str">
        <f>HYPERLINK("https://asmlis.vasa.lt/Dashboard/Served?ServiceDateFrom=2025-11-24&amp;ServiceDateTo=2025-11-24&amp;DumpsterInvNr=13-P-500245", "13-P-500245")</f>
        <v>13-P-500245</v>
      </c>
      <c r="C10553">
        <v>4</v>
      </c>
      <c r="D10553" t="s">
        <v>14080</v>
      </c>
      <c r="E10553" t="s">
        <v>11</v>
      </c>
      <c r="F10553" t="s">
        <v>13</v>
      </c>
      <c r="G10553" t="s">
        <v>2178</v>
      </c>
      <c r="H10553" t="s">
        <v>432</v>
      </c>
    </row>
    <row r="10554" spans="1:10" hidden="1" x14ac:dyDescent="0.25">
      <c r="A10554" t="s">
        <v>14082</v>
      </c>
      <c r="B10554" s="1" t="str">
        <f>HYPERLINK("https://asmlis.vasa.lt/Dashboard/Served?ServiceDateFrom=2025-11-24&amp;ServiceDateTo=2025-11-24&amp;DumpsterInvNr=13-S-103181", "13-S-103181")</f>
        <v>13-S-103181</v>
      </c>
      <c r="C10554">
        <v>0.12</v>
      </c>
      <c r="D10554" t="s">
        <v>14072</v>
      </c>
      <c r="E10554" t="s">
        <v>11</v>
      </c>
      <c r="F10554" t="s">
        <v>1209</v>
      </c>
      <c r="G10554" t="s">
        <v>1917</v>
      </c>
      <c r="H10554" t="s">
        <v>432</v>
      </c>
    </row>
    <row r="10555" spans="1:10" hidden="1" x14ac:dyDescent="0.25">
      <c r="A10555" t="s">
        <v>14084</v>
      </c>
      <c r="B10555" s="1" t="str">
        <f>HYPERLINK("https://asmlis.vasa.lt/Dashboard/Served?ServiceDateFrom=2025-11-24&amp;ServiceDateTo=2025-11-24&amp;DumpsterInvNr=13-L-317616", "13-L-317616")</f>
        <v>13-L-317616</v>
      </c>
      <c r="C10555">
        <v>1.1000000000000001</v>
      </c>
      <c r="D10555" t="s">
        <v>13997</v>
      </c>
      <c r="E10555" t="s">
        <v>11</v>
      </c>
      <c r="G10555" t="s">
        <v>9</v>
      </c>
      <c r="H10555" t="s">
        <v>14</v>
      </c>
    </row>
    <row r="10556" spans="1:10" hidden="1" x14ac:dyDescent="0.25">
      <c r="A10556" t="s">
        <v>13839</v>
      </c>
      <c r="B10556" s="1" t="str">
        <f>HYPERLINK("https://asmlis.vasa.lt/Dashboard/Served?ServiceDateFrom=2025-11-24&amp;ServiceDateTo=2025-11-24&amp;DumpsterInvNr=13-P-206386", "13-P-206386")</f>
        <v>13-P-206386</v>
      </c>
      <c r="C10556">
        <v>0.24</v>
      </c>
      <c r="D10556" t="s">
        <v>12628</v>
      </c>
      <c r="E10556" t="s">
        <v>11</v>
      </c>
      <c r="G10556" t="s">
        <v>234</v>
      </c>
      <c r="H10556" t="s">
        <v>14</v>
      </c>
    </row>
    <row r="10557" spans="1:10" hidden="1" x14ac:dyDescent="0.25">
      <c r="A10557" t="s">
        <v>13959</v>
      </c>
      <c r="B10557" s="1" t="str">
        <f>HYPERLINK("https://asmlis.vasa.lt/Dashboard/Served?ServiceDateFrom=2025-11-24&amp;ServiceDateTo=2025-11-24&amp;DumpsterInvNr=13-P-412205", "13-P-412205")</f>
        <v>13-P-412205</v>
      </c>
      <c r="C10557">
        <v>1.1000000000000001</v>
      </c>
      <c r="D10557" t="s">
        <v>14085</v>
      </c>
      <c r="E10557" t="s">
        <v>11</v>
      </c>
      <c r="F10557" t="s">
        <v>2960</v>
      </c>
      <c r="G10557" t="s">
        <v>264</v>
      </c>
      <c r="H10557" t="s">
        <v>14</v>
      </c>
      <c r="J10557" t="s">
        <v>17519</v>
      </c>
    </row>
    <row r="10558" spans="1:10" hidden="1" x14ac:dyDescent="0.25">
      <c r="A10558" t="s">
        <v>14086</v>
      </c>
      <c r="B10558" s="1" t="str">
        <f>HYPERLINK("https://asmlis.vasa.lt/Dashboard/Served?ServiceDateFrom=2025-11-24&amp;ServiceDateTo=2025-11-24&amp;DumpsterInvNr=13-L-140958", "13-L-140958")</f>
        <v>13-L-140958</v>
      </c>
      <c r="C10558">
        <v>5</v>
      </c>
      <c r="D10558" t="s">
        <v>14087</v>
      </c>
      <c r="E10558" t="s">
        <v>11</v>
      </c>
      <c r="F10558" t="s">
        <v>13</v>
      </c>
      <c r="G10558" t="s">
        <v>1912</v>
      </c>
      <c r="H10558" t="s">
        <v>432</v>
      </c>
    </row>
    <row r="10559" spans="1:10" hidden="1" x14ac:dyDescent="0.25">
      <c r="A10559" t="s">
        <v>14088</v>
      </c>
      <c r="B10559" s="1" t="str">
        <f>HYPERLINK("https://asmlis.vasa.lt/Dashboard/Served?ServiceDateFrom=2025-11-24&amp;ServiceDateTo=2025-11-24&amp;DumpsterInvNr=13-L-312458", "13-L-312458")</f>
        <v>13-L-312458</v>
      </c>
      <c r="C10559">
        <v>5</v>
      </c>
      <c r="D10559" t="s">
        <v>14089</v>
      </c>
      <c r="E10559" t="s">
        <v>11</v>
      </c>
      <c r="F10559" t="s">
        <v>13</v>
      </c>
      <c r="G10559" t="s">
        <v>9</v>
      </c>
      <c r="H10559" t="s">
        <v>14</v>
      </c>
    </row>
    <row r="10560" spans="1:10" hidden="1" x14ac:dyDescent="0.25">
      <c r="A10560" t="s">
        <v>14090</v>
      </c>
      <c r="B10560" s="1" t="str">
        <f>HYPERLINK("https://asmlis.vasa.lt/Dashboard/Served?ServiceDateFrom=2025-11-24&amp;ServiceDateTo=2025-11-24&amp;DumpsterInvNr=13-S-205652", "13-S-205652")</f>
        <v>13-S-205652</v>
      </c>
      <c r="C10560">
        <v>0.12</v>
      </c>
      <c r="D10560" t="s">
        <v>12628</v>
      </c>
      <c r="E10560" t="s">
        <v>11</v>
      </c>
      <c r="F10560" t="s">
        <v>1209</v>
      </c>
      <c r="G10560" t="s">
        <v>234</v>
      </c>
      <c r="H10560" t="s">
        <v>14</v>
      </c>
    </row>
    <row r="10561" spans="1:8" hidden="1" x14ac:dyDescent="0.25">
      <c r="A10561" t="s">
        <v>14091</v>
      </c>
      <c r="B10561" s="1" t="str">
        <f>HYPERLINK("https://asmlis.vasa.lt/Dashboard/Served?ServiceDateFrom=2025-11-24&amp;ServiceDateTo=2025-11-24&amp;DumpsterInvNr=13-L-115212", "13-L-115212")</f>
        <v>13-L-115212</v>
      </c>
      <c r="C10561">
        <v>0.24</v>
      </c>
      <c r="D10561" t="s">
        <v>14092</v>
      </c>
      <c r="E10561" t="s">
        <v>11</v>
      </c>
      <c r="G10561" t="s">
        <v>430</v>
      </c>
      <c r="H10561" t="s">
        <v>432</v>
      </c>
    </row>
    <row r="10562" spans="1:8" hidden="1" x14ac:dyDescent="0.25">
      <c r="A10562" t="s">
        <v>14093</v>
      </c>
      <c r="B10562" s="1" t="str">
        <f>HYPERLINK("https://asmlis.vasa.lt/Dashboard/Served?ServiceDateFrom=2025-11-24&amp;ServiceDateTo=2025-11-24&amp;DumpsterInvNr=13-L-419424", "13-L-419424")</f>
        <v>13-L-419424</v>
      </c>
      <c r="C10562">
        <v>0.24</v>
      </c>
      <c r="D10562" t="s">
        <v>8690</v>
      </c>
      <c r="E10562" t="s">
        <v>11</v>
      </c>
      <c r="G10562" t="s">
        <v>74</v>
      </c>
      <c r="H10562" t="s">
        <v>14</v>
      </c>
    </row>
    <row r="10563" spans="1:8" hidden="1" x14ac:dyDescent="0.25">
      <c r="A10563" t="s">
        <v>14094</v>
      </c>
      <c r="B10563" s="1" t="str">
        <f>HYPERLINK("https://asmlis.vasa.lt/Dashboard/Served?ServiceDateFrom=2025-11-24&amp;ServiceDateTo=2025-11-24&amp;DumpsterInvNr=13-L-203481", "13-L-203481")</f>
        <v>13-L-203481</v>
      </c>
      <c r="C10563">
        <v>0.24</v>
      </c>
      <c r="D10563" t="s">
        <v>14095</v>
      </c>
      <c r="E10563" t="s">
        <v>11</v>
      </c>
      <c r="G10563" t="s">
        <v>936</v>
      </c>
      <c r="H10563" t="s">
        <v>938</v>
      </c>
    </row>
    <row r="10564" spans="1:8" hidden="1" x14ac:dyDescent="0.25">
      <c r="A10564" t="s">
        <v>14096</v>
      </c>
      <c r="B10564" s="1" t="str">
        <f>HYPERLINK("https://asmlis.vasa.lt/Dashboard/Served?ServiceDateFrom=2025-11-24&amp;ServiceDateTo=2025-11-24&amp;DumpsterInvNr=13-L-317614", "13-L-317614")</f>
        <v>13-L-317614</v>
      </c>
      <c r="C10564">
        <v>1.1000000000000001</v>
      </c>
      <c r="D10564" t="s">
        <v>13997</v>
      </c>
      <c r="E10564" t="s">
        <v>11</v>
      </c>
      <c r="G10564" t="s">
        <v>9</v>
      </c>
      <c r="H10564" t="s">
        <v>14</v>
      </c>
    </row>
    <row r="10565" spans="1:8" hidden="1" x14ac:dyDescent="0.25">
      <c r="A10565" t="s">
        <v>14097</v>
      </c>
      <c r="B10565" s="1" t="str">
        <f>HYPERLINK("https://asmlis.vasa.lt/Dashboard/Served?ServiceDateFrom=2025-11-24&amp;ServiceDateTo=2025-11-24&amp;DumpsterInvNr=13-L-140960", "13-L-140960")</f>
        <v>13-L-140960</v>
      </c>
      <c r="C10565">
        <v>0.24</v>
      </c>
      <c r="D10565" t="s">
        <v>14098</v>
      </c>
      <c r="E10565" t="s">
        <v>11</v>
      </c>
      <c r="G10565" t="s">
        <v>430</v>
      </c>
      <c r="H10565" t="s">
        <v>432</v>
      </c>
    </row>
    <row r="10566" spans="1:8" hidden="1" x14ac:dyDescent="0.25">
      <c r="A10566" t="s">
        <v>14097</v>
      </c>
      <c r="B10566" s="1" t="str">
        <f>HYPERLINK("https://asmlis.vasa.lt/Dashboard/Served?ServiceDateFrom=2025-11-24&amp;ServiceDateTo=2025-11-24&amp;DumpsterInvNr=13-P-502726", "13-P-502726")</f>
        <v>13-P-502726</v>
      </c>
      <c r="C10566">
        <v>0.12</v>
      </c>
      <c r="D10566" t="s">
        <v>14092</v>
      </c>
      <c r="E10566" t="s">
        <v>11</v>
      </c>
      <c r="G10566" t="s">
        <v>2178</v>
      </c>
      <c r="H10566" t="s">
        <v>432</v>
      </c>
    </row>
    <row r="10567" spans="1:8" hidden="1" x14ac:dyDescent="0.25">
      <c r="A10567" t="s">
        <v>14099</v>
      </c>
      <c r="B10567" s="1" t="str">
        <f>HYPERLINK("https://asmlis.vasa.lt/Dashboard/Served?ServiceDateFrom=2025-11-24&amp;ServiceDateTo=2025-11-24&amp;DumpsterInvNr=13-L-317261", "13-L-317261")</f>
        <v>13-L-317261</v>
      </c>
      <c r="C10567">
        <v>1.1000000000000001</v>
      </c>
      <c r="D10567" t="s">
        <v>13175</v>
      </c>
      <c r="E10567" t="s">
        <v>11</v>
      </c>
      <c r="G10567" t="s">
        <v>9</v>
      </c>
      <c r="H10567" t="s">
        <v>14</v>
      </c>
    </row>
    <row r="10568" spans="1:8" hidden="1" x14ac:dyDescent="0.25">
      <c r="A10568" t="s">
        <v>14100</v>
      </c>
      <c r="B10568" s="1" t="str">
        <f>HYPERLINK("https://asmlis.vasa.lt/Dashboard/Served?ServiceDateFrom=2025-11-24&amp;ServiceDateTo=2025-11-24&amp;DumpsterInvNr=13-L-314167", "13-L-314167")</f>
        <v>13-L-314167</v>
      </c>
      <c r="C10568">
        <v>5</v>
      </c>
      <c r="D10568" t="s">
        <v>10811</v>
      </c>
      <c r="E10568" t="s">
        <v>11</v>
      </c>
      <c r="G10568" t="s">
        <v>9</v>
      </c>
      <c r="H10568" t="s">
        <v>14</v>
      </c>
    </row>
    <row r="10569" spans="1:8" hidden="1" x14ac:dyDescent="0.25">
      <c r="A10569" t="s">
        <v>14100</v>
      </c>
      <c r="B10569" s="1" t="str">
        <f>HYPERLINK("https://asmlis.vasa.lt/Dashboard/Served?ServiceDateFrom=2025-11-24&amp;ServiceDateTo=2025-11-24&amp;DumpsterInvNr=13-L-111740", "13-L-111740")</f>
        <v>13-L-111740</v>
      </c>
      <c r="C10569">
        <v>1.1000000000000001</v>
      </c>
      <c r="D10569" t="s">
        <v>14101</v>
      </c>
      <c r="E10569" t="s">
        <v>11</v>
      </c>
      <c r="G10569" t="s">
        <v>430</v>
      </c>
      <c r="H10569" t="s">
        <v>432</v>
      </c>
    </row>
    <row r="10570" spans="1:8" hidden="1" x14ac:dyDescent="0.25">
      <c r="A10570" t="s">
        <v>14103</v>
      </c>
      <c r="B10570" s="1" t="str">
        <f>HYPERLINK("https://asmlis.vasa.lt/Dashboard/Served?ServiceDateFrom=2025-11-24&amp;ServiceDateTo=2025-11-24&amp;DumpsterInvNr=13-L-214929", "13-L-214929")</f>
        <v>13-L-214929</v>
      </c>
      <c r="C10570">
        <v>0.12</v>
      </c>
      <c r="D10570" t="s">
        <v>14104</v>
      </c>
      <c r="E10570" t="s">
        <v>11</v>
      </c>
      <c r="F10570" t="s">
        <v>1209</v>
      </c>
      <c r="G10570" t="s">
        <v>936</v>
      </c>
      <c r="H10570" t="s">
        <v>938</v>
      </c>
    </row>
    <row r="10571" spans="1:8" hidden="1" x14ac:dyDescent="0.25">
      <c r="A10571" t="s">
        <v>14103</v>
      </c>
      <c r="B10571" s="1" t="str">
        <f>HYPERLINK("https://asmlis.vasa.lt/Dashboard/Served?ServiceDateFrom=2025-11-24&amp;ServiceDateTo=2025-11-24&amp;DumpsterInvNr=13-L-102719", "13-L-102719")</f>
        <v>13-L-102719</v>
      </c>
      <c r="C10571">
        <v>0.24</v>
      </c>
      <c r="D10571" t="s">
        <v>14105</v>
      </c>
      <c r="E10571" t="s">
        <v>11</v>
      </c>
      <c r="G10571" t="s">
        <v>1912</v>
      </c>
      <c r="H10571" t="s">
        <v>432</v>
      </c>
    </row>
    <row r="10572" spans="1:8" hidden="1" x14ac:dyDescent="0.25">
      <c r="A10572" t="s">
        <v>14103</v>
      </c>
      <c r="B10572" s="1" t="str">
        <f>HYPERLINK("https://asmlis.vasa.lt/Dashboard/Served?ServiceDateFrom=2025-11-24&amp;ServiceDateTo=2025-11-24&amp;DumpsterInvNr=13-P-502971", "13-P-502971")</f>
        <v>13-P-502971</v>
      </c>
      <c r="C10572">
        <v>0.24</v>
      </c>
      <c r="D10572" t="s">
        <v>14098</v>
      </c>
      <c r="E10572" t="s">
        <v>11</v>
      </c>
      <c r="G10572" t="s">
        <v>2178</v>
      </c>
      <c r="H10572" t="s">
        <v>432</v>
      </c>
    </row>
    <row r="10573" spans="1:8" hidden="1" x14ac:dyDescent="0.25">
      <c r="A10573" t="s">
        <v>13903</v>
      </c>
      <c r="B10573" s="1" t="str">
        <f>HYPERLINK("https://asmlis.vasa.lt/Dashboard/Served?ServiceDateFrom=2025-11-24&amp;ServiceDateTo=2025-11-24&amp;DumpsterInvNr=13-L-224210", "13-L-224210")</f>
        <v>13-L-224210</v>
      </c>
      <c r="C10573">
        <v>0.24</v>
      </c>
      <c r="D10573" t="s">
        <v>14106</v>
      </c>
      <c r="E10573" t="s">
        <v>11</v>
      </c>
      <c r="F10573" t="s">
        <v>1209</v>
      </c>
      <c r="G10573" t="s">
        <v>936</v>
      </c>
      <c r="H10573" t="s">
        <v>938</v>
      </c>
    </row>
    <row r="10574" spans="1:8" hidden="1" x14ac:dyDescent="0.25">
      <c r="A10574" t="s">
        <v>13905</v>
      </c>
      <c r="B10574" s="1" t="str">
        <f>HYPERLINK("https://asmlis.vasa.lt/Dashboard/Served?ServiceDateFrom=2025-11-24&amp;ServiceDateTo=2025-11-24&amp;DumpsterInvNr=13-P-100915", "13-P-100915")</f>
        <v>13-P-100915</v>
      </c>
      <c r="C10574">
        <v>0.12</v>
      </c>
      <c r="D10574" t="s">
        <v>14105</v>
      </c>
      <c r="E10574" t="s">
        <v>11</v>
      </c>
      <c r="G10574" t="s">
        <v>1917</v>
      </c>
      <c r="H10574" t="s">
        <v>432</v>
      </c>
    </row>
    <row r="10575" spans="1:8" hidden="1" x14ac:dyDescent="0.25">
      <c r="A10575" t="s">
        <v>13905</v>
      </c>
      <c r="B10575" s="1" t="str">
        <f>HYPERLINK("https://asmlis.vasa.lt/Dashboard/Served?ServiceDateFrom=2025-11-24&amp;ServiceDateTo=2025-11-24&amp;DumpsterInvNr=13-S-504970", "13-S-504970")</f>
        <v>13-S-504970</v>
      </c>
      <c r="C10575">
        <v>0.12</v>
      </c>
      <c r="D10575" t="s">
        <v>14092</v>
      </c>
      <c r="E10575" t="s">
        <v>11</v>
      </c>
      <c r="F10575" t="s">
        <v>1209</v>
      </c>
      <c r="G10575" t="s">
        <v>2178</v>
      </c>
      <c r="H10575" t="s">
        <v>432</v>
      </c>
    </row>
    <row r="10576" spans="1:8" hidden="1" x14ac:dyDescent="0.25">
      <c r="A10576" t="s">
        <v>13921</v>
      </c>
      <c r="B10576" s="1" t="str">
        <f>HYPERLINK("https://asmlis.vasa.lt/Dashboard/Served?ServiceDateFrom=2025-11-24&amp;ServiceDateTo=2025-11-24&amp;DumpsterInvNr=13-S-503710", "13-S-503710")</f>
        <v>13-S-503710</v>
      </c>
      <c r="C10576">
        <v>0.12</v>
      </c>
      <c r="D10576" t="s">
        <v>14098</v>
      </c>
      <c r="E10576" t="s">
        <v>11</v>
      </c>
      <c r="F10576" t="s">
        <v>1209</v>
      </c>
      <c r="G10576" t="s">
        <v>2178</v>
      </c>
      <c r="H10576" t="s">
        <v>432</v>
      </c>
    </row>
    <row r="10577" spans="1:8" hidden="1" x14ac:dyDescent="0.25">
      <c r="A10577" t="s">
        <v>13971</v>
      </c>
      <c r="B10577" s="1" t="str">
        <f>HYPERLINK("https://asmlis.vasa.lt/Dashboard/Served?ServiceDateFrom=2025-11-24&amp;ServiceDateTo=2025-11-24&amp;DumpsterInvNr=13-S-208358", "13-S-208358")</f>
        <v>13-S-208358</v>
      </c>
      <c r="C10577">
        <v>3</v>
      </c>
      <c r="D10577" t="s">
        <v>8956</v>
      </c>
      <c r="E10577" t="s">
        <v>11</v>
      </c>
      <c r="G10577" t="s">
        <v>234</v>
      </c>
      <c r="H10577" t="s">
        <v>14</v>
      </c>
    </row>
    <row r="10578" spans="1:8" hidden="1" x14ac:dyDescent="0.25">
      <c r="A10578" t="s">
        <v>14109</v>
      </c>
      <c r="B10578" s="1" t="str">
        <f>HYPERLINK("https://asmlis.vasa.lt/Dashboard/Served?ServiceDateFrom=2025-11-24&amp;ServiceDateTo=2025-11-24&amp;DumpsterInvNr=13-P-213207", "13-P-213207")</f>
        <v>13-P-213207</v>
      </c>
      <c r="C10578">
        <v>1.1000000000000001</v>
      </c>
      <c r="D10578" t="s">
        <v>14110</v>
      </c>
      <c r="E10578" t="s">
        <v>11</v>
      </c>
      <c r="F10578" t="s">
        <v>13</v>
      </c>
      <c r="G10578" t="s">
        <v>234</v>
      </c>
      <c r="H10578" t="s">
        <v>14</v>
      </c>
    </row>
    <row r="10579" spans="1:8" hidden="1" x14ac:dyDescent="0.25">
      <c r="A10579" t="s">
        <v>14017</v>
      </c>
      <c r="B10579" s="1" t="str">
        <f>HYPERLINK("https://asmlis.vasa.lt/Dashboard/Served?ServiceDateFrom=2025-11-24&amp;ServiceDateTo=2025-11-24&amp;DumpsterInvNr=13-P-213081", "13-P-213081")</f>
        <v>13-P-213081</v>
      </c>
      <c r="C10579">
        <v>1.1000000000000001</v>
      </c>
      <c r="D10579" t="s">
        <v>14110</v>
      </c>
      <c r="E10579" t="s">
        <v>11</v>
      </c>
      <c r="F10579" t="s">
        <v>13</v>
      </c>
      <c r="G10579" t="s">
        <v>234</v>
      </c>
      <c r="H10579" t="s">
        <v>14</v>
      </c>
    </row>
    <row r="10580" spans="1:8" hidden="1" x14ac:dyDescent="0.25">
      <c r="A10580" t="s">
        <v>14043</v>
      </c>
      <c r="B10580" s="1" t="str">
        <f>HYPERLINK("https://asmlis.vasa.lt/Dashboard/Served?ServiceDateFrom=2025-11-24&amp;ServiceDateTo=2025-11-24&amp;DumpsterInvNr=13-P-212937", "13-P-212937")</f>
        <v>13-P-212937</v>
      </c>
      <c r="C10580">
        <v>1.1000000000000001</v>
      </c>
      <c r="D10580" t="s">
        <v>14110</v>
      </c>
      <c r="E10580" t="s">
        <v>11</v>
      </c>
      <c r="F10580" t="s">
        <v>13</v>
      </c>
      <c r="G10580" t="s">
        <v>234</v>
      </c>
      <c r="H10580" t="s">
        <v>14</v>
      </c>
    </row>
    <row r="10581" spans="1:8" hidden="1" x14ac:dyDescent="0.25">
      <c r="A10581" t="s">
        <v>14111</v>
      </c>
      <c r="B10581" s="1" t="str">
        <f>HYPERLINK("https://asmlis.vasa.lt/Dashboard/Served?ServiceDateFrom=2025-11-24&amp;ServiceDateTo=2025-11-24&amp;DumpsterInvNr=13-L-207174", "13-L-207174")</f>
        <v>13-L-207174</v>
      </c>
      <c r="C10581">
        <v>0.12</v>
      </c>
      <c r="D10581" t="s">
        <v>14112</v>
      </c>
      <c r="E10581" t="s">
        <v>11</v>
      </c>
      <c r="F10581" t="s">
        <v>1209</v>
      </c>
      <c r="G10581" t="s">
        <v>936</v>
      </c>
      <c r="H10581" t="s">
        <v>938</v>
      </c>
    </row>
    <row r="10582" spans="1:8" hidden="1" x14ac:dyDescent="0.25">
      <c r="A10582" t="s">
        <v>14048</v>
      </c>
      <c r="B10582" s="1" t="str">
        <f>HYPERLINK("https://asmlis.vasa.lt/Dashboard/Served?ServiceDateFrom=2025-11-24&amp;ServiceDateTo=2025-11-24&amp;DumpsterInvNr=13-L-418953", "13-L-418953")</f>
        <v>13-L-418953</v>
      </c>
      <c r="C10582">
        <v>5</v>
      </c>
      <c r="D10582" t="s">
        <v>10061</v>
      </c>
      <c r="E10582" t="s">
        <v>11</v>
      </c>
      <c r="F10582" t="s">
        <v>13</v>
      </c>
      <c r="G10582" t="s">
        <v>74</v>
      </c>
      <c r="H10582" t="s">
        <v>14</v>
      </c>
    </row>
    <row r="10583" spans="1:8" hidden="1" x14ac:dyDescent="0.25">
      <c r="A10583" t="s">
        <v>14048</v>
      </c>
      <c r="B10583" s="1" t="str">
        <f>HYPERLINK("https://asmlis.vasa.lt/Dashboard/Served?ServiceDateFrom=2025-11-24&amp;ServiceDateTo=2025-11-24&amp;DumpsterInvNr=13-P-302635", "13-P-302635")</f>
        <v>13-P-302635</v>
      </c>
      <c r="C10583">
        <v>5</v>
      </c>
      <c r="D10583" t="s">
        <v>4978</v>
      </c>
      <c r="E10583" t="s">
        <v>11</v>
      </c>
      <c r="G10583" t="s">
        <v>412</v>
      </c>
      <c r="H10583" t="s">
        <v>14</v>
      </c>
    </row>
    <row r="10584" spans="1:8" hidden="1" x14ac:dyDescent="0.25">
      <c r="A10584" t="s">
        <v>14048</v>
      </c>
      <c r="B10584" s="1" t="str">
        <f>HYPERLINK("https://asmlis.vasa.lt/Dashboard/Served?ServiceDateFrom=2025-11-24&amp;ServiceDateTo=2025-11-24&amp;DumpsterInvNr=13-P-400520", "13-P-400520")</f>
        <v>13-P-400520</v>
      </c>
      <c r="C10584">
        <v>5</v>
      </c>
      <c r="D10584" t="s">
        <v>4614</v>
      </c>
      <c r="E10584" t="s">
        <v>11</v>
      </c>
      <c r="G10584" t="s">
        <v>264</v>
      </c>
      <c r="H10584" t="s">
        <v>14</v>
      </c>
    </row>
    <row r="10585" spans="1:8" hidden="1" x14ac:dyDescent="0.25">
      <c r="A10585" t="s">
        <v>14113</v>
      </c>
      <c r="B10585" s="1" t="str">
        <f>HYPERLINK("https://asmlis.vasa.lt/Dashboard/Served?ServiceDateFrom=2025-11-24&amp;ServiceDateTo=2025-11-24&amp;DumpsterInvNr=13-L-141370", "13-L-141370")</f>
        <v>13-L-141370</v>
      </c>
      <c r="C10585">
        <v>0.77</v>
      </c>
      <c r="D10585" t="s">
        <v>14114</v>
      </c>
      <c r="E10585" t="s">
        <v>11</v>
      </c>
      <c r="G10585" t="s">
        <v>1912</v>
      </c>
      <c r="H10585" t="s">
        <v>432</v>
      </c>
    </row>
    <row r="10586" spans="1:8" hidden="1" x14ac:dyDescent="0.25">
      <c r="A10586" t="s">
        <v>14116</v>
      </c>
      <c r="B10586" s="1" t="str">
        <f>HYPERLINK("https://asmlis.vasa.lt/Dashboard/Served?ServiceDateFrom=2025-11-24&amp;ServiceDateTo=2025-11-24&amp;DumpsterInvNr=13-L-222434", "13-L-222434")</f>
        <v>13-L-222434</v>
      </c>
      <c r="C10586">
        <v>0.24</v>
      </c>
      <c r="D10586" t="s">
        <v>14117</v>
      </c>
      <c r="E10586" t="s">
        <v>11</v>
      </c>
      <c r="F10586" t="s">
        <v>1209</v>
      </c>
      <c r="G10586" t="s">
        <v>936</v>
      </c>
      <c r="H10586" t="s">
        <v>938</v>
      </c>
    </row>
    <row r="10587" spans="1:8" hidden="1" x14ac:dyDescent="0.25">
      <c r="A10587" t="s">
        <v>14116</v>
      </c>
      <c r="B10587" s="1" t="str">
        <f>HYPERLINK("https://asmlis.vasa.lt/Dashboard/Served?ServiceDateFrom=2025-11-24&amp;ServiceDateTo=2025-11-24&amp;DumpsterInvNr=13-P-100914", "13-P-100914")</f>
        <v>13-P-100914</v>
      </c>
      <c r="C10587">
        <v>0.12</v>
      </c>
      <c r="D10587" t="s">
        <v>14118</v>
      </c>
      <c r="E10587" t="s">
        <v>11</v>
      </c>
      <c r="G10587" t="s">
        <v>1917</v>
      </c>
      <c r="H10587" t="s">
        <v>432</v>
      </c>
    </row>
    <row r="10588" spans="1:8" hidden="1" x14ac:dyDescent="0.25">
      <c r="A10588" t="s">
        <v>14119</v>
      </c>
      <c r="B10588" s="1" t="str">
        <f>HYPERLINK("https://asmlis.vasa.lt/Dashboard/Served?ServiceDateFrom=2025-11-24&amp;ServiceDateTo=2025-11-24&amp;DumpsterInvNr=13-S-207333", "13-S-207333")</f>
        <v>13-S-207333</v>
      </c>
      <c r="C10588">
        <v>0.12</v>
      </c>
      <c r="D10588" t="s">
        <v>12574</v>
      </c>
      <c r="E10588" t="s">
        <v>11</v>
      </c>
      <c r="G10588" t="s">
        <v>234</v>
      </c>
      <c r="H10588" t="s">
        <v>14</v>
      </c>
    </row>
    <row r="10589" spans="1:8" hidden="1" x14ac:dyDescent="0.25">
      <c r="A10589" t="s">
        <v>14120</v>
      </c>
      <c r="B10589" s="1" t="str">
        <f>HYPERLINK("https://asmlis.vasa.lt/Dashboard/Served?ServiceDateFrom=2025-11-24&amp;ServiceDateTo=2025-11-24&amp;DumpsterInvNr=13-L-317980", "13-L-317980")</f>
        <v>13-L-317980</v>
      </c>
      <c r="C10589">
        <v>1.1000000000000001</v>
      </c>
      <c r="D10589" t="s">
        <v>14121</v>
      </c>
      <c r="E10589" t="s">
        <v>11</v>
      </c>
      <c r="F10589" t="s">
        <v>13</v>
      </c>
      <c r="G10589" t="s">
        <v>9</v>
      </c>
      <c r="H10589" t="s">
        <v>14</v>
      </c>
    </row>
    <row r="10590" spans="1:8" hidden="1" x14ac:dyDescent="0.25">
      <c r="A10590" t="s">
        <v>14122</v>
      </c>
      <c r="B10590" s="1" t="str">
        <f>HYPERLINK("https://asmlis.vasa.lt/Dashboard/Served?ServiceDateFrom=2025-11-24&amp;ServiceDateTo=2025-11-24&amp;DumpsterInvNr=13-L-317846", "13-L-317846")</f>
        <v>13-L-317846</v>
      </c>
      <c r="C10590">
        <v>1.1000000000000001</v>
      </c>
      <c r="D10590" t="s">
        <v>13175</v>
      </c>
      <c r="E10590" t="s">
        <v>11</v>
      </c>
      <c r="G10590" t="s">
        <v>9</v>
      </c>
      <c r="H10590" t="s">
        <v>14</v>
      </c>
    </row>
    <row r="10591" spans="1:8" hidden="1" x14ac:dyDescent="0.25">
      <c r="A10591" t="s">
        <v>14123</v>
      </c>
      <c r="B10591" s="1" t="str">
        <f>HYPERLINK("https://asmlis.vasa.lt/Dashboard/Served?ServiceDateFrom=2025-11-24&amp;ServiceDateTo=2025-11-24&amp;DumpsterInvNr=13-L-215926", "13-L-215926")</f>
        <v>13-L-215926</v>
      </c>
      <c r="C10591">
        <v>0.24</v>
      </c>
      <c r="D10591" t="s">
        <v>14124</v>
      </c>
      <c r="E10591" t="s">
        <v>11</v>
      </c>
      <c r="F10591" t="s">
        <v>1209</v>
      </c>
      <c r="G10591" t="s">
        <v>936</v>
      </c>
      <c r="H10591" t="s">
        <v>938</v>
      </c>
    </row>
    <row r="10592" spans="1:8" hidden="1" x14ac:dyDescent="0.25">
      <c r="A10592" t="s">
        <v>14123</v>
      </c>
      <c r="B10592" s="1" t="str">
        <f>HYPERLINK("https://asmlis.vasa.lt/Dashboard/Served?ServiceDateFrom=2025-11-24&amp;ServiceDateTo=2025-11-24&amp;DumpsterInvNr=13-L-149200", "13-L-149200")</f>
        <v>13-L-149200</v>
      </c>
      <c r="C10592">
        <v>0.24</v>
      </c>
      <c r="D10592" t="s">
        <v>14118</v>
      </c>
      <c r="E10592" t="s">
        <v>11</v>
      </c>
      <c r="G10592" t="s">
        <v>1912</v>
      </c>
      <c r="H10592" t="s">
        <v>432</v>
      </c>
    </row>
    <row r="10593" spans="1:10" hidden="1" x14ac:dyDescent="0.25">
      <c r="A10593" t="s">
        <v>14126</v>
      </c>
      <c r="B10593" s="1" t="str">
        <f>HYPERLINK("https://asmlis.vasa.lt/Dashboard/Served?ServiceDateFrom=2025-11-24&amp;ServiceDateTo=2025-11-24&amp;DumpsterInvNr=13-L-412095", "13-L-412095")</f>
        <v>13-L-412095</v>
      </c>
      <c r="C10593">
        <v>5</v>
      </c>
      <c r="D10593" t="s">
        <v>14127</v>
      </c>
      <c r="E10593" t="s">
        <v>11</v>
      </c>
      <c r="G10593" t="s">
        <v>74</v>
      </c>
      <c r="H10593" t="s">
        <v>14</v>
      </c>
    </row>
    <row r="10594" spans="1:10" hidden="1" x14ac:dyDescent="0.25">
      <c r="A10594" t="s">
        <v>14128</v>
      </c>
      <c r="B10594" s="1" t="str">
        <f>HYPERLINK("https://asmlis.vasa.lt/Dashboard/Served?ServiceDateFrom=2025-11-24&amp;ServiceDateTo=2025-11-24&amp;DumpsterInvNr=13-L-317615", "13-L-317615")</f>
        <v>13-L-317615</v>
      </c>
      <c r="C10594">
        <v>1.1000000000000001</v>
      </c>
      <c r="D10594" t="s">
        <v>13997</v>
      </c>
      <c r="E10594" t="s">
        <v>11</v>
      </c>
      <c r="F10594" t="s">
        <v>13</v>
      </c>
      <c r="G10594" t="s">
        <v>9</v>
      </c>
      <c r="H10594" t="s">
        <v>14</v>
      </c>
    </row>
    <row r="10595" spans="1:10" hidden="1" x14ac:dyDescent="0.25">
      <c r="A10595" t="s">
        <v>14129</v>
      </c>
      <c r="B10595" s="1" t="str">
        <f>HYPERLINK("https://asmlis.vasa.lt/Dashboard/Served?ServiceDateFrom=2025-11-24&amp;ServiceDateTo=2025-11-24&amp;DumpsterInvNr=13-P-206168", "13-P-206168")</f>
        <v>13-P-206168</v>
      </c>
      <c r="C10595">
        <v>0.24</v>
      </c>
      <c r="D10595" t="s">
        <v>12587</v>
      </c>
      <c r="E10595" t="s">
        <v>11</v>
      </c>
      <c r="G10595" t="s">
        <v>234</v>
      </c>
      <c r="H10595" t="s">
        <v>14</v>
      </c>
    </row>
    <row r="10596" spans="1:10" hidden="1" x14ac:dyDescent="0.25">
      <c r="A10596" t="s">
        <v>14129</v>
      </c>
      <c r="B10596" s="1" t="str">
        <f>HYPERLINK("https://asmlis.vasa.lt/Dashboard/Served?ServiceDateFrom=2025-11-24&amp;ServiceDateTo=2025-11-24&amp;DumpsterInvNr=13-P-508381", "13-P-508381")</f>
        <v>13-P-508381</v>
      </c>
      <c r="C10596">
        <v>0.24</v>
      </c>
      <c r="D10596" t="s">
        <v>14130</v>
      </c>
      <c r="E10596" t="s">
        <v>11</v>
      </c>
      <c r="G10596" t="s">
        <v>2178</v>
      </c>
      <c r="H10596" t="s">
        <v>432</v>
      </c>
    </row>
    <row r="10597" spans="1:10" hidden="1" x14ac:dyDescent="0.25">
      <c r="A10597" t="s">
        <v>14129</v>
      </c>
      <c r="B10597" s="1" t="str">
        <f>HYPERLINK("https://asmlis.vasa.lt/Dashboard/Served?ServiceDateFrom=2025-11-24&amp;ServiceDateTo=2025-11-24&amp;DumpsterInvNr=13-S-505582", "13-S-505582")</f>
        <v>13-S-505582</v>
      </c>
      <c r="C10597">
        <v>0.12</v>
      </c>
      <c r="D10597" t="s">
        <v>14130</v>
      </c>
      <c r="E10597" t="s">
        <v>11</v>
      </c>
      <c r="G10597" t="s">
        <v>2178</v>
      </c>
      <c r="H10597" t="s">
        <v>432</v>
      </c>
    </row>
    <row r="10598" spans="1:10" hidden="1" x14ac:dyDescent="0.25">
      <c r="A10598" t="s">
        <v>14129</v>
      </c>
      <c r="B10598" s="1" t="str">
        <f>HYPERLINK("https://asmlis.vasa.lt/Dashboard/Served?ServiceDateFrom=2025-11-24&amp;ServiceDateTo=2025-11-24&amp;DumpsterInvNr=13-P-401399", "13-P-401399")</f>
        <v>13-P-401399</v>
      </c>
      <c r="C10598">
        <v>1.1000000000000001</v>
      </c>
      <c r="D10598" t="s">
        <v>14132</v>
      </c>
      <c r="E10598" t="s">
        <v>11</v>
      </c>
      <c r="F10598" t="s">
        <v>2960</v>
      </c>
      <c r="G10598" t="s">
        <v>264</v>
      </c>
      <c r="H10598" t="s">
        <v>14</v>
      </c>
      <c r="J10598" t="s">
        <v>17519</v>
      </c>
    </row>
    <row r="10599" spans="1:10" hidden="1" x14ac:dyDescent="0.25">
      <c r="A10599" t="s">
        <v>14133</v>
      </c>
      <c r="B10599" s="1" t="str">
        <f>HYPERLINK("https://asmlis.vasa.lt/Dashboard/Served?ServiceDateFrom=2025-11-24&amp;ServiceDateTo=2025-11-24&amp;DumpsterInvNr=13-L-203479", "13-L-203479")</f>
        <v>13-L-203479</v>
      </c>
      <c r="C10599">
        <v>0.24</v>
      </c>
      <c r="D10599" t="s">
        <v>14134</v>
      </c>
      <c r="E10599" t="s">
        <v>11</v>
      </c>
      <c r="F10599" t="s">
        <v>1209</v>
      </c>
      <c r="G10599" t="s">
        <v>936</v>
      </c>
      <c r="H10599" t="s">
        <v>938</v>
      </c>
    </row>
    <row r="10600" spans="1:10" hidden="1" x14ac:dyDescent="0.25">
      <c r="A10600" t="s">
        <v>14136</v>
      </c>
      <c r="B10600" s="1" t="str">
        <f>HYPERLINK("https://asmlis.vasa.lt/Dashboard/Served?ServiceDateFrom=2025-11-24&amp;ServiceDateTo=2025-11-24&amp;DumpsterInvNr=13-L-109818", "13-L-109818")</f>
        <v>13-L-109818</v>
      </c>
      <c r="C10600">
        <v>0.12</v>
      </c>
      <c r="D10600" t="s">
        <v>14130</v>
      </c>
      <c r="E10600" t="s">
        <v>11</v>
      </c>
      <c r="G10600" t="s">
        <v>430</v>
      </c>
      <c r="H10600" t="s">
        <v>432</v>
      </c>
    </row>
    <row r="10601" spans="1:10" hidden="1" x14ac:dyDescent="0.25">
      <c r="A10601" t="s">
        <v>14137</v>
      </c>
      <c r="B10601" s="1" t="str">
        <f>HYPERLINK("https://asmlis.vasa.lt/Dashboard/Served?ServiceDateFrom=2025-11-24&amp;ServiceDateTo=2025-11-24&amp;DumpsterInvNr=13-L-203480", "13-L-203480")</f>
        <v>13-L-203480</v>
      </c>
      <c r="C10601">
        <v>0.12</v>
      </c>
      <c r="D10601" t="s">
        <v>14138</v>
      </c>
      <c r="E10601" t="s">
        <v>11</v>
      </c>
      <c r="F10601" t="s">
        <v>1209</v>
      </c>
      <c r="G10601" t="s">
        <v>936</v>
      </c>
      <c r="H10601" t="s">
        <v>938</v>
      </c>
    </row>
    <row r="10602" spans="1:10" hidden="1" x14ac:dyDescent="0.25">
      <c r="A10602" t="s">
        <v>14139</v>
      </c>
      <c r="B10602" s="1" t="str">
        <f>HYPERLINK("https://asmlis.vasa.lt/Dashboard/Served?ServiceDateFrom=2025-11-24&amp;ServiceDateTo=2025-11-24&amp;DumpsterInvNr=13-L-317153", "13-L-317153")</f>
        <v>13-L-317153</v>
      </c>
      <c r="C10602">
        <v>0.24</v>
      </c>
      <c r="D10602" t="s">
        <v>14140</v>
      </c>
      <c r="E10602" t="s">
        <v>11</v>
      </c>
      <c r="F10602" t="s">
        <v>13</v>
      </c>
      <c r="G10602" t="s">
        <v>9</v>
      </c>
      <c r="H10602" t="s">
        <v>14</v>
      </c>
    </row>
    <row r="10603" spans="1:10" hidden="1" x14ac:dyDescent="0.25">
      <c r="A10603" t="s">
        <v>14139</v>
      </c>
      <c r="B10603" s="1" t="str">
        <f>HYPERLINK("https://asmlis.vasa.lt/Dashboard/Served?ServiceDateFrom=2025-11-24&amp;ServiceDateTo=2025-11-24&amp;DumpsterInvNr=13-L-202307", "13-L-202307")</f>
        <v>13-L-202307</v>
      </c>
      <c r="C10603">
        <v>0.12</v>
      </c>
      <c r="D10603" t="s">
        <v>14141</v>
      </c>
      <c r="E10603" t="s">
        <v>11</v>
      </c>
      <c r="F10603" t="s">
        <v>1209</v>
      </c>
      <c r="G10603" t="s">
        <v>936</v>
      </c>
      <c r="H10603" t="s">
        <v>938</v>
      </c>
    </row>
    <row r="10604" spans="1:10" hidden="1" x14ac:dyDescent="0.25">
      <c r="A10604" t="s">
        <v>14143</v>
      </c>
      <c r="B10604" s="1" t="str">
        <f>HYPERLINK("https://asmlis.vasa.lt/Dashboard/Served?ServiceDateFrom=2025-11-24&amp;ServiceDateTo=2025-11-24&amp;DumpsterInvNr=13-L-224701", "13-L-224701")</f>
        <v>13-L-224701</v>
      </c>
      <c r="C10604">
        <v>5</v>
      </c>
      <c r="D10604" t="s">
        <v>9475</v>
      </c>
      <c r="E10604" t="s">
        <v>11</v>
      </c>
      <c r="G10604" t="s">
        <v>936</v>
      </c>
      <c r="H10604" t="s">
        <v>938</v>
      </c>
    </row>
    <row r="10605" spans="1:10" hidden="1" x14ac:dyDescent="0.25">
      <c r="A10605" t="s">
        <v>14144</v>
      </c>
      <c r="B10605" s="1" t="str">
        <f>HYPERLINK("https://asmlis.vasa.lt/Dashboard/Served?ServiceDateFrom=2025-11-24&amp;ServiceDateTo=2025-11-24&amp;DumpsterInvNr=13-P-404476", "13-P-404476")</f>
        <v>13-P-404476</v>
      </c>
      <c r="C10605">
        <v>5</v>
      </c>
      <c r="D10605" t="s">
        <v>2113</v>
      </c>
      <c r="E10605" t="s">
        <v>11</v>
      </c>
      <c r="G10605" t="s">
        <v>264</v>
      </c>
      <c r="H10605" t="s">
        <v>14</v>
      </c>
    </row>
    <row r="10606" spans="1:10" hidden="1" x14ac:dyDescent="0.25">
      <c r="A10606" t="s">
        <v>14145</v>
      </c>
      <c r="B10606" s="1" t="str">
        <f>HYPERLINK("https://asmlis.vasa.lt/Dashboard/Served?ServiceDateFrom=2025-11-24&amp;ServiceDateTo=2025-11-24&amp;DumpsterInvNr=13-L-302522", "13-L-302522")</f>
        <v>13-L-302522</v>
      </c>
      <c r="C10606">
        <v>0.24</v>
      </c>
      <c r="D10606" t="s">
        <v>14146</v>
      </c>
      <c r="E10606" t="s">
        <v>11</v>
      </c>
      <c r="G10606" t="s">
        <v>9</v>
      </c>
      <c r="H10606" t="s">
        <v>14</v>
      </c>
    </row>
    <row r="10607" spans="1:10" hidden="1" x14ac:dyDescent="0.25">
      <c r="A10607" t="s">
        <v>14147</v>
      </c>
      <c r="B10607" s="1" t="str">
        <f>HYPERLINK("https://asmlis.vasa.lt/Dashboard/Served?ServiceDateFrom=2025-11-24&amp;ServiceDateTo=2025-11-24&amp;DumpsterInvNr=13-P-211863", "13-P-211863")</f>
        <v>13-P-211863</v>
      </c>
      <c r="C10607">
        <v>0.24</v>
      </c>
      <c r="D10607" t="s">
        <v>12585</v>
      </c>
      <c r="E10607" t="s">
        <v>11</v>
      </c>
      <c r="G10607" t="s">
        <v>234</v>
      </c>
      <c r="H10607" t="s">
        <v>14</v>
      </c>
    </row>
    <row r="10608" spans="1:10" hidden="1" x14ac:dyDescent="0.25">
      <c r="A10608" t="s">
        <v>14148</v>
      </c>
      <c r="B10608" s="1" t="str">
        <f>HYPERLINK("https://asmlis.vasa.lt/Dashboard/Served?ServiceDateFrom=2025-11-24&amp;ServiceDateTo=2025-11-24&amp;DumpsterInvNr=13-S-205831", "13-S-205831")</f>
        <v>13-S-205831</v>
      </c>
      <c r="C10608">
        <v>0.12</v>
      </c>
      <c r="D10608" t="s">
        <v>12587</v>
      </c>
      <c r="E10608" t="s">
        <v>11</v>
      </c>
      <c r="G10608" t="s">
        <v>234</v>
      </c>
      <c r="H10608" t="s">
        <v>14</v>
      </c>
    </row>
    <row r="10609" spans="1:8" hidden="1" x14ac:dyDescent="0.25">
      <c r="A10609" t="s">
        <v>14149</v>
      </c>
      <c r="B10609" s="1" t="str">
        <f>HYPERLINK("https://asmlis.vasa.lt/Dashboard/Served?ServiceDateFrom=2025-11-24&amp;ServiceDateTo=2025-11-24&amp;DumpsterInvNr=13-L-220556", "13-L-220556")</f>
        <v>13-L-220556</v>
      </c>
      <c r="C10609">
        <v>1.1000000000000001</v>
      </c>
      <c r="D10609" t="s">
        <v>13246</v>
      </c>
      <c r="E10609" t="s">
        <v>11</v>
      </c>
      <c r="G10609" t="s">
        <v>936</v>
      </c>
      <c r="H10609" t="s">
        <v>938</v>
      </c>
    </row>
    <row r="10610" spans="1:8" hidden="1" x14ac:dyDescent="0.25">
      <c r="A10610" t="s">
        <v>14149</v>
      </c>
      <c r="B10610" s="1" t="str">
        <f>HYPERLINK("https://asmlis.vasa.lt/Dashboard/Served?ServiceDateFrom=2025-11-24&amp;ServiceDateTo=2025-11-24&amp;DumpsterInvNr=13-L-210288", "13-L-210288")</f>
        <v>13-L-210288</v>
      </c>
      <c r="C10610">
        <v>0.24</v>
      </c>
      <c r="D10610" t="s">
        <v>14150</v>
      </c>
      <c r="E10610" t="s">
        <v>11</v>
      </c>
      <c r="G10610" t="s">
        <v>936</v>
      </c>
      <c r="H10610" t="s">
        <v>938</v>
      </c>
    </row>
    <row r="10611" spans="1:8" hidden="1" x14ac:dyDescent="0.25">
      <c r="A10611" t="s">
        <v>14151</v>
      </c>
      <c r="B10611" s="1" t="str">
        <f>HYPERLINK("https://asmlis.vasa.lt/Dashboard/Served?ServiceDateFrom=2025-11-24&amp;ServiceDateTo=2025-11-24&amp;DumpsterInvNr=13-L-318106", "13-L-318106")</f>
        <v>13-L-318106</v>
      </c>
      <c r="C10611">
        <v>1.1000000000000001</v>
      </c>
      <c r="D10611" t="s">
        <v>13175</v>
      </c>
      <c r="E10611" t="s">
        <v>11</v>
      </c>
      <c r="G10611" t="s">
        <v>9</v>
      </c>
      <c r="H10611" t="s">
        <v>14</v>
      </c>
    </row>
    <row r="10612" spans="1:8" hidden="1" x14ac:dyDescent="0.25">
      <c r="A10612" t="s">
        <v>14152</v>
      </c>
      <c r="B10612" s="1" t="str">
        <f>HYPERLINK("https://asmlis.vasa.lt/Dashboard/Served?ServiceDateFrom=2025-11-24&amp;ServiceDateTo=2025-11-24&amp;DumpsterInvNr=13-S-106531", "13-S-106531")</f>
        <v>13-S-106531</v>
      </c>
      <c r="C10612">
        <v>0.12</v>
      </c>
      <c r="D10612" t="s">
        <v>14105</v>
      </c>
      <c r="E10612" t="s">
        <v>11</v>
      </c>
      <c r="F10612" t="s">
        <v>1209</v>
      </c>
      <c r="G10612" t="s">
        <v>1917</v>
      </c>
      <c r="H10612" t="s">
        <v>432</v>
      </c>
    </row>
    <row r="10613" spans="1:8" hidden="1" x14ac:dyDescent="0.25">
      <c r="A10613" t="s">
        <v>14153</v>
      </c>
      <c r="B10613" s="1" t="str">
        <f>HYPERLINK("https://asmlis.vasa.lt/Dashboard/Served?ServiceDateFrom=2025-11-24&amp;ServiceDateTo=2025-11-24&amp;DumpsterInvNr=13-P-502057", "13-P-502057")</f>
        <v>13-P-502057</v>
      </c>
      <c r="C10613">
        <v>0.24</v>
      </c>
      <c r="D10613" t="s">
        <v>14154</v>
      </c>
      <c r="E10613" t="s">
        <v>11</v>
      </c>
      <c r="G10613" t="s">
        <v>2178</v>
      </c>
      <c r="H10613" t="s">
        <v>432</v>
      </c>
    </row>
    <row r="10614" spans="1:8" hidden="1" x14ac:dyDescent="0.25">
      <c r="A10614" t="s">
        <v>14155</v>
      </c>
      <c r="B10614" s="1" t="str">
        <f>HYPERLINK("https://asmlis.vasa.lt/Dashboard/Served?ServiceDateFrom=2025-11-24&amp;ServiceDateTo=2025-11-24&amp;DumpsterInvNr=13-L-222342", "13-L-222342")</f>
        <v>13-L-222342</v>
      </c>
      <c r="C10614">
        <v>0.24</v>
      </c>
      <c r="D10614" t="s">
        <v>14156</v>
      </c>
      <c r="E10614" t="s">
        <v>11</v>
      </c>
      <c r="G10614" t="s">
        <v>936</v>
      </c>
      <c r="H10614" t="s">
        <v>938</v>
      </c>
    </row>
    <row r="10615" spans="1:8" hidden="1" x14ac:dyDescent="0.25">
      <c r="A10615" t="s">
        <v>14157</v>
      </c>
      <c r="B10615" s="1" t="str">
        <f>HYPERLINK("https://asmlis.vasa.lt/Dashboard/Served?ServiceDateFrom=2025-11-24&amp;ServiceDateTo=2025-11-24&amp;DumpsterInvNr=13-L-422058", "13-L-422058")</f>
        <v>13-L-422058</v>
      </c>
      <c r="C10615">
        <v>5</v>
      </c>
      <c r="D10615" t="s">
        <v>9884</v>
      </c>
      <c r="E10615" t="s">
        <v>11</v>
      </c>
      <c r="F10615" t="s">
        <v>13</v>
      </c>
      <c r="G10615" t="s">
        <v>74</v>
      </c>
      <c r="H10615" t="s">
        <v>14</v>
      </c>
    </row>
    <row r="10616" spans="1:8" hidden="1" x14ac:dyDescent="0.25">
      <c r="A10616" t="s">
        <v>14157</v>
      </c>
      <c r="B10616" s="1" t="str">
        <f>HYPERLINK("https://asmlis.vasa.lt/Dashboard/Served?ServiceDateFrom=2025-11-24&amp;ServiceDateTo=2025-11-24&amp;DumpsterInvNr=13-L-419317", "13-L-419317")</f>
        <v>13-L-419317</v>
      </c>
      <c r="C10616">
        <v>0.24</v>
      </c>
      <c r="D10616" t="s">
        <v>8723</v>
      </c>
      <c r="E10616" t="s">
        <v>11</v>
      </c>
      <c r="G10616" t="s">
        <v>74</v>
      </c>
      <c r="H10616" t="s">
        <v>14</v>
      </c>
    </row>
    <row r="10617" spans="1:8" hidden="1" x14ac:dyDescent="0.25">
      <c r="A10617" t="s">
        <v>14158</v>
      </c>
      <c r="B10617" s="1" t="str">
        <f>HYPERLINK("https://asmlis.vasa.lt/Dashboard/Served?ServiceDateFrom=2025-11-24&amp;ServiceDateTo=2025-11-24&amp;DumpsterInvNr=13-L-147410", "13-L-147410")</f>
        <v>13-L-147410</v>
      </c>
      <c r="C10617">
        <v>0.24</v>
      </c>
      <c r="D10617" t="s">
        <v>14159</v>
      </c>
      <c r="E10617" t="s">
        <v>11</v>
      </c>
      <c r="G10617" t="s">
        <v>430</v>
      </c>
      <c r="H10617" t="s">
        <v>432</v>
      </c>
    </row>
    <row r="10618" spans="1:8" hidden="1" x14ac:dyDescent="0.25">
      <c r="A10618" t="s">
        <v>14158</v>
      </c>
      <c r="B10618" s="1" t="str">
        <f>HYPERLINK("https://asmlis.vasa.lt/Dashboard/Served?ServiceDateFrom=2025-11-24&amp;ServiceDateTo=2025-11-24&amp;DumpsterInvNr=13-P-500650", "13-P-500650")</f>
        <v>13-P-500650</v>
      </c>
      <c r="C10618">
        <v>3</v>
      </c>
      <c r="D10618" t="s">
        <v>14160</v>
      </c>
      <c r="E10618" t="s">
        <v>11</v>
      </c>
      <c r="F10618" t="s">
        <v>13</v>
      </c>
      <c r="G10618" t="s">
        <v>2178</v>
      </c>
      <c r="H10618" t="s">
        <v>432</v>
      </c>
    </row>
    <row r="10619" spans="1:8" hidden="1" x14ac:dyDescent="0.25">
      <c r="A10619" t="s">
        <v>14161</v>
      </c>
      <c r="B10619" s="1" t="str">
        <f>HYPERLINK("https://asmlis.vasa.lt/Dashboard/Served?ServiceDateFrom=2025-11-24&amp;ServiceDateTo=2025-11-24&amp;DumpsterInvNr=13-L-137758", "13-L-137758")</f>
        <v>13-L-137758</v>
      </c>
      <c r="C10619">
        <v>5</v>
      </c>
      <c r="D10619" t="s">
        <v>7651</v>
      </c>
      <c r="E10619" t="s">
        <v>11</v>
      </c>
      <c r="F10619" t="s">
        <v>13</v>
      </c>
      <c r="G10619" t="s">
        <v>430</v>
      </c>
      <c r="H10619" t="s">
        <v>432</v>
      </c>
    </row>
    <row r="10620" spans="1:8" hidden="1" x14ac:dyDescent="0.25">
      <c r="A10620" t="s">
        <v>14162</v>
      </c>
      <c r="B10620" s="1" t="str">
        <f>HYPERLINK("https://asmlis.vasa.lt/Dashboard/Served?ServiceDateFrom=2025-11-24&amp;ServiceDateTo=2025-11-24&amp;DumpsterInvNr=13-L-147886", "13-L-147886")</f>
        <v>13-L-147886</v>
      </c>
      <c r="C10620">
        <v>0.77</v>
      </c>
      <c r="D10620" t="s">
        <v>14163</v>
      </c>
      <c r="E10620" t="s">
        <v>11</v>
      </c>
      <c r="G10620" t="s">
        <v>430</v>
      </c>
      <c r="H10620" t="s">
        <v>432</v>
      </c>
    </row>
    <row r="10621" spans="1:8" hidden="1" x14ac:dyDescent="0.25">
      <c r="A10621" t="s">
        <v>14165</v>
      </c>
      <c r="B10621" s="1" t="str">
        <f>HYPERLINK("https://asmlis.vasa.lt/Dashboard/Served?ServiceDateFrom=2025-11-24&amp;ServiceDateTo=2025-11-24&amp;DumpsterInvNr=13-P-505720", "13-P-505720")</f>
        <v>13-P-505720</v>
      </c>
      <c r="C10621">
        <v>0.24</v>
      </c>
      <c r="D10621" t="s">
        <v>14166</v>
      </c>
      <c r="E10621" t="s">
        <v>11</v>
      </c>
      <c r="G10621" t="s">
        <v>2178</v>
      </c>
      <c r="H10621" t="s">
        <v>432</v>
      </c>
    </row>
    <row r="10622" spans="1:8" hidden="1" x14ac:dyDescent="0.25">
      <c r="A10622" t="s">
        <v>14168</v>
      </c>
      <c r="B10622" s="1" t="str">
        <f>HYPERLINK("https://asmlis.vasa.lt/Dashboard/Served?ServiceDateFrom=2025-11-24&amp;ServiceDateTo=2025-11-24&amp;DumpsterInvNr=13-P-405420", "13-P-405420")</f>
        <v>13-P-405420</v>
      </c>
      <c r="C10622">
        <v>5</v>
      </c>
      <c r="D10622" t="s">
        <v>4692</v>
      </c>
      <c r="E10622" t="s">
        <v>11</v>
      </c>
      <c r="F10622" t="s">
        <v>13</v>
      </c>
      <c r="G10622" t="s">
        <v>264</v>
      </c>
      <c r="H10622" t="s">
        <v>14</v>
      </c>
    </row>
    <row r="10623" spans="1:8" hidden="1" x14ac:dyDescent="0.25">
      <c r="A10623" t="s">
        <v>14169</v>
      </c>
      <c r="B10623" s="1" t="str">
        <f>HYPERLINK("https://asmlis.vasa.lt/Dashboard/Served?ServiceDateFrom=2025-11-24&amp;ServiceDateTo=2025-11-24&amp;DumpsterInvNr=13-L-216873", "13-L-216873")</f>
        <v>13-L-216873</v>
      </c>
      <c r="C10623">
        <v>0.24</v>
      </c>
      <c r="D10623" t="s">
        <v>14170</v>
      </c>
      <c r="E10623" t="s">
        <v>11</v>
      </c>
      <c r="F10623" t="s">
        <v>1209</v>
      </c>
      <c r="G10623" t="s">
        <v>936</v>
      </c>
      <c r="H10623" t="s">
        <v>938</v>
      </c>
    </row>
    <row r="10624" spans="1:8" hidden="1" x14ac:dyDescent="0.25">
      <c r="A10624" t="s">
        <v>14171</v>
      </c>
      <c r="B10624" s="1" t="str">
        <f>HYPERLINK("https://asmlis.vasa.lt/Dashboard/Served?ServiceDateFrom=2025-11-24&amp;ServiceDateTo=2025-11-24&amp;DumpsterInvNr=13-S-502112", "13-S-502112")</f>
        <v>13-S-502112</v>
      </c>
      <c r="C10624">
        <v>0.12</v>
      </c>
      <c r="D10624" t="s">
        <v>14166</v>
      </c>
      <c r="E10624" t="s">
        <v>11</v>
      </c>
      <c r="G10624" t="s">
        <v>2178</v>
      </c>
      <c r="H10624" t="s">
        <v>432</v>
      </c>
    </row>
    <row r="10625" spans="1:10" hidden="1" x14ac:dyDescent="0.25">
      <c r="A10625" t="s">
        <v>14173</v>
      </c>
      <c r="B10625" s="1" t="str">
        <f>HYPERLINK("https://asmlis.vasa.lt/Dashboard/Served?ServiceDateFrom=2025-11-24&amp;ServiceDateTo=2025-11-24&amp;DumpsterInvNr=13-L-316508", "13-L-316508")</f>
        <v>13-L-316508</v>
      </c>
      <c r="C10625">
        <v>5</v>
      </c>
      <c r="D10625" t="s">
        <v>14174</v>
      </c>
      <c r="E10625" t="s">
        <v>11</v>
      </c>
      <c r="F10625" t="s">
        <v>13</v>
      </c>
      <c r="G10625" t="s">
        <v>9</v>
      </c>
      <c r="H10625" t="s">
        <v>14</v>
      </c>
    </row>
    <row r="10626" spans="1:10" hidden="1" x14ac:dyDescent="0.25">
      <c r="A10626" t="s">
        <v>14175</v>
      </c>
      <c r="B10626" s="1" t="str">
        <f>HYPERLINK("https://asmlis.vasa.lt/Dashboard/Served?ServiceDateFrom=2025-11-24&amp;ServiceDateTo=2025-11-24&amp;DumpsterInvNr=13-P-206171", "13-P-206171")</f>
        <v>13-P-206171</v>
      </c>
      <c r="C10626">
        <v>0.24</v>
      </c>
      <c r="D10626" t="s">
        <v>12574</v>
      </c>
      <c r="E10626" t="s">
        <v>11</v>
      </c>
      <c r="G10626" t="s">
        <v>234</v>
      </c>
      <c r="H10626" t="s">
        <v>14</v>
      </c>
    </row>
    <row r="10627" spans="1:10" hidden="1" x14ac:dyDescent="0.25">
      <c r="A10627" t="s">
        <v>14176</v>
      </c>
      <c r="B10627" s="1" t="str">
        <f>HYPERLINK("https://asmlis.vasa.lt/Dashboard/Served?ServiceDateFrom=2025-11-24&amp;ServiceDateTo=2025-11-24&amp;DumpsterInvNr=13-L-128122", "13-L-128122")</f>
        <v>13-L-128122</v>
      </c>
      <c r="C10627">
        <v>0.24</v>
      </c>
      <c r="D10627" t="s">
        <v>14177</v>
      </c>
      <c r="E10627" t="s">
        <v>11</v>
      </c>
      <c r="G10627" t="s">
        <v>1912</v>
      </c>
      <c r="H10627" t="s">
        <v>432</v>
      </c>
    </row>
    <row r="10628" spans="1:10" hidden="1" x14ac:dyDescent="0.25">
      <c r="A10628" t="s">
        <v>14178</v>
      </c>
      <c r="B10628" s="1" t="str">
        <f>HYPERLINK("https://asmlis.vasa.lt/Dashboard/Served?ServiceDateFrom=2025-11-24&amp;ServiceDateTo=2025-11-24&amp;DumpsterInvNr=13-L-404616", "13-L-404616")</f>
        <v>13-L-404616</v>
      </c>
      <c r="C10628">
        <v>0.12</v>
      </c>
      <c r="D10628" t="s">
        <v>8762</v>
      </c>
      <c r="E10628" t="s">
        <v>11</v>
      </c>
      <c r="G10628" t="s">
        <v>74</v>
      </c>
      <c r="H10628" t="s">
        <v>14</v>
      </c>
    </row>
    <row r="10629" spans="1:10" hidden="1" x14ac:dyDescent="0.25">
      <c r="A10629" t="s">
        <v>14178</v>
      </c>
      <c r="B10629" s="1" t="str">
        <f>HYPERLINK("https://asmlis.vasa.lt/Dashboard/Served?ServiceDateFrom=2025-11-24&amp;ServiceDateTo=2025-11-24&amp;DumpsterInvNr=13-L-416850", "13-L-416850")</f>
        <v>13-L-416850</v>
      </c>
      <c r="C10629">
        <v>0.24</v>
      </c>
      <c r="D10629" t="s">
        <v>8810</v>
      </c>
      <c r="E10629" t="s">
        <v>11</v>
      </c>
      <c r="G10629" t="s">
        <v>74</v>
      </c>
      <c r="H10629" t="s">
        <v>14</v>
      </c>
    </row>
    <row r="10630" spans="1:10" hidden="1" x14ac:dyDescent="0.25">
      <c r="A10630" t="s">
        <v>14179</v>
      </c>
      <c r="B10630" s="1" t="str">
        <f>HYPERLINK("https://asmlis.vasa.lt/Dashboard/Served?ServiceDateFrom=2025-11-24&amp;ServiceDateTo=2025-11-24&amp;DumpsterInvNr=13-P-100917", "13-P-100917")</f>
        <v>13-P-100917</v>
      </c>
      <c r="C10630">
        <v>0.24</v>
      </c>
      <c r="D10630" t="s">
        <v>14177</v>
      </c>
      <c r="E10630" t="s">
        <v>11</v>
      </c>
      <c r="G10630" t="s">
        <v>1917</v>
      </c>
      <c r="H10630" t="s">
        <v>432</v>
      </c>
    </row>
    <row r="10631" spans="1:10" hidden="1" x14ac:dyDescent="0.25">
      <c r="A10631" t="s">
        <v>14181</v>
      </c>
      <c r="B10631" s="1" t="str">
        <f>HYPERLINK("https://asmlis.vasa.lt/Dashboard/Served?ServiceDateFrom=2025-11-24&amp;ServiceDateTo=2025-11-24&amp;DumpsterInvNr=13-S-506826", "13-S-506826")</f>
        <v>13-S-506826</v>
      </c>
      <c r="C10631">
        <v>0.12</v>
      </c>
      <c r="D10631" t="s">
        <v>14159</v>
      </c>
      <c r="E10631" t="s">
        <v>11</v>
      </c>
      <c r="F10631" t="s">
        <v>1209</v>
      </c>
      <c r="G10631" t="s">
        <v>2178</v>
      </c>
      <c r="H10631" t="s">
        <v>432</v>
      </c>
    </row>
    <row r="10632" spans="1:10" hidden="1" x14ac:dyDescent="0.25">
      <c r="A10632" t="s">
        <v>14183</v>
      </c>
      <c r="B10632" s="1" t="str">
        <f>HYPERLINK("https://asmlis.vasa.lt/Dashboard/Served?ServiceDateFrom=2025-11-24&amp;ServiceDateTo=2025-11-24&amp;DumpsterInvNr=13-P-413419", "13-P-413419")</f>
        <v>13-P-413419</v>
      </c>
      <c r="C10632">
        <v>5</v>
      </c>
      <c r="D10632" t="s">
        <v>2167</v>
      </c>
      <c r="E10632" t="s">
        <v>11</v>
      </c>
      <c r="F10632" t="s">
        <v>13</v>
      </c>
      <c r="G10632" t="s">
        <v>264</v>
      </c>
      <c r="H10632" t="s">
        <v>14</v>
      </c>
    </row>
    <row r="10633" spans="1:10" x14ac:dyDescent="0.25">
      <c r="A10633" t="s">
        <v>14184</v>
      </c>
      <c r="B10633" s="1" t="str">
        <f>HYPERLINK("https://asmlis.vasa.lt/Dashboard/Served?ServiceDateFrom=2025-11-24&amp;ServiceDateTo=2025-11-24&amp;DumpsterInvNr=13-P-101235", "13-P-101235")</f>
        <v>13-P-101235</v>
      </c>
      <c r="C10633">
        <v>5</v>
      </c>
      <c r="D10633" t="s">
        <v>14185</v>
      </c>
      <c r="E10633" t="s">
        <v>11</v>
      </c>
      <c r="F10633" t="s">
        <v>12664</v>
      </c>
      <c r="G10633" t="s">
        <v>1917</v>
      </c>
      <c r="H10633" t="s">
        <v>432</v>
      </c>
      <c r="J10633" t="s">
        <v>17511</v>
      </c>
    </row>
    <row r="10634" spans="1:10" hidden="1" x14ac:dyDescent="0.25">
      <c r="A10634" t="s">
        <v>14184</v>
      </c>
      <c r="B10634" s="1" t="str">
        <f>HYPERLINK("https://asmlis.vasa.lt/Dashboard/Served?ServiceDateFrom=2025-11-24&amp;ServiceDateTo=2025-11-24&amp;DumpsterInvNr=13-L-146389", "13-L-146389")</f>
        <v>13-L-146389</v>
      </c>
      <c r="C10634">
        <v>0.24</v>
      </c>
      <c r="D10634" t="s">
        <v>14166</v>
      </c>
      <c r="E10634" t="s">
        <v>11</v>
      </c>
      <c r="G10634" t="s">
        <v>430</v>
      </c>
      <c r="H10634" t="s">
        <v>432</v>
      </c>
    </row>
    <row r="10635" spans="1:10" hidden="1" x14ac:dyDescent="0.25">
      <c r="A10635" t="s">
        <v>14186</v>
      </c>
      <c r="B10635" s="1" t="str">
        <f>HYPERLINK("https://asmlis.vasa.lt/Dashboard/Served?ServiceDateFrom=2025-11-24&amp;ServiceDateTo=2025-11-24&amp;DumpsterInvNr=13-P-502501", "13-P-502501")</f>
        <v>13-P-502501</v>
      </c>
      <c r="C10635">
        <v>0.24</v>
      </c>
      <c r="D10635" t="s">
        <v>14159</v>
      </c>
      <c r="E10635" t="s">
        <v>11</v>
      </c>
      <c r="G10635" t="s">
        <v>2178</v>
      </c>
      <c r="H10635" t="s">
        <v>432</v>
      </c>
    </row>
    <row r="10636" spans="1:10" hidden="1" x14ac:dyDescent="0.25">
      <c r="A10636" t="s">
        <v>14187</v>
      </c>
      <c r="B10636" s="1" t="str">
        <f>HYPERLINK("https://asmlis.vasa.lt/Dashboard/Served?ServiceDateFrom=2025-11-24&amp;ServiceDateTo=2025-11-24&amp;DumpsterInvNr=13-P-112597", "13-P-112597")</f>
        <v>13-P-112597</v>
      </c>
      <c r="C10636">
        <v>0.24</v>
      </c>
      <c r="D10636" t="s">
        <v>14118</v>
      </c>
      <c r="E10636" t="s">
        <v>11</v>
      </c>
      <c r="G10636" t="s">
        <v>1917</v>
      </c>
      <c r="H10636" t="s">
        <v>432</v>
      </c>
    </row>
    <row r="10637" spans="1:10" hidden="1" x14ac:dyDescent="0.25">
      <c r="A10637" t="s">
        <v>14187</v>
      </c>
      <c r="B10637" s="1" t="str">
        <f>HYPERLINK("https://asmlis.vasa.lt/Dashboard/Served?ServiceDateFrom=2025-11-24&amp;ServiceDateTo=2025-11-24&amp;DumpsterInvNr=13-S-107670", "13-S-107670")</f>
        <v>13-S-107670</v>
      </c>
      <c r="C10637">
        <v>0.12</v>
      </c>
      <c r="D10637" t="s">
        <v>14118</v>
      </c>
      <c r="E10637" t="s">
        <v>11</v>
      </c>
      <c r="G10637" t="s">
        <v>1917</v>
      </c>
      <c r="H10637" t="s">
        <v>432</v>
      </c>
    </row>
    <row r="10638" spans="1:10" hidden="1" x14ac:dyDescent="0.25">
      <c r="A10638" t="s">
        <v>14188</v>
      </c>
      <c r="B10638" s="1" t="str">
        <f>HYPERLINK("https://asmlis.vasa.lt/Dashboard/Served?ServiceDateFrom=2025-11-24&amp;ServiceDateTo=2025-11-24&amp;DumpsterInvNr=13-S-506942", "13-S-506942")</f>
        <v>13-S-506942</v>
      </c>
      <c r="C10638">
        <v>0.12</v>
      </c>
      <c r="D10638" t="s">
        <v>14189</v>
      </c>
      <c r="E10638" t="s">
        <v>11</v>
      </c>
      <c r="F10638" t="s">
        <v>1209</v>
      </c>
      <c r="G10638" t="s">
        <v>2178</v>
      </c>
      <c r="H10638" t="s">
        <v>432</v>
      </c>
    </row>
    <row r="10639" spans="1:10" hidden="1" x14ac:dyDescent="0.25">
      <c r="A10639" t="s">
        <v>14191</v>
      </c>
      <c r="B10639" s="1" t="str">
        <f>HYPERLINK("https://asmlis.vasa.lt/Dashboard/Served?ServiceDateFrom=2025-11-24&amp;ServiceDateTo=2025-11-24&amp;DumpsterInvNr=13-L-203476", "13-L-203476")</f>
        <v>13-L-203476</v>
      </c>
      <c r="C10639">
        <v>0.12</v>
      </c>
      <c r="D10639" t="s">
        <v>14192</v>
      </c>
      <c r="E10639" t="s">
        <v>11</v>
      </c>
      <c r="F10639" t="s">
        <v>1209</v>
      </c>
      <c r="G10639" t="s">
        <v>936</v>
      </c>
      <c r="H10639" t="s">
        <v>938</v>
      </c>
    </row>
    <row r="10640" spans="1:10" hidden="1" x14ac:dyDescent="0.25">
      <c r="A10640" t="s">
        <v>14193</v>
      </c>
      <c r="B10640" s="1" t="str">
        <f>HYPERLINK("https://asmlis.vasa.lt/Dashboard/Served?ServiceDateFrom=2025-11-24&amp;ServiceDateTo=2025-11-24&amp;DumpsterInvNr=13-L-420205", "13-L-420205")</f>
        <v>13-L-420205</v>
      </c>
      <c r="C10640">
        <v>5</v>
      </c>
      <c r="D10640" t="s">
        <v>9744</v>
      </c>
      <c r="E10640" t="s">
        <v>11</v>
      </c>
      <c r="G10640" t="s">
        <v>74</v>
      </c>
      <c r="H10640" t="s">
        <v>14</v>
      </c>
    </row>
    <row r="10641" spans="1:8" hidden="1" x14ac:dyDescent="0.25">
      <c r="A10641" t="s">
        <v>13881</v>
      </c>
      <c r="B10641" s="1" t="str">
        <f>HYPERLINK("https://asmlis.vasa.lt/Dashboard/Served?ServiceDateFrom=2025-11-24&amp;ServiceDateTo=2025-11-24&amp;DumpsterInvNr=13-L-210329", "13-L-210329")</f>
        <v>13-L-210329</v>
      </c>
      <c r="C10641">
        <v>0.24</v>
      </c>
      <c r="D10641" t="s">
        <v>14194</v>
      </c>
      <c r="E10641" t="s">
        <v>11</v>
      </c>
      <c r="F10641" t="s">
        <v>1209</v>
      </c>
      <c r="G10641" t="s">
        <v>936</v>
      </c>
      <c r="H10641" t="s">
        <v>938</v>
      </c>
    </row>
    <row r="10642" spans="1:8" hidden="1" x14ac:dyDescent="0.25">
      <c r="A10642" t="s">
        <v>13881</v>
      </c>
      <c r="B10642" s="1" t="str">
        <f>HYPERLINK("https://asmlis.vasa.lt/Dashboard/Served?ServiceDateFrom=2025-11-24&amp;ServiceDateTo=2025-11-24&amp;DumpsterInvNr=13-L-106461", "13-L-106461")</f>
        <v>13-L-106461</v>
      </c>
      <c r="C10642">
        <v>0.12</v>
      </c>
      <c r="D10642" t="s">
        <v>14118</v>
      </c>
      <c r="E10642" t="s">
        <v>11</v>
      </c>
      <c r="G10642" t="s">
        <v>1912</v>
      </c>
      <c r="H10642" t="s">
        <v>432</v>
      </c>
    </row>
    <row r="10643" spans="1:8" hidden="1" x14ac:dyDescent="0.25">
      <c r="A10643" t="s">
        <v>13881</v>
      </c>
      <c r="B10643" s="1" t="str">
        <f>HYPERLINK("https://asmlis.vasa.lt/Dashboard/Served?ServiceDateFrom=2025-11-24&amp;ServiceDateTo=2025-11-24&amp;DumpsterInvNr=13-L-147735", "13-L-147735")</f>
        <v>13-L-147735</v>
      </c>
      <c r="C10643">
        <v>0.24</v>
      </c>
      <c r="D10643" t="s">
        <v>14154</v>
      </c>
      <c r="E10643" t="s">
        <v>11</v>
      </c>
      <c r="G10643" t="s">
        <v>430</v>
      </c>
      <c r="H10643" t="s">
        <v>432</v>
      </c>
    </row>
    <row r="10644" spans="1:8" hidden="1" x14ac:dyDescent="0.25">
      <c r="A10644" t="s">
        <v>14196</v>
      </c>
      <c r="B10644" s="1" t="str">
        <f>HYPERLINK("https://asmlis.vasa.lt/Dashboard/Served?ServiceDateFrom=2025-11-24&amp;ServiceDateTo=2025-11-24&amp;DumpsterInvNr=13-L-147888", "13-L-147888")</f>
        <v>13-L-147888</v>
      </c>
      <c r="C10644">
        <v>0.24</v>
      </c>
      <c r="D10644" t="s">
        <v>14189</v>
      </c>
      <c r="E10644" t="s">
        <v>11</v>
      </c>
      <c r="G10644" t="s">
        <v>430</v>
      </c>
      <c r="H10644" t="s">
        <v>432</v>
      </c>
    </row>
    <row r="10645" spans="1:8" hidden="1" x14ac:dyDescent="0.25">
      <c r="A10645" t="s">
        <v>14197</v>
      </c>
      <c r="B10645" s="1" t="str">
        <f>HYPERLINK("https://asmlis.vasa.lt/Dashboard/Served?ServiceDateFrom=2025-11-24&amp;ServiceDateTo=2025-11-24&amp;DumpsterInvNr=13-L-203477", "13-L-203477")</f>
        <v>13-L-203477</v>
      </c>
      <c r="C10645">
        <v>0.12</v>
      </c>
      <c r="D10645" t="s">
        <v>14198</v>
      </c>
      <c r="E10645" t="s">
        <v>11</v>
      </c>
      <c r="F10645" t="s">
        <v>1209</v>
      </c>
      <c r="G10645" t="s">
        <v>936</v>
      </c>
      <c r="H10645" t="s">
        <v>938</v>
      </c>
    </row>
    <row r="10646" spans="1:8" hidden="1" x14ac:dyDescent="0.25">
      <c r="A10646" t="s">
        <v>14199</v>
      </c>
      <c r="B10646" s="1" t="str">
        <f>HYPERLINK("https://asmlis.vasa.lt/Dashboard/Served?ServiceDateFrom=2025-11-24&amp;ServiceDateTo=2025-11-24&amp;DumpsterInvNr=13-P-502084", "13-P-502084")</f>
        <v>13-P-502084</v>
      </c>
      <c r="C10646">
        <v>0.24</v>
      </c>
      <c r="D10646" t="s">
        <v>14189</v>
      </c>
      <c r="E10646" t="s">
        <v>11</v>
      </c>
      <c r="F10646" t="s">
        <v>1209</v>
      </c>
      <c r="G10646" t="s">
        <v>2178</v>
      </c>
      <c r="H10646" t="s">
        <v>432</v>
      </c>
    </row>
    <row r="10647" spans="1:8" hidden="1" x14ac:dyDescent="0.25">
      <c r="A10647" t="s">
        <v>14200</v>
      </c>
      <c r="B10647" s="1" t="str">
        <f>HYPERLINK("https://asmlis.vasa.lt/Dashboard/Served?ServiceDateFrom=2025-11-24&amp;ServiceDateTo=2025-11-24&amp;DumpsterInvNr=13-L-426781", "13-L-426781")</f>
        <v>13-L-426781</v>
      </c>
      <c r="C10647">
        <v>0.24</v>
      </c>
      <c r="D10647" t="s">
        <v>8759</v>
      </c>
      <c r="E10647" t="s">
        <v>11</v>
      </c>
      <c r="G10647" t="s">
        <v>74</v>
      </c>
      <c r="H10647" t="s">
        <v>14</v>
      </c>
    </row>
    <row r="10648" spans="1:8" hidden="1" x14ac:dyDescent="0.25">
      <c r="A10648" t="s">
        <v>14201</v>
      </c>
      <c r="B10648" s="1" t="str">
        <f>HYPERLINK("https://asmlis.vasa.lt/Dashboard/Served?ServiceDateFrom=2025-11-24&amp;ServiceDateTo=2025-11-24&amp;DumpsterInvNr=13-L-136612", "13-L-136612")</f>
        <v>13-L-136612</v>
      </c>
      <c r="C10648">
        <v>0.77</v>
      </c>
      <c r="D10648" t="s">
        <v>14203</v>
      </c>
      <c r="E10648" t="s">
        <v>11</v>
      </c>
      <c r="G10648" t="s">
        <v>430</v>
      </c>
      <c r="H10648" t="s">
        <v>432</v>
      </c>
    </row>
    <row r="10649" spans="1:8" hidden="1" x14ac:dyDescent="0.25">
      <c r="A10649" t="s">
        <v>14204</v>
      </c>
      <c r="B10649" s="1" t="str">
        <f>HYPERLINK("https://asmlis.vasa.lt/Dashboard/Served?ServiceDateFrom=2025-11-24&amp;ServiceDateTo=2025-11-24&amp;DumpsterInvNr=13-L-203475", "13-L-203475")</f>
        <v>13-L-203475</v>
      </c>
      <c r="C10649">
        <v>0.12</v>
      </c>
      <c r="D10649" t="s">
        <v>14206</v>
      </c>
      <c r="E10649" t="s">
        <v>11</v>
      </c>
      <c r="F10649" t="s">
        <v>1209</v>
      </c>
      <c r="G10649" t="s">
        <v>936</v>
      </c>
      <c r="H10649" t="s">
        <v>938</v>
      </c>
    </row>
    <row r="10650" spans="1:8" hidden="1" x14ac:dyDescent="0.25">
      <c r="A10650" t="s">
        <v>14207</v>
      </c>
      <c r="B10650" s="1" t="str">
        <f>HYPERLINK("https://asmlis.vasa.lt/Dashboard/Served?ServiceDateFrom=2025-11-24&amp;ServiceDateTo=2025-11-24&amp;DumpsterInvNr=13-L-145036", "13-L-145036")</f>
        <v>13-L-145036</v>
      </c>
      <c r="C10650">
        <v>5</v>
      </c>
      <c r="D10650" t="s">
        <v>14208</v>
      </c>
      <c r="E10650" t="s">
        <v>11</v>
      </c>
      <c r="F10650" t="s">
        <v>13</v>
      </c>
      <c r="G10650" t="s">
        <v>430</v>
      </c>
      <c r="H10650" t="s">
        <v>432</v>
      </c>
    </row>
    <row r="10651" spans="1:8" hidden="1" x14ac:dyDescent="0.25">
      <c r="A10651" t="s">
        <v>14210</v>
      </c>
      <c r="B10651" s="1" t="str">
        <f>HYPERLINK("https://asmlis.vasa.lt/Dashboard/Served?ServiceDateFrom=2025-11-24&amp;ServiceDateTo=2025-11-24&amp;DumpsterInvNr=13-P-206129", "13-P-206129")</f>
        <v>13-P-206129</v>
      </c>
      <c r="C10651">
        <v>0.24</v>
      </c>
      <c r="D10651" t="s">
        <v>12522</v>
      </c>
      <c r="E10651" t="s">
        <v>11</v>
      </c>
      <c r="G10651" t="s">
        <v>234</v>
      </c>
      <c r="H10651" t="s">
        <v>14</v>
      </c>
    </row>
    <row r="10652" spans="1:8" hidden="1" x14ac:dyDescent="0.25">
      <c r="A10652" t="s">
        <v>14211</v>
      </c>
      <c r="B10652" s="1" t="str">
        <f>HYPERLINK("https://asmlis.vasa.lt/Dashboard/Served?ServiceDateFrom=2025-11-24&amp;ServiceDateTo=2025-11-24&amp;DumpsterInvNr=13-L-137898", "13-L-137898")</f>
        <v>13-L-137898</v>
      </c>
      <c r="C10652">
        <v>0.24</v>
      </c>
      <c r="D10652" t="s">
        <v>14212</v>
      </c>
      <c r="E10652" t="s">
        <v>11</v>
      </c>
      <c r="G10652" t="s">
        <v>1912</v>
      </c>
      <c r="H10652" t="s">
        <v>432</v>
      </c>
    </row>
    <row r="10653" spans="1:8" hidden="1" x14ac:dyDescent="0.25">
      <c r="A10653" t="s">
        <v>14213</v>
      </c>
      <c r="B10653" s="1" t="str">
        <f>HYPERLINK("https://asmlis.vasa.lt/Dashboard/Served?ServiceDateFrom=2025-11-24&amp;ServiceDateTo=2025-11-24&amp;DumpsterInvNr=13-P-304035", "13-P-304035")</f>
        <v>13-P-304035</v>
      </c>
      <c r="C10653">
        <v>3</v>
      </c>
      <c r="D10653" t="s">
        <v>663</v>
      </c>
      <c r="E10653" t="s">
        <v>11</v>
      </c>
      <c r="F10653" t="s">
        <v>13</v>
      </c>
      <c r="G10653" t="s">
        <v>412</v>
      </c>
      <c r="H10653" t="s">
        <v>14</v>
      </c>
    </row>
    <row r="10654" spans="1:8" hidden="1" x14ac:dyDescent="0.25">
      <c r="A10654" t="s">
        <v>14214</v>
      </c>
      <c r="B10654" s="1" t="str">
        <f>HYPERLINK("https://asmlis.vasa.lt/Dashboard/Served?ServiceDateFrom=2025-11-24&amp;ServiceDateTo=2025-11-24&amp;DumpsterInvNr=13-P-304036", "13-P-304036")</f>
        <v>13-P-304036</v>
      </c>
      <c r="C10654">
        <v>3</v>
      </c>
      <c r="D10654" t="s">
        <v>663</v>
      </c>
      <c r="E10654" t="s">
        <v>11</v>
      </c>
      <c r="F10654" t="s">
        <v>13</v>
      </c>
      <c r="G10654" t="s">
        <v>412</v>
      </c>
      <c r="H10654" t="s">
        <v>14</v>
      </c>
    </row>
    <row r="10655" spans="1:8" hidden="1" x14ac:dyDescent="0.25">
      <c r="A10655" t="s">
        <v>14214</v>
      </c>
      <c r="B10655" s="1" t="str">
        <f>HYPERLINK("https://asmlis.vasa.lt/Dashboard/Served?ServiceDateFrom=2025-11-24&amp;ServiceDateTo=2025-11-24&amp;DumpsterInvNr=13-P-415808", "13-P-415808")</f>
        <v>13-P-415808</v>
      </c>
      <c r="C10655">
        <v>1.1000000000000001</v>
      </c>
      <c r="D10655" t="s">
        <v>14215</v>
      </c>
      <c r="E10655" t="s">
        <v>11</v>
      </c>
      <c r="G10655" t="s">
        <v>264</v>
      </c>
      <c r="H10655" t="s">
        <v>14</v>
      </c>
    </row>
    <row r="10656" spans="1:8" hidden="1" x14ac:dyDescent="0.25">
      <c r="A10656" t="s">
        <v>14216</v>
      </c>
      <c r="B10656" s="1" t="str">
        <f>HYPERLINK("https://asmlis.vasa.lt/Dashboard/Served?ServiceDateFrom=2025-11-24&amp;ServiceDateTo=2025-11-24&amp;DumpsterInvNr=13-L-424314", "13-L-424314")</f>
        <v>13-L-424314</v>
      </c>
      <c r="C10656">
        <v>5</v>
      </c>
      <c r="D10656" t="s">
        <v>14217</v>
      </c>
      <c r="E10656" t="s">
        <v>11</v>
      </c>
      <c r="G10656" t="s">
        <v>74</v>
      </c>
      <c r="H10656" t="s">
        <v>14</v>
      </c>
    </row>
    <row r="10657" spans="1:8" hidden="1" x14ac:dyDescent="0.25">
      <c r="A10657" t="s">
        <v>14218</v>
      </c>
      <c r="B10657" s="1" t="str">
        <f>HYPERLINK("https://asmlis.vasa.lt/Dashboard/Served?ServiceDateFrom=2025-11-24&amp;ServiceDateTo=2025-11-24&amp;DumpsterInvNr=13-P-302636", "13-P-302636")</f>
        <v>13-P-302636</v>
      </c>
      <c r="C10657">
        <v>3</v>
      </c>
      <c r="D10657" t="s">
        <v>5026</v>
      </c>
      <c r="E10657" t="s">
        <v>11</v>
      </c>
      <c r="G10657" t="s">
        <v>412</v>
      </c>
      <c r="H10657" t="s">
        <v>14</v>
      </c>
    </row>
    <row r="10658" spans="1:8" hidden="1" x14ac:dyDescent="0.25">
      <c r="A10658" t="s">
        <v>14219</v>
      </c>
      <c r="B10658" s="1" t="str">
        <f>HYPERLINK("https://asmlis.vasa.lt/Dashboard/Served?ServiceDateFrom=2025-11-24&amp;ServiceDateTo=2025-11-24&amp;DumpsterInvNr=13-L-417551", "13-L-417551")</f>
        <v>13-L-417551</v>
      </c>
      <c r="C10658">
        <v>0.12</v>
      </c>
      <c r="D10658" t="s">
        <v>14220</v>
      </c>
      <c r="E10658" t="s">
        <v>11</v>
      </c>
      <c r="F10658" t="s">
        <v>1209</v>
      </c>
      <c r="G10658" t="s">
        <v>74</v>
      </c>
      <c r="H10658" t="s">
        <v>14</v>
      </c>
    </row>
    <row r="10659" spans="1:8" hidden="1" x14ac:dyDescent="0.25">
      <c r="A10659" t="s">
        <v>14221</v>
      </c>
      <c r="B10659" s="1" t="str">
        <f>HYPERLINK("https://asmlis.vasa.lt/Dashboard/Served?ServiceDateFrom=2025-11-24&amp;ServiceDateTo=2025-11-24&amp;DumpsterInvNr=13-L-404618", "13-L-404618")</f>
        <v>13-L-404618</v>
      </c>
      <c r="C10659">
        <v>0.12</v>
      </c>
      <c r="D10659" t="s">
        <v>8783</v>
      </c>
      <c r="E10659" t="s">
        <v>11</v>
      </c>
      <c r="G10659" t="s">
        <v>74</v>
      </c>
      <c r="H10659" t="s">
        <v>14</v>
      </c>
    </row>
    <row r="10660" spans="1:8" hidden="1" x14ac:dyDescent="0.25">
      <c r="A10660" t="s">
        <v>14221</v>
      </c>
      <c r="B10660" s="1" t="str">
        <f>HYPERLINK("https://asmlis.vasa.lt/Dashboard/Served?ServiceDateFrom=2025-11-24&amp;ServiceDateTo=2025-11-24&amp;DumpsterInvNr=13-L-404610", "13-L-404610")</f>
        <v>13-L-404610</v>
      </c>
      <c r="C10660">
        <v>0.12</v>
      </c>
      <c r="D10660" t="s">
        <v>8802</v>
      </c>
      <c r="E10660" t="s">
        <v>11</v>
      </c>
      <c r="G10660" t="s">
        <v>74</v>
      </c>
      <c r="H10660" t="s">
        <v>14</v>
      </c>
    </row>
    <row r="10661" spans="1:8" hidden="1" x14ac:dyDescent="0.25">
      <c r="A10661" t="s">
        <v>14223</v>
      </c>
      <c r="B10661" s="1" t="str">
        <f>HYPERLINK("https://asmlis.vasa.lt/Dashboard/Served?ServiceDateFrom=2025-11-24&amp;ServiceDateTo=2025-11-24&amp;DumpsterInvNr=13-L-212379", "13-L-212379")</f>
        <v>13-L-212379</v>
      </c>
      <c r="C10661">
        <v>0.24</v>
      </c>
      <c r="D10661" t="s">
        <v>14224</v>
      </c>
      <c r="E10661" t="s">
        <v>11</v>
      </c>
      <c r="G10661" t="s">
        <v>936</v>
      </c>
      <c r="H10661" t="s">
        <v>938</v>
      </c>
    </row>
    <row r="10662" spans="1:8" hidden="1" x14ac:dyDescent="0.25">
      <c r="A10662" t="s">
        <v>14107</v>
      </c>
      <c r="B10662" s="1" t="str">
        <f>HYPERLINK("https://asmlis.vasa.lt/Dashboard/Served?ServiceDateFrom=2025-11-24&amp;ServiceDateTo=2025-11-24&amp;DumpsterInvNr=13-L-404621", "13-L-404621")</f>
        <v>13-L-404621</v>
      </c>
      <c r="C10662">
        <v>0.12</v>
      </c>
      <c r="D10662" t="s">
        <v>8706</v>
      </c>
      <c r="E10662" t="s">
        <v>11</v>
      </c>
      <c r="F10662" t="s">
        <v>1209</v>
      </c>
      <c r="G10662" t="s">
        <v>74</v>
      </c>
      <c r="H10662" t="s">
        <v>14</v>
      </c>
    </row>
    <row r="10663" spans="1:8" hidden="1" x14ac:dyDescent="0.25">
      <c r="A10663" t="s">
        <v>14225</v>
      </c>
      <c r="B10663" s="1" t="str">
        <f>HYPERLINK("https://asmlis.vasa.lt/Dashboard/Served?ServiceDateFrom=2025-11-24&amp;ServiceDateTo=2025-11-24&amp;DumpsterInvNr=13-L-305278", "13-L-305278")</f>
        <v>13-L-305278</v>
      </c>
      <c r="C10663">
        <v>0.77</v>
      </c>
      <c r="D10663" t="s">
        <v>14226</v>
      </c>
      <c r="E10663" t="s">
        <v>11</v>
      </c>
      <c r="G10663" t="s">
        <v>9</v>
      </c>
      <c r="H10663" t="s">
        <v>14</v>
      </c>
    </row>
    <row r="10664" spans="1:8" hidden="1" x14ac:dyDescent="0.25">
      <c r="A10664" t="s">
        <v>14225</v>
      </c>
      <c r="B10664" s="1" t="str">
        <f>HYPERLINK("https://asmlis.vasa.lt/Dashboard/Served?ServiceDateFrom=2025-11-24&amp;ServiceDateTo=2025-11-24&amp;DumpsterInvNr=13-P-103176", "13-P-103176")</f>
        <v>13-P-103176</v>
      </c>
      <c r="C10664">
        <v>0.24</v>
      </c>
      <c r="D10664" t="s">
        <v>14212</v>
      </c>
      <c r="E10664" t="s">
        <v>11</v>
      </c>
      <c r="G10664" t="s">
        <v>1917</v>
      </c>
      <c r="H10664" t="s">
        <v>432</v>
      </c>
    </row>
    <row r="10665" spans="1:8" hidden="1" x14ac:dyDescent="0.25">
      <c r="A10665" t="s">
        <v>14135</v>
      </c>
      <c r="B10665" s="1" t="str">
        <f>HYPERLINK("https://asmlis.vasa.lt/Dashboard/Served?ServiceDateFrom=2025-11-24&amp;ServiceDateTo=2025-11-24&amp;DumpsterInvNr=13-L-404620", "13-L-404620")</f>
        <v>13-L-404620</v>
      </c>
      <c r="C10665">
        <v>0.24</v>
      </c>
      <c r="D10665" t="s">
        <v>8733</v>
      </c>
      <c r="E10665" t="s">
        <v>11</v>
      </c>
      <c r="F10665" t="s">
        <v>1209</v>
      </c>
      <c r="G10665" t="s">
        <v>74</v>
      </c>
      <c r="H10665" t="s">
        <v>14</v>
      </c>
    </row>
    <row r="10666" spans="1:8" hidden="1" x14ac:dyDescent="0.25">
      <c r="A10666" t="s">
        <v>14135</v>
      </c>
      <c r="B10666" s="1" t="str">
        <f>HYPERLINK("https://asmlis.vasa.lt/Dashboard/Served?ServiceDateFrom=2025-11-24&amp;ServiceDateTo=2025-11-24&amp;DumpsterInvNr=13-P-415577", "13-P-415577")</f>
        <v>13-P-415577</v>
      </c>
      <c r="C10666">
        <v>1.1000000000000001</v>
      </c>
      <c r="D10666" t="s">
        <v>14215</v>
      </c>
      <c r="E10666" t="s">
        <v>11</v>
      </c>
      <c r="G10666" t="s">
        <v>264</v>
      </c>
      <c r="H10666" t="s">
        <v>14</v>
      </c>
    </row>
    <row r="10667" spans="1:8" hidden="1" x14ac:dyDescent="0.25">
      <c r="A10667" t="s">
        <v>14142</v>
      </c>
      <c r="B10667" s="1" t="str">
        <f>HYPERLINK("https://asmlis.vasa.lt/Dashboard/Served?ServiceDateFrom=2025-11-24&amp;ServiceDateTo=2025-11-24&amp;DumpsterInvNr=13-L-210826", "13-L-210826")</f>
        <v>13-L-210826</v>
      </c>
      <c r="C10667">
        <v>0.24</v>
      </c>
      <c r="D10667" t="s">
        <v>14227</v>
      </c>
      <c r="E10667" t="s">
        <v>11</v>
      </c>
      <c r="G10667" t="s">
        <v>936</v>
      </c>
      <c r="H10667" t="s">
        <v>938</v>
      </c>
    </row>
    <row r="10668" spans="1:8" hidden="1" x14ac:dyDescent="0.25">
      <c r="A10668" t="s">
        <v>14228</v>
      </c>
      <c r="B10668" s="1" t="str">
        <f>HYPERLINK("https://asmlis.vasa.lt/Dashboard/Served?ServiceDateFrom=2025-11-24&amp;ServiceDateTo=2025-11-24&amp;DumpsterInvNr=13-S-206735", "13-S-206735")</f>
        <v>13-S-206735</v>
      </c>
      <c r="C10668">
        <v>0.12</v>
      </c>
      <c r="D10668" t="s">
        <v>12522</v>
      </c>
      <c r="E10668" t="s">
        <v>11</v>
      </c>
      <c r="G10668" t="s">
        <v>234</v>
      </c>
      <c r="H10668" t="s">
        <v>14</v>
      </c>
    </row>
    <row r="10669" spans="1:8" hidden="1" x14ac:dyDescent="0.25">
      <c r="A10669" t="s">
        <v>14229</v>
      </c>
      <c r="B10669" s="1" t="str">
        <f>HYPERLINK("https://asmlis.vasa.lt/Dashboard/Served?ServiceDateFrom=2025-11-24&amp;ServiceDateTo=2025-11-24&amp;DumpsterInvNr=13-L-209609", "13-L-209609")</f>
        <v>13-L-209609</v>
      </c>
      <c r="C10669">
        <v>0.24</v>
      </c>
      <c r="D10669" t="s">
        <v>14230</v>
      </c>
      <c r="E10669" t="s">
        <v>11</v>
      </c>
      <c r="G10669" t="s">
        <v>936</v>
      </c>
      <c r="H10669" t="s">
        <v>938</v>
      </c>
    </row>
    <row r="10670" spans="1:8" hidden="1" x14ac:dyDescent="0.25">
      <c r="A10670" t="s">
        <v>14231</v>
      </c>
      <c r="B10670" s="1" t="str">
        <f>HYPERLINK("https://asmlis.vasa.lt/Dashboard/Served?ServiceDateFrom=2025-11-24&amp;ServiceDateTo=2025-11-24&amp;DumpsterInvNr=13-S-101768", "13-S-101768")</f>
        <v>13-S-101768</v>
      </c>
      <c r="C10670">
        <v>0.12</v>
      </c>
      <c r="D10670" t="s">
        <v>14118</v>
      </c>
      <c r="E10670" t="s">
        <v>11</v>
      </c>
      <c r="F10670" t="s">
        <v>1209</v>
      </c>
      <c r="G10670" t="s">
        <v>1917</v>
      </c>
      <c r="H10670" t="s">
        <v>432</v>
      </c>
    </row>
    <row r="10671" spans="1:8" hidden="1" x14ac:dyDescent="0.25">
      <c r="A10671" t="s">
        <v>14232</v>
      </c>
      <c r="B10671" s="1" t="str">
        <f>HYPERLINK("https://asmlis.vasa.lt/Dashboard/Served?ServiceDateFrom=2025-11-24&amp;ServiceDateTo=2025-11-24&amp;DumpsterInvNr=13-S-103258", "13-S-103258")</f>
        <v>13-S-103258</v>
      </c>
      <c r="C10671">
        <v>0.12</v>
      </c>
      <c r="D10671" t="s">
        <v>14212</v>
      </c>
      <c r="E10671" t="s">
        <v>11</v>
      </c>
      <c r="F10671" t="s">
        <v>1209</v>
      </c>
      <c r="G10671" t="s">
        <v>1917</v>
      </c>
      <c r="H10671" t="s">
        <v>432</v>
      </c>
    </row>
    <row r="10672" spans="1:8" hidden="1" x14ac:dyDescent="0.25">
      <c r="A10672" t="s">
        <v>14234</v>
      </c>
      <c r="B10672" s="1" t="str">
        <f>HYPERLINK("https://asmlis.vasa.lt/Dashboard/Served?ServiceDateFrom=2025-11-24&amp;ServiceDateTo=2025-11-24&amp;DumpsterInvNr=13-L-217063", "13-L-217063")</f>
        <v>13-L-217063</v>
      </c>
      <c r="C10672">
        <v>0.24</v>
      </c>
      <c r="D10672" t="s">
        <v>14235</v>
      </c>
      <c r="E10672" t="s">
        <v>11</v>
      </c>
      <c r="G10672" t="s">
        <v>936</v>
      </c>
      <c r="H10672" t="s">
        <v>938</v>
      </c>
    </row>
    <row r="10673" spans="1:8" hidden="1" x14ac:dyDescent="0.25">
      <c r="A10673" t="s">
        <v>14236</v>
      </c>
      <c r="B10673" s="1" t="str">
        <f>HYPERLINK("https://asmlis.vasa.lt/Dashboard/Served?ServiceDateFrom=2025-11-24&amp;ServiceDateTo=2025-11-24&amp;DumpsterInvNr=13-L-309076", "13-L-309076")</f>
        <v>13-L-309076</v>
      </c>
      <c r="C10673">
        <v>0.77</v>
      </c>
      <c r="D10673" t="s">
        <v>14226</v>
      </c>
      <c r="E10673" t="s">
        <v>11</v>
      </c>
      <c r="G10673" t="s">
        <v>9</v>
      </c>
      <c r="H10673" t="s">
        <v>14</v>
      </c>
    </row>
    <row r="10674" spans="1:8" hidden="1" x14ac:dyDescent="0.25">
      <c r="A10674" t="s">
        <v>14237</v>
      </c>
      <c r="B10674" s="1" t="str">
        <f>HYPERLINK("https://asmlis.vasa.lt/Dashboard/Served?ServiceDateFrom=2025-11-24&amp;ServiceDateTo=2025-11-24&amp;DumpsterInvNr=13-P-207926", "13-P-207926")</f>
        <v>13-P-207926</v>
      </c>
      <c r="C10674">
        <v>0.24</v>
      </c>
      <c r="D10674" t="s">
        <v>12535</v>
      </c>
      <c r="E10674" t="s">
        <v>11</v>
      </c>
      <c r="G10674" t="s">
        <v>234</v>
      </c>
      <c r="H10674" t="s">
        <v>14</v>
      </c>
    </row>
    <row r="10675" spans="1:8" hidden="1" x14ac:dyDescent="0.25">
      <c r="A10675" t="s">
        <v>14239</v>
      </c>
      <c r="B10675" s="1" t="str">
        <f>HYPERLINK("https://asmlis.vasa.lt/Dashboard/Served?ServiceDateFrom=2025-11-24&amp;ServiceDateTo=2025-11-24&amp;DumpsterInvNr=13-L-218947", "13-L-218947")</f>
        <v>13-L-218947</v>
      </c>
      <c r="C10675">
        <v>0.24</v>
      </c>
      <c r="D10675" t="s">
        <v>14240</v>
      </c>
      <c r="E10675" t="s">
        <v>11</v>
      </c>
      <c r="F10675" t="s">
        <v>1209</v>
      </c>
      <c r="G10675" t="s">
        <v>936</v>
      </c>
      <c r="H10675" t="s">
        <v>938</v>
      </c>
    </row>
    <row r="10676" spans="1:8" hidden="1" x14ac:dyDescent="0.25">
      <c r="A10676" t="s">
        <v>14241</v>
      </c>
      <c r="B10676" s="1" t="str">
        <f>HYPERLINK("https://asmlis.vasa.lt/Dashboard/Served?ServiceDateFrom=2025-11-24&amp;ServiceDateTo=2025-11-24&amp;DumpsterInvNr=13-S-205773", "13-S-205773")</f>
        <v>13-S-205773</v>
      </c>
      <c r="C10676">
        <v>0.12</v>
      </c>
      <c r="D10676" t="s">
        <v>12507</v>
      </c>
      <c r="E10676" t="s">
        <v>11</v>
      </c>
      <c r="G10676" t="s">
        <v>234</v>
      </c>
      <c r="H10676" t="s">
        <v>14</v>
      </c>
    </row>
    <row r="10677" spans="1:8" hidden="1" x14ac:dyDescent="0.25">
      <c r="A10677" t="s">
        <v>14242</v>
      </c>
      <c r="B10677" s="1" t="str">
        <f>HYPERLINK("https://asmlis.vasa.lt/Dashboard/Served?ServiceDateFrom=2025-11-24&amp;ServiceDateTo=2025-11-24&amp;DumpsterInvNr=13-P-400508", "13-P-400508")</f>
        <v>13-P-400508</v>
      </c>
      <c r="C10677">
        <v>5</v>
      </c>
      <c r="D10677" t="s">
        <v>4819</v>
      </c>
      <c r="E10677" t="s">
        <v>11</v>
      </c>
      <c r="G10677" t="s">
        <v>264</v>
      </c>
      <c r="H10677" t="s">
        <v>14</v>
      </c>
    </row>
    <row r="10678" spans="1:8" hidden="1" x14ac:dyDescent="0.25">
      <c r="A10678" t="s">
        <v>14243</v>
      </c>
      <c r="B10678" s="1" t="str">
        <f>HYPERLINK("https://asmlis.vasa.lt/Dashboard/Served?ServiceDateFrom=2025-11-24&amp;ServiceDateTo=2025-11-24&amp;DumpsterInvNr=13-L-203473", "13-L-203473")</f>
        <v>13-L-203473</v>
      </c>
      <c r="C10678">
        <v>0.12</v>
      </c>
      <c r="D10678" t="s">
        <v>14244</v>
      </c>
      <c r="E10678" t="s">
        <v>11</v>
      </c>
      <c r="F10678" t="s">
        <v>1209</v>
      </c>
      <c r="G10678" t="s">
        <v>936</v>
      </c>
      <c r="H10678" t="s">
        <v>938</v>
      </c>
    </row>
    <row r="10679" spans="1:8" hidden="1" x14ac:dyDescent="0.25">
      <c r="A10679" t="s">
        <v>14245</v>
      </c>
      <c r="B10679" s="1" t="str">
        <f>HYPERLINK("https://asmlis.vasa.lt/Dashboard/Served?ServiceDateFrom=2025-11-24&amp;ServiceDateTo=2025-11-24&amp;DumpsterInvNr=13-P-500244", "13-P-500244")</f>
        <v>13-P-500244</v>
      </c>
      <c r="C10679">
        <v>4</v>
      </c>
      <c r="D10679" t="s">
        <v>14080</v>
      </c>
      <c r="E10679" t="s">
        <v>11</v>
      </c>
      <c r="F10679" t="s">
        <v>13</v>
      </c>
      <c r="G10679" t="s">
        <v>2178</v>
      </c>
      <c r="H10679" t="s">
        <v>432</v>
      </c>
    </row>
    <row r="10680" spans="1:8" hidden="1" x14ac:dyDescent="0.25">
      <c r="A10680" t="s">
        <v>14247</v>
      </c>
      <c r="B10680" s="1" t="str">
        <f>HYPERLINK("https://asmlis.vasa.lt/Dashboard/Served?ServiceDateFrom=2025-11-24&amp;ServiceDateTo=2025-11-24&amp;DumpsterInvNr=13-L-416513", "13-L-416513")</f>
        <v>13-L-416513</v>
      </c>
      <c r="C10680">
        <v>5</v>
      </c>
      <c r="D10680" t="s">
        <v>9692</v>
      </c>
      <c r="E10680" t="s">
        <v>11</v>
      </c>
      <c r="G10680" t="s">
        <v>74</v>
      </c>
      <c r="H10680" t="s">
        <v>14</v>
      </c>
    </row>
    <row r="10681" spans="1:8" hidden="1" x14ac:dyDescent="0.25">
      <c r="A10681" t="s">
        <v>14247</v>
      </c>
      <c r="B10681" s="1" t="str">
        <f>HYPERLINK("https://asmlis.vasa.lt/Dashboard/Served?ServiceDateFrom=2025-11-24&amp;ServiceDateTo=2025-11-24&amp;DumpsterInvNr=13-P-206169", "13-P-206169")</f>
        <v>13-P-206169</v>
      </c>
      <c r="C10681">
        <v>0.24</v>
      </c>
      <c r="D10681" t="s">
        <v>12507</v>
      </c>
      <c r="E10681" t="s">
        <v>11</v>
      </c>
      <c r="G10681" t="s">
        <v>234</v>
      </c>
      <c r="H10681" t="s">
        <v>14</v>
      </c>
    </row>
    <row r="10682" spans="1:8" hidden="1" x14ac:dyDescent="0.25">
      <c r="A10682" t="s">
        <v>14248</v>
      </c>
      <c r="B10682" s="1" t="str">
        <f>HYPERLINK("https://asmlis.vasa.lt/Dashboard/Served?ServiceDateFrom=2025-11-24&amp;ServiceDateTo=2025-11-24&amp;DumpsterInvNr=13-L-203474", "13-L-203474")</f>
        <v>13-L-203474</v>
      </c>
      <c r="C10682">
        <v>0.24</v>
      </c>
      <c r="D10682" t="s">
        <v>14249</v>
      </c>
      <c r="E10682" t="s">
        <v>11</v>
      </c>
      <c r="F10682" t="s">
        <v>1209</v>
      </c>
      <c r="G10682" t="s">
        <v>936</v>
      </c>
      <c r="H10682" t="s">
        <v>938</v>
      </c>
    </row>
    <row r="10683" spans="1:8" hidden="1" x14ac:dyDescent="0.25">
      <c r="A10683" t="s">
        <v>14250</v>
      </c>
      <c r="B10683" s="1" t="str">
        <f>HYPERLINK("https://asmlis.vasa.lt/Dashboard/Served?ServiceDateFrom=2025-11-24&amp;ServiceDateTo=2025-11-24&amp;DumpsterInvNr=13-L-312484", "13-L-312484")</f>
        <v>13-L-312484</v>
      </c>
      <c r="C10683">
        <v>1.1000000000000001</v>
      </c>
      <c r="D10683" t="s">
        <v>13077</v>
      </c>
      <c r="E10683" t="s">
        <v>11</v>
      </c>
      <c r="G10683" t="s">
        <v>9</v>
      </c>
      <c r="H10683" t="s">
        <v>14</v>
      </c>
    </row>
    <row r="10684" spans="1:8" hidden="1" x14ac:dyDescent="0.25">
      <c r="A10684" t="s">
        <v>14251</v>
      </c>
      <c r="B10684" s="1" t="str">
        <f>HYPERLINK("https://asmlis.vasa.lt/Dashboard/Served?ServiceDateFrom=2025-11-24&amp;ServiceDateTo=2025-11-24&amp;DumpsterInvNr=13-L-106026", "13-L-106026")</f>
        <v>13-L-106026</v>
      </c>
      <c r="C10684">
        <v>0.24</v>
      </c>
      <c r="D10684" t="s">
        <v>14252</v>
      </c>
      <c r="E10684" t="s">
        <v>11</v>
      </c>
      <c r="G10684" t="s">
        <v>1912</v>
      </c>
      <c r="H10684" t="s">
        <v>432</v>
      </c>
    </row>
    <row r="10685" spans="1:8" hidden="1" x14ac:dyDescent="0.25">
      <c r="A10685" t="s">
        <v>14251</v>
      </c>
      <c r="B10685" s="1" t="str">
        <f>HYPERLINK("https://asmlis.vasa.lt/Dashboard/Served?ServiceDateFrom=2025-11-24&amp;ServiceDateTo=2025-11-24&amp;DumpsterInvNr=13-P-101155", "13-P-101155")</f>
        <v>13-P-101155</v>
      </c>
      <c r="C10685">
        <v>0.12</v>
      </c>
      <c r="D10685" t="s">
        <v>14252</v>
      </c>
      <c r="E10685" t="s">
        <v>11</v>
      </c>
      <c r="G10685" t="s">
        <v>1917</v>
      </c>
      <c r="H10685" t="s">
        <v>432</v>
      </c>
    </row>
    <row r="10686" spans="1:8" hidden="1" x14ac:dyDescent="0.25">
      <c r="A10686" t="s">
        <v>14253</v>
      </c>
      <c r="B10686" s="1" t="str">
        <f>HYPERLINK("https://asmlis.vasa.lt/Dashboard/Served?ServiceDateFrom=2025-11-24&amp;ServiceDateTo=2025-11-24&amp;DumpsterInvNr=13-L-424861", "13-L-424861")</f>
        <v>13-L-424861</v>
      </c>
      <c r="C10686">
        <v>0.24</v>
      </c>
      <c r="D10686" t="s">
        <v>9216</v>
      </c>
      <c r="E10686" t="s">
        <v>11</v>
      </c>
      <c r="G10686" t="s">
        <v>74</v>
      </c>
      <c r="H10686" t="s">
        <v>14</v>
      </c>
    </row>
    <row r="10687" spans="1:8" hidden="1" x14ac:dyDescent="0.25">
      <c r="A10687" t="s">
        <v>14254</v>
      </c>
      <c r="B10687" s="1" t="str">
        <f>HYPERLINK("https://asmlis.vasa.lt/Dashboard/Served?ServiceDateFrom=2025-11-24&amp;ServiceDateTo=2025-11-24&amp;DumpsterInvNr=13-S-206080", "13-S-206080")</f>
        <v>13-S-206080</v>
      </c>
      <c r="C10687">
        <v>0.12</v>
      </c>
      <c r="D10687" t="s">
        <v>12535</v>
      </c>
      <c r="E10687" t="s">
        <v>11</v>
      </c>
      <c r="G10687" t="s">
        <v>234</v>
      </c>
      <c r="H10687" t="s">
        <v>14</v>
      </c>
    </row>
    <row r="10688" spans="1:8" hidden="1" x14ac:dyDescent="0.25">
      <c r="A10688" t="s">
        <v>14254</v>
      </c>
      <c r="B10688" s="1" t="str">
        <f>HYPERLINK("https://asmlis.vasa.lt/Dashboard/Served?ServiceDateFrom=2025-11-24&amp;ServiceDateTo=2025-11-24&amp;DumpsterInvNr=13-P-212507", "13-P-212507")</f>
        <v>13-P-212507</v>
      </c>
      <c r="C10688">
        <v>1.1000000000000001</v>
      </c>
      <c r="D10688" t="s">
        <v>14255</v>
      </c>
      <c r="E10688" t="s">
        <v>11</v>
      </c>
      <c r="F10688" t="s">
        <v>13</v>
      </c>
      <c r="G10688" t="s">
        <v>234</v>
      </c>
      <c r="H10688" t="s">
        <v>14</v>
      </c>
    </row>
    <row r="10689" spans="1:8" hidden="1" x14ac:dyDescent="0.25">
      <c r="A10689" t="s">
        <v>14256</v>
      </c>
      <c r="B10689" s="1" t="str">
        <f>HYPERLINK("https://asmlis.vasa.lt/Dashboard/Served?ServiceDateFrom=2025-11-24&amp;ServiceDateTo=2025-11-24&amp;DumpsterInvNr=13-P-415606", "13-P-415606")</f>
        <v>13-P-415606</v>
      </c>
      <c r="C10689">
        <v>1.1000000000000001</v>
      </c>
      <c r="D10689" t="s">
        <v>14215</v>
      </c>
      <c r="E10689" t="s">
        <v>11</v>
      </c>
      <c r="F10689" t="s">
        <v>13</v>
      </c>
      <c r="G10689" t="s">
        <v>264</v>
      </c>
      <c r="H10689" t="s">
        <v>14</v>
      </c>
    </row>
    <row r="10690" spans="1:8" hidden="1" x14ac:dyDescent="0.25">
      <c r="A10690" t="s">
        <v>14256</v>
      </c>
      <c r="B10690" s="1" t="str">
        <f>HYPERLINK("https://asmlis.vasa.lt/Dashboard/Served?ServiceDateFrom=2025-11-24&amp;ServiceDateTo=2025-11-24&amp;DumpsterInvNr=13-P-500648", "13-P-500648")</f>
        <v>13-P-500648</v>
      </c>
      <c r="C10690">
        <v>5</v>
      </c>
      <c r="D10690" t="s">
        <v>14257</v>
      </c>
      <c r="E10690" t="s">
        <v>11</v>
      </c>
      <c r="F10690" t="s">
        <v>13</v>
      </c>
      <c r="G10690" t="s">
        <v>2178</v>
      </c>
      <c r="H10690" t="s">
        <v>432</v>
      </c>
    </row>
    <row r="10691" spans="1:8" hidden="1" x14ac:dyDescent="0.25">
      <c r="A10691" t="s">
        <v>14258</v>
      </c>
      <c r="B10691" s="1" t="str">
        <f>HYPERLINK("https://asmlis.vasa.lt/Dashboard/Served?ServiceDateFrom=2025-11-24&amp;ServiceDateTo=2025-11-24&amp;DumpsterInvNr=13-L-225334", "13-L-225334")</f>
        <v>13-L-225334</v>
      </c>
      <c r="C10691">
        <v>5</v>
      </c>
      <c r="D10691" t="s">
        <v>7312</v>
      </c>
      <c r="E10691" t="s">
        <v>11</v>
      </c>
      <c r="G10691" t="s">
        <v>936</v>
      </c>
      <c r="H10691" t="s">
        <v>938</v>
      </c>
    </row>
    <row r="10692" spans="1:8" hidden="1" x14ac:dyDescent="0.25">
      <c r="A10692" t="s">
        <v>14258</v>
      </c>
      <c r="B10692" s="1" t="str">
        <f>HYPERLINK("https://asmlis.vasa.lt/Dashboard/Served?ServiceDateFrom=2025-11-24&amp;ServiceDateTo=2025-11-24&amp;DumpsterInvNr=DGA-ZALVARIS", "DGA-ZALVARIS")</f>
        <v>DGA-ZALVARIS</v>
      </c>
      <c r="C10692">
        <v>1</v>
      </c>
      <c r="D10692" t="s">
        <v>1960</v>
      </c>
      <c r="E10692" t="s">
        <v>12</v>
      </c>
      <c r="F10692" t="s">
        <v>13</v>
      </c>
      <c r="G10692" t="s">
        <v>14259</v>
      </c>
      <c r="H10692" t="s">
        <v>6765</v>
      </c>
    </row>
    <row r="10693" spans="1:8" hidden="1" x14ac:dyDescent="0.25">
      <c r="A10693" t="s">
        <v>14260</v>
      </c>
      <c r="B10693" s="1" t="str">
        <f>HYPERLINK("https://asmlis.vasa.lt/Dashboard/Served?ServiceDateFrom=2025-11-24&amp;ServiceDateTo=2025-11-24&amp;DumpsterInvNr=13-P-400619", "13-P-400619")</f>
        <v>13-P-400619</v>
      </c>
      <c r="C10693">
        <v>5</v>
      </c>
      <c r="D10693" t="s">
        <v>2078</v>
      </c>
      <c r="E10693" t="s">
        <v>11</v>
      </c>
      <c r="F10693" t="s">
        <v>13</v>
      </c>
      <c r="G10693" t="s">
        <v>264</v>
      </c>
      <c r="H10693" t="s">
        <v>14</v>
      </c>
    </row>
    <row r="10694" spans="1:8" hidden="1" x14ac:dyDescent="0.25">
      <c r="A10694" t="s">
        <v>14261</v>
      </c>
      <c r="B10694" s="1" t="str">
        <f>HYPERLINK("https://asmlis.vasa.lt/Dashboard/Served?ServiceDateFrom=2025-11-24&amp;ServiceDateTo=2025-11-24&amp;DumpsterInvNr=13-L-315943", "13-L-315943")</f>
        <v>13-L-315943</v>
      </c>
      <c r="C10694">
        <v>1.1000000000000001</v>
      </c>
      <c r="D10694" t="s">
        <v>13077</v>
      </c>
      <c r="E10694" t="s">
        <v>11</v>
      </c>
      <c r="G10694" t="s">
        <v>9</v>
      </c>
      <c r="H10694" t="s">
        <v>14</v>
      </c>
    </row>
    <row r="10695" spans="1:8" hidden="1" x14ac:dyDescent="0.25">
      <c r="A10695" t="s">
        <v>14262</v>
      </c>
      <c r="B10695" s="1" t="str">
        <f>HYPERLINK("https://asmlis.vasa.lt/Dashboard/Served?ServiceDateFrom=2025-11-24&amp;ServiceDateTo=2025-11-24&amp;DumpsterInvNr=13-L-138032", "13-L-138032")</f>
        <v>13-L-138032</v>
      </c>
      <c r="C10695">
        <v>5</v>
      </c>
      <c r="D10695" t="s">
        <v>8452</v>
      </c>
      <c r="E10695" t="s">
        <v>11</v>
      </c>
      <c r="F10695" t="s">
        <v>13</v>
      </c>
      <c r="G10695" t="s">
        <v>430</v>
      </c>
      <c r="H10695" t="s">
        <v>432</v>
      </c>
    </row>
    <row r="10696" spans="1:8" hidden="1" x14ac:dyDescent="0.25">
      <c r="A10696" t="s">
        <v>14263</v>
      </c>
      <c r="B10696" s="1" t="str">
        <f>HYPERLINK("https://asmlis.vasa.lt/Dashboard/Served?ServiceDateFrom=2025-11-24&amp;ServiceDateTo=2025-11-24&amp;DumpsterInvNr=13-L-203489", "13-L-203489")</f>
        <v>13-L-203489</v>
      </c>
      <c r="C10696">
        <v>0.24</v>
      </c>
      <c r="D10696" t="s">
        <v>14264</v>
      </c>
      <c r="E10696" t="s">
        <v>11</v>
      </c>
      <c r="G10696" t="s">
        <v>936</v>
      </c>
      <c r="H10696" t="s">
        <v>938</v>
      </c>
    </row>
    <row r="10697" spans="1:8" hidden="1" x14ac:dyDescent="0.25">
      <c r="A10697" t="s">
        <v>14265</v>
      </c>
      <c r="B10697" s="1" t="str">
        <f>HYPERLINK("https://asmlis.vasa.lt/Dashboard/Served?ServiceDateFrom=2025-11-24&amp;ServiceDateTo=2025-11-24&amp;DumpsterInvNr=13-L-102720", "13-L-102720")</f>
        <v>13-L-102720</v>
      </c>
      <c r="C10697">
        <v>0.12</v>
      </c>
      <c r="D10697" t="s">
        <v>14266</v>
      </c>
      <c r="E10697" t="s">
        <v>11</v>
      </c>
      <c r="G10697" t="s">
        <v>1912</v>
      </c>
      <c r="H10697" t="s">
        <v>432</v>
      </c>
    </row>
    <row r="10698" spans="1:8" hidden="1" x14ac:dyDescent="0.25">
      <c r="A10698" t="s">
        <v>14267</v>
      </c>
      <c r="B10698" s="1" t="str">
        <f>HYPERLINK("https://asmlis.vasa.lt/Dashboard/Served?ServiceDateFrom=2025-11-24&amp;ServiceDateTo=2025-11-24&amp;DumpsterInvNr=13-L-146373", "13-L-146373")</f>
        <v>13-L-146373</v>
      </c>
      <c r="C10698">
        <v>5</v>
      </c>
      <c r="D10698" t="s">
        <v>2131</v>
      </c>
      <c r="E10698" t="s">
        <v>11</v>
      </c>
      <c r="F10698" t="s">
        <v>13</v>
      </c>
      <c r="G10698" t="s">
        <v>1912</v>
      </c>
      <c r="H10698" t="s">
        <v>432</v>
      </c>
    </row>
    <row r="10699" spans="1:8" hidden="1" x14ac:dyDescent="0.25">
      <c r="A10699" t="s">
        <v>14268</v>
      </c>
      <c r="B10699" s="1" t="str">
        <f>HYPERLINK("https://asmlis.vasa.lt/Dashboard/Served?ServiceDateFrom=2025-11-24&amp;ServiceDateTo=2025-11-24&amp;DumpsterInvNr=13-P-115544", "13-P-115544")</f>
        <v>13-P-115544</v>
      </c>
      <c r="C10699">
        <v>1.1000000000000001</v>
      </c>
      <c r="D10699" t="s">
        <v>14269</v>
      </c>
      <c r="E10699" t="s">
        <v>11</v>
      </c>
      <c r="G10699" t="s">
        <v>1917</v>
      </c>
      <c r="H10699" t="s">
        <v>432</v>
      </c>
    </row>
    <row r="10700" spans="1:8" hidden="1" x14ac:dyDescent="0.25">
      <c r="A10700" t="s">
        <v>14271</v>
      </c>
      <c r="B10700" s="1" t="str">
        <f>HYPERLINK("https://asmlis.vasa.lt/Dashboard/Served?ServiceDateFrom=2025-11-24&amp;ServiceDateTo=2025-11-24&amp;DumpsterInvNr=13-S-210114", "13-S-210114")</f>
        <v>13-S-210114</v>
      </c>
      <c r="C10700">
        <v>3</v>
      </c>
      <c r="D10700" t="s">
        <v>14272</v>
      </c>
      <c r="E10700" t="s">
        <v>11</v>
      </c>
      <c r="F10700" t="s">
        <v>13</v>
      </c>
      <c r="G10700" t="s">
        <v>234</v>
      </c>
      <c r="H10700" t="s">
        <v>14</v>
      </c>
    </row>
    <row r="10701" spans="1:8" hidden="1" x14ac:dyDescent="0.25">
      <c r="A10701" t="s">
        <v>14271</v>
      </c>
      <c r="B10701" s="1" t="str">
        <f>HYPERLINK("https://asmlis.vasa.lt/Dashboard/Served?ServiceDateFrom=2025-11-24&amp;ServiceDateTo=2025-11-24&amp;DumpsterInvNr=13-P-103177", "13-P-103177")</f>
        <v>13-P-103177</v>
      </c>
      <c r="C10701">
        <v>0.24</v>
      </c>
      <c r="D10701" t="s">
        <v>14266</v>
      </c>
      <c r="E10701" t="s">
        <v>11</v>
      </c>
      <c r="G10701" t="s">
        <v>1917</v>
      </c>
      <c r="H10701" t="s">
        <v>432</v>
      </c>
    </row>
    <row r="10702" spans="1:8" hidden="1" x14ac:dyDescent="0.25">
      <c r="A10702" t="s">
        <v>14274</v>
      </c>
      <c r="B10702" s="1" t="str">
        <f>HYPERLINK("https://asmlis.vasa.lt/Dashboard/Served?ServiceDateFrom=2025-11-24&amp;ServiceDateTo=2025-11-24&amp;DumpsterInvNr=13-P-206307", "13-P-206307")</f>
        <v>13-P-206307</v>
      </c>
      <c r="C10702">
        <v>0.24</v>
      </c>
      <c r="D10702" t="s">
        <v>12495</v>
      </c>
      <c r="E10702" t="s">
        <v>11</v>
      </c>
      <c r="G10702" t="s">
        <v>234</v>
      </c>
      <c r="H10702" t="s">
        <v>14</v>
      </c>
    </row>
    <row r="10703" spans="1:8" hidden="1" x14ac:dyDescent="0.25">
      <c r="A10703" t="s">
        <v>14274</v>
      </c>
      <c r="B10703" s="1" t="str">
        <f>HYPERLINK("https://asmlis.vasa.lt/Dashboard/Served?ServiceDateFrom=2025-11-24&amp;ServiceDateTo=2025-11-24&amp;DumpsterInvNr=13-S-206638", "13-S-206638")</f>
        <v>13-S-206638</v>
      </c>
      <c r="C10703">
        <v>0.12</v>
      </c>
      <c r="D10703" t="s">
        <v>12495</v>
      </c>
      <c r="E10703" t="s">
        <v>11</v>
      </c>
      <c r="F10703" t="s">
        <v>1209</v>
      </c>
      <c r="G10703" t="s">
        <v>234</v>
      </c>
      <c r="H10703" t="s">
        <v>14</v>
      </c>
    </row>
    <row r="10704" spans="1:8" hidden="1" x14ac:dyDescent="0.25">
      <c r="A10704" t="s">
        <v>14275</v>
      </c>
      <c r="B10704" s="1" t="str">
        <f>HYPERLINK("https://asmlis.vasa.lt/Dashboard/Served?ServiceDateFrom=2025-11-24&amp;ServiceDateTo=2025-11-24&amp;DumpsterInvNr=13-L-207322", "13-L-207322")</f>
        <v>13-L-207322</v>
      </c>
      <c r="C10704">
        <v>0.12</v>
      </c>
      <c r="D10704" t="s">
        <v>14276</v>
      </c>
      <c r="E10704" t="s">
        <v>11</v>
      </c>
      <c r="F10704" t="s">
        <v>1209</v>
      </c>
      <c r="G10704" t="s">
        <v>936</v>
      </c>
      <c r="H10704" t="s">
        <v>938</v>
      </c>
    </row>
    <row r="10705" spans="1:10" hidden="1" x14ac:dyDescent="0.25">
      <c r="A10705" t="s">
        <v>14278</v>
      </c>
      <c r="B10705" s="1" t="str">
        <f>HYPERLINK("https://asmlis.vasa.lt/Dashboard/Served?ServiceDateFrom=2025-11-24&amp;ServiceDateTo=2025-11-24&amp;DumpsterInvNr=13-L-203490", "13-L-203490")</f>
        <v>13-L-203490</v>
      </c>
      <c r="C10705">
        <v>0.24</v>
      </c>
      <c r="D10705" t="s">
        <v>14279</v>
      </c>
      <c r="E10705" t="s">
        <v>11</v>
      </c>
      <c r="F10705" t="s">
        <v>1209</v>
      </c>
      <c r="G10705" t="s">
        <v>936</v>
      </c>
      <c r="H10705" t="s">
        <v>938</v>
      </c>
    </row>
    <row r="10706" spans="1:10" x14ac:dyDescent="0.25">
      <c r="A10706" t="s">
        <v>14280</v>
      </c>
      <c r="B10706" s="1" t="str">
        <f>HYPERLINK("https://asmlis.vasa.lt/Dashboard/Served?ServiceDateFrom=2025-11-24&amp;ServiceDateTo=2025-11-24&amp;DumpsterInvNr=13-L-424762", "13-L-424762")</f>
        <v>13-L-424762</v>
      </c>
      <c r="C10706">
        <v>1.1000000000000001</v>
      </c>
      <c r="D10706" t="s">
        <v>14281</v>
      </c>
      <c r="E10706" t="s">
        <v>11</v>
      </c>
      <c r="F10706" t="s">
        <v>1215</v>
      </c>
      <c r="G10706" t="s">
        <v>74</v>
      </c>
      <c r="H10706" t="s">
        <v>14</v>
      </c>
      <c r="J10706" t="s">
        <v>17511</v>
      </c>
    </row>
    <row r="10707" spans="1:10" hidden="1" x14ac:dyDescent="0.25">
      <c r="A10707" t="s">
        <v>14282</v>
      </c>
      <c r="B10707" s="1" t="str">
        <f>HYPERLINK("https://asmlis.vasa.lt/Dashboard/Served?ServiceDateFrom=2025-11-24&amp;ServiceDateTo=2025-11-24&amp;DumpsterInvNr=13-L-120433", "13-L-120433")</f>
        <v>13-L-120433</v>
      </c>
      <c r="C10707">
        <v>0.24</v>
      </c>
      <c r="D10707" t="s">
        <v>14283</v>
      </c>
      <c r="E10707" t="s">
        <v>11</v>
      </c>
      <c r="F10707" t="s">
        <v>1209</v>
      </c>
      <c r="G10707" t="s">
        <v>1912</v>
      </c>
      <c r="H10707" t="s">
        <v>432</v>
      </c>
    </row>
    <row r="10708" spans="1:10" hidden="1" x14ac:dyDescent="0.25">
      <c r="A10708" t="s">
        <v>14285</v>
      </c>
      <c r="B10708" s="1" t="str">
        <f>HYPERLINK("https://asmlis.vasa.lt/Dashboard/Served?ServiceDateFrom=2025-11-24&amp;ServiceDateTo=2025-11-24&amp;DumpsterInvNr=13-L-140293", "13-L-140293")</f>
        <v>13-L-140293</v>
      </c>
      <c r="C10708">
        <v>1.1000000000000001</v>
      </c>
      <c r="D10708" t="s">
        <v>14286</v>
      </c>
      <c r="E10708" t="s">
        <v>11</v>
      </c>
      <c r="G10708" t="s">
        <v>430</v>
      </c>
      <c r="H10708" t="s">
        <v>432</v>
      </c>
    </row>
    <row r="10709" spans="1:10" x14ac:dyDescent="0.25">
      <c r="A10709" t="s">
        <v>14288</v>
      </c>
      <c r="B10709" s="1" t="str">
        <f>HYPERLINK("https://asmlis.vasa.lt/Dashboard/Served?ServiceDateFrom=2025-11-24&amp;ServiceDateTo=2025-11-24&amp;DumpsterInvNr=13-L-423037", "13-L-423037")</f>
        <v>13-L-423037</v>
      </c>
      <c r="C10709">
        <v>1.1000000000000001</v>
      </c>
      <c r="D10709" t="s">
        <v>14289</v>
      </c>
      <c r="E10709" t="s">
        <v>11</v>
      </c>
      <c r="F10709" t="s">
        <v>1215</v>
      </c>
      <c r="G10709" t="s">
        <v>74</v>
      </c>
      <c r="H10709" t="s">
        <v>14</v>
      </c>
      <c r="J10709" t="s">
        <v>17511</v>
      </c>
    </row>
    <row r="10710" spans="1:10" hidden="1" x14ac:dyDescent="0.25">
      <c r="A10710" t="s">
        <v>14288</v>
      </c>
      <c r="B10710" s="1" t="str">
        <f>HYPERLINK("https://asmlis.vasa.lt/Dashboard/Served?ServiceDateFrom=2025-11-24&amp;ServiceDateTo=2025-11-24&amp;DumpsterInvNr=13-L-317593", "13-L-317593")</f>
        <v>13-L-317593</v>
      </c>
      <c r="C10710">
        <v>1.1000000000000001</v>
      </c>
      <c r="D10710" t="s">
        <v>13077</v>
      </c>
      <c r="E10710" t="s">
        <v>11</v>
      </c>
      <c r="G10710" t="s">
        <v>9</v>
      </c>
      <c r="H10710" t="s">
        <v>14</v>
      </c>
    </row>
    <row r="10711" spans="1:10" hidden="1" x14ac:dyDescent="0.25">
      <c r="A10711" t="s">
        <v>14288</v>
      </c>
      <c r="B10711" s="1" t="str">
        <f>HYPERLINK("https://asmlis.vasa.lt/Dashboard/Served?ServiceDateFrom=2025-11-24&amp;ServiceDateTo=2025-11-24&amp;DumpsterInvNr=13-S-103261", "13-S-103261")</f>
        <v>13-S-103261</v>
      </c>
      <c r="C10711">
        <v>0.12</v>
      </c>
      <c r="D10711" t="s">
        <v>14266</v>
      </c>
      <c r="E10711" t="s">
        <v>11</v>
      </c>
      <c r="F10711" t="s">
        <v>1209</v>
      </c>
      <c r="G10711" t="s">
        <v>1917</v>
      </c>
      <c r="H10711" t="s">
        <v>432</v>
      </c>
    </row>
    <row r="10712" spans="1:10" hidden="1" x14ac:dyDescent="0.25">
      <c r="A10712" t="s">
        <v>14290</v>
      </c>
      <c r="B10712" s="1" t="str">
        <f>HYPERLINK("https://asmlis.vasa.lt/Dashboard/Served?ServiceDateFrom=2025-11-24&amp;ServiceDateTo=2025-11-24&amp;DumpsterInvNr=13-P-101154", "13-P-101154")</f>
        <v>13-P-101154</v>
      </c>
      <c r="C10712">
        <v>0.12</v>
      </c>
      <c r="D10712" t="s">
        <v>14283</v>
      </c>
      <c r="E10712" t="s">
        <v>11</v>
      </c>
      <c r="F10712" t="s">
        <v>1209</v>
      </c>
      <c r="G10712" t="s">
        <v>1917</v>
      </c>
      <c r="H10712" t="s">
        <v>432</v>
      </c>
    </row>
    <row r="10713" spans="1:10" hidden="1" x14ac:dyDescent="0.25">
      <c r="A10713" t="s">
        <v>14291</v>
      </c>
      <c r="B10713" s="1" t="str">
        <f>HYPERLINK("https://asmlis.vasa.lt/Dashboard/Served?ServiceDateFrom=2025-11-24&amp;ServiceDateTo=2025-11-24&amp;DumpsterInvNr=13-S-102435", "13-S-102435")</f>
        <v>13-S-102435</v>
      </c>
      <c r="C10713">
        <v>0.12</v>
      </c>
      <c r="D10713" t="s">
        <v>14283</v>
      </c>
      <c r="E10713" t="s">
        <v>11</v>
      </c>
      <c r="F10713" t="s">
        <v>1209</v>
      </c>
      <c r="G10713" t="s">
        <v>1917</v>
      </c>
      <c r="H10713" t="s">
        <v>432</v>
      </c>
    </row>
    <row r="10714" spans="1:10" hidden="1" x14ac:dyDescent="0.25">
      <c r="A10714" t="s">
        <v>14292</v>
      </c>
      <c r="B10714" s="1" t="str">
        <f>HYPERLINK("https://asmlis.vasa.lt/Dashboard/Served?ServiceDateFrom=2025-11-24&amp;ServiceDateTo=2025-11-24&amp;DumpsterInvNr=13-P-400629", "13-P-400629")</f>
        <v>13-P-400629</v>
      </c>
      <c r="C10714">
        <v>5</v>
      </c>
      <c r="D10714" t="s">
        <v>4947</v>
      </c>
      <c r="E10714" t="s">
        <v>11</v>
      </c>
      <c r="G10714" t="s">
        <v>264</v>
      </c>
      <c r="H10714" t="s">
        <v>14</v>
      </c>
    </row>
    <row r="10715" spans="1:10" hidden="1" x14ac:dyDescent="0.25">
      <c r="A10715" t="s">
        <v>14293</v>
      </c>
      <c r="B10715" s="1" t="str">
        <f>HYPERLINK("https://asmlis.vasa.lt/Dashboard/Served?ServiceDateFrom=2025-11-24&amp;ServiceDateTo=2025-11-24&amp;DumpsterInvNr=13-L-312483", "13-L-312483")</f>
        <v>13-L-312483</v>
      </c>
      <c r="C10715">
        <v>1.1000000000000001</v>
      </c>
      <c r="D10715" t="s">
        <v>13077</v>
      </c>
      <c r="E10715" t="s">
        <v>11</v>
      </c>
      <c r="F10715" t="s">
        <v>13</v>
      </c>
      <c r="G10715" t="s">
        <v>9</v>
      </c>
      <c r="H10715" t="s">
        <v>14</v>
      </c>
    </row>
    <row r="10716" spans="1:10" hidden="1" x14ac:dyDescent="0.25">
      <c r="A10716" t="s">
        <v>14295</v>
      </c>
      <c r="B10716" s="1" t="str">
        <f>HYPERLINK("https://asmlis.vasa.lt/Dashboard/Served?ServiceDateFrom=2025-11-24&amp;ServiceDateTo=2025-11-24&amp;DumpsterInvNr=13-L-209953", "13-L-209953")</f>
        <v>13-L-209953</v>
      </c>
      <c r="C10716">
        <v>0.12</v>
      </c>
      <c r="D10716" t="s">
        <v>14296</v>
      </c>
      <c r="E10716" t="s">
        <v>11</v>
      </c>
      <c r="G10716" t="s">
        <v>936</v>
      </c>
      <c r="H10716" t="s">
        <v>938</v>
      </c>
    </row>
    <row r="10717" spans="1:10" hidden="1" x14ac:dyDescent="0.25">
      <c r="A10717" t="s">
        <v>14297</v>
      </c>
      <c r="B10717" s="1" t="str">
        <f>HYPERLINK("https://asmlis.vasa.lt/Dashboard/Served?ServiceDateFrom=2025-11-24&amp;ServiceDateTo=2025-11-24&amp;DumpsterInvNr=13-P-500242", "13-P-500242")</f>
        <v>13-P-500242</v>
      </c>
      <c r="C10717">
        <v>3</v>
      </c>
      <c r="D10717" t="s">
        <v>14298</v>
      </c>
      <c r="E10717" t="s">
        <v>11</v>
      </c>
      <c r="F10717" t="s">
        <v>13</v>
      </c>
      <c r="G10717" t="s">
        <v>2178</v>
      </c>
      <c r="H10717" t="s">
        <v>432</v>
      </c>
    </row>
    <row r="10718" spans="1:10" hidden="1" x14ac:dyDescent="0.25">
      <c r="A10718" t="s">
        <v>14299</v>
      </c>
      <c r="B10718" s="1" t="str">
        <f>HYPERLINK("https://asmlis.vasa.lt/Dashboard/Served?ServiceDateFrom=2025-11-24&amp;ServiceDateTo=2025-11-24&amp;DumpsterInvNr=13-L-316756", "13-L-316756")</f>
        <v>13-L-316756</v>
      </c>
      <c r="C10718">
        <v>1.1000000000000001</v>
      </c>
      <c r="D10718" t="s">
        <v>14300</v>
      </c>
      <c r="E10718" t="s">
        <v>11</v>
      </c>
      <c r="G10718" t="s">
        <v>9</v>
      </c>
      <c r="H10718" t="s">
        <v>14</v>
      </c>
    </row>
    <row r="10719" spans="1:10" hidden="1" x14ac:dyDescent="0.25">
      <c r="A10719" t="s">
        <v>14301</v>
      </c>
      <c r="B10719" s="1" t="str">
        <f>HYPERLINK("https://asmlis.vasa.lt/Dashboard/Served?ServiceDateFrom=2025-11-24&amp;ServiceDateTo=2025-11-24&amp;DumpsterInvNr=13-L-224191", "13-L-224191")</f>
        <v>13-L-224191</v>
      </c>
      <c r="C10719">
        <v>5</v>
      </c>
      <c r="D10719" t="s">
        <v>14302</v>
      </c>
      <c r="E10719" t="s">
        <v>11</v>
      </c>
      <c r="G10719" t="s">
        <v>936</v>
      </c>
      <c r="H10719" t="s">
        <v>938</v>
      </c>
    </row>
    <row r="10720" spans="1:10" hidden="1" x14ac:dyDescent="0.25">
      <c r="A10720" t="s">
        <v>14301</v>
      </c>
      <c r="B10720" s="1" t="str">
        <f>HYPERLINK("https://asmlis.vasa.lt/Dashboard/Served?ServiceDateFrom=2025-11-24&amp;ServiceDateTo=2025-11-24&amp;DumpsterInvNr=13-P-302640", "13-P-302640")</f>
        <v>13-P-302640</v>
      </c>
      <c r="C10720">
        <v>5</v>
      </c>
      <c r="D10720" t="s">
        <v>5149</v>
      </c>
      <c r="E10720" t="s">
        <v>11</v>
      </c>
      <c r="G10720" t="s">
        <v>412</v>
      </c>
      <c r="H10720" t="s">
        <v>14</v>
      </c>
    </row>
    <row r="10721" spans="1:8" hidden="1" x14ac:dyDescent="0.25">
      <c r="A10721" t="s">
        <v>14303</v>
      </c>
      <c r="B10721" s="1" t="str">
        <f>HYPERLINK("https://asmlis.vasa.lt/Dashboard/Served?ServiceDateFrom=2025-11-24&amp;ServiceDateTo=2025-11-24&amp;DumpsterInvNr=13-L-139314", "13-L-139314")</f>
        <v>13-L-139314</v>
      </c>
      <c r="C10721">
        <v>1.1000000000000001</v>
      </c>
      <c r="D10721" t="s">
        <v>14286</v>
      </c>
      <c r="E10721" t="s">
        <v>11</v>
      </c>
      <c r="G10721" t="s">
        <v>430</v>
      </c>
      <c r="H10721" t="s">
        <v>432</v>
      </c>
    </row>
    <row r="10722" spans="1:8" hidden="1" x14ac:dyDescent="0.25">
      <c r="A10722" t="s">
        <v>14304</v>
      </c>
      <c r="B10722" s="1" t="str">
        <f>HYPERLINK("https://asmlis.vasa.lt/Dashboard/Served?ServiceDateFrom=2025-11-24&amp;ServiceDateTo=2025-11-24&amp;DumpsterInvNr=13-L-106460", "13-L-106460")</f>
        <v>13-L-106460</v>
      </c>
      <c r="C10722">
        <v>0.24</v>
      </c>
      <c r="D10722" t="s">
        <v>14305</v>
      </c>
      <c r="E10722" t="s">
        <v>11</v>
      </c>
      <c r="G10722" t="s">
        <v>1912</v>
      </c>
      <c r="H10722" t="s">
        <v>432</v>
      </c>
    </row>
    <row r="10723" spans="1:8" hidden="1" x14ac:dyDescent="0.25">
      <c r="A10723" t="s">
        <v>14304</v>
      </c>
      <c r="B10723" s="1" t="str">
        <f>HYPERLINK("https://asmlis.vasa.lt/Dashboard/Served?ServiceDateFrom=2025-11-24&amp;ServiceDateTo=2025-11-24&amp;DumpsterInvNr=13-P-101157", "13-P-101157")</f>
        <v>13-P-101157</v>
      </c>
      <c r="C10723">
        <v>0.24</v>
      </c>
      <c r="D10723" t="s">
        <v>14305</v>
      </c>
      <c r="E10723" t="s">
        <v>11</v>
      </c>
      <c r="G10723" t="s">
        <v>1917</v>
      </c>
      <c r="H10723" t="s">
        <v>432</v>
      </c>
    </row>
    <row r="10724" spans="1:8" hidden="1" x14ac:dyDescent="0.25">
      <c r="A10724" t="s">
        <v>14304</v>
      </c>
      <c r="B10724" s="1" t="str">
        <f>HYPERLINK("https://asmlis.vasa.lt/Dashboard/Served?ServiceDateFrom=2025-11-24&amp;ServiceDateTo=2025-11-24&amp;DumpsterInvNr=13-S-101767", "13-S-101767")</f>
        <v>13-S-101767</v>
      </c>
      <c r="C10724">
        <v>0.12</v>
      </c>
      <c r="D10724" t="s">
        <v>14306</v>
      </c>
      <c r="E10724" t="s">
        <v>11</v>
      </c>
      <c r="G10724" t="s">
        <v>1917</v>
      </c>
      <c r="H10724" t="s">
        <v>432</v>
      </c>
    </row>
    <row r="10725" spans="1:8" hidden="1" x14ac:dyDescent="0.25">
      <c r="A10725" t="s">
        <v>14307</v>
      </c>
      <c r="B10725" s="1" t="str">
        <f>HYPERLINK("https://asmlis.vasa.lt/Dashboard/Served?ServiceDateFrom=2025-11-24&amp;ServiceDateTo=2025-11-24&amp;DumpsterInvNr=13-P-415326", "13-P-415326")</f>
        <v>13-P-415326</v>
      </c>
      <c r="C10725">
        <v>5</v>
      </c>
      <c r="D10725" t="s">
        <v>2028</v>
      </c>
      <c r="E10725" t="s">
        <v>11</v>
      </c>
      <c r="F10725" t="s">
        <v>13</v>
      </c>
      <c r="G10725" t="s">
        <v>264</v>
      </c>
      <c r="H10725" t="s">
        <v>14</v>
      </c>
    </row>
    <row r="10726" spans="1:8" hidden="1" x14ac:dyDescent="0.25">
      <c r="A10726" t="s">
        <v>10996</v>
      </c>
      <c r="B10726" s="1" t="str">
        <f>HYPERLINK("https://asmlis.vasa.lt/Dashboard/Served?ServiceDateFrom=2025-11-24&amp;ServiceDateTo=2025-11-24&amp;DumpsterInvNr=13-L-317151", "13-L-317151")</f>
        <v>13-L-317151</v>
      </c>
      <c r="C10726">
        <v>0.77</v>
      </c>
      <c r="D10726" t="s">
        <v>14308</v>
      </c>
      <c r="E10726" t="s">
        <v>11</v>
      </c>
      <c r="G10726" t="s">
        <v>9</v>
      </c>
      <c r="H10726" t="s">
        <v>14</v>
      </c>
    </row>
    <row r="10727" spans="1:8" hidden="1" x14ac:dyDescent="0.25">
      <c r="A10727" t="s">
        <v>11501</v>
      </c>
      <c r="B10727" s="1" t="str">
        <f>HYPERLINK("https://asmlis.vasa.lt/Dashboard/Served?ServiceDateFrom=2025-11-24&amp;ServiceDateTo=2025-11-24&amp;DumpsterInvNr=13-P-500649", "13-P-500649")</f>
        <v>13-P-500649</v>
      </c>
      <c r="C10727">
        <v>5</v>
      </c>
      <c r="D10727" t="s">
        <v>14309</v>
      </c>
      <c r="E10727" t="s">
        <v>11</v>
      </c>
      <c r="F10727" t="s">
        <v>13</v>
      </c>
      <c r="G10727" t="s">
        <v>2178</v>
      </c>
      <c r="H10727" t="s">
        <v>432</v>
      </c>
    </row>
    <row r="10728" spans="1:8" hidden="1" x14ac:dyDescent="0.25">
      <c r="A10728" t="s">
        <v>12737</v>
      </c>
      <c r="B10728" s="1" t="str">
        <f>HYPERLINK("https://asmlis.vasa.lt/Dashboard/Served?ServiceDateFrom=2025-11-24&amp;ServiceDateTo=2025-11-24&amp;DumpsterInvNr=13-P-102463", "13-P-102463")</f>
        <v>13-P-102463</v>
      </c>
      <c r="C10728">
        <v>5</v>
      </c>
      <c r="D10728" t="s">
        <v>14310</v>
      </c>
      <c r="E10728" t="s">
        <v>11</v>
      </c>
      <c r="F10728" t="s">
        <v>13</v>
      </c>
      <c r="G10728" t="s">
        <v>1917</v>
      </c>
      <c r="H10728" t="s">
        <v>432</v>
      </c>
    </row>
    <row r="10729" spans="1:8" hidden="1" x14ac:dyDescent="0.25">
      <c r="A10729" t="s">
        <v>13026</v>
      </c>
      <c r="B10729" s="1" t="str">
        <f>HYPERLINK("https://asmlis.vasa.lt/Dashboard/Served?ServiceDateFrom=2025-11-24&amp;ServiceDateTo=2025-11-24&amp;DumpsterInvNr=13-L-215520", "13-L-215520")</f>
        <v>13-L-215520</v>
      </c>
      <c r="C10729">
        <v>0.24</v>
      </c>
      <c r="D10729" t="s">
        <v>14312</v>
      </c>
      <c r="E10729" t="s">
        <v>11</v>
      </c>
      <c r="F10729" t="s">
        <v>1209</v>
      </c>
      <c r="G10729" t="s">
        <v>936</v>
      </c>
      <c r="H10729" t="s">
        <v>938</v>
      </c>
    </row>
    <row r="10730" spans="1:8" hidden="1" x14ac:dyDescent="0.25">
      <c r="A10730" t="s">
        <v>14313</v>
      </c>
      <c r="B10730" s="1" t="str">
        <f>HYPERLINK("https://asmlis.vasa.lt/Dashboard/Served?ServiceDateFrom=2025-11-24&amp;ServiceDateTo=2025-11-24&amp;DumpsterInvNr=13-L-315396", "13-L-315396")</f>
        <v>13-L-315396</v>
      </c>
      <c r="C10730">
        <v>1.1000000000000001</v>
      </c>
      <c r="D10730" t="s">
        <v>14300</v>
      </c>
      <c r="E10730" t="s">
        <v>11</v>
      </c>
      <c r="G10730" t="s">
        <v>9</v>
      </c>
      <c r="H10730" t="s">
        <v>14</v>
      </c>
    </row>
    <row r="10731" spans="1:8" hidden="1" x14ac:dyDescent="0.25">
      <c r="A10731" t="s">
        <v>13369</v>
      </c>
      <c r="B10731" s="1" t="str">
        <f>HYPERLINK("https://asmlis.vasa.lt/Dashboard/Served?ServiceDateFrom=2025-11-24&amp;ServiceDateTo=2025-11-24&amp;DumpsterInvNr=13-L-218939", "13-L-218939")</f>
        <v>13-L-218939</v>
      </c>
      <c r="C10731">
        <v>0.24</v>
      </c>
      <c r="D10731" t="s">
        <v>14314</v>
      </c>
      <c r="E10731" t="s">
        <v>11</v>
      </c>
      <c r="F10731" t="s">
        <v>1209</v>
      </c>
      <c r="G10731" t="s">
        <v>936</v>
      </c>
      <c r="H10731" t="s">
        <v>938</v>
      </c>
    </row>
    <row r="10732" spans="1:8" hidden="1" x14ac:dyDescent="0.25">
      <c r="A10732" t="s">
        <v>14315</v>
      </c>
      <c r="B10732" s="1" t="str">
        <f>HYPERLINK("https://asmlis.vasa.lt/Dashboard/Served?ServiceDateFrom=2025-11-24&amp;ServiceDateTo=2025-11-24&amp;DumpsterInvNr=13-P-415666", "13-P-415666")</f>
        <v>13-P-415666</v>
      </c>
      <c r="C10732">
        <v>1.1000000000000001</v>
      </c>
      <c r="D10732" t="s">
        <v>14316</v>
      </c>
      <c r="E10732" t="s">
        <v>11</v>
      </c>
      <c r="G10732" t="s">
        <v>264</v>
      </c>
      <c r="H10732" t="s">
        <v>14</v>
      </c>
    </row>
    <row r="10733" spans="1:8" hidden="1" x14ac:dyDescent="0.25">
      <c r="A10733" t="s">
        <v>14317</v>
      </c>
      <c r="B10733" s="1" t="str">
        <f>HYPERLINK("https://asmlis.vasa.lt/Dashboard/Served?ServiceDateFrom=2025-11-24&amp;ServiceDateTo=2025-11-24&amp;DumpsterInvNr=13-P-211602", "13-P-211602")</f>
        <v>13-P-211602</v>
      </c>
      <c r="C10733">
        <v>0.24</v>
      </c>
      <c r="D10733" t="s">
        <v>12445</v>
      </c>
      <c r="E10733" t="s">
        <v>11</v>
      </c>
      <c r="G10733" t="s">
        <v>234</v>
      </c>
      <c r="H10733" t="s">
        <v>14</v>
      </c>
    </row>
    <row r="10734" spans="1:8" hidden="1" x14ac:dyDescent="0.25">
      <c r="A10734" t="s">
        <v>14318</v>
      </c>
      <c r="B10734" s="1" t="str">
        <f>HYPERLINK("https://asmlis.vasa.lt/Dashboard/Served?ServiceDateFrom=2025-11-24&amp;ServiceDateTo=2025-11-24&amp;DumpsterInvNr=13-L-319678", "13-L-319678")</f>
        <v>13-L-319678</v>
      </c>
      <c r="C10734">
        <v>0.77</v>
      </c>
      <c r="D10734" t="s">
        <v>14308</v>
      </c>
      <c r="E10734" t="s">
        <v>11</v>
      </c>
      <c r="F10734" t="s">
        <v>13</v>
      </c>
      <c r="G10734" t="s">
        <v>9</v>
      </c>
      <c r="H10734" t="s">
        <v>14</v>
      </c>
    </row>
    <row r="10735" spans="1:8" hidden="1" x14ac:dyDescent="0.25">
      <c r="A10735" t="s">
        <v>14318</v>
      </c>
      <c r="B10735" s="1" t="str">
        <f>HYPERLINK("https://asmlis.vasa.lt/Dashboard/Served?ServiceDateFrom=2025-11-24&amp;ServiceDateTo=2025-11-24&amp;DumpsterInvNr=13-S-103184", "13-S-103184")</f>
        <v>13-S-103184</v>
      </c>
      <c r="C10735">
        <v>0.12</v>
      </c>
      <c r="D10735" t="s">
        <v>14305</v>
      </c>
      <c r="E10735" t="s">
        <v>11</v>
      </c>
      <c r="F10735" t="s">
        <v>1209</v>
      </c>
      <c r="G10735" t="s">
        <v>1917</v>
      </c>
      <c r="H10735" t="s">
        <v>432</v>
      </c>
    </row>
    <row r="10736" spans="1:8" hidden="1" x14ac:dyDescent="0.25">
      <c r="A10736" t="s">
        <v>14319</v>
      </c>
      <c r="B10736" s="1" t="str">
        <f>HYPERLINK("https://asmlis.vasa.lt/Dashboard/Served?ServiceDateFrom=2025-11-24&amp;ServiceDateTo=2025-11-24&amp;DumpsterInvNr=13-L-316078", "13-L-316078")</f>
        <v>13-L-316078</v>
      </c>
      <c r="C10736">
        <v>1.1000000000000001</v>
      </c>
      <c r="D10736" t="s">
        <v>14320</v>
      </c>
      <c r="E10736" t="s">
        <v>11</v>
      </c>
      <c r="F10736" t="s">
        <v>13</v>
      </c>
      <c r="G10736" t="s">
        <v>9</v>
      </c>
      <c r="H10736" t="s">
        <v>14</v>
      </c>
    </row>
    <row r="10737" spans="1:8" hidden="1" x14ac:dyDescent="0.25">
      <c r="A10737" t="s">
        <v>14321</v>
      </c>
      <c r="B10737" s="1" t="str">
        <f>HYPERLINK("https://asmlis.vasa.lt/Dashboard/Served?ServiceDateFrom=2025-11-24&amp;ServiceDateTo=2025-11-24&amp;DumpsterInvNr=13-P-416264", "13-P-416264")</f>
        <v>13-P-416264</v>
      </c>
      <c r="C10737">
        <v>1.1000000000000001</v>
      </c>
      <c r="D10737" t="s">
        <v>14316</v>
      </c>
      <c r="E10737" t="s">
        <v>11</v>
      </c>
      <c r="G10737" t="s">
        <v>264</v>
      </c>
      <c r="H10737" t="s">
        <v>14</v>
      </c>
    </row>
    <row r="10738" spans="1:8" hidden="1" x14ac:dyDescent="0.25">
      <c r="A10738" t="s">
        <v>14322</v>
      </c>
      <c r="B10738" s="1" t="str">
        <f>HYPERLINK("https://asmlis.vasa.lt/Dashboard/Served?ServiceDateFrom=2025-11-24&amp;ServiceDateTo=2025-11-24&amp;DumpsterInvNr=13-L-203530", "13-L-203530")</f>
        <v>13-L-203530</v>
      </c>
      <c r="C10738">
        <v>0.12</v>
      </c>
      <c r="D10738" t="s">
        <v>14323</v>
      </c>
      <c r="E10738" t="s">
        <v>11</v>
      </c>
      <c r="G10738" t="s">
        <v>936</v>
      </c>
      <c r="H10738" t="s">
        <v>938</v>
      </c>
    </row>
    <row r="10739" spans="1:8" hidden="1" x14ac:dyDescent="0.25">
      <c r="A10739" t="s">
        <v>14324</v>
      </c>
      <c r="B10739" s="1" t="str">
        <f>HYPERLINK("https://asmlis.vasa.lt/Dashboard/Served?ServiceDateFrom=2025-11-24&amp;ServiceDateTo=2025-11-24&amp;DumpsterInvNr=13-S-210144", "13-S-210144")</f>
        <v>13-S-210144</v>
      </c>
      <c r="C10739">
        <v>0.12</v>
      </c>
      <c r="D10739" t="s">
        <v>12448</v>
      </c>
      <c r="E10739" t="s">
        <v>11</v>
      </c>
      <c r="F10739" t="s">
        <v>1209</v>
      </c>
      <c r="G10739" t="s">
        <v>234</v>
      </c>
      <c r="H10739" t="s">
        <v>14</v>
      </c>
    </row>
    <row r="10740" spans="1:8" hidden="1" x14ac:dyDescent="0.25">
      <c r="A10740" t="s">
        <v>14325</v>
      </c>
      <c r="B10740" s="1" t="str">
        <f>HYPERLINK("https://asmlis.vasa.lt/Dashboard/Served?ServiceDateFrom=2025-11-24&amp;ServiceDateTo=2025-11-24&amp;DumpsterInvNr=13-L-120432", "13-L-120432")</f>
        <v>13-L-120432</v>
      </c>
      <c r="C10740">
        <v>0.24</v>
      </c>
      <c r="D10740" t="s">
        <v>14326</v>
      </c>
      <c r="E10740" t="s">
        <v>11</v>
      </c>
      <c r="G10740" t="s">
        <v>1912</v>
      </c>
      <c r="H10740" t="s">
        <v>432</v>
      </c>
    </row>
    <row r="10741" spans="1:8" hidden="1" x14ac:dyDescent="0.25">
      <c r="A10741" t="s">
        <v>14327</v>
      </c>
      <c r="B10741" s="1" t="str">
        <f>HYPERLINK("https://asmlis.vasa.lt/Dashboard/Served?ServiceDateFrom=2025-11-24&amp;ServiceDateTo=2025-11-24&amp;DumpsterInvNr=13-S-206472", "13-S-206472")</f>
        <v>13-S-206472</v>
      </c>
      <c r="C10741">
        <v>3</v>
      </c>
      <c r="D10741" t="s">
        <v>14328</v>
      </c>
      <c r="E10741" t="s">
        <v>11</v>
      </c>
      <c r="F10741" t="s">
        <v>13</v>
      </c>
      <c r="G10741" t="s">
        <v>234</v>
      </c>
      <c r="H10741" t="s">
        <v>14</v>
      </c>
    </row>
    <row r="10742" spans="1:8" hidden="1" x14ac:dyDescent="0.25">
      <c r="A10742" t="s">
        <v>14327</v>
      </c>
      <c r="B10742" s="1" t="str">
        <f>HYPERLINK("https://asmlis.vasa.lt/Dashboard/Served?ServiceDateFrom=2025-11-24&amp;ServiceDateTo=2025-11-24&amp;DumpsterInvNr=13-L-109812", "13-L-109812")</f>
        <v>13-L-109812</v>
      </c>
      <c r="C10742">
        <v>0.12</v>
      </c>
      <c r="D10742" t="s">
        <v>14329</v>
      </c>
      <c r="E10742" t="s">
        <v>11</v>
      </c>
      <c r="F10742" t="s">
        <v>1209</v>
      </c>
      <c r="G10742" t="s">
        <v>430</v>
      </c>
      <c r="H10742" t="s">
        <v>432</v>
      </c>
    </row>
    <row r="10743" spans="1:8" hidden="1" x14ac:dyDescent="0.25">
      <c r="A10743" t="s">
        <v>14081</v>
      </c>
      <c r="B10743" s="1" t="str">
        <f>HYPERLINK("https://asmlis.vasa.lt/Dashboard/Served?ServiceDateFrom=2025-11-24&amp;ServiceDateTo=2025-11-24&amp;DumpsterInvNr=13-L-313701", "13-L-313701")</f>
        <v>13-L-313701</v>
      </c>
      <c r="C10743">
        <v>1.1000000000000001</v>
      </c>
      <c r="D10743" t="s">
        <v>14320</v>
      </c>
      <c r="E10743" t="s">
        <v>11</v>
      </c>
      <c r="F10743" t="s">
        <v>13</v>
      </c>
      <c r="G10743" t="s">
        <v>9</v>
      </c>
      <c r="H10743" t="s">
        <v>14</v>
      </c>
    </row>
    <row r="10744" spans="1:8" hidden="1" x14ac:dyDescent="0.25">
      <c r="A10744" t="s">
        <v>14081</v>
      </c>
      <c r="B10744" s="1" t="str">
        <f>HYPERLINK("https://asmlis.vasa.lt/Dashboard/Served?ServiceDateFrom=2025-11-24&amp;ServiceDateTo=2025-11-24&amp;DumpsterInvNr=13-S-500459", "13-S-500459")</f>
        <v>13-S-500459</v>
      </c>
      <c r="C10744">
        <v>0.12</v>
      </c>
      <c r="D10744" t="s">
        <v>14329</v>
      </c>
      <c r="E10744" t="s">
        <v>11</v>
      </c>
      <c r="F10744" t="s">
        <v>1209</v>
      </c>
      <c r="G10744" t="s">
        <v>2178</v>
      </c>
      <c r="H10744" t="s">
        <v>432</v>
      </c>
    </row>
    <row r="10745" spans="1:8" hidden="1" x14ac:dyDescent="0.25">
      <c r="A10745" t="s">
        <v>14330</v>
      </c>
      <c r="B10745" s="1" t="str">
        <f>HYPERLINK("https://asmlis.vasa.lt/Dashboard/Served?ServiceDateFrom=2025-11-24&amp;ServiceDateTo=2025-11-24&amp;DumpsterInvNr=13-P-508456", "13-P-508456")</f>
        <v>13-P-508456</v>
      </c>
      <c r="C10745">
        <v>0.24</v>
      </c>
      <c r="D10745" t="s">
        <v>14329</v>
      </c>
      <c r="E10745" t="s">
        <v>11</v>
      </c>
      <c r="F10745" t="s">
        <v>1209</v>
      </c>
      <c r="G10745" t="s">
        <v>2178</v>
      </c>
      <c r="H10745" t="s">
        <v>432</v>
      </c>
    </row>
    <row r="10746" spans="1:8" hidden="1" x14ac:dyDescent="0.25">
      <c r="A10746" t="s">
        <v>14246</v>
      </c>
      <c r="B10746" s="1" t="str">
        <f>HYPERLINK("https://asmlis.vasa.lt/Dashboard/Served?ServiceDateFrom=2025-11-24&amp;ServiceDateTo=2025-11-24&amp;DumpsterInvNr=13-P-400649", "13-P-400649")</f>
        <v>13-P-400649</v>
      </c>
      <c r="C10746">
        <v>5</v>
      </c>
      <c r="D10746" t="s">
        <v>5163</v>
      </c>
      <c r="E10746" t="s">
        <v>11</v>
      </c>
      <c r="F10746" t="s">
        <v>13</v>
      </c>
      <c r="G10746" t="s">
        <v>264</v>
      </c>
      <c r="H10746" t="s">
        <v>14</v>
      </c>
    </row>
    <row r="10747" spans="1:8" hidden="1" x14ac:dyDescent="0.25">
      <c r="A10747" t="s">
        <v>14246</v>
      </c>
      <c r="B10747" s="1" t="str">
        <f>HYPERLINK("https://asmlis.vasa.lt/Dashboard/Served?ServiceDateFrom=2025-11-24&amp;ServiceDateTo=2025-11-24&amp;DumpsterInvNr=13-P-508455", "13-P-508455")</f>
        <v>13-P-508455</v>
      </c>
      <c r="C10747">
        <v>0.24</v>
      </c>
      <c r="D10747" t="s">
        <v>14329</v>
      </c>
      <c r="E10747" t="s">
        <v>11</v>
      </c>
      <c r="F10747" t="s">
        <v>1209</v>
      </c>
      <c r="G10747" t="s">
        <v>2178</v>
      </c>
      <c r="H10747" t="s">
        <v>432</v>
      </c>
    </row>
    <row r="10748" spans="1:8" hidden="1" x14ac:dyDescent="0.25">
      <c r="A10748" t="s">
        <v>14246</v>
      </c>
      <c r="B10748" s="1" t="str">
        <f>HYPERLINK("https://asmlis.vasa.lt/Dashboard/Served?ServiceDateFrom=2025-11-24&amp;ServiceDateTo=2025-11-24&amp;DumpsterInvNr=13-L-145659", "13-L-145659")</f>
        <v>13-L-145659</v>
      </c>
      <c r="C10748">
        <v>5</v>
      </c>
      <c r="D10748" t="s">
        <v>14331</v>
      </c>
      <c r="E10748" t="s">
        <v>11</v>
      </c>
      <c r="F10748" t="s">
        <v>13</v>
      </c>
      <c r="G10748" t="s">
        <v>430</v>
      </c>
      <c r="H10748" t="s">
        <v>432</v>
      </c>
    </row>
    <row r="10749" spans="1:8" hidden="1" x14ac:dyDescent="0.25">
      <c r="A10749" t="s">
        <v>14332</v>
      </c>
      <c r="B10749" s="1" t="str">
        <f>HYPERLINK("https://asmlis.vasa.lt/Dashboard/Served?ServiceDateFrom=2025-11-24&amp;ServiceDateTo=2025-11-24&amp;DumpsterInvNr=13-P-211652", "13-P-211652")</f>
        <v>13-P-211652</v>
      </c>
      <c r="C10749">
        <v>0.24</v>
      </c>
      <c r="D10749" t="s">
        <v>12448</v>
      </c>
      <c r="E10749" t="s">
        <v>11</v>
      </c>
      <c r="F10749" t="s">
        <v>1209</v>
      </c>
      <c r="G10749" t="s">
        <v>234</v>
      </c>
      <c r="H10749" t="s">
        <v>14</v>
      </c>
    </row>
    <row r="10750" spans="1:8" hidden="1" x14ac:dyDescent="0.25">
      <c r="A10750" t="s">
        <v>14333</v>
      </c>
      <c r="B10750" s="1" t="str">
        <f>HYPERLINK("https://asmlis.vasa.lt/Dashboard/Served?ServiceDateFrom=2025-11-24&amp;ServiceDateTo=2025-11-24&amp;DumpsterInvNr=13-L-317026", "13-L-317026")</f>
        <v>13-L-317026</v>
      </c>
      <c r="C10750">
        <v>1.1000000000000001</v>
      </c>
      <c r="D10750" t="s">
        <v>14300</v>
      </c>
      <c r="E10750" t="s">
        <v>11</v>
      </c>
      <c r="F10750" t="s">
        <v>13</v>
      </c>
      <c r="G10750" t="s">
        <v>9</v>
      </c>
      <c r="H10750" t="s">
        <v>14</v>
      </c>
    </row>
    <row r="10751" spans="1:8" hidden="1" x14ac:dyDescent="0.25">
      <c r="A10751" t="s">
        <v>14055</v>
      </c>
      <c r="B10751" s="1" t="str">
        <f>HYPERLINK("https://asmlis.vasa.lt/Dashboard/Served?ServiceDateFrom=2025-11-24&amp;ServiceDateTo=2025-11-24&amp;DumpsterInvNr=13-L-404398", "13-L-404398")</f>
        <v>13-L-404398</v>
      </c>
      <c r="C10751">
        <v>0.12</v>
      </c>
      <c r="D10751" t="s">
        <v>10066</v>
      </c>
      <c r="E10751" t="s">
        <v>11</v>
      </c>
      <c r="G10751" t="s">
        <v>74</v>
      </c>
      <c r="H10751" t="s">
        <v>14</v>
      </c>
    </row>
    <row r="10752" spans="1:8" hidden="1" x14ac:dyDescent="0.25">
      <c r="A10752" t="s">
        <v>14055</v>
      </c>
      <c r="B10752" s="1" t="str">
        <f>HYPERLINK("https://asmlis.vasa.lt/Dashboard/Served?ServiceDateFrom=2025-11-24&amp;ServiceDateTo=2025-11-24&amp;DumpsterInvNr=13-P-100920", "13-P-100920")</f>
        <v>13-P-100920</v>
      </c>
      <c r="C10752">
        <v>0.12</v>
      </c>
      <c r="D10752" t="s">
        <v>14306</v>
      </c>
      <c r="E10752" t="s">
        <v>11</v>
      </c>
      <c r="G10752" t="s">
        <v>1917</v>
      </c>
      <c r="H10752" t="s">
        <v>432</v>
      </c>
    </row>
    <row r="10753" spans="1:8" hidden="1" x14ac:dyDescent="0.25">
      <c r="A10753" t="s">
        <v>14057</v>
      </c>
      <c r="B10753" s="1" t="str">
        <f>HYPERLINK("https://asmlis.vasa.lt/Dashboard/Served?ServiceDateFrom=2025-11-24&amp;ServiceDateTo=2025-11-24&amp;DumpsterInvNr=13-P-415370", "13-P-415370")</f>
        <v>13-P-415370</v>
      </c>
      <c r="C10753">
        <v>5</v>
      </c>
      <c r="D10753" t="s">
        <v>1955</v>
      </c>
      <c r="E10753" t="s">
        <v>11</v>
      </c>
      <c r="G10753" t="s">
        <v>264</v>
      </c>
      <c r="H10753" t="s">
        <v>14</v>
      </c>
    </row>
    <row r="10754" spans="1:8" hidden="1" x14ac:dyDescent="0.25">
      <c r="A10754" t="s">
        <v>14058</v>
      </c>
      <c r="B10754" s="1" t="str">
        <f>HYPERLINK("https://asmlis.vasa.lt/Dashboard/Served?ServiceDateFrom=2025-11-24&amp;ServiceDateTo=2025-11-24&amp;DumpsterInvNr=13-L-404399", "13-L-404399")</f>
        <v>13-L-404399</v>
      </c>
      <c r="C10754">
        <v>0.24</v>
      </c>
      <c r="D10754" t="s">
        <v>14334</v>
      </c>
      <c r="E10754" t="s">
        <v>11</v>
      </c>
      <c r="F10754" t="s">
        <v>1209</v>
      </c>
      <c r="G10754" t="s">
        <v>74</v>
      </c>
      <c r="H10754" t="s">
        <v>14</v>
      </c>
    </row>
    <row r="10755" spans="1:8" hidden="1" x14ac:dyDescent="0.25">
      <c r="A10755" t="s">
        <v>14311</v>
      </c>
      <c r="B10755" s="1" t="str">
        <f>HYPERLINK("https://asmlis.vasa.lt/Dashboard/Served?ServiceDateFrom=2025-11-24&amp;ServiceDateTo=2025-11-24&amp;DumpsterInvNr=13-L-404400", "13-L-404400")</f>
        <v>13-L-404400</v>
      </c>
      <c r="C10755">
        <v>0.24</v>
      </c>
      <c r="D10755" t="s">
        <v>10056</v>
      </c>
      <c r="E10755" t="s">
        <v>11</v>
      </c>
      <c r="F10755" t="s">
        <v>1209</v>
      </c>
      <c r="G10755" t="s">
        <v>74</v>
      </c>
      <c r="H10755" t="s">
        <v>14</v>
      </c>
    </row>
    <row r="10756" spans="1:8" hidden="1" x14ac:dyDescent="0.25">
      <c r="A10756" t="s">
        <v>14336</v>
      </c>
      <c r="B10756" s="1" t="str">
        <f>HYPERLINK("https://asmlis.vasa.lt/Dashboard/Served?ServiceDateFrom=2025-11-24&amp;ServiceDateTo=2025-11-24&amp;DumpsterInvNr=13-L-315874", "13-L-315874")</f>
        <v>13-L-315874</v>
      </c>
      <c r="C10756">
        <v>1.1000000000000001</v>
      </c>
      <c r="D10756" t="s">
        <v>14320</v>
      </c>
      <c r="E10756" t="s">
        <v>11</v>
      </c>
      <c r="G10756" t="s">
        <v>9</v>
      </c>
      <c r="H10756" t="s">
        <v>14</v>
      </c>
    </row>
    <row r="10757" spans="1:8" hidden="1" x14ac:dyDescent="0.25">
      <c r="A10757" t="s">
        <v>14337</v>
      </c>
      <c r="B10757" s="1" t="str">
        <f>HYPERLINK("https://asmlis.vasa.lt/Dashboard/Served?ServiceDateFrom=2025-11-24&amp;ServiceDateTo=2025-11-24&amp;DumpsterInvNr=13-P-415693", "13-P-415693")</f>
        <v>13-P-415693</v>
      </c>
      <c r="C10757">
        <v>1.1000000000000001</v>
      </c>
      <c r="D10757" t="s">
        <v>14316</v>
      </c>
      <c r="E10757" t="s">
        <v>11</v>
      </c>
      <c r="F10757" t="s">
        <v>13</v>
      </c>
      <c r="G10757" t="s">
        <v>264</v>
      </c>
      <c r="H10757" t="s">
        <v>14</v>
      </c>
    </row>
    <row r="10758" spans="1:8" hidden="1" x14ac:dyDescent="0.25">
      <c r="A10758" t="s">
        <v>14338</v>
      </c>
      <c r="B10758" s="1" t="str">
        <f>HYPERLINK("https://asmlis.vasa.lt/Dashboard/Served?ServiceDateFrom=2025-11-24&amp;ServiceDateTo=2025-11-24&amp;DumpsterInvNr=13-P-106619", "13-P-106619")</f>
        <v>13-P-106619</v>
      </c>
      <c r="C10758">
        <v>0.24</v>
      </c>
      <c r="D10758" t="s">
        <v>14326</v>
      </c>
      <c r="E10758" t="s">
        <v>11</v>
      </c>
      <c r="G10758" t="s">
        <v>1917</v>
      </c>
      <c r="H10758" t="s">
        <v>432</v>
      </c>
    </row>
    <row r="10759" spans="1:8" hidden="1" x14ac:dyDescent="0.25">
      <c r="A10759" t="s">
        <v>14108</v>
      </c>
      <c r="B10759" s="1" t="str">
        <f>HYPERLINK("https://asmlis.vasa.lt/Dashboard/Served?ServiceDateFrom=2025-11-24&amp;ServiceDateTo=2025-11-24&amp;DumpsterInvNr=13-L-318625", "13-L-318625")</f>
        <v>13-L-318625</v>
      </c>
      <c r="C10759">
        <v>5</v>
      </c>
      <c r="D10759" t="s">
        <v>14339</v>
      </c>
      <c r="E10759" t="s">
        <v>11</v>
      </c>
      <c r="F10759" t="s">
        <v>13</v>
      </c>
      <c r="G10759" t="s">
        <v>9</v>
      </c>
      <c r="H10759" t="s">
        <v>14</v>
      </c>
    </row>
    <row r="10760" spans="1:8" hidden="1" x14ac:dyDescent="0.25">
      <c r="A10760" t="s">
        <v>14131</v>
      </c>
      <c r="B10760" s="1" t="str">
        <f>HYPERLINK("https://asmlis.vasa.lt/Dashboard/Served?ServiceDateFrom=2025-11-24&amp;ServiceDateTo=2025-11-24&amp;DumpsterInvNr=13-T-000277", "13-T-000277")</f>
        <v>13-T-000277</v>
      </c>
      <c r="C10760">
        <v>2.5</v>
      </c>
      <c r="D10760" t="s">
        <v>14340</v>
      </c>
      <c r="E10760" t="s">
        <v>11</v>
      </c>
      <c r="F10760" t="s">
        <v>13</v>
      </c>
      <c r="G10760" t="s">
        <v>1899</v>
      </c>
      <c r="H10760" t="s">
        <v>432</v>
      </c>
    </row>
    <row r="10761" spans="1:8" hidden="1" x14ac:dyDescent="0.25">
      <c r="A10761" t="s">
        <v>14341</v>
      </c>
      <c r="B10761" s="1" t="str">
        <f>HYPERLINK("https://asmlis.vasa.lt/Dashboard/Served?ServiceDateFrom=2025-11-24&amp;ServiceDateTo=2025-11-24&amp;DumpsterInvNr=13-L-315303", "13-L-315303")</f>
        <v>13-L-315303</v>
      </c>
      <c r="C10761">
        <v>5</v>
      </c>
      <c r="D10761" t="s">
        <v>14339</v>
      </c>
      <c r="E10761" t="s">
        <v>11</v>
      </c>
      <c r="F10761" t="s">
        <v>13</v>
      </c>
      <c r="G10761" t="s">
        <v>9</v>
      </c>
      <c r="H10761" t="s">
        <v>14</v>
      </c>
    </row>
    <row r="10762" spans="1:8" hidden="1" x14ac:dyDescent="0.25">
      <c r="A10762" t="s">
        <v>14167</v>
      </c>
      <c r="B10762" s="1" t="str">
        <f>HYPERLINK("https://asmlis.vasa.lt/Dashboard/Served?ServiceDateFrom=2025-11-24&amp;ServiceDateTo=2025-11-24&amp;DumpsterInvNr=13-L-225255", "13-L-225255")</f>
        <v>13-L-225255</v>
      </c>
      <c r="C10762">
        <v>0.24</v>
      </c>
      <c r="D10762" t="s">
        <v>14342</v>
      </c>
      <c r="E10762" t="s">
        <v>11</v>
      </c>
      <c r="G10762" t="s">
        <v>936</v>
      </c>
      <c r="H10762" t="s">
        <v>938</v>
      </c>
    </row>
    <row r="10763" spans="1:8" hidden="1" x14ac:dyDescent="0.25">
      <c r="A10763" t="s">
        <v>14172</v>
      </c>
      <c r="B10763" s="1" t="str">
        <f>HYPERLINK("https://asmlis.vasa.lt/Dashboard/Served?ServiceDateFrom=2025-11-24&amp;ServiceDateTo=2025-11-24&amp;DumpsterInvNr=13-L-304381", "13-L-304381")</f>
        <v>13-L-304381</v>
      </c>
      <c r="C10763">
        <v>5</v>
      </c>
      <c r="D10763" t="s">
        <v>12949</v>
      </c>
      <c r="E10763" t="s">
        <v>11</v>
      </c>
      <c r="F10763" t="s">
        <v>13</v>
      </c>
      <c r="G10763" t="s">
        <v>9</v>
      </c>
      <c r="H10763" t="s">
        <v>14</v>
      </c>
    </row>
    <row r="10764" spans="1:8" hidden="1" x14ac:dyDescent="0.25">
      <c r="A10764" t="s">
        <v>14172</v>
      </c>
      <c r="B10764" s="1" t="str">
        <f>HYPERLINK("https://asmlis.vasa.lt/Dashboard/Served?ServiceDateFrom=2025-11-24&amp;ServiceDateTo=2025-11-24&amp;DumpsterInvNr=13-S-207137", "13-S-207137")</f>
        <v>13-S-207137</v>
      </c>
      <c r="C10764">
        <v>0.12</v>
      </c>
      <c r="D10764" t="s">
        <v>12430</v>
      </c>
      <c r="E10764" t="s">
        <v>11</v>
      </c>
      <c r="F10764" t="s">
        <v>1209</v>
      </c>
      <c r="G10764" t="s">
        <v>234</v>
      </c>
      <c r="H10764" t="s">
        <v>14</v>
      </c>
    </row>
    <row r="10765" spans="1:8" hidden="1" x14ac:dyDescent="0.25">
      <c r="A10765" t="s">
        <v>14182</v>
      </c>
      <c r="B10765" s="1" t="str">
        <f>HYPERLINK("https://asmlis.vasa.lt/Dashboard/Served?ServiceDateFrom=2025-11-24&amp;ServiceDateTo=2025-11-24&amp;DumpsterInvNr=13-P-101156", "13-P-101156")</f>
        <v>13-P-101156</v>
      </c>
      <c r="C10765">
        <v>0.24</v>
      </c>
      <c r="D10765" t="s">
        <v>14326</v>
      </c>
      <c r="E10765" t="s">
        <v>11</v>
      </c>
      <c r="F10765" t="s">
        <v>1209</v>
      </c>
      <c r="G10765" t="s">
        <v>1917</v>
      </c>
      <c r="H10765" t="s">
        <v>432</v>
      </c>
    </row>
    <row r="10766" spans="1:8" hidden="1" x14ac:dyDescent="0.25">
      <c r="A10766" t="s">
        <v>14190</v>
      </c>
      <c r="B10766" s="1" t="str">
        <f>HYPERLINK("https://asmlis.vasa.lt/Dashboard/Served?ServiceDateFrom=2025-11-24&amp;ServiceDateTo=2025-11-24&amp;DumpsterInvNr=13-S-102431", "13-S-102431")</f>
        <v>13-S-102431</v>
      </c>
      <c r="C10766">
        <v>0.12</v>
      </c>
      <c r="D10766" t="s">
        <v>14326</v>
      </c>
      <c r="E10766" t="s">
        <v>11</v>
      </c>
      <c r="F10766" t="s">
        <v>1209</v>
      </c>
      <c r="G10766" t="s">
        <v>1917</v>
      </c>
      <c r="H10766" t="s">
        <v>432</v>
      </c>
    </row>
    <row r="10767" spans="1:8" hidden="1" x14ac:dyDescent="0.25">
      <c r="A10767" t="s">
        <v>14195</v>
      </c>
      <c r="B10767" s="1" t="str">
        <f>HYPERLINK("https://asmlis.vasa.lt/Dashboard/Served?ServiceDateFrom=2025-11-24&amp;ServiceDateTo=2025-11-24&amp;DumpsterInvNr=13-L-420201", "13-L-420201")</f>
        <v>13-L-420201</v>
      </c>
      <c r="C10767">
        <v>5</v>
      </c>
      <c r="D10767" t="s">
        <v>3555</v>
      </c>
      <c r="E10767" t="s">
        <v>11</v>
      </c>
      <c r="F10767" t="s">
        <v>13</v>
      </c>
      <c r="G10767" t="s">
        <v>74</v>
      </c>
      <c r="H10767" t="s">
        <v>14</v>
      </c>
    </row>
    <row r="10768" spans="1:8" hidden="1" x14ac:dyDescent="0.25">
      <c r="A10768" t="s">
        <v>14195</v>
      </c>
      <c r="B10768" s="1" t="str">
        <f>HYPERLINK("https://asmlis.vasa.lt/Dashboard/Served?ServiceDateFrom=2025-11-24&amp;ServiceDateTo=2025-11-24&amp;DumpsterInvNr=13-L-424565", "13-L-424565")</f>
        <v>13-L-424565</v>
      </c>
      <c r="C10768">
        <v>0.24</v>
      </c>
      <c r="D10768" t="s">
        <v>10101</v>
      </c>
      <c r="E10768" t="s">
        <v>11</v>
      </c>
      <c r="F10768" t="s">
        <v>1209</v>
      </c>
      <c r="G10768" t="s">
        <v>74</v>
      </c>
      <c r="H10768" t="s">
        <v>14</v>
      </c>
    </row>
    <row r="10769" spans="1:8" hidden="1" x14ac:dyDescent="0.25">
      <c r="A10769" t="s">
        <v>14102</v>
      </c>
      <c r="B10769" s="1" t="str">
        <f>HYPERLINK("https://asmlis.vasa.lt/Dashboard/Served?ServiceDateFrom=2025-11-24&amp;ServiceDateTo=2025-11-24&amp;DumpsterInvNr=13-P-206385", "13-P-206385")</f>
        <v>13-P-206385</v>
      </c>
      <c r="C10769">
        <v>0.24</v>
      </c>
      <c r="D10769" t="s">
        <v>12424</v>
      </c>
      <c r="E10769" t="s">
        <v>11</v>
      </c>
      <c r="G10769" t="s">
        <v>234</v>
      </c>
      <c r="H10769" t="s">
        <v>14</v>
      </c>
    </row>
    <row r="10770" spans="1:8" hidden="1" x14ac:dyDescent="0.25">
      <c r="A10770" t="s">
        <v>14164</v>
      </c>
      <c r="B10770" s="1" t="str">
        <f>HYPERLINK("https://asmlis.vasa.lt/Dashboard/Served?ServiceDateFrom=2025-11-24&amp;ServiceDateTo=2025-11-24&amp;DumpsterInvNr=13-L-138145", "13-L-138145")</f>
        <v>13-L-138145</v>
      </c>
      <c r="C10770">
        <v>0.77</v>
      </c>
      <c r="D10770" t="s">
        <v>14346</v>
      </c>
      <c r="E10770" t="s">
        <v>11</v>
      </c>
      <c r="G10770" t="s">
        <v>1912</v>
      </c>
      <c r="H10770" t="s">
        <v>432</v>
      </c>
    </row>
    <row r="10771" spans="1:8" hidden="1" x14ac:dyDescent="0.25">
      <c r="A10771" t="s">
        <v>14287</v>
      </c>
      <c r="B10771" s="1" t="str">
        <f>HYPERLINK("https://asmlis.vasa.lt/Dashboard/Served?ServiceDateFrom=2025-11-24&amp;ServiceDateTo=2025-11-24&amp;DumpsterInvNr=13-L-422027", "13-L-422027")</f>
        <v>13-L-422027</v>
      </c>
      <c r="C10771">
        <v>5</v>
      </c>
      <c r="D10771" t="s">
        <v>14347</v>
      </c>
      <c r="E10771" t="s">
        <v>11</v>
      </c>
      <c r="F10771" t="s">
        <v>13</v>
      </c>
      <c r="G10771" t="s">
        <v>74</v>
      </c>
      <c r="H10771" t="s">
        <v>14</v>
      </c>
    </row>
    <row r="10772" spans="1:8" hidden="1" x14ac:dyDescent="0.25">
      <c r="A10772" t="s">
        <v>14209</v>
      </c>
      <c r="B10772" s="1" t="str">
        <f>HYPERLINK("https://asmlis.vasa.lt/Dashboard/Served?ServiceDateFrom=2025-11-24&amp;ServiceDateTo=2025-11-24&amp;DumpsterInvNr=13-L-102628", "13-L-102628")</f>
        <v>13-L-102628</v>
      </c>
      <c r="C10772">
        <v>1.1000000000000001</v>
      </c>
      <c r="D10772" t="s">
        <v>5617</v>
      </c>
      <c r="E10772" t="s">
        <v>11</v>
      </c>
      <c r="F10772" t="s">
        <v>13</v>
      </c>
      <c r="G10772" t="s">
        <v>1912</v>
      </c>
      <c r="H10772" t="s">
        <v>432</v>
      </c>
    </row>
    <row r="10773" spans="1:8" hidden="1" x14ac:dyDescent="0.25">
      <c r="A10773" t="s">
        <v>14348</v>
      </c>
      <c r="B10773" s="1" t="str">
        <f>HYPERLINK("https://asmlis.vasa.lt/Dashboard/Served?ServiceDateFrom=2025-11-24&amp;ServiceDateTo=2025-11-24&amp;DumpsterInvNr=13-P-302642", "13-P-302642")</f>
        <v>13-P-302642</v>
      </c>
      <c r="C10773">
        <v>3</v>
      </c>
      <c r="D10773" t="s">
        <v>5235</v>
      </c>
      <c r="E10773" t="s">
        <v>11</v>
      </c>
      <c r="G10773" t="s">
        <v>412</v>
      </c>
      <c r="H10773" t="s">
        <v>14</v>
      </c>
    </row>
    <row r="10774" spans="1:8" hidden="1" x14ac:dyDescent="0.25">
      <c r="A10774" t="s">
        <v>14348</v>
      </c>
      <c r="B10774" s="1" t="str">
        <f>HYPERLINK("https://asmlis.vasa.lt/Dashboard/Served?ServiceDateFrom=2025-11-24&amp;ServiceDateTo=2025-11-24&amp;DumpsterInvNr=13-L-140943", "13-L-140943")</f>
        <v>13-L-140943</v>
      </c>
      <c r="C10774">
        <v>0.24</v>
      </c>
      <c r="D10774" t="s">
        <v>14349</v>
      </c>
      <c r="E10774" t="s">
        <v>11</v>
      </c>
      <c r="G10774" t="s">
        <v>1912</v>
      </c>
      <c r="H10774" t="s">
        <v>432</v>
      </c>
    </row>
    <row r="10775" spans="1:8" hidden="1" x14ac:dyDescent="0.25">
      <c r="A10775" t="s">
        <v>14350</v>
      </c>
      <c r="B10775" s="1" t="str">
        <f>HYPERLINK("https://asmlis.vasa.lt/Dashboard/Served?ServiceDateFrom=2025-11-24&amp;ServiceDateTo=2025-11-24&amp;DumpsterInvNr=13-P-101182", "13-P-101182")</f>
        <v>13-P-101182</v>
      </c>
      <c r="C10775">
        <v>0.24</v>
      </c>
      <c r="D10775" t="s">
        <v>14349</v>
      </c>
      <c r="E10775" t="s">
        <v>11</v>
      </c>
      <c r="G10775" t="s">
        <v>1917</v>
      </c>
      <c r="H10775" t="s">
        <v>432</v>
      </c>
    </row>
    <row r="10776" spans="1:8" hidden="1" x14ac:dyDescent="0.25">
      <c r="A10776" t="s">
        <v>14350</v>
      </c>
      <c r="B10776" s="1" t="str">
        <f>HYPERLINK("https://asmlis.vasa.lt/Dashboard/Served?ServiceDateFrom=2025-11-24&amp;ServiceDateTo=2025-11-24&amp;DumpsterInvNr=13-P-206254", "13-P-206254")</f>
        <v>13-P-206254</v>
      </c>
      <c r="C10776">
        <v>0.24</v>
      </c>
      <c r="D10776" t="s">
        <v>12402</v>
      </c>
      <c r="E10776" t="s">
        <v>11</v>
      </c>
      <c r="G10776" t="s">
        <v>234</v>
      </c>
      <c r="H10776" t="s">
        <v>14</v>
      </c>
    </row>
    <row r="10777" spans="1:8" hidden="1" x14ac:dyDescent="0.25">
      <c r="A10777" t="s">
        <v>14115</v>
      </c>
      <c r="B10777" s="1" t="str">
        <f>HYPERLINK("https://asmlis.vasa.lt/Dashboard/Served?ServiceDateFrom=2025-11-24&amp;ServiceDateTo=2025-11-24&amp;DumpsterInvNr=13-L-135788", "13-L-135788")</f>
        <v>13-L-135788</v>
      </c>
      <c r="C10777">
        <v>0.24</v>
      </c>
      <c r="D10777" t="s">
        <v>14352</v>
      </c>
      <c r="E10777" t="s">
        <v>11</v>
      </c>
      <c r="G10777" t="s">
        <v>430</v>
      </c>
      <c r="H10777" t="s">
        <v>432</v>
      </c>
    </row>
    <row r="10778" spans="1:8" hidden="1" x14ac:dyDescent="0.25">
      <c r="A10778" t="s">
        <v>14115</v>
      </c>
      <c r="B10778" s="1" t="str">
        <f>HYPERLINK("https://asmlis.vasa.lt/Dashboard/Served?ServiceDateFrom=2025-11-24&amp;ServiceDateTo=2025-11-24&amp;DumpsterInvNr=13-L-109816", "13-L-109816")</f>
        <v>13-L-109816</v>
      </c>
      <c r="C10778">
        <v>0.12</v>
      </c>
      <c r="D10778" t="s">
        <v>14353</v>
      </c>
      <c r="E10778" t="s">
        <v>11</v>
      </c>
      <c r="G10778" t="s">
        <v>430</v>
      </c>
      <c r="H10778" t="s">
        <v>432</v>
      </c>
    </row>
    <row r="10779" spans="1:8" hidden="1" x14ac:dyDescent="0.25">
      <c r="A10779" t="s">
        <v>14115</v>
      </c>
      <c r="B10779" s="1" t="str">
        <f>HYPERLINK("https://asmlis.vasa.lt/Dashboard/Served?ServiceDateFrom=2025-11-24&amp;ServiceDateTo=2025-11-24&amp;DumpsterInvNr=13-L-109815", "13-L-109815")</f>
        <v>13-L-109815</v>
      </c>
      <c r="C10779">
        <v>0.24</v>
      </c>
      <c r="D10779" t="s">
        <v>14354</v>
      </c>
      <c r="E10779" t="s">
        <v>11</v>
      </c>
      <c r="G10779" t="s">
        <v>430</v>
      </c>
      <c r="H10779" t="s">
        <v>432</v>
      </c>
    </row>
    <row r="10780" spans="1:8" hidden="1" x14ac:dyDescent="0.25">
      <c r="A10780" t="s">
        <v>14115</v>
      </c>
      <c r="B10780" s="1" t="str">
        <f>HYPERLINK("https://asmlis.vasa.lt/Dashboard/Served?ServiceDateFrom=2025-11-24&amp;ServiceDateTo=2025-11-24&amp;DumpsterInvNr=13-P-503067", "13-P-503067")</f>
        <v>13-P-503067</v>
      </c>
      <c r="C10780">
        <v>0.24</v>
      </c>
      <c r="D10780" t="s">
        <v>14354</v>
      </c>
      <c r="E10780" t="s">
        <v>11</v>
      </c>
      <c r="G10780" t="s">
        <v>2178</v>
      </c>
      <c r="H10780" t="s">
        <v>432</v>
      </c>
    </row>
    <row r="10781" spans="1:8" hidden="1" x14ac:dyDescent="0.25">
      <c r="A10781" t="s">
        <v>14115</v>
      </c>
      <c r="B10781" s="1" t="str">
        <f>HYPERLINK("https://asmlis.vasa.lt/Dashboard/Served?ServiceDateFrom=2025-11-24&amp;ServiceDateTo=2025-11-24&amp;DumpsterInvNr=13-P-502727", "13-P-502727")</f>
        <v>13-P-502727</v>
      </c>
      <c r="C10781">
        <v>0.24</v>
      </c>
      <c r="D10781" t="s">
        <v>14353</v>
      </c>
      <c r="E10781" t="s">
        <v>11</v>
      </c>
      <c r="G10781" t="s">
        <v>2178</v>
      </c>
      <c r="H10781" t="s">
        <v>432</v>
      </c>
    </row>
    <row r="10782" spans="1:8" hidden="1" x14ac:dyDescent="0.25">
      <c r="A10782" t="s">
        <v>14115</v>
      </c>
      <c r="B10782" s="1" t="str">
        <f>HYPERLINK("https://asmlis.vasa.lt/Dashboard/Served?ServiceDateFrom=2025-11-24&amp;ServiceDateTo=2025-11-24&amp;DumpsterInvNr=13-P-502728", "13-P-502728")</f>
        <v>13-P-502728</v>
      </c>
      <c r="C10782">
        <v>0.24</v>
      </c>
      <c r="D10782" t="s">
        <v>14352</v>
      </c>
      <c r="E10782" t="s">
        <v>11</v>
      </c>
      <c r="G10782" t="s">
        <v>2178</v>
      </c>
      <c r="H10782" t="s">
        <v>432</v>
      </c>
    </row>
    <row r="10783" spans="1:8" hidden="1" x14ac:dyDescent="0.25">
      <c r="A10783" t="s">
        <v>14355</v>
      </c>
      <c r="B10783" s="1" t="str">
        <f>HYPERLINK("https://asmlis.vasa.lt/Dashboard/Served?ServiceDateFrom=2025-11-24&amp;ServiceDateTo=2025-11-24&amp;DumpsterInvNr=13-L-109813", "13-L-109813")</f>
        <v>13-L-109813</v>
      </c>
      <c r="C10783">
        <v>0.12</v>
      </c>
      <c r="D10783" t="s">
        <v>14356</v>
      </c>
      <c r="E10783" t="s">
        <v>11</v>
      </c>
      <c r="G10783" t="s">
        <v>430</v>
      </c>
      <c r="H10783" t="s">
        <v>432</v>
      </c>
    </row>
    <row r="10784" spans="1:8" hidden="1" x14ac:dyDescent="0.25">
      <c r="A10784" t="s">
        <v>14355</v>
      </c>
      <c r="B10784" s="1" t="str">
        <f>HYPERLINK("https://asmlis.vasa.lt/Dashboard/Served?ServiceDateFrom=2025-11-24&amp;ServiceDateTo=2025-11-24&amp;DumpsterInvNr=13-P-509113", "13-P-509113")</f>
        <v>13-P-509113</v>
      </c>
      <c r="C10784">
        <v>0.24</v>
      </c>
      <c r="D10784" t="s">
        <v>14357</v>
      </c>
      <c r="E10784" t="s">
        <v>11</v>
      </c>
      <c r="G10784" t="s">
        <v>2178</v>
      </c>
      <c r="H10784" t="s">
        <v>432</v>
      </c>
    </row>
    <row r="10785" spans="1:8" hidden="1" x14ac:dyDescent="0.25">
      <c r="A10785" t="s">
        <v>14355</v>
      </c>
      <c r="B10785" s="1" t="str">
        <f>HYPERLINK("https://asmlis.vasa.lt/Dashboard/Served?ServiceDateFrom=2025-11-24&amp;ServiceDateTo=2025-11-24&amp;DumpsterInvNr=13-P-508452", "13-P-508452")</f>
        <v>13-P-508452</v>
      </c>
      <c r="C10785">
        <v>0.12</v>
      </c>
      <c r="D10785" t="s">
        <v>14356</v>
      </c>
      <c r="E10785" t="s">
        <v>11</v>
      </c>
      <c r="G10785" t="s">
        <v>2178</v>
      </c>
      <c r="H10785" t="s">
        <v>432</v>
      </c>
    </row>
    <row r="10786" spans="1:8" hidden="1" x14ac:dyDescent="0.25">
      <c r="A10786" t="s">
        <v>14359</v>
      </c>
      <c r="B10786" s="1" t="str">
        <f>HYPERLINK("https://asmlis.vasa.lt/Dashboard/Served?ServiceDateFrom=2025-11-24&amp;ServiceDateTo=2025-11-24&amp;DumpsterInvNr=13-L-109814", "13-L-109814")</f>
        <v>13-L-109814</v>
      </c>
      <c r="C10786">
        <v>0.24</v>
      </c>
      <c r="D10786" t="s">
        <v>14357</v>
      </c>
      <c r="E10786" t="s">
        <v>11</v>
      </c>
      <c r="G10786" t="s">
        <v>430</v>
      </c>
      <c r="H10786" t="s">
        <v>432</v>
      </c>
    </row>
    <row r="10787" spans="1:8" hidden="1" x14ac:dyDescent="0.25">
      <c r="A10787" t="s">
        <v>14359</v>
      </c>
      <c r="B10787" s="1" t="str">
        <f>HYPERLINK("https://asmlis.vasa.lt/Dashboard/Served?ServiceDateFrom=2025-11-24&amp;ServiceDateTo=2025-11-24&amp;DumpsterInvNr=13-L-301930", "13-L-301930")</f>
        <v>13-L-301930</v>
      </c>
      <c r="C10787">
        <v>0.12</v>
      </c>
      <c r="D10787" t="s">
        <v>14360</v>
      </c>
      <c r="E10787" t="s">
        <v>11</v>
      </c>
      <c r="F10787" t="s">
        <v>1209</v>
      </c>
      <c r="G10787" t="s">
        <v>9</v>
      </c>
      <c r="H10787" t="s">
        <v>14</v>
      </c>
    </row>
    <row r="10788" spans="1:8" hidden="1" x14ac:dyDescent="0.25">
      <c r="A10788" t="s">
        <v>14359</v>
      </c>
      <c r="B10788" s="1" t="str">
        <f>HYPERLINK("https://asmlis.vasa.lt/Dashboard/Served?ServiceDateFrom=2025-11-24&amp;ServiceDateTo=2025-11-24&amp;DumpsterInvNr=13-S-205726", "13-S-205726")</f>
        <v>13-S-205726</v>
      </c>
      <c r="C10788">
        <v>0.12</v>
      </c>
      <c r="D10788" t="s">
        <v>12402</v>
      </c>
      <c r="E10788" t="s">
        <v>11</v>
      </c>
      <c r="G10788" t="s">
        <v>234</v>
      </c>
      <c r="H10788" t="s">
        <v>14</v>
      </c>
    </row>
    <row r="10789" spans="1:8" hidden="1" x14ac:dyDescent="0.25">
      <c r="A10789" t="s">
        <v>14361</v>
      </c>
      <c r="B10789" s="1" t="str">
        <f>HYPERLINK("https://asmlis.vasa.lt/Dashboard/Served?ServiceDateFrom=2025-11-24&amp;ServiceDateTo=2025-11-24&amp;DumpsterInvNr=13-L-415992", "13-L-415992")</f>
        <v>13-L-415992</v>
      </c>
      <c r="C10789">
        <v>0.24</v>
      </c>
      <c r="D10789" t="s">
        <v>14362</v>
      </c>
      <c r="E10789" t="s">
        <v>11</v>
      </c>
      <c r="G10789" t="s">
        <v>74</v>
      </c>
      <c r="H10789" t="s">
        <v>14</v>
      </c>
    </row>
    <row r="10790" spans="1:8" hidden="1" x14ac:dyDescent="0.25">
      <c r="A10790" t="s">
        <v>14363</v>
      </c>
      <c r="B10790" s="1" t="str">
        <f>HYPERLINK("https://asmlis.vasa.lt/Dashboard/Served?ServiceDateFrom=2025-11-24&amp;ServiceDateTo=2025-11-24&amp;DumpsterInvNr=13-L-219070", "13-L-219070")</f>
        <v>13-L-219070</v>
      </c>
      <c r="C10790">
        <v>0.77</v>
      </c>
      <c r="D10790" t="s">
        <v>14364</v>
      </c>
      <c r="E10790" t="s">
        <v>11</v>
      </c>
      <c r="F10790" t="s">
        <v>13</v>
      </c>
      <c r="G10790" t="s">
        <v>936</v>
      </c>
      <c r="H10790" t="s">
        <v>938</v>
      </c>
    </row>
    <row r="10791" spans="1:8" hidden="1" x14ac:dyDescent="0.25">
      <c r="A10791" t="s">
        <v>14363</v>
      </c>
      <c r="B10791" s="1" t="str">
        <f>HYPERLINK("https://asmlis.vasa.lt/Dashboard/Served?ServiceDateFrom=2025-11-24&amp;ServiceDateTo=2025-11-24&amp;DumpsterInvNr=13-P-508453", "13-P-508453")</f>
        <v>13-P-508453</v>
      </c>
      <c r="C10791">
        <v>0.12</v>
      </c>
      <c r="D10791" t="s">
        <v>14356</v>
      </c>
      <c r="E10791" t="s">
        <v>11</v>
      </c>
      <c r="G10791" t="s">
        <v>2178</v>
      </c>
      <c r="H10791" t="s">
        <v>432</v>
      </c>
    </row>
    <row r="10792" spans="1:8" hidden="1" x14ac:dyDescent="0.25">
      <c r="A10792" t="s">
        <v>14365</v>
      </c>
      <c r="B10792" s="1" t="str">
        <f>HYPERLINK("https://asmlis.vasa.lt/Dashboard/Served?ServiceDateFrom=2025-11-24&amp;ServiceDateTo=2025-11-24&amp;DumpsterInvNr=13-L-212190", "13-L-212190")</f>
        <v>13-L-212190</v>
      </c>
      <c r="C10792">
        <v>0.24</v>
      </c>
      <c r="D10792" t="s">
        <v>14366</v>
      </c>
      <c r="E10792" t="s">
        <v>11</v>
      </c>
      <c r="G10792" t="s">
        <v>936</v>
      </c>
      <c r="H10792" t="s">
        <v>938</v>
      </c>
    </row>
    <row r="10793" spans="1:8" hidden="1" x14ac:dyDescent="0.25">
      <c r="A10793" t="s">
        <v>14367</v>
      </c>
      <c r="B10793" s="1" t="str">
        <f>HYPERLINK("https://asmlis.vasa.lt/Dashboard/Served?ServiceDateFrom=2025-11-24&amp;ServiceDateTo=2025-11-24&amp;DumpsterInvNr=13-L-427053", "13-L-427053")</f>
        <v>13-L-427053</v>
      </c>
      <c r="C10793">
        <v>0.24</v>
      </c>
      <c r="D10793" t="s">
        <v>10103</v>
      </c>
      <c r="E10793" t="s">
        <v>11</v>
      </c>
      <c r="F10793" t="s">
        <v>1209</v>
      </c>
      <c r="G10793" t="s">
        <v>74</v>
      </c>
      <c r="H10793" t="s">
        <v>14</v>
      </c>
    </row>
    <row r="10794" spans="1:8" hidden="1" x14ac:dyDescent="0.25">
      <c r="A10794" t="s">
        <v>14368</v>
      </c>
      <c r="B10794" s="1" t="str">
        <f>HYPERLINK("https://asmlis.vasa.lt/Dashboard/Served?ServiceDateFrom=2025-11-24&amp;ServiceDateTo=2025-11-24&amp;DumpsterInvNr=13-L-203492", "13-L-203492")</f>
        <v>13-L-203492</v>
      </c>
      <c r="C10794">
        <v>0.24</v>
      </c>
      <c r="D10794" t="s">
        <v>14369</v>
      </c>
      <c r="E10794" t="s">
        <v>11</v>
      </c>
      <c r="G10794" t="s">
        <v>936</v>
      </c>
      <c r="H10794" t="s">
        <v>938</v>
      </c>
    </row>
    <row r="10795" spans="1:8" hidden="1" x14ac:dyDescent="0.25">
      <c r="A10795" t="s">
        <v>14370</v>
      </c>
      <c r="B10795" s="1" t="str">
        <f>HYPERLINK("https://asmlis.vasa.lt/Dashboard/Served?ServiceDateFrom=2025-11-24&amp;ServiceDateTo=2025-11-24&amp;DumpsterInvNr=13-L-412725", "13-L-412725")</f>
        <v>13-L-412725</v>
      </c>
      <c r="C10795">
        <v>0.24</v>
      </c>
      <c r="D10795" t="s">
        <v>10099</v>
      </c>
      <c r="E10795" t="s">
        <v>11</v>
      </c>
      <c r="F10795" t="s">
        <v>1209</v>
      </c>
      <c r="G10795" t="s">
        <v>74</v>
      </c>
      <c r="H10795" t="s">
        <v>14</v>
      </c>
    </row>
    <row r="10796" spans="1:8" hidden="1" x14ac:dyDescent="0.25">
      <c r="A10796" t="s">
        <v>14370</v>
      </c>
      <c r="B10796" s="1" t="str">
        <f>HYPERLINK("https://asmlis.vasa.lt/Dashboard/Served?ServiceDateFrom=2025-11-24&amp;ServiceDateTo=2025-11-24&amp;DumpsterInvNr=13-P-212564", "13-P-212564")</f>
        <v>13-P-212564</v>
      </c>
      <c r="C10796">
        <v>0.24</v>
      </c>
      <c r="D10796" t="s">
        <v>12430</v>
      </c>
      <c r="E10796" t="s">
        <v>11</v>
      </c>
      <c r="F10796" t="s">
        <v>1209</v>
      </c>
      <c r="G10796" t="s">
        <v>234</v>
      </c>
      <c r="H10796" t="s">
        <v>14</v>
      </c>
    </row>
    <row r="10797" spans="1:8" hidden="1" x14ac:dyDescent="0.25">
      <c r="A10797" t="s">
        <v>14372</v>
      </c>
      <c r="B10797" s="1" t="str">
        <f>HYPERLINK("https://asmlis.vasa.lt/Dashboard/Served?ServiceDateFrom=2025-11-24&amp;ServiceDateTo=2025-11-24&amp;DumpsterInvNr=13-P-101181", "13-P-101181")</f>
        <v>13-P-101181</v>
      </c>
      <c r="C10797">
        <v>0.12</v>
      </c>
      <c r="D10797" t="s">
        <v>14373</v>
      </c>
      <c r="E10797" t="s">
        <v>11</v>
      </c>
      <c r="G10797" t="s">
        <v>1917</v>
      </c>
      <c r="H10797" t="s">
        <v>432</v>
      </c>
    </row>
    <row r="10798" spans="1:8" hidden="1" x14ac:dyDescent="0.25">
      <c r="A10798" t="s">
        <v>14372</v>
      </c>
      <c r="B10798" s="1" t="str">
        <f>HYPERLINK("https://asmlis.vasa.lt/Dashboard/Served?ServiceDateFrom=2025-11-24&amp;ServiceDateTo=2025-11-24&amp;DumpsterInvNr=13-L-134787", "13-L-134787")</f>
        <v>13-L-134787</v>
      </c>
      <c r="C10798">
        <v>5</v>
      </c>
      <c r="D10798" t="s">
        <v>8309</v>
      </c>
      <c r="E10798" t="s">
        <v>11</v>
      </c>
      <c r="F10798" t="s">
        <v>13</v>
      </c>
      <c r="G10798" t="s">
        <v>430</v>
      </c>
      <c r="H10798" t="s">
        <v>432</v>
      </c>
    </row>
    <row r="10799" spans="1:8" hidden="1" x14ac:dyDescent="0.25">
      <c r="A10799" t="s">
        <v>14374</v>
      </c>
      <c r="B10799" s="1" t="str">
        <f>HYPERLINK("https://asmlis.vasa.lt/Dashboard/Served?ServiceDateFrom=2025-11-24&amp;ServiceDateTo=2025-11-24&amp;DumpsterInvNr=13-P-212736", "13-P-212736")</f>
        <v>13-P-212736</v>
      </c>
      <c r="C10799">
        <v>1.1000000000000001</v>
      </c>
      <c r="D10799" t="s">
        <v>14375</v>
      </c>
      <c r="E10799" t="s">
        <v>11</v>
      </c>
      <c r="F10799" t="s">
        <v>13</v>
      </c>
      <c r="G10799" t="s">
        <v>234</v>
      </c>
      <c r="H10799" t="s">
        <v>14</v>
      </c>
    </row>
    <row r="10800" spans="1:8" hidden="1" x14ac:dyDescent="0.25">
      <c r="A10800" t="s">
        <v>14376</v>
      </c>
      <c r="B10800" s="1" t="str">
        <f>HYPERLINK("https://asmlis.vasa.lt/Dashboard/Served?ServiceDateFrom=2025-11-24&amp;ServiceDateTo=2025-11-24&amp;DumpsterInvNr=13-L-404395", "13-L-404395")</f>
        <v>13-L-404395</v>
      </c>
      <c r="C10800">
        <v>0.24</v>
      </c>
      <c r="D10800" t="s">
        <v>10086</v>
      </c>
      <c r="E10800" t="s">
        <v>11</v>
      </c>
      <c r="F10800" t="s">
        <v>1209</v>
      </c>
      <c r="G10800" t="s">
        <v>74</v>
      </c>
      <c r="H10800" t="s">
        <v>14</v>
      </c>
    </row>
    <row r="10801" spans="1:8" hidden="1" x14ac:dyDescent="0.25">
      <c r="A10801" t="s">
        <v>14376</v>
      </c>
      <c r="B10801" s="1" t="str">
        <f>HYPERLINK("https://asmlis.vasa.lt/Dashboard/Served?ServiceDateFrom=2025-11-24&amp;ServiceDateTo=2025-11-24&amp;DumpsterInvNr=13-S-205619", "13-S-205619")</f>
        <v>13-S-205619</v>
      </c>
      <c r="C10801">
        <v>0.12</v>
      </c>
      <c r="D10801" t="s">
        <v>12424</v>
      </c>
      <c r="E10801" t="s">
        <v>11</v>
      </c>
      <c r="F10801" t="s">
        <v>1209</v>
      </c>
      <c r="G10801" t="s">
        <v>234</v>
      </c>
      <c r="H10801" t="s">
        <v>14</v>
      </c>
    </row>
    <row r="10802" spans="1:8" hidden="1" x14ac:dyDescent="0.25">
      <c r="A10802" t="s">
        <v>14377</v>
      </c>
      <c r="B10802" s="1" t="str">
        <f>HYPERLINK("https://asmlis.vasa.lt/Dashboard/Served?ServiceDateFrom=2025-11-24&amp;ServiceDateTo=2025-11-24&amp;DumpsterInvNr=13-P-500241", "13-P-500241")</f>
        <v>13-P-500241</v>
      </c>
      <c r="C10802">
        <v>3</v>
      </c>
      <c r="D10802" t="s">
        <v>14298</v>
      </c>
      <c r="E10802" t="s">
        <v>11</v>
      </c>
      <c r="F10802" t="s">
        <v>13</v>
      </c>
      <c r="G10802" t="s">
        <v>2178</v>
      </c>
      <c r="H10802" t="s">
        <v>432</v>
      </c>
    </row>
    <row r="10803" spans="1:8" hidden="1" x14ac:dyDescent="0.25">
      <c r="A10803" t="s">
        <v>14378</v>
      </c>
      <c r="B10803" s="1" t="str">
        <f>HYPERLINK("https://asmlis.vasa.lt/Dashboard/Served?ServiceDateFrom=2025-11-24&amp;ServiceDateTo=2025-11-24&amp;DumpsterInvNr=13-L-139285", "13-L-139285")</f>
        <v>13-L-139285</v>
      </c>
      <c r="C10803">
        <v>1.1000000000000001</v>
      </c>
      <c r="D10803" t="s">
        <v>14379</v>
      </c>
      <c r="E10803" t="s">
        <v>11</v>
      </c>
      <c r="G10803" t="s">
        <v>430</v>
      </c>
      <c r="H10803" t="s">
        <v>432</v>
      </c>
    </row>
    <row r="10804" spans="1:8" hidden="1" x14ac:dyDescent="0.25">
      <c r="A10804" t="s">
        <v>14380</v>
      </c>
      <c r="B10804" s="1" t="str">
        <f>HYPERLINK("https://asmlis.vasa.lt/Dashboard/Served?ServiceDateFrom=2025-11-24&amp;ServiceDateTo=2025-11-24&amp;DumpsterInvNr=13-L-223089", "13-L-223089")</f>
        <v>13-L-223089</v>
      </c>
      <c r="C10804">
        <v>5</v>
      </c>
      <c r="D10804" t="s">
        <v>14381</v>
      </c>
      <c r="E10804" t="s">
        <v>11</v>
      </c>
      <c r="F10804" t="s">
        <v>13</v>
      </c>
      <c r="G10804" t="s">
        <v>936</v>
      </c>
      <c r="H10804" t="s">
        <v>938</v>
      </c>
    </row>
    <row r="10805" spans="1:8" hidden="1" x14ac:dyDescent="0.25">
      <c r="A10805" t="s">
        <v>14380</v>
      </c>
      <c r="B10805" s="1" t="str">
        <f>HYPERLINK("https://asmlis.vasa.lt/Dashboard/Served?ServiceDateFrom=2025-11-24&amp;ServiceDateTo=2025-11-24&amp;DumpsterInvNr=13-S-205618", "13-S-205618")</f>
        <v>13-S-205618</v>
      </c>
      <c r="C10805">
        <v>0.12</v>
      </c>
      <c r="D10805" t="s">
        <v>12396</v>
      </c>
      <c r="E10805" t="s">
        <v>11</v>
      </c>
      <c r="F10805" t="s">
        <v>1209</v>
      </c>
      <c r="G10805" t="s">
        <v>234</v>
      </c>
      <c r="H10805" t="s">
        <v>14</v>
      </c>
    </row>
    <row r="10806" spans="1:8" hidden="1" x14ac:dyDescent="0.25">
      <c r="A10806" t="s">
        <v>14382</v>
      </c>
      <c r="B10806" s="1" t="str">
        <f>HYPERLINK("https://asmlis.vasa.lt/Dashboard/Served?ServiceDateFrom=2025-11-24&amp;ServiceDateTo=2025-11-24&amp;DumpsterInvNr=13-L-317663", "13-L-317663")</f>
        <v>13-L-317663</v>
      </c>
      <c r="C10806">
        <v>0.77</v>
      </c>
      <c r="D10806" t="s">
        <v>14383</v>
      </c>
      <c r="E10806" t="s">
        <v>11</v>
      </c>
      <c r="G10806" t="s">
        <v>9</v>
      </c>
      <c r="H10806" t="s">
        <v>14</v>
      </c>
    </row>
    <row r="10807" spans="1:8" hidden="1" x14ac:dyDescent="0.25">
      <c r="A10807" t="s">
        <v>14382</v>
      </c>
      <c r="B10807" s="1" t="str">
        <f>HYPERLINK("https://asmlis.vasa.lt/Dashboard/Served?ServiceDateFrom=2025-11-24&amp;ServiceDateTo=2025-11-24&amp;DumpsterInvNr=13-P-304014", "13-P-304014")</f>
        <v>13-P-304014</v>
      </c>
      <c r="C10807">
        <v>3</v>
      </c>
      <c r="D10807" t="s">
        <v>619</v>
      </c>
      <c r="E10807" t="s">
        <v>11</v>
      </c>
      <c r="F10807" t="s">
        <v>13</v>
      </c>
      <c r="G10807" t="s">
        <v>412</v>
      </c>
      <c r="H10807" t="s">
        <v>14</v>
      </c>
    </row>
    <row r="10808" spans="1:8" hidden="1" x14ac:dyDescent="0.25">
      <c r="A10808" t="s">
        <v>14384</v>
      </c>
      <c r="B10808" s="1" t="str">
        <f>HYPERLINK("https://asmlis.vasa.lt/Dashboard/Served?ServiceDateFrom=2025-11-24&amp;ServiceDateTo=2025-11-24&amp;DumpsterInvNr=13-P-302381", "13-P-302381")</f>
        <v>13-P-302381</v>
      </c>
      <c r="C10808">
        <v>3</v>
      </c>
      <c r="D10808" t="s">
        <v>619</v>
      </c>
      <c r="E10808" t="s">
        <v>11</v>
      </c>
      <c r="F10808" t="s">
        <v>13</v>
      </c>
      <c r="G10808" t="s">
        <v>412</v>
      </c>
      <c r="H10808" t="s">
        <v>14</v>
      </c>
    </row>
    <row r="10809" spans="1:8" hidden="1" x14ac:dyDescent="0.25">
      <c r="A10809" t="s">
        <v>14083</v>
      </c>
      <c r="B10809" s="1" t="str">
        <f>HYPERLINK("https://asmlis.vasa.lt/Dashboard/Served?ServiceDateFrom=2025-11-24&amp;ServiceDateTo=2025-11-24&amp;DumpsterInvNr=13-L-139886", "13-L-139886")</f>
        <v>13-L-139886</v>
      </c>
      <c r="C10809">
        <v>5</v>
      </c>
      <c r="D10809" t="s">
        <v>14385</v>
      </c>
      <c r="E10809" t="s">
        <v>11</v>
      </c>
      <c r="F10809" t="s">
        <v>13</v>
      </c>
      <c r="G10809" t="s">
        <v>1912</v>
      </c>
      <c r="H10809" t="s">
        <v>432</v>
      </c>
    </row>
    <row r="10810" spans="1:8" hidden="1" x14ac:dyDescent="0.25">
      <c r="A10810" t="s">
        <v>14386</v>
      </c>
      <c r="B10810" s="1" t="str">
        <f>HYPERLINK("https://asmlis.vasa.lt/Dashboard/Served?ServiceDateFrom=2025-11-24&amp;ServiceDateTo=2025-11-24&amp;DumpsterInvNr=13-P-302383", "13-P-302383")</f>
        <v>13-P-302383</v>
      </c>
      <c r="C10810">
        <v>5</v>
      </c>
      <c r="D10810" t="s">
        <v>619</v>
      </c>
      <c r="E10810" t="s">
        <v>11</v>
      </c>
      <c r="F10810" t="s">
        <v>13</v>
      </c>
      <c r="G10810" t="s">
        <v>412</v>
      </c>
      <c r="H10810" t="s">
        <v>14</v>
      </c>
    </row>
    <row r="10811" spans="1:8" hidden="1" x14ac:dyDescent="0.25">
      <c r="A10811" t="s">
        <v>14387</v>
      </c>
      <c r="B10811" s="1" t="str">
        <f>HYPERLINK("https://asmlis.vasa.lt/Dashboard/Served?ServiceDateFrom=2025-11-24&amp;ServiceDateTo=2025-11-24&amp;DumpsterInvNr=13-L-102677", "13-L-102677")</f>
        <v>13-L-102677</v>
      </c>
      <c r="C10811">
        <v>0.12</v>
      </c>
      <c r="D10811" t="s">
        <v>14373</v>
      </c>
      <c r="E10811" t="s">
        <v>11</v>
      </c>
      <c r="G10811" t="s">
        <v>1912</v>
      </c>
      <c r="H10811" t="s">
        <v>432</v>
      </c>
    </row>
    <row r="10812" spans="1:8" hidden="1" x14ac:dyDescent="0.25">
      <c r="A10812" t="s">
        <v>14388</v>
      </c>
      <c r="B10812" s="1" t="str">
        <f>HYPERLINK("https://asmlis.vasa.lt/Dashboard/Served?ServiceDateFrom=2025-11-24&amp;ServiceDateTo=2025-11-24&amp;DumpsterInvNr=13-P-101180", "13-P-101180")</f>
        <v>13-P-101180</v>
      </c>
      <c r="C10812">
        <v>0.12</v>
      </c>
      <c r="D10812" t="s">
        <v>14373</v>
      </c>
      <c r="E10812" t="s">
        <v>11</v>
      </c>
      <c r="G10812" t="s">
        <v>1917</v>
      </c>
      <c r="H10812" t="s">
        <v>432</v>
      </c>
    </row>
    <row r="10813" spans="1:8" hidden="1" x14ac:dyDescent="0.25">
      <c r="A10813" t="s">
        <v>14389</v>
      </c>
      <c r="B10813" s="1" t="str">
        <f>HYPERLINK("https://asmlis.vasa.lt/Dashboard/Served?ServiceDateFrom=2025-11-24&amp;ServiceDateTo=2025-11-24&amp;DumpsterInvNr=13-L-420804", "13-L-420804")</f>
        <v>13-L-420804</v>
      </c>
      <c r="C10813">
        <v>5</v>
      </c>
      <c r="D10813" t="s">
        <v>3279</v>
      </c>
      <c r="E10813" t="s">
        <v>11</v>
      </c>
      <c r="F10813" t="s">
        <v>13</v>
      </c>
      <c r="G10813" t="s">
        <v>74</v>
      </c>
      <c r="H10813" t="s">
        <v>14</v>
      </c>
    </row>
    <row r="10814" spans="1:8" hidden="1" x14ac:dyDescent="0.25">
      <c r="A10814" t="s">
        <v>14389</v>
      </c>
      <c r="B10814" s="1" t="str">
        <f>HYPERLINK("https://asmlis.vasa.lt/Dashboard/Served?ServiceDateFrom=2025-11-24&amp;ServiceDateTo=2025-11-24&amp;DumpsterInvNr=13-S-500457", "13-S-500457")</f>
        <v>13-S-500457</v>
      </c>
      <c r="C10814">
        <v>0.12</v>
      </c>
      <c r="D10814" t="s">
        <v>14356</v>
      </c>
      <c r="E10814" t="s">
        <v>11</v>
      </c>
      <c r="F10814" t="s">
        <v>1209</v>
      </c>
      <c r="G10814" t="s">
        <v>2178</v>
      </c>
      <c r="H10814" t="s">
        <v>432</v>
      </c>
    </row>
    <row r="10815" spans="1:8" hidden="1" x14ac:dyDescent="0.25">
      <c r="A10815" t="s">
        <v>14390</v>
      </c>
      <c r="B10815" s="1" t="str">
        <f>HYPERLINK("https://asmlis.vasa.lt/Dashboard/Served?ServiceDateFrom=2025-11-24&amp;ServiceDateTo=2025-11-24&amp;DumpsterInvNr=13-S-500458", "13-S-500458")</f>
        <v>13-S-500458</v>
      </c>
      <c r="C10815">
        <v>0.12</v>
      </c>
      <c r="D10815" t="s">
        <v>14357</v>
      </c>
      <c r="E10815" t="s">
        <v>11</v>
      </c>
      <c r="F10815" t="s">
        <v>1209</v>
      </c>
      <c r="G10815" t="s">
        <v>2178</v>
      </c>
      <c r="H10815" t="s">
        <v>432</v>
      </c>
    </row>
    <row r="10816" spans="1:8" hidden="1" x14ac:dyDescent="0.25">
      <c r="A10816" t="s">
        <v>14392</v>
      </c>
      <c r="B10816" s="1" t="str">
        <f>HYPERLINK("https://asmlis.vasa.lt/Dashboard/Served?ServiceDateFrom=2025-11-24&amp;ServiceDateTo=2025-11-24&amp;DumpsterInvNr=13-S-110395", "13-S-110395")</f>
        <v>13-S-110395</v>
      </c>
      <c r="C10816">
        <v>0.12</v>
      </c>
      <c r="D10816" t="s">
        <v>14306</v>
      </c>
      <c r="E10816" t="s">
        <v>11</v>
      </c>
      <c r="F10816" t="s">
        <v>1209</v>
      </c>
      <c r="G10816" t="s">
        <v>1917</v>
      </c>
      <c r="H10816" t="s">
        <v>432</v>
      </c>
    </row>
    <row r="10817" spans="1:8" hidden="1" x14ac:dyDescent="0.25">
      <c r="A10817" t="s">
        <v>14393</v>
      </c>
      <c r="B10817" s="1" t="str">
        <f>HYPERLINK("https://asmlis.vasa.lt/Dashboard/Served?ServiceDateFrom=2025-11-24&amp;ServiceDateTo=2025-11-24&amp;DumpsterInvNr=13-P-206108", "13-P-206108")</f>
        <v>13-P-206108</v>
      </c>
      <c r="C10817">
        <v>0.24</v>
      </c>
      <c r="D10817" t="s">
        <v>12396</v>
      </c>
      <c r="E10817" t="s">
        <v>11</v>
      </c>
      <c r="G10817" t="s">
        <v>234</v>
      </c>
      <c r="H10817" t="s">
        <v>14</v>
      </c>
    </row>
    <row r="10818" spans="1:8" hidden="1" x14ac:dyDescent="0.25">
      <c r="A10818" t="s">
        <v>14394</v>
      </c>
      <c r="B10818" s="1" t="str">
        <f>HYPERLINK("https://asmlis.vasa.lt/Dashboard/Served?ServiceDateFrom=2025-11-24&amp;ServiceDateTo=2025-11-24&amp;DumpsterInvNr=13-L-139284", "13-L-139284")</f>
        <v>13-L-139284</v>
      </c>
      <c r="C10818">
        <v>1.1000000000000001</v>
      </c>
      <c r="D10818" t="s">
        <v>14379</v>
      </c>
      <c r="E10818" t="s">
        <v>11</v>
      </c>
      <c r="G10818" t="s">
        <v>430</v>
      </c>
      <c r="H10818" t="s">
        <v>432</v>
      </c>
    </row>
    <row r="10819" spans="1:8" hidden="1" x14ac:dyDescent="0.25">
      <c r="A10819" t="s">
        <v>14395</v>
      </c>
      <c r="B10819" s="1" t="str">
        <f>HYPERLINK("https://asmlis.vasa.lt/Dashboard/Served?ServiceDateFrom=2025-11-24&amp;ServiceDateTo=2025-11-24&amp;DumpsterInvNr=13-P-111291", "13-P-111291")</f>
        <v>13-P-111291</v>
      </c>
      <c r="C10819">
        <v>0.12</v>
      </c>
      <c r="D10819" t="s">
        <v>14306</v>
      </c>
      <c r="E10819" t="s">
        <v>11</v>
      </c>
      <c r="F10819" t="s">
        <v>1209</v>
      </c>
      <c r="G10819" t="s">
        <v>1917</v>
      </c>
      <c r="H10819" t="s">
        <v>432</v>
      </c>
    </row>
    <row r="10820" spans="1:8" hidden="1" x14ac:dyDescent="0.25">
      <c r="A10820" t="s">
        <v>14395</v>
      </c>
      <c r="B10820" s="1" t="str">
        <f>HYPERLINK("https://asmlis.vasa.lt/Dashboard/Served?ServiceDateFrom=2025-11-24&amp;ServiceDateTo=2025-11-24&amp;DumpsterInvNr=13-S-504971", "13-S-504971")</f>
        <v>13-S-504971</v>
      </c>
      <c r="C10820">
        <v>0.12</v>
      </c>
      <c r="D10820" t="s">
        <v>14353</v>
      </c>
      <c r="E10820" t="s">
        <v>11</v>
      </c>
      <c r="F10820" t="s">
        <v>1209</v>
      </c>
      <c r="G10820" t="s">
        <v>2178</v>
      </c>
      <c r="H10820" t="s">
        <v>432</v>
      </c>
    </row>
    <row r="10821" spans="1:8" hidden="1" x14ac:dyDescent="0.25">
      <c r="A10821" t="s">
        <v>14396</v>
      </c>
      <c r="B10821" s="1" t="str">
        <f>HYPERLINK("https://asmlis.vasa.lt/Dashboard/Served?ServiceDateFrom=2025-11-24&amp;ServiceDateTo=2025-11-24&amp;DumpsterInvNr=13-L-120431", "13-L-120431")</f>
        <v>13-L-120431</v>
      </c>
      <c r="C10821">
        <v>0.12</v>
      </c>
      <c r="D10821" t="s">
        <v>14306</v>
      </c>
      <c r="E10821" t="s">
        <v>11</v>
      </c>
      <c r="F10821" t="s">
        <v>1209</v>
      </c>
      <c r="G10821" t="s">
        <v>1912</v>
      </c>
      <c r="H10821" t="s">
        <v>432</v>
      </c>
    </row>
    <row r="10822" spans="1:8" hidden="1" x14ac:dyDescent="0.25">
      <c r="A10822" t="s">
        <v>14397</v>
      </c>
      <c r="B10822" s="1" t="str">
        <f>HYPERLINK("https://asmlis.vasa.lt/Dashboard/Served?ServiceDateFrom=2025-11-24&amp;ServiceDateTo=2025-11-24&amp;DumpsterInvNr=13-P-401173", "13-P-401173")</f>
        <v>13-P-401173</v>
      </c>
      <c r="C10822">
        <v>5</v>
      </c>
      <c r="D10822" t="s">
        <v>14398</v>
      </c>
      <c r="E10822" t="s">
        <v>11</v>
      </c>
      <c r="F10822" t="s">
        <v>13</v>
      </c>
      <c r="G10822" t="s">
        <v>264</v>
      </c>
      <c r="H10822" t="s">
        <v>14</v>
      </c>
    </row>
    <row r="10823" spans="1:8" hidden="1" x14ac:dyDescent="0.25">
      <c r="A10823" t="s">
        <v>14399</v>
      </c>
      <c r="B10823" s="1" t="str">
        <f>HYPERLINK("https://asmlis.vasa.lt/Dashboard/Served?ServiceDateFrom=2025-11-24&amp;ServiceDateTo=2025-11-24&amp;DumpsterInvNr=13-P-500734", "13-P-500734")</f>
        <v>13-P-500734</v>
      </c>
      <c r="C10823">
        <v>5</v>
      </c>
      <c r="D10823" t="s">
        <v>14400</v>
      </c>
      <c r="E10823" t="s">
        <v>11</v>
      </c>
      <c r="F10823" t="s">
        <v>13</v>
      </c>
      <c r="G10823" t="s">
        <v>2178</v>
      </c>
      <c r="H10823" t="s">
        <v>432</v>
      </c>
    </row>
    <row r="10824" spans="1:8" hidden="1" x14ac:dyDescent="0.25">
      <c r="A10824" t="s">
        <v>13899</v>
      </c>
      <c r="B10824" s="1" t="str">
        <f>HYPERLINK("https://asmlis.vasa.lt/Dashboard/Served?ServiceDateFrom=2025-11-24&amp;ServiceDateTo=2025-11-24&amp;DumpsterInvNr=13-P-500735", "13-P-500735")</f>
        <v>13-P-500735</v>
      </c>
      <c r="C10824">
        <v>5</v>
      </c>
      <c r="D10824" t="s">
        <v>14400</v>
      </c>
      <c r="E10824" t="s">
        <v>11</v>
      </c>
      <c r="F10824" t="s">
        <v>13</v>
      </c>
      <c r="G10824" t="s">
        <v>2178</v>
      </c>
      <c r="H10824" t="s">
        <v>432</v>
      </c>
    </row>
    <row r="10825" spans="1:8" hidden="1" x14ac:dyDescent="0.25">
      <c r="A10825" t="s">
        <v>14025</v>
      </c>
      <c r="B10825" s="1" t="str">
        <f>HYPERLINK("https://asmlis.vasa.lt/Dashboard/Served?ServiceDateFrom=2025-11-24&amp;ServiceDateTo=2025-11-24&amp;DumpsterInvNr=13-L-415413", "13-L-415413")</f>
        <v>13-L-415413</v>
      </c>
      <c r="C10825">
        <v>5</v>
      </c>
      <c r="D10825" t="s">
        <v>9639</v>
      </c>
      <c r="E10825" t="s">
        <v>11</v>
      </c>
      <c r="G10825" t="s">
        <v>74</v>
      </c>
      <c r="H10825" t="s">
        <v>14</v>
      </c>
    </row>
    <row r="10826" spans="1:8" hidden="1" x14ac:dyDescent="0.25">
      <c r="A10826" t="s">
        <v>14025</v>
      </c>
      <c r="B10826" s="1" t="str">
        <f>HYPERLINK("https://asmlis.vasa.lt/Dashboard/Served?ServiceDateFrom=2025-11-24&amp;ServiceDateTo=2025-11-24&amp;DumpsterInvNr=13-P-502729", "13-P-502729")</f>
        <v>13-P-502729</v>
      </c>
      <c r="C10826">
        <v>0.24</v>
      </c>
      <c r="D10826" t="s">
        <v>14401</v>
      </c>
      <c r="E10826" t="s">
        <v>11</v>
      </c>
      <c r="G10826" t="s">
        <v>2178</v>
      </c>
      <c r="H10826" t="s">
        <v>432</v>
      </c>
    </row>
    <row r="10827" spans="1:8" hidden="1" x14ac:dyDescent="0.25">
      <c r="A10827" t="s">
        <v>14335</v>
      </c>
      <c r="B10827" s="1" t="str">
        <f>HYPERLINK("https://asmlis.vasa.lt/Dashboard/Served?ServiceDateFrom=2025-11-24&amp;ServiceDateTo=2025-11-24&amp;DumpsterInvNr=13-L-313274", "13-L-313274")</f>
        <v>13-L-313274</v>
      </c>
      <c r="C10827">
        <v>0.24</v>
      </c>
      <c r="D10827" t="s">
        <v>14402</v>
      </c>
      <c r="E10827" t="s">
        <v>11</v>
      </c>
      <c r="G10827" t="s">
        <v>9</v>
      </c>
      <c r="H10827" t="s">
        <v>14</v>
      </c>
    </row>
    <row r="10828" spans="1:8" hidden="1" x14ac:dyDescent="0.25">
      <c r="A10828" t="s">
        <v>14403</v>
      </c>
      <c r="B10828" s="1" t="str">
        <f>HYPERLINK("https://asmlis.vasa.lt/Dashboard/Served?ServiceDateFrom=2025-11-24&amp;ServiceDateTo=2025-11-24&amp;DumpsterInvNr=13-P-102462", "13-P-102462")</f>
        <v>13-P-102462</v>
      </c>
      <c r="C10828">
        <v>5</v>
      </c>
      <c r="D10828" t="s">
        <v>14404</v>
      </c>
      <c r="E10828" t="s">
        <v>11</v>
      </c>
      <c r="F10828" t="s">
        <v>13</v>
      </c>
      <c r="G10828" t="s">
        <v>1917</v>
      </c>
      <c r="H10828" t="s">
        <v>432</v>
      </c>
    </row>
    <row r="10829" spans="1:8" hidden="1" x14ac:dyDescent="0.25">
      <c r="A10829" t="s">
        <v>11896</v>
      </c>
      <c r="B10829" s="1" t="str">
        <f>HYPERLINK("https://asmlis.vasa.lt/Dashboard/Served?ServiceDateFrom=2025-11-24&amp;ServiceDateTo=2025-11-24&amp;DumpsterInvNr=13-L-115215", "13-L-115215")</f>
        <v>13-L-115215</v>
      </c>
      <c r="C10829">
        <v>0.24</v>
      </c>
      <c r="D10829" t="s">
        <v>14401</v>
      </c>
      <c r="E10829" t="s">
        <v>11</v>
      </c>
      <c r="G10829" t="s">
        <v>430</v>
      </c>
      <c r="H10829" t="s">
        <v>432</v>
      </c>
    </row>
    <row r="10830" spans="1:8" hidden="1" x14ac:dyDescent="0.25">
      <c r="A10830" t="s">
        <v>14270</v>
      </c>
      <c r="B10830" s="1" t="str">
        <f>HYPERLINK("https://asmlis.vasa.lt/Dashboard/Served?ServiceDateFrom=2025-11-24&amp;ServiceDateTo=2025-11-24&amp;DumpsterInvNr=13-S-504972", "13-S-504972")</f>
        <v>13-S-504972</v>
      </c>
      <c r="C10830">
        <v>0.12</v>
      </c>
      <c r="D10830" t="s">
        <v>14401</v>
      </c>
      <c r="E10830" t="s">
        <v>11</v>
      </c>
      <c r="F10830" t="s">
        <v>1209</v>
      </c>
      <c r="G10830" t="s">
        <v>2178</v>
      </c>
      <c r="H10830" t="s">
        <v>432</v>
      </c>
    </row>
    <row r="10831" spans="1:8" hidden="1" x14ac:dyDescent="0.25">
      <c r="A10831" t="s">
        <v>14205</v>
      </c>
      <c r="B10831" s="1" t="str">
        <f>HYPERLINK("https://asmlis.vasa.lt/Dashboard/Served?ServiceDateFrom=2025-11-24&amp;ServiceDateTo=2025-11-24&amp;DumpsterInvNr=13-L-310546", "13-L-310546")</f>
        <v>13-L-310546</v>
      </c>
      <c r="C10831">
        <v>0.24</v>
      </c>
      <c r="D10831" t="s">
        <v>14402</v>
      </c>
      <c r="E10831" t="s">
        <v>11</v>
      </c>
      <c r="F10831" t="s">
        <v>13</v>
      </c>
      <c r="G10831" t="s">
        <v>9</v>
      </c>
      <c r="H10831" t="s">
        <v>14</v>
      </c>
    </row>
    <row r="10832" spans="1:8" hidden="1" x14ac:dyDescent="0.25">
      <c r="A10832" t="s">
        <v>14205</v>
      </c>
      <c r="B10832" s="1" t="str">
        <f>HYPERLINK("https://asmlis.vasa.lt/Dashboard/Served?ServiceDateFrom=2025-11-24&amp;ServiceDateTo=2025-11-24&amp;DumpsterInvNr=13-P-400644", "13-P-400644")</f>
        <v>13-P-400644</v>
      </c>
      <c r="C10832">
        <v>5</v>
      </c>
      <c r="D10832" t="s">
        <v>13863</v>
      </c>
      <c r="E10832" t="s">
        <v>11</v>
      </c>
      <c r="F10832" t="s">
        <v>13</v>
      </c>
      <c r="G10832" t="s">
        <v>264</v>
      </c>
      <c r="H10832" t="s">
        <v>14</v>
      </c>
    </row>
    <row r="10833" spans="1:8" hidden="1" x14ac:dyDescent="0.25">
      <c r="A10833" t="s">
        <v>13906</v>
      </c>
      <c r="B10833" s="1" t="str">
        <f>HYPERLINK("https://asmlis.vasa.lt/Dashboard/Served?ServiceDateFrom=2025-11-24&amp;ServiceDateTo=2025-11-24&amp;DumpsterInvNr=13-P-500616", "13-P-500616")</f>
        <v>13-P-500616</v>
      </c>
      <c r="C10833">
        <v>5</v>
      </c>
      <c r="D10833" t="s">
        <v>14405</v>
      </c>
      <c r="E10833" t="s">
        <v>11</v>
      </c>
      <c r="F10833" t="s">
        <v>13</v>
      </c>
      <c r="G10833" t="s">
        <v>2178</v>
      </c>
      <c r="H10833" t="s">
        <v>432</v>
      </c>
    </row>
    <row r="10834" spans="1:8" hidden="1" x14ac:dyDescent="0.25">
      <c r="A10834" t="s">
        <v>14406</v>
      </c>
      <c r="B10834" s="1" t="str">
        <f>HYPERLINK("https://asmlis.vasa.lt/Dashboard/Served?ServiceDateFrom=2025-11-24&amp;ServiceDateTo=2025-11-24&amp;DumpsterInvNr=13-L-300027", "13-L-300027")</f>
        <v>13-L-300027</v>
      </c>
      <c r="C10834">
        <v>0.12</v>
      </c>
      <c r="D10834" t="s">
        <v>14402</v>
      </c>
      <c r="E10834" t="s">
        <v>11</v>
      </c>
      <c r="F10834" t="s">
        <v>13</v>
      </c>
      <c r="G10834" t="s">
        <v>9</v>
      </c>
      <c r="H10834" t="s">
        <v>14</v>
      </c>
    </row>
    <row r="10835" spans="1:8" hidden="1" x14ac:dyDescent="0.25">
      <c r="A10835" t="s">
        <v>14407</v>
      </c>
      <c r="B10835" s="1" t="str">
        <f>HYPERLINK("https://asmlis.vasa.lt/Dashboard/Served?ServiceDateFrom=2025-11-24&amp;ServiceDateTo=2025-11-24&amp;DumpsterInvNr=13-P-206227", "13-P-206227")</f>
        <v>13-P-206227</v>
      </c>
      <c r="C10835">
        <v>0.24</v>
      </c>
      <c r="D10835" t="s">
        <v>12377</v>
      </c>
      <c r="E10835" t="s">
        <v>11</v>
      </c>
      <c r="G10835" t="s">
        <v>234</v>
      </c>
      <c r="H10835" t="s">
        <v>14</v>
      </c>
    </row>
    <row r="10836" spans="1:8" hidden="1" x14ac:dyDescent="0.25">
      <c r="A10836" t="s">
        <v>14125</v>
      </c>
      <c r="B10836" s="1" t="str">
        <f>HYPERLINK("https://asmlis.vasa.lt/Dashboard/Served?ServiceDateFrom=2025-11-24&amp;ServiceDateTo=2025-11-24&amp;DumpsterInvNr=13-L-115214", "13-L-115214")</f>
        <v>13-L-115214</v>
      </c>
      <c r="C10836">
        <v>0.24</v>
      </c>
      <c r="D10836" t="s">
        <v>14408</v>
      </c>
      <c r="E10836" t="s">
        <v>11</v>
      </c>
      <c r="G10836" t="s">
        <v>430</v>
      </c>
      <c r="H10836" t="s">
        <v>432</v>
      </c>
    </row>
    <row r="10837" spans="1:8" hidden="1" x14ac:dyDescent="0.25">
      <c r="A10837" t="s">
        <v>14409</v>
      </c>
      <c r="B10837" s="1" t="str">
        <f>HYPERLINK("https://asmlis.vasa.lt/Dashboard/Served?ServiceDateFrom=2025-11-24&amp;ServiceDateTo=2025-11-24&amp;DumpsterInvNr=13-L-316874", "13-L-316874")</f>
        <v>13-L-316874</v>
      </c>
      <c r="C10837">
        <v>1.1000000000000001</v>
      </c>
      <c r="D10837" t="s">
        <v>10416</v>
      </c>
      <c r="E10837" t="s">
        <v>11</v>
      </c>
      <c r="G10837" t="s">
        <v>9</v>
      </c>
      <c r="H10837" t="s">
        <v>14</v>
      </c>
    </row>
    <row r="10838" spans="1:8" hidden="1" x14ac:dyDescent="0.25">
      <c r="A10838" t="s">
        <v>14409</v>
      </c>
      <c r="B10838" s="1" t="str">
        <f>HYPERLINK("https://asmlis.vasa.lt/Dashboard/Served?ServiceDateFrom=2025-11-24&amp;ServiceDateTo=2025-11-24&amp;DumpsterInvNr=13-P-502730", "13-P-502730")</f>
        <v>13-P-502730</v>
      </c>
      <c r="C10838">
        <v>0.24</v>
      </c>
      <c r="D10838" t="s">
        <v>14408</v>
      </c>
      <c r="E10838" t="s">
        <v>11</v>
      </c>
      <c r="G10838" t="s">
        <v>2178</v>
      </c>
      <c r="H10838" t="s">
        <v>432</v>
      </c>
    </row>
    <row r="10839" spans="1:8" hidden="1" x14ac:dyDescent="0.25">
      <c r="A10839" t="s">
        <v>14410</v>
      </c>
      <c r="B10839" s="1" t="str">
        <f>HYPERLINK("https://asmlis.vasa.lt/Dashboard/Served?ServiceDateFrom=2025-11-24&amp;ServiceDateTo=2025-11-24&amp;DumpsterInvNr=13-L-112449", "13-L-112449")</f>
        <v>13-L-112449</v>
      </c>
      <c r="C10839">
        <v>0.24</v>
      </c>
      <c r="D10839" t="s">
        <v>14411</v>
      </c>
      <c r="E10839" t="s">
        <v>11</v>
      </c>
      <c r="G10839" t="s">
        <v>1912</v>
      </c>
      <c r="H10839" t="s">
        <v>432</v>
      </c>
    </row>
    <row r="10840" spans="1:8" hidden="1" x14ac:dyDescent="0.25">
      <c r="A10840" t="s">
        <v>14180</v>
      </c>
      <c r="B10840" s="1" t="str">
        <f>HYPERLINK("https://asmlis.vasa.lt/Dashboard/Served?ServiceDateFrom=2025-11-24&amp;ServiceDateTo=2025-11-24&amp;DumpsterInvNr=13-S-205767", "13-S-205767")</f>
        <v>13-S-205767</v>
      </c>
      <c r="C10840">
        <v>0.12</v>
      </c>
      <c r="D10840" t="s">
        <v>12377</v>
      </c>
      <c r="E10840" t="s">
        <v>11</v>
      </c>
      <c r="F10840" t="s">
        <v>1209</v>
      </c>
      <c r="G10840" t="s">
        <v>234</v>
      </c>
      <c r="H10840" t="s">
        <v>14</v>
      </c>
    </row>
    <row r="10841" spans="1:8" hidden="1" x14ac:dyDescent="0.25">
      <c r="A10841" t="s">
        <v>14413</v>
      </c>
      <c r="B10841" s="1" t="str">
        <f>HYPERLINK("https://asmlis.vasa.lt/Dashboard/Served?ServiceDateFrom=2025-11-24&amp;ServiceDateTo=2025-11-24&amp;DumpsterInvNr=13-P-112566", "13-P-112566")</f>
        <v>13-P-112566</v>
      </c>
      <c r="C10841">
        <v>0.24</v>
      </c>
      <c r="D10841" t="s">
        <v>14411</v>
      </c>
      <c r="E10841" t="s">
        <v>11</v>
      </c>
      <c r="G10841" t="s">
        <v>1917</v>
      </c>
      <c r="H10841" t="s">
        <v>432</v>
      </c>
    </row>
    <row r="10842" spans="1:8" hidden="1" x14ac:dyDescent="0.25">
      <c r="A10842" t="s">
        <v>12682</v>
      </c>
      <c r="B10842" s="1" t="str">
        <f>HYPERLINK("https://asmlis.vasa.lt/Dashboard/Served?ServiceDateFrom=2025-11-24&amp;ServiceDateTo=2025-11-24&amp;DumpsterInvNr=13-S-206026", "13-S-206026")</f>
        <v>13-S-206026</v>
      </c>
      <c r="C10842">
        <v>0.12</v>
      </c>
      <c r="D10842" t="s">
        <v>12354</v>
      </c>
      <c r="E10842" t="s">
        <v>11</v>
      </c>
      <c r="G10842" t="s">
        <v>234</v>
      </c>
      <c r="H10842" t="s">
        <v>14</v>
      </c>
    </row>
    <row r="10843" spans="1:8" hidden="1" x14ac:dyDescent="0.25">
      <c r="A10843" t="s">
        <v>14414</v>
      </c>
      <c r="B10843" s="1" t="str">
        <f>HYPERLINK("https://asmlis.vasa.lt/Dashboard/Served?ServiceDateFrom=2025-11-24&amp;ServiceDateTo=2025-11-24&amp;DumpsterInvNr=13-P-502731", "13-P-502731")</f>
        <v>13-P-502731</v>
      </c>
      <c r="C10843">
        <v>0.24</v>
      </c>
      <c r="D10843" t="s">
        <v>14415</v>
      </c>
      <c r="E10843" t="s">
        <v>11</v>
      </c>
      <c r="G10843" t="s">
        <v>2178</v>
      </c>
      <c r="H10843" t="s">
        <v>432</v>
      </c>
    </row>
    <row r="10844" spans="1:8" hidden="1" x14ac:dyDescent="0.25">
      <c r="A10844" t="s">
        <v>14416</v>
      </c>
      <c r="B10844" s="1" t="str">
        <f>HYPERLINK("https://asmlis.vasa.lt/Dashboard/Served?ServiceDateFrom=2025-11-24&amp;ServiceDateTo=2025-11-24&amp;DumpsterInvNr=13-P-206373", "13-P-206373")</f>
        <v>13-P-206373</v>
      </c>
      <c r="C10844">
        <v>0.24</v>
      </c>
      <c r="D10844" t="s">
        <v>12354</v>
      </c>
      <c r="E10844" t="s">
        <v>11</v>
      </c>
      <c r="G10844" t="s">
        <v>234</v>
      </c>
      <c r="H10844" t="s">
        <v>14</v>
      </c>
    </row>
    <row r="10845" spans="1:8" hidden="1" x14ac:dyDescent="0.25">
      <c r="A10845" t="s">
        <v>14417</v>
      </c>
      <c r="B10845" s="1" t="str">
        <f>HYPERLINK("https://asmlis.vasa.lt/Dashboard/Served?ServiceDateFrom=2025-11-24&amp;ServiceDateTo=2025-11-24&amp;DumpsterInvNr=13-L-115213", "13-L-115213")</f>
        <v>13-L-115213</v>
      </c>
      <c r="C10845">
        <v>0.24</v>
      </c>
      <c r="D10845" t="s">
        <v>14415</v>
      </c>
      <c r="E10845" t="s">
        <v>11</v>
      </c>
      <c r="G10845" t="s">
        <v>430</v>
      </c>
      <c r="H10845" t="s">
        <v>432</v>
      </c>
    </row>
    <row r="10846" spans="1:8" hidden="1" x14ac:dyDescent="0.25">
      <c r="A10846" t="s">
        <v>14418</v>
      </c>
      <c r="B10846" s="1" t="str">
        <f>HYPERLINK("https://asmlis.vasa.lt/Dashboard/Served?ServiceDateFrom=2025-11-24&amp;ServiceDateTo=2025-11-24&amp;DumpsterInvNr=13-P-100918", "13-P-100918")</f>
        <v>13-P-100918</v>
      </c>
      <c r="C10846">
        <v>0.12</v>
      </c>
      <c r="D10846" t="s">
        <v>14419</v>
      </c>
      <c r="E10846" t="s">
        <v>11</v>
      </c>
      <c r="G10846" t="s">
        <v>1917</v>
      </c>
      <c r="H10846" t="s">
        <v>432</v>
      </c>
    </row>
    <row r="10847" spans="1:8" hidden="1" x14ac:dyDescent="0.25">
      <c r="A10847" t="s">
        <v>14421</v>
      </c>
      <c r="B10847" s="1" t="str">
        <f>HYPERLINK("https://asmlis.vasa.lt/Dashboard/Served?ServiceDateFrom=2025-11-24&amp;ServiceDateTo=2025-11-24&amp;DumpsterInvNr=13-L-416075", "13-L-416075")</f>
        <v>13-L-416075</v>
      </c>
      <c r="C10847">
        <v>0.24</v>
      </c>
      <c r="D10847" t="s">
        <v>14422</v>
      </c>
      <c r="E10847" t="s">
        <v>11</v>
      </c>
      <c r="G10847" t="s">
        <v>74</v>
      </c>
      <c r="H10847" t="s">
        <v>14</v>
      </c>
    </row>
    <row r="10848" spans="1:8" hidden="1" x14ac:dyDescent="0.25">
      <c r="A10848" t="s">
        <v>14423</v>
      </c>
      <c r="B10848" s="1" t="str">
        <f>HYPERLINK("https://asmlis.vasa.lt/Dashboard/Served?ServiceDateFrom=2025-11-24&amp;ServiceDateTo=2025-11-24&amp;DumpsterInvNr=13-S-102530", "13-S-102530")</f>
        <v>13-S-102530</v>
      </c>
      <c r="C10848">
        <v>0.12</v>
      </c>
      <c r="D10848" t="s">
        <v>14419</v>
      </c>
      <c r="E10848" t="s">
        <v>11</v>
      </c>
      <c r="G10848" t="s">
        <v>1917</v>
      </c>
      <c r="H10848" t="s">
        <v>432</v>
      </c>
    </row>
    <row r="10849" spans="1:8" hidden="1" x14ac:dyDescent="0.25">
      <c r="A10849" t="s">
        <v>14424</v>
      </c>
      <c r="B10849" s="1" t="str">
        <f>HYPERLINK("https://asmlis.vasa.lt/Dashboard/Served?ServiceDateFrom=2025-11-24&amp;ServiceDateTo=2025-11-24&amp;DumpsterInvNr=13-L-404393", "13-L-404393")</f>
        <v>13-L-404393</v>
      </c>
      <c r="C10849">
        <v>0.24</v>
      </c>
      <c r="D10849" t="s">
        <v>10117</v>
      </c>
      <c r="E10849" t="s">
        <v>11</v>
      </c>
      <c r="G10849" t="s">
        <v>74</v>
      </c>
      <c r="H10849" t="s">
        <v>14</v>
      </c>
    </row>
    <row r="10850" spans="1:8" hidden="1" x14ac:dyDescent="0.25">
      <c r="A10850" t="s">
        <v>14345</v>
      </c>
      <c r="B10850" s="1" t="str">
        <f>HYPERLINK("https://asmlis.vasa.lt/Dashboard/Served?ServiceDateFrom=2025-11-24&amp;ServiceDateTo=2025-11-24&amp;DumpsterInvNr=13-P-302641", "13-P-302641")</f>
        <v>13-P-302641</v>
      </c>
      <c r="C10850">
        <v>3</v>
      </c>
      <c r="D10850" t="s">
        <v>5306</v>
      </c>
      <c r="E10850" t="s">
        <v>11</v>
      </c>
      <c r="G10850" t="s">
        <v>412</v>
      </c>
      <c r="H10850" t="s">
        <v>14</v>
      </c>
    </row>
    <row r="10851" spans="1:8" hidden="1" x14ac:dyDescent="0.25">
      <c r="A10851" t="s">
        <v>14425</v>
      </c>
      <c r="B10851" s="1" t="str">
        <f>HYPERLINK("https://asmlis.vasa.lt/Dashboard/Served?ServiceDateFrom=2025-11-24&amp;ServiceDateTo=2025-11-24&amp;DumpsterInvNr=13-L-318820", "13-L-318820")</f>
        <v>13-L-318820</v>
      </c>
      <c r="C10851">
        <v>1.1000000000000001</v>
      </c>
      <c r="D10851" t="s">
        <v>10416</v>
      </c>
      <c r="E10851" t="s">
        <v>11</v>
      </c>
      <c r="G10851" t="s">
        <v>9</v>
      </c>
      <c r="H10851" t="s">
        <v>14</v>
      </c>
    </row>
    <row r="10852" spans="1:8" hidden="1" x14ac:dyDescent="0.25">
      <c r="A10852" t="s">
        <v>14426</v>
      </c>
      <c r="B10852" s="1" t="str">
        <f>HYPERLINK("https://asmlis.vasa.lt/Dashboard/Served?ServiceDateFrom=2025-11-24&amp;ServiceDateTo=2025-11-24&amp;DumpsterInvNr=13-P-206346", "13-P-206346")</f>
        <v>13-P-206346</v>
      </c>
      <c r="C10852">
        <v>0.24</v>
      </c>
      <c r="D10852" t="s">
        <v>12335</v>
      </c>
      <c r="E10852" t="s">
        <v>11</v>
      </c>
      <c r="G10852" t="s">
        <v>234</v>
      </c>
      <c r="H10852" t="s">
        <v>14</v>
      </c>
    </row>
    <row r="10853" spans="1:8" hidden="1" x14ac:dyDescent="0.25">
      <c r="A10853" t="s">
        <v>14426</v>
      </c>
      <c r="B10853" s="1" t="str">
        <f>HYPERLINK("https://asmlis.vasa.lt/Dashboard/Served?ServiceDateFrom=2025-11-24&amp;ServiceDateTo=2025-11-24&amp;DumpsterInvNr=13-P-206247", "13-P-206247")</f>
        <v>13-P-206247</v>
      </c>
      <c r="C10853">
        <v>0.24</v>
      </c>
      <c r="D10853" t="s">
        <v>12323</v>
      </c>
      <c r="E10853" t="s">
        <v>11</v>
      </c>
      <c r="G10853" t="s">
        <v>234</v>
      </c>
      <c r="H10853" t="s">
        <v>14</v>
      </c>
    </row>
    <row r="10854" spans="1:8" hidden="1" x14ac:dyDescent="0.25">
      <c r="A10854" t="s">
        <v>14427</v>
      </c>
      <c r="B10854" s="1" t="str">
        <f>HYPERLINK("https://asmlis.vasa.lt/Dashboard/Served?ServiceDateFrom=2025-11-24&amp;ServiceDateTo=2025-11-24&amp;DumpsterInvNr=13-L-148183", "13-L-148183")</f>
        <v>13-L-148183</v>
      </c>
      <c r="C10854">
        <v>5</v>
      </c>
      <c r="D10854" t="s">
        <v>14428</v>
      </c>
      <c r="E10854" t="s">
        <v>11</v>
      </c>
      <c r="F10854" t="s">
        <v>13</v>
      </c>
      <c r="G10854" t="s">
        <v>430</v>
      </c>
      <c r="H10854" t="s">
        <v>432</v>
      </c>
    </row>
    <row r="10855" spans="1:8" hidden="1" x14ac:dyDescent="0.25">
      <c r="A10855" t="s">
        <v>14429</v>
      </c>
      <c r="B10855" s="1" t="str">
        <f>HYPERLINK("https://asmlis.vasa.lt/Dashboard/Served?ServiceDateFrom=2025-11-24&amp;ServiceDateTo=2025-11-24&amp;DumpsterInvNr=13-P-502930", "13-P-502930")</f>
        <v>13-P-502930</v>
      </c>
      <c r="C10855">
        <v>0.24</v>
      </c>
      <c r="D10855" t="s">
        <v>14430</v>
      </c>
      <c r="E10855" t="s">
        <v>11</v>
      </c>
      <c r="G10855" t="s">
        <v>2178</v>
      </c>
      <c r="H10855" t="s">
        <v>432</v>
      </c>
    </row>
    <row r="10856" spans="1:8" hidden="1" x14ac:dyDescent="0.25">
      <c r="A10856" t="s">
        <v>14432</v>
      </c>
      <c r="B10856" s="1" t="str">
        <f>HYPERLINK("https://asmlis.vasa.lt/Dashboard/Served?ServiceDateFrom=2025-11-24&amp;ServiceDateTo=2025-11-24&amp;DumpsterInvNr=13-P-400584", "13-P-400584")</f>
        <v>13-P-400584</v>
      </c>
      <c r="C10856">
        <v>5</v>
      </c>
      <c r="D10856" t="s">
        <v>14433</v>
      </c>
      <c r="E10856" t="s">
        <v>11</v>
      </c>
      <c r="G10856" t="s">
        <v>264</v>
      </c>
      <c r="H10856" t="s">
        <v>14</v>
      </c>
    </row>
    <row r="10857" spans="1:8" hidden="1" x14ac:dyDescent="0.25">
      <c r="A10857" t="s">
        <v>14434</v>
      </c>
      <c r="B10857" s="1" t="str">
        <f>HYPERLINK("https://asmlis.vasa.lt/Dashboard/Served?ServiceDateFrom=2025-11-24&amp;ServiceDateTo=2025-11-24&amp;DumpsterInvNr=13-L-304386", "13-L-304386")</f>
        <v>13-L-304386</v>
      </c>
      <c r="C10857">
        <v>5</v>
      </c>
      <c r="D10857" t="s">
        <v>14435</v>
      </c>
      <c r="E10857" t="s">
        <v>11</v>
      </c>
      <c r="F10857" t="s">
        <v>13</v>
      </c>
      <c r="G10857" t="s">
        <v>9</v>
      </c>
      <c r="H10857" t="s">
        <v>14</v>
      </c>
    </row>
    <row r="10858" spans="1:8" hidden="1" x14ac:dyDescent="0.25">
      <c r="A10858" t="s">
        <v>14436</v>
      </c>
      <c r="B10858" s="1" t="str">
        <f>HYPERLINK("https://asmlis.vasa.lt/Dashboard/Served?ServiceDateFrom=2025-11-24&amp;ServiceDateTo=2025-11-24&amp;DumpsterInvNr=13-L-140525", "13-L-140525")</f>
        <v>13-L-140525</v>
      </c>
      <c r="C10858">
        <v>0.24</v>
      </c>
      <c r="D10858" t="s">
        <v>14430</v>
      </c>
      <c r="E10858" t="s">
        <v>11</v>
      </c>
      <c r="G10858" t="s">
        <v>430</v>
      </c>
      <c r="H10858" t="s">
        <v>432</v>
      </c>
    </row>
    <row r="10859" spans="1:8" hidden="1" x14ac:dyDescent="0.25">
      <c r="A10859" t="s">
        <v>12771</v>
      </c>
      <c r="B10859" s="1" t="str">
        <f>HYPERLINK("https://asmlis.vasa.lt/Dashboard/Served?ServiceDateFrom=2025-11-24&amp;ServiceDateTo=2025-11-24&amp;DumpsterInvNr=13-L-417849", "13-L-417849")</f>
        <v>13-L-417849</v>
      </c>
      <c r="C10859">
        <v>5</v>
      </c>
      <c r="D10859" t="s">
        <v>3276</v>
      </c>
      <c r="E10859" t="s">
        <v>11</v>
      </c>
      <c r="F10859" t="s">
        <v>13</v>
      </c>
      <c r="G10859" t="s">
        <v>74</v>
      </c>
      <c r="H10859" t="s">
        <v>14</v>
      </c>
    </row>
    <row r="10860" spans="1:8" hidden="1" x14ac:dyDescent="0.25">
      <c r="A10860" t="s">
        <v>12771</v>
      </c>
      <c r="B10860" s="1" t="str">
        <f>HYPERLINK("https://asmlis.vasa.lt/Dashboard/Served?ServiceDateFrom=2025-11-24&amp;ServiceDateTo=2025-11-24&amp;DumpsterInvNr=13-L-309033", "13-L-309033")</f>
        <v>13-L-309033</v>
      </c>
      <c r="C10860">
        <v>5</v>
      </c>
      <c r="D10860" t="s">
        <v>11011</v>
      </c>
      <c r="E10860" t="s">
        <v>11</v>
      </c>
      <c r="G10860" t="s">
        <v>9</v>
      </c>
      <c r="H10860" t="s">
        <v>14</v>
      </c>
    </row>
    <row r="10861" spans="1:8" hidden="1" x14ac:dyDescent="0.25">
      <c r="A10861" t="s">
        <v>13129</v>
      </c>
      <c r="B10861" s="1" t="str">
        <f>HYPERLINK("https://asmlis.vasa.lt/Dashboard/Served?ServiceDateFrom=2025-11-24&amp;ServiceDateTo=2025-11-24&amp;DumpsterInvNr=13-P-409108", "13-P-409108")</f>
        <v>13-P-409108</v>
      </c>
      <c r="C10861">
        <v>1.1000000000000001</v>
      </c>
      <c r="D10861" t="s">
        <v>14438</v>
      </c>
      <c r="E10861" t="s">
        <v>11</v>
      </c>
      <c r="F10861" t="s">
        <v>13</v>
      </c>
      <c r="G10861" t="s">
        <v>264</v>
      </c>
      <c r="H10861" t="s">
        <v>14</v>
      </c>
    </row>
    <row r="10862" spans="1:8" hidden="1" x14ac:dyDescent="0.25">
      <c r="A10862" t="s">
        <v>13151</v>
      </c>
      <c r="B10862" s="1" t="str">
        <f>HYPERLINK("https://asmlis.vasa.lt/Dashboard/Served?ServiceDateFrom=2025-11-24&amp;ServiceDateTo=2025-11-24&amp;DumpsterInvNr=13-L-138033", "13-L-138033")</f>
        <v>13-L-138033</v>
      </c>
      <c r="C10862">
        <v>5</v>
      </c>
      <c r="D10862" t="s">
        <v>8131</v>
      </c>
      <c r="E10862" t="s">
        <v>11</v>
      </c>
      <c r="F10862" t="s">
        <v>13</v>
      </c>
      <c r="G10862" t="s">
        <v>430</v>
      </c>
      <c r="H10862" t="s">
        <v>432</v>
      </c>
    </row>
    <row r="10863" spans="1:8" hidden="1" x14ac:dyDescent="0.25">
      <c r="A10863" t="s">
        <v>14439</v>
      </c>
      <c r="B10863" s="1" t="str">
        <f>HYPERLINK("https://asmlis.vasa.lt/Dashboard/Served?ServiceDateFrom=2025-11-24&amp;ServiceDateTo=2025-11-24&amp;DumpsterInvNr=13-P-412855", "13-P-412855")</f>
        <v>13-P-412855</v>
      </c>
      <c r="C10863">
        <v>1.1000000000000001</v>
      </c>
      <c r="D10863" t="s">
        <v>14438</v>
      </c>
      <c r="E10863" t="s">
        <v>11</v>
      </c>
      <c r="F10863" t="s">
        <v>13</v>
      </c>
      <c r="G10863" t="s">
        <v>264</v>
      </c>
      <c r="H10863" t="s">
        <v>14</v>
      </c>
    </row>
    <row r="10864" spans="1:8" hidden="1" x14ac:dyDescent="0.25">
      <c r="A10864" t="s">
        <v>14439</v>
      </c>
      <c r="B10864" s="1" t="str">
        <f>HYPERLINK("https://asmlis.vasa.lt/Dashboard/Served?ServiceDateFrom=2025-11-24&amp;ServiceDateTo=2025-11-24&amp;DumpsterInvNr=13-P-100919", "13-P-100919")</f>
        <v>13-P-100919</v>
      </c>
      <c r="C10864">
        <v>0.12</v>
      </c>
      <c r="D10864" t="s">
        <v>14419</v>
      </c>
      <c r="E10864" t="s">
        <v>11</v>
      </c>
      <c r="F10864" t="s">
        <v>1209</v>
      </c>
      <c r="G10864" t="s">
        <v>1917</v>
      </c>
      <c r="H10864" t="s">
        <v>432</v>
      </c>
    </row>
    <row r="10865" spans="1:10" hidden="1" x14ac:dyDescent="0.25">
      <c r="A10865" t="s">
        <v>14440</v>
      </c>
      <c r="B10865" s="1" t="str">
        <f>HYPERLINK("https://asmlis.vasa.lt/Dashboard/Served?ServiceDateFrom=2025-11-24&amp;ServiceDateTo=2025-11-24&amp;DumpsterInvNr=13-L-424481", "13-L-424481")</f>
        <v>13-L-424481</v>
      </c>
      <c r="C10865">
        <v>0.24</v>
      </c>
      <c r="D10865" t="s">
        <v>14441</v>
      </c>
      <c r="E10865" t="s">
        <v>11</v>
      </c>
      <c r="G10865" t="s">
        <v>74</v>
      </c>
      <c r="H10865" t="s">
        <v>14</v>
      </c>
    </row>
    <row r="10866" spans="1:10" hidden="1" x14ac:dyDescent="0.25">
      <c r="A10866" t="s">
        <v>14442</v>
      </c>
      <c r="B10866" s="1" t="str">
        <f>HYPERLINK("https://asmlis.vasa.lt/Dashboard/Served?ServiceDateFrom=2025-11-24&amp;ServiceDateTo=2025-11-24&amp;DumpsterInvNr=13-L-314518", "13-L-314518")</f>
        <v>13-L-314518</v>
      </c>
      <c r="C10866">
        <v>1.1000000000000001</v>
      </c>
      <c r="D10866" t="s">
        <v>10416</v>
      </c>
      <c r="E10866" t="s">
        <v>11</v>
      </c>
      <c r="G10866" t="s">
        <v>9</v>
      </c>
      <c r="H10866" t="s">
        <v>14</v>
      </c>
    </row>
    <row r="10867" spans="1:10" hidden="1" x14ac:dyDescent="0.25">
      <c r="A10867" t="s">
        <v>14233</v>
      </c>
      <c r="B10867" s="1" t="str">
        <f>HYPERLINK("https://asmlis.vasa.lt/Dashboard/Served?ServiceDateFrom=2025-11-24&amp;ServiceDateTo=2025-11-24&amp;DumpsterInvNr=13-L-131357", "13-L-131357")</f>
        <v>13-L-131357</v>
      </c>
      <c r="C10867">
        <v>1.1000000000000001</v>
      </c>
      <c r="D10867" t="s">
        <v>14443</v>
      </c>
      <c r="E10867" t="s">
        <v>11</v>
      </c>
      <c r="G10867" t="s">
        <v>430</v>
      </c>
      <c r="H10867" t="s">
        <v>432</v>
      </c>
    </row>
    <row r="10868" spans="1:10" hidden="1" x14ac:dyDescent="0.25">
      <c r="A10868" t="s">
        <v>14233</v>
      </c>
      <c r="B10868" s="1" t="str">
        <f>HYPERLINK("https://asmlis.vasa.lt/Dashboard/Served?ServiceDateFrom=2025-11-24&amp;ServiceDateTo=2025-11-24&amp;DumpsterInvNr=13-L-140010", "13-L-140010")</f>
        <v>13-L-140010</v>
      </c>
      <c r="C10868">
        <v>0.12</v>
      </c>
      <c r="D10868" t="s">
        <v>14444</v>
      </c>
      <c r="E10868" t="s">
        <v>11</v>
      </c>
      <c r="G10868" t="s">
        <v>430</v>
      </c>
      <c r="H10868" t="s">
        <v>432</v>
      </c>
    </row>
    <row r="10869" spans="1:10" hidden="1" x14ac:dyDescent="0.25">
      <c r="A10869" t="s">
        <v>14273</v>
      </c>
      <c r="B10869" s="1" t="str">
        <f>HYPERLINK("https://asmlis.vasa.lt/Dashboard/Served?ServiceDateFrom=2025-11-24&amp;ServiceDateTo=2025-11-24&amp;DumpsterInvNr=13-L-140791", "13-L-140791")</f>
        <v>13-L-140791</v>
      </c>
      <c r="C10869">
        <v>0.24</v>
      </c>
      <c r="D10869" t="s">
        <v>14446</v>
      </c>
      <c r="E10869" t="s">
        <v>11</v>
      </c>
      <c r="G10869" t="s">
        <v>430</v>
      </c>
      <c r="H10869" t="s">
        <v>432</v>
      </c>
    </row>
    <row r="10870" spans="1:10" hidden="1" x14ac:dyDescent="0.25">
      <c r="A10870" t="s">
        <v>14284</v>
      </c>
      <c r="B10870" s="1" t="str">
        <f>HYPERLINK("https://asmlis.vasa.lt/Dashboard/Served?ServiceDateFrom=2025-11-24&amp;ServiceDateTo=2025-11-24&amp;DumpsterInvNr=13-L-225518", "13-L-225518")</f>
        <v>13-L-225518</v>
      </c>
      <c r="C10870">
        <v>5</v>
      </c>
      <c r="D10870" t="s">
        <v>14448</v>
      </c>
      <c r="E10870" t="s">
        <v>11</v>
      </c>
      <c r="F10870" t="s">
        <v>13</v>
      </c>
      <c r="G10870" t="s">
        <v>936</v>
      </c>
      <c r="H10870" t="s">
        <v>938</v>
      </c>
    </row>
    <row r="10871" spans="1:10" hidden="1" x14ac:dyDescent="0.25">
      <c r="A10871" t="s">
        <v>14284</v>
      </c>
      <c r="B10871" s="1" t="str">
        <f>HYPERLINK("https://asmlis.vasa.lt/Dashboard/Served?ServiceDateFrom=2025-11-24&amp;ServiceDateTo=2025-11-24&amp;DumpsterInvNr=13-S-205633", "13-S-205633")</f>
        <v>13-S-205633</v>
      </c>
      <c r="C10871">
        <v>0.12</v>
      </c>
      <c r="D10871" t="s">
        <v>12323</v>
      </c>
      <c r="E10871" t="s">
        <v>11</v>
      </c>
      <c r="F10871" t="s">
        <v>1209</v>
      </c>
      <c r="G10871" t="s">
        <v>234</v>
      </c>
      <c r="H10871" t="s">
        <v>14</v>
      </c>
    </row>
    <row r="10872" spans="1:10" hidden="1" x14ac:dyDescent="0.25">
      <c r="A10872" t="s">
        <v>14284</v>
      </c>
      <c r="B10872" s="1" t="str">
        <f>HYPERLINK("https://asmlis.vasa.lt/Dashboard/Served?ServiceDateFrom=2025-11-24&amp;ServiceDateTo=2025-11-24&amp;DumpsterInvNr=13-P-504977", "13-P-504977")</f>
        <v>13-P-504977</v>
      </c>
      <c r="C10872">
        <v>0.12</v>
      </c>
      <c r="D10872" t="s">
        <v>14444</v>
      </c>
      <c r="E10872" t="s">
        <v>11</v>
      </c>
      <c r="G10872" t="s">
        <v>2178</v>
      </c>
      <c r="H10872" t="s">
        <v>432</v>
      </c>
    </row>
    <row r="10873" spans="1:10" hidden="1" x14ac:dyDescent="0.25">
      <c r="A10873" t="s">
        <v>14284</v>
      </c>
      <c r="B10873" s="1" t="str">
        <f>HYPERLINK("https://asmlis.vasa.lt/Dashboard/Served?ServiceDateFrom=2025-11-24&amp;ServiceDateTo=2025-11-24&amp;DumpsterInvNr=13-P-213295", "13-P-213295")</f>
        <v>13-P-213295</v>
      </c>
      <c r="C10873">
        <v>1.1000000000000001</v>
      </c>
      <c r="D10873" t="s">
        <v>14449</v>
      </c>
      <c r="E10873" t="s">
        <v>11</v>
      </c>
      <c r="F10873" t="s">
        <v>13</v>
      </c>
      <c r="G10873" t="s">
        <v>234</v>
      </c>
      <c r="H10873" t="s">
        <v>14</v>
      </c>
    </row>
    <row r="10874" spans="1:10" hidden="1" x14ac:dyDescent="0.25">
      <c r="A10874" t="s">
        <v>14284</v>
      </c>
      <c r="B10874" s="1" t="str">
        <f>HYPERLINK("https://asmlis.vasa.lt/Dashboard/Served?ServiceDateFrom=2025-11-24&amp;ServiceDateTo=2025-11-24&amp;DumpsterInvNr=13-L-106459", "13-L-106459")</f>
        <v>13-L-106459</v>
      </c>
      <c r="C10874">
        <v>0.24</v>
      </c>
      <c r="D10874" t="s">
        <v>14419</v>
      </c>
      <c r="E10874" t="s">
        <v>11</v>
      </c>
      <c r="F10874" t="s">
        <v>3205</v>
      </c>
      <c r="G10874" t="s">
        <v>1912</v>
      </c>
      <c r="H10874" t="s">
        <v>432</v>
      </c>
      <c r="J10874" t="s">
        <v>17514</v>
      </c>
    </row>
    <row r="10875" spans="1:10" x14ac:dyDescent="0.25">
      <c r="A10875" t="s">
        <v>14277</v>
      </c>
      <c r="B10875" s="1" t="str">
        <f>HYPERLINK("https://asmlis.vasa.lt/Dashboard/Served?ServiceDateFrom=2025-11-24&amp;ServiceDateTo=2025-11-24&amp;DumpsterInvNr=13-L-148637", "13-L-148637")</f>
        <v>13-L-148637</v>
      </c>
      <c r="C10875">
        <v>1.3</v>
      </c>
      <c r="D10875" t="s">
        <v>14451</v>
      </c>
      <c r="E10875" t="s">
        <v>11</v>
      </c>
      <c r="F10875" t="s">
        <v>14452</v>
      </c>
      <c r="G10875" t="s">
        <v>1912</v>
      </c>
      <c r="H10875" t="s">
        <v>432</v>
      </c>
      <c r="J10875" t="s">
        <v>17511</v>
      </c>
    </row>
    <row r="10876" spans="1:10" hidden="1" x14ac:dyDescent="0.25">
      <c r="A10876" t="s">
        <v>14453</v>
      </c>
      <c r="B10876" s="1" t="str">
        <f>HYPERLINK("https://asmlis.vasa.lt/Dashboard/Served?ServiceDateFrom=2025-11-24&amp;ServiceDateTo=2025-11-24&amp;DumpsterInvNr=13-P-506776", "13-P-506776")</f>
        <v>13-P-506776</v>
      </c>
      <c r="C10876">
        <v>0.24</v>
      </c>
      <c r="D10876" t="s">
        <v>14446</v>
      </c>
      <c r="E10876" t="s">
        <v>11</v>
      </c>
      <c r="G10876" t="s">
        <v>2178</v>
      </c>
      <c r="H10876" t="s">
        <v>432</v>
      </c>
    </row>
    <row r="10877" spans="1:10" hidden="1" x14ac:dyDescent="0.25">
      <c r="A10877" t="s">
        <v>14455</v>
      </c>
      <c r="B10877" s="1" t="str">
        <f>HYPERLINK("https://asmlis.vasa.lt/Dashboard/Served?ServiceDateFrom=2025-11-24&amp;ServiceDateTo=2025-11-24&amp;DumpsterInvNr=13-S-107627", "13-S-107627")</f>
        <v>13-S-107627</v>
      </c>
      <c r="C10877">
        <v>0.12</v>
      </c>
      <c r="D10877" t="s">
        <v>14411</v>
      </c>
      <c r="E10877" t="s">
        <v>11</v>
      </c>
      <c r="F10877" t="s">
        <v>1209</v>
      </c>
      <c r="G10877" t="s">
        <v>1917</v>
      </c>
      <c r="H10877" t="s">
        <v>432</v>
      </c>
    </row>
    <row r="10878" spans="1:10" hidden="1" x14ac:dyDescent="0.25">
      <c r="A10878" t="s">
        <v>14456</v>
      </c>
      <c r="B10878" s="1" t="str">
        <f>HYPERLINK("https://asmlis.vasa.lt/Dashboard/Served?ServiceDateFrom=2025-11-24&amp;ServiceDateTo=2025-11-24&amp;DumpsterInvNr=13-P-500617", "13-P-500617")</f>
        <v>13-P-500617</v>
      </c>
      <c r="C10878">
        <v>5</v>
      </c>
      <c r="D10878" t="s">
        <v>14405</v>
      </c>
      <c r="E10878" t="s">
        <v>11</v>
      </c>
      <c r="F10878" t="s">
        <v>13</v>
      </c>
      <c r="G10878" t="s">
        <v>2178</v>
      </c>
      <c r="H10878" t="s">
        <v>432</v>
      </c>
    </row>
    <row r="10879" spans="1:10" hidden="1" x14ac:dyDescent="0.25">
      <c r="A10879" t="s">
        <v>14457</v>
      </c>
      <c r="B10879" s="1" t="str">
        <f>HYPERLINK("https://asmlis.vasa.lt/Dashboard/Served?ServiceDateFrom=2025-11-24&amp;ServiceDateTo=2025-11-24&amp;DumpsterInvNr=13-P-213276", "13-P-213276")</f>
        <v>13-P-213276</v>
      </c>
      <c r="C10879">
        <v>0.24</v>
      </c>
      <c r="D10879" t="s">
        <v>12310</v>
      </c>
      <c r="E10879" t="s">
        <v>11</v>
      </c>
      <c r="G10879" t="s">
        <v>234</v>
      </c>
      <c r="H10879" t="s">
        <v>14</v>
      </c>
    </row>
    <row r="10880" spans="1:10" hidden="1" x14ac:dyDescent="0.25">
      <c r="A10880" t="s">
        <v>14458</v>
      </c>
      <c r="B10880" s="1" t="str">
        <f>HYPERLINK("https://asmlis.vasa.lt/Dashboard/Served?ServiceDateFrom=2025-11-24&amp;ServiceDateTo=2025-11-24&amp;DumpsterInvNr=13-P-102464", "13-P-102464")</f>
        <v>13-P-102464</v>
      </c>
      <c r="C10880">
        <v>5</v>
      </c>
      <c r="D10880" t="s">
        <v>14459</v>
      </c>
      <c r="E10880" t="s">
        <v>11</v>
      </c>
      <c r="F10880" t="s">
        <v>13</v>
      </c>
      <c r="G10880" t="s">
        <v>1917</v>
      </c>
      <c r="H10880" t="s">
        <v>432</v>
      </c>
    </row>
    <row r="10881" spans="1:8" hidden="1" x14ac:dyDescent="0.25">
      <c r="A10881" t="s">
        <v>14460</v>
      </c>
      <c r="B10881" s="1" t="str">
        <f>HYPERLINK("https://asmlis.vasa.lt/Dashboard/Served?ServiceDateFrom=2025-11-24&amp;ServiceDateTo=2025-11-24&amp;DumpsterInvNr=13-S-212468", "13-S-212468")</f>
        <v>13-S-212468</v>
      </c>
      <c r="C10881">
        <v>0.12</v>
      </c>
      <c r="D10881" t="s">
        <v>12310</v>
      </c>
      <c r="E10881" t="s">
        <v>11</v>
      </c>
      <c r="F10881" t="s">
        <v>1209</v>
      </c>
      <c r="G10881" t="s">
        <v>234</v>
      </c>
      <c r="H10881" t="s">
        <v>14</v>
      </c>
    </row>
    <row r="10882" spans="1:8" hidden="1" x14ac:dyDescent="0.25">
      <c r="A10882" t="s">
        <v>14461</v>
      </c>
      <c r="B10882" s="1" t="str">
        <f>HYPERLINK("https://asmlis.vasa.lt/Dashboard/Served?ServiceDateFrom=2025-11-24&amp;ServiceDateTo=2025-11-24&amp;DumpsterInvNr=13-L-419796", "13-L-419796")</f>
        <v>13-L-419796</v>
      </c>
      <c r="C10882">
        <v>0.24</v>
      </c>
      <c r="D10882" t="s">
        <v>10110</v>
      </c>
      <c r="E10882" t="s">
        <v>11</v>
      </c>
      <c r="G10882" t="s">
        <v>74</v>
      </c>
      <c r="H10882" t="s">
        <v>14</v>
      </c>
    </row>
    <row r="10883" spans="1:8" hidden="1" x14ac:dyDescent="0.25">
      <c r="A10883" t="s">
        <v>14461</v>
      </c>
      <c r="B10883" s="1" t="str">
        <f>HYPERLINK("https://asmlis.vasa.lt/Dashboard/Served?ServiceDateFrom=2025-11-24&amp;ServiceDateTo=2025-11-24&amp;DumpsterInvNr=13-L-420443", "13-L-420443")</f>
        <v>13-L-420443</v>
      </c>
      <c r="C10883">
        <v>0.12</v>
      </c>
      <c r="D10883" t="s">
        <v>14463</v>
      </c>
      <c r="E10883" t="s">
        <v>11</v>
      </c>
      <c r="G10883" t="s">
        <v>74</v>
      </c>
      <c r="H10883" t="s">
        <v>14</v>
      </c>
    </row>
    <row r="10884" spans="1:8" hidden="1" x14ac:dyDescent="0.25">
      <c r="A10884" t="s">
        <v>8920</v>
      </c>
      <c r="B10884" s="1" t="str">
        <f>HYPERLINK("https://asmlis.vasa.lt/Dashboard/Served?ServiceDateFrom=2025-11-24&amp;ServiceDateTo=2025-11-24&amp;DumpsterInvNr=13-L-210035", "13-L-210035")</f>
        <v>13-L-210035</v>
      </c>
      <c r="C10884">
        <v>0.12</v>
      </c>
      <c r="D10884" t="s">
        <v>14465</v>
      </c>
      <c r="E10884" t="s">
        <v>11</v>
      </c>
      <c r="G10884" t="s">
        <v>936</v>
      </c>
      <c r="H10884" t="s">
        <v>938</v>
      </c>
    </row>
    <row r="10885" spans="1:8" hidden="1" x14ac:dyDescent="0.25">
      <c r="A10885" t="s">
        <v>10026</v>
      </c>
      <c r="B10885" s="1" t="str">
        <f>HYPERLINK("https://asmlis.vasa.lt/Dashboard/Served?ServiceDateFrom=2025-11-24&amp;ServiceDateTo=2025-11-24&amp;DumpsterInvNr=13-L-203535", "13-L-203535")</f>
        <v>13-L-203535</v>
      </c>
      <c r="C10885">
        <v>0.24</v>
      </c>
      <c r="D10885" t="s">
        <v>14466</v>
      </c>
      <c r="E10885" t="s">
        <v>11</v>
      </c>
      <c r="F10885" t="s">
        <v>13</v>
      </c>
      <c r="G10885" t="s">
        <v>936</v>
      </c>
      <c r="H10885" t="s">
        <v>938</v>
      </c>
    </row>
    <row r="10886" spans="1:8" hidden="1" x14ac:dyDescent="0.25">
      <c r="A10886" t="s">
        <v>10142</v>
      </c>
      <c r="B10886" s="1" t="str">
        <f>HYPERLINK("https://asmlis.vasa.lt/Dashboard/Served?ServiceDateFrom=2025-11-24&amp;ServiceDateTo=2025-11-24&amp;DumpsterInvNr=13-L-307857", "13-L-307857")</f>
        <v>13-L-307857</v>
      </c>
      <c r="C10886">
        <v>1.1000000000000001</v>
      </c>
      <c r="D10886" t="s">
        <v>12157</v>
      </c>
      <c r="E10886" t="s">
        <v>11</v>
      </c>
      <c r="G10886" t="s">
        <v>9</v>
      </c>
      <c r="H10886" t="s">
        <v>14</v>
      </c>
    </row>
    <row r="10887" spans="1:8" hidden="1" x14ac:dyDescent="0.25">
      <c r="A10887" t="s">
        <v>10283</v>
      </c>
      <c r="B10887" s="1" t="str">
        <f>HYPERLINK("https://asmlis.vasa.lt/Dashboard/Served?ServiceDateFrom=2025-11-24&amp;ServiceDateTo=2025-11-24&amp;DumpsterInvNr=13-L-106272", "13-L-106272")</f>
        <v>13-L-106272</v>
      </c>
      <c r="C10887">
        <v>1.1000000000000001</v>
      </c>
      <c r="D10887" t="s">
        <v>14467</v>
      </c>
      <c r="E10887" t="s">
        <v>11</v>
      </c>
      <c r="G10887" t="s">
        <v>1912</v>
      </c>
      <c r="H10887" t="s">
        <v>432</v>
      </c>
    </row>
    <row r="10888" spans="1:8" hidden="1" x14ac:dyDescent="0.25">
      <c r="A10888" t="s">
        <v>14468</v>
      </c>
      <c r="B10888" s="1" t="str">
        <f>HYPERLINK("https://asmlis.vasa.lt/Dashboard/Served?ServiceDateFrom=2025-11-24&amp;ServiceDateTo=2025-11-24&amp;DumpsterInvNr=13-L-422056", "13-L-422056")</f>
        <v>13-L-422056</v>
      </c>
      <c r="C10888">
        <v>5</v>
      </c>
      <c r="D10888" t="s">
        <v>3127</v>
      </c>
      <c r="E10888" t="s">
        <v>11</v>
      </c>
      <c r="F10888" t="s">
        <v>13</v>
      </c>
      <c r="G10888" t="s">
        <v>74</v>
      </c>
      <c r="H10888" t="s">
        <v>14</v>
      </c>
    </row>
    <row r="10889" spans="1:8" hidden="1" x14ac:dyDescent="0.25">
      <c r="A10889" t="s">
        <v>14469</v>
      </c>
      <c r="B10889" s="1" t="str">
        <f>HYPERLINK("https://asmlis.vasa.lt/Dashboard/Served?ServiceDateFrom=2025-11-24&amp;ServiceDateTo=2025-11-24&amp;DumpsterInvNr=13-P-503059", "13-P-503059")</f>
        <v>13-P-503059</v>
      </c>
      <c r="C10889">
        <v>0.24</v>
      </c>
      <c r="D10889" t="s">
        <v>14470</v>
      </c>
      <c r="E10889" t="s">
        <v>11</v>
      </c>
      <c r="G10889" t="s">
        <v>2178</v>
      </c>
      <c r="H10889" t="s">
        <v>432</v>
      </c>
    </row>
    <row r="10890" spans="1:8" hidden="1" x14ac:dyDescent="0.25">
      <c r="A10890" t="s">
        <v>14471</v>
      </c>
      <c r="B10890" s="1" t="str">
        <f>HYPERLINK("https://asmlis.vasa.lt/Dashboard/Served?ServiceDateFrom=2025-11-24&amp;ServiceDateTo=2025-11-24&amp;DumpsterInvNr=13-L-317862", "13-L-317862")</f>
        <v>13-L-317862</v>
      </c>
      <c r="C10890">
        <v>1.1000000000000001</v>
      </c>
      <c r="D10890" t="s">
        <v>14472</v>
      </c>
      <c r="E10890" t="s">
        <v>11</v>
      </c>
      <c r="G10890" t="s">
        <v>9</v>
      </c>
      <c r="H10890" t="s">
        <v>14</v>
      </c>
    </row>
    <row r="10891" spans="1:8" hidden="1" x14ac:dyDescent="0.25">
      <c r="A10891" t="s">
        <v>14471</v>
      </c>
      <c r="B10891" s="1" t="str">
        <f>HYPERLINK("https://asmlis.vasa.lt/Dashboard/Served?ServiceDateFrom=2025-11-24&amp;ServiceDateTo=2025-11-24&amp;DumpsterInvNr=13-L-317863", "13-L-317863")</f>
        <v>13-L-317863</v>
      </c>
      <c r="C10891">
        <v>1.1000000000000001</v>
      </c>
      <c r="D10891" t="s">
        <v>14472</v>
      </c>
      <c r="E10891" t="s">
        <v>11</v>
      </c>
      <c r="G10891" t="s">
        <v>9</v>
      </c>
      <c r="H10891" t="s">
        <v>14</v>
      </c>
    </row>
    <row r="10892" spans="1:8" hidden="1" x14ac:dyDescent="0.25">
      <c r="A10892" t="s">
        <v>10351</v>
      </c>
      <c r="B10892" s="1" t="str">
        <f>HYPERLINK("https://asmlis.vasa.lt/Dashboard/Served?ServiceDateFrom=2025-11-24&amp;ServiceDateTo=2025-11-24&amp;DumpsterInvNr=13-L-404392", "13-L-404392")</f>
        <v>13-L-404392</v>
      </c>
      <c r="C10892">
        <v>0.12</v>
      </c>
      <c r="D10892" t="s">
        <v>14473</v>
      </c>
      <c r="E10892" t="s">
        <v>11</v>
      </c>
      <c r="F10892" t="s">
        <v>1209</v>
      </c>
      <c r="G10892" t="s">
        <v>74</v>
      </c>
      <c r="H10892" t="s">
        <v>14</v>
      </c>
    </row>
    <row r="10893" spans="1:8" hidden="1" x14ac:dyDescent="0.25">
      <c r="A10893" t="s">
        <v>10612</v>
      </c>
      <c r="B10893" s="1" t="str">
        <f>HYPERLINK("https://asmlis.vasa.lt/Dashboard/Served?ServiceDateFrom=2025-11-24&amp;ServiceDateTo=2025-11-24&amp;DumpsterInvNr=13-L-143922", "13-L-143922")</f>
        <v>13-L-143922</v>
      </c>
      <c r="C10893">
        <v>0.24</v>
      </c>
      <c r="D10893" t="s">
        <v>14470</v>
      </c>
      <c r="E10893" t="s">
        <v>11</v>
      </c>
      <c r="G10893" t="s">
        <v>430</v>
      </c>
      <c r="H10893" t="s">
        <v>432</v>
      </c>
    </row>
    <row r="10894" spans="1:8" hidden="1" x14ac:dyDescent="0.25">
      <c r="A10894" t="s">
        <v>14475</v>
      </c>
      <c r="B10894" s="1" t="str">
        <f>HYPERLINK("https://asmlis.vasa.lt/Dashboard/Served?ServiceDateFrom=2025-11-24&amp;ServiceDateTo=2025-11-24&amp;DumpsterInvNr=DGA-ZALVARIS", "DGA-ZALVARIS")</f>
        <v>DGA-ZALVARIS</v>
      </c>
      <c r="C10894">
        <v>1</v>
      </c>
      <c r="D10894" t="s">
        <v>13767</v>
      </c>
      <c r="E10894" t="s">
        <v>12</v>
      </c>
      <c r="F10894" t="s">
        <v>14476</v>
      </c>
      <c r="G10894" t="s">
        <v>14259</v>
      </c>
      <c r="H10894" t="s">
        <v>6765</v>
      </c>
    </row>
    <row r="10895" spans="1:8" hidden="1" x14ac:dyDescent="0.25">
      <c r="A10895" t="s">
        <v>11422</v>
      </c>
      <c r="B10895" s="1" t="str">
        <f>HYPERLINK("https://asmlis.vasa.lt/Dashboard/Served?ServiceDateFrom=2025-11-24&amp;ServiceDateTo=2025-11-24&amp;DumpsterInvNr=13-P-213007", "13-P-213007")</f>
        <v>13-P-213007</v>
      </c>
      <c r="C10895">
        <v>0.24</v>
      </c>
      <c r="D10895" t="s">
        <v>12292</v>
      </c>
      <c r="E10895" t="s">
        <v>11</v>
      </c>
      <c r="G10895" t="s">
        <v>234</v>
      </c>
      <c r="H10895" t="s">
        <v>14</v>
      </c>
    </row>
    <row r="10896" spans="1:8" hidden="1" x14ac:dyDescent="0.25">
      <c r="A10896" t="s">
        <v>14477</v>
      </c>
      <c r="B10896" s="1" t="str">
        <f>HYPERLINK("https://asmlis.vasa.lt/Dashboard/Served?ServiceDateFrom=2025-11-24&amp;ServiceDateTo=2025-11-24&amp;DumpsterInvNr=13-S-505581", "13-S-505581")</f>
        <v>13-S-505581</v>
      </c>
      <c r="C10896">
        <v>0.12</v>
      </c>
      <c r="D10896" t="s">
        <v>14444</v>
      </c>
      <c r="E10896" t="s">
        <v>11</v>
      </c>
      <c r="F10896" t="s">
        <v>1209</v>
      </c>
      <c r="G10896" t="s">
        <v>2178</v>
      </c>
      <c r="H10896" t="s">
        <v>432</v>
      </c>
    </row>
    <row r="10897" spans="1:8" hidden="1" x14ac:dyDescent="0.25">
      <c r="A10897" t="s">
        <v>14478</v>
      </c>
      <c r="B10897" s="1" t="str">
        <f>HYPERLINK("https://asmlis.vasa.lt/Dashboard/Served?ServiceDateFrom=2025-11-24&amp;ServiceDateTo=2025-11-24&amp;DumpsterInvNr=13-L-317292", "13-L-317292")</f>
        <v>13-L-317292</v>
      </c>
      <c r="C10897">
        <v>1.1000000000000001</v>
      </c>
      <c r="D10897" t="s">
        <v>14479</v>
      </c>
      <c r="E10897" t="s">
        <v>11</v>
      </c>
      <c r="G10897" t="s">
        <v>9</v>
      </c>
      <c r="H10897" t="s">
        <v>14</v>
      </c>
    </row>
    <row r="10898" spans="1:8" hidden="1" x14ac:dyDescent="0.25">
      <c r="A10898" t="s">
        <v>12998</v>
      </c>
      <c r="B10898" s="1" t="str">
        <f>HYPERLINK("https://asmlis.vasa.lt/Dashboard/Served?ServiceDateFrom=2025-11-24&amp;ServiceDateTo=2025-11-24&amp;DumpsterInvNr=13-L-142573", "13-L-142573")</f>
        <v>13-L-142573</v>
      </c>
      <c r="C10898">
        <v>0.24</v>
      </c>
      <c r="D10898" t="s">
        <v>14480</v>
      </c>
      <c r="E10898" t="s">
        <v>11</v>
      </c>
      <c r="G10898" t="s">
        <v>430</v>
      </c>
      <c r="H10898" t="s">
        <v>432</v>
      </c>
    </row>
    <row r="10899" spans="1:8" hidden="1" x14ac:dyDescent="0.25">
      <c r="A10899" t="s">
        <v>13002</v>
      </c>
      <c r="B10899" s="1" t="str">
        <f>HYPERLINK("https://asmlis.vasa.lt/Dashboard/Served?ServiceDateFrom=2025-11-24&amp;ServiceDateTo=2025-11-24&amp;DumpsterInvNr=13-L-206344", "13-L-206344")</f>
        <v>13-L-206344</v>
      </c>
      <c r="C10899">
        <v>0.24</v>
      </c>
      <c r="D10899" t="s">
        <v>14481</v>
      </c>
      <c r="E10899" t="s">
        <v>11</v>
      </c>
      <c r="G10899" t="s">
        <v>936</v>
      </c>
      <c r="H10899" t="s">
        <v>938</v>
      </c>
    </row>
    <row r="10900" spans="1:8" hidden="1" x14ac:dyDescent="0.25">
      <c r="A10900" t="s">
        <v>13509</v>
      </c>
      <c r="B10900" s="1" t="str">
        <f>HYPERLINK("https://asmlis.vasa.lt/Dashboard/Served?ServiceDateFrom=2025-11-24&amp;ServiceDateTo=2025-11-24&amp;DumpsterInvNr=13-P-502970", "13-P-502970")</f>
        <v>13-P-502970</v>
      </c>
      <c r="C10900">
        <v>0.24</v>
      </c>
      <c r="D10900" t="s">
        <v>14480</v>
      </c>
      <c r="E10900" t="s">
        <v>11</v>
      </c>
      <c r="G10900" t="s">
        <v>2178</v>
      </c>
      <c r="H10900" t="s">
        <v>432</v>
      </c>
    </row>
    <row r="10901" spans="1:8" hidden="1" x14ac:dyDescent="0.25">
      <c r="A10901" t="s">
        <v>14483</v>
      </c>
      <c r="B10901" s="1" t="str">
        <f>HYPERLINK("https://asmlis.vasa.lt/Dashboard/Served?ServiceDateFrom=2025-11-24&amp;ServiceDateTo=2025-11-24&amp;DumpsterInvNr=13-S-101769", "13-S-101769")</f>
        <v>13-S-101769</v>
      </c>
      <c r="C10901">
        <v>0.12</v>
      </c>
      <c r="D10901" t="s">
        <v>14484</v>
      </c>
      <c r="E10901" t="s">
        <v>11</v>
      </c>
      <c r="G10901" t="s">
        <v>1917</v>
      </c>
      <c r="H10901" t="s">
        <v>432</v>
      </c>
    </row>
    <row r="10902" spans="1:8" hidden="1" x14ac:dyDescent="0.25">
      <c r="A10902" t="s">
        <v>13683</v>
      </c>
      <c r="B10902" s="1" t="str">
        <f>HYPERLINK("https://asmlis.vasa.lt/Dashboard/Served?ServiceDateFrom=2025-11-24&amp;ServiceDateTo=2025-11-24&amp;DumpsterInvNr=13-P-205086", "13-P-205086")</f>
        <v>13-P-205086</v>
      </c>
      <c r="C10902">
        <v>0.24</v>
      </c>
      <c r="D10902" t="s">
        <v>12279</v>
      </c>
      <c r="E10902" t="s">
        <v>11</v>
      </c>
      <c r="G10902" t="s">
        <v>234</v>
      </c>
      <c r="H10902" t="s">
        <v>14</v>
      </c>
    </row>
    <row r="10903" spans="1:8" hidden="1" x14ac:dyDescent="0.25">
      <c r="A10903" t="s">
        <v>13811</v>
      </c>
      <c r="B10903" s="1" t="str">
        <f>HYPERLINK("https://asmlis.vasa.lt/Dashboard/Served?ServiceDateFrom=2025-11-24&amp;ServiceDateTo=2025-11-24&amp;DumpsterInvNr=13-L-317221", "13-L-317221")</f>
        <v>13-L-317221</v>
      </c>
      <c r="C10903">
        <v>0.77</v>
      </c>
      <c r="D10903" t="s">
        <v>14485</v>
      </c>
      <c r="E10903" t="s">
        <v>11</v>
      </c>
      <c r="G10903" t="s">
        <v>9</v>
      </c>
      <c r="H10903" t="s">
        <v>14</v>
      </c>
    </row>
    <row r="10904" spans="1:8" hidden="1" x14ac:dyDescent="0.25">
      <c r="A10904" t="s">
        <v>13811</v>
      </c>
      <c r="B10904" s="1" t="str">
        <f>HYPERLINK("https://asmlis.vasa.lt/Dashboard/Served?ServiceDateFrom=2025-11-24&amp;ServiceDateTo=2025-11-24&amp;DumpsterInvNr=13-L-142919", "13-L-142919")</f>
        <v>13-L-142919</v>
      </c>
      <c r="C10904">
        <v>1.1000000000000001</v>
      </c>
      <c r="D10904" t="s">
        <v>14486</v>
      </c>
      <c r="E10904" t="s">
        <v>11</v>
      </c>
      <c r="G10904" t="s">
        <v>430</v>
      </c>
      <c r="H10904" t="s">
        <v>432</v>
      </c>
    </row>
    <row r="10905" spans="1:8" hidden="1" x14ac:dyDescent="0.25">
      <c r="A10905" t="s">
        <v>14059</v>
      </c>
      <c r="B10905" s="1" t="str">
        <f>HYPERLINK("https://asmlis.vasa.lt/Dashboard/Served?ServiceDateFrom=2025-11-24&amp;ServiceDateTo=2025-11-24&amp;DumpsterInvNr=13-L-419375", "13-L-419375")</f>
        <v>13-L-419375</v>
      </c>
      <c r="C10905">
        <v>0.12</v>
      </c>
      <c r="D10905" t="s">
        <v>10171</v>
      </c>
      <c r="E10905" t="s">
        <v>11</v>
      </c>
      <c r="G10905" t="s">
        <v>74</v>
      </c>
      <c r="H10905" t="s">
        <v>14</v>
      </c>
    </row>
    <row r="10906" spans="1:8" hidden="1" x14ac:dyDescent="0.25">
      <c r="A10906" t="s">
        <v>14450</v>
      </c>
      <c r="B10906" s="1" t="str">
        <f>HYPERLINK("https://asmlis.vasa.lt/Dashboard/Served?ServiceDateFrom=2025-11-24&amp;ServiceDateTo=2025-11-24&amp;DumpsterInvNr=13-L-224228", "13-L-224228")</f>
        <v>13-L-224228</v>
      </c>
      <c r="C10906">
        <v>5</v>
      </c>
      <c r="D10906" t="s">
        <v>14488</v>
      </c>
      <c r="E10906" t="s">
        <v>11</v>
      </c>
      <c r="G10906" t="s">
        <v>936</v>
      </c>
      <c r="H10906" t="s">
        <v>938</v>
      </c>
    </row>
    <row r="10907" spans="1:8" hidden="1" x14ac:dyDescent="0.25">
      <c r="A10907" t="s">
        <v>14489</v>
      </c>
      <c r="B10907" s="1" t="str">
        <f>HYPERLINK("https://asmlis.vasa.lt/Dashboard/Served?ServiceDateFrom=2025-11-24&amp;ServiceDateTo=2025-11-24&amp;DumpsterInvNr=13-L-141790", "13-L-141790")</f>
        <v>13-L-141790</v>
      </c>
      <c r="C10907">
        <v>0.24</v>
      </c>
      <c r="D10907" t="s">
        <v>14490</v>
      </c>
      <c r="E10907" t="s">
        <v>11</v>
      </c>
      <c r="G10907" t="s">
        <v>430</v>
      </c>
      <c r="H10907" t="s">
        <v>432</v>
      </c>
    </row>
    <row r="10908" spans="1:8" hidden="1" x14ac:dyDescent="0.25">
      <c r="A10908" t="s">
        <v>14491</v>
      </c>
      <c r="B10908" s="1" t="str">
        <f>HYPERLINK("https://asmlis.vasa.lt/Dashboard/Served?ServiceDateFrom=2025-11-24&amp;ServiceDateTo=2025-11-24&amp;DumpsterInvNr=13-P-211700", "13-P-211700")</f>
        <v>13-P-211700</v>
      </c>
      <c r="C10908">
        <v>0.24</v>
      </c>
      <c r="D10908" t="s">
        <v>12277</v>
      </c>
      <c r="E10908" t="s">
        <v>11</v>
      </c>
      <c r="G10908" t="s">
        <v>234</v>
      </c>
      <c r="H10908" t="s">
        <v>14</v>
      </c>
    </row>
    <row r="10909" spans="1:8" hidden="1" x14ac:dyDescent="0.25">
      <c r="A10909" t="s">
        <v>14491</v>
      </c>
      <c r="B10909" s="1" t="str">
        <f>HYPERLINK("https://asmlis.vasa.lt/Dashboard/Served?ServiceDateFrom=2025-11-24&amp;ServiceDateTo=2025-11-24&amp;DumpsterInvNr=13-P-502732", "13-P-502732")</f>
        <v>13-P-502732</v>
      </c>
      <c r="C10909">
        <v>0.24</v>
      </c>
      <c r="D10909" t="s">
        <v>14490</v>
      </c>
      <c r="E10909" t="s">
        <v>11</v>
      </c>
      <c r="G10909" t="s">
        <v>2178</v>
      </c>
      <c r="H10909" t="s">
        <v>432</v>
      </c>
    </row>
    <row r="10910" spans="1:8" hidden="1" x14ac:dyDescent="0.25">
      <c r="A10910" t="s">
        <v>14492</v>
      </c>
      <c r="B10910" s="1" t="str">
        <f>HYPERLINK("https://asmlis.vasa.lt/Dashboard/Served?ServiceDateFrom=2025-11-24&amp;ServiceDateTo=2025-11-24&amp;DumpsterInvNr=13-P-213033", "13-P-213033")</f>
        <v>13-P-213033</v>
      </c>
      <c r="C10910">
        <v>1.1000000000000001</v>
      </c>
      <c r="D10910" t="s">
        <v>14493</v>
      </c>
      <c r="E10910" t="s">
        <v>11</v>
      </c>
      <c r="F10910" t="s">
        <v>13</v>
      </c>
      <c r="G10910" t="s">
        <v>234</v>
      </c>
      <c r="H10910" t="s">
        <v>14</v>
      </c>
    </row>
    <row r="10911" spans="1:8" hidden="1" x14ac:dyDescent="0.25">
      <c r="A10911" t="s">
        <v>14494</v>
      </c>
      <c r="B10911" s="1" t="str">
        <f>HYPERLINK("https://asmlis.vasa.lt/Dashboard/Served?ServiceDateFrom=2025-11-24&amp;ServiceDateTo=2025-11-24&amp;DumpsterInvNr=13-L-218024", "13-L-218024")</f>
        <v>13-L-218024</v>
      </c>
      <c r="C10911">
        <v>0.24</v>
      </c>
      <c r="D10911" t="s">
        <v>14495</v>
      </c>
      <c r="E10911" t="s">
        <v>11</v>
      </c>
      <c r="G10911" t="s">
        <v>936</v>
      </c>
      <c r="H10911" t="s">
        <v>938</v>
      </c>
    </row>
    <row r="10912" spans="1:8" hidden="1" x14ac:dyDescent="0.25">
      <c r="A10912" t="s">
        <v>14496</v>
      </c>
      <c r="B10912" s="1" t="str">
        <f>HYPERLINK("https://asmlis.vasa.lt/Dashboard/Served?ServiceDateFrom=2025-11-24&amp;ServiceDateTo=2025-11-24&amp;DumpsterInvNr=13-P-401085", "13-P-401085")</f>
        <v>13-P-401085</v>
      </c>
      <c r="C10912">
        <v>5</v>
      </c>
      <c r="D10912" t="s">
        <v>14497</v>
      </c>
      <c r="E10912" t="s">
        <v>11</v>
      </c>
      <c r="G10912" t="s">
        <v>264</v>
      </c>
      <c r="H10912" t="s">
        <v>14</v>
      </c>
    </row>
    <row r="10913" spans="1:8" hidden="1" x14ac:dyDescent="0.25">
      <c r="A10913" t="s">
        <v>14498</v>
      </c>
      <c r="B10913" s="1" t="str">
        <f>HYPERLINK("https://asmlis.vasa.lt/Dashboard/Served?ServiceDateFrom=2025-11-24&amp;ServiceDateTo=2025-11-24&amp;DumpsterInvNr=13-L-425302", "13-L-425302")</f>
        <v>13-L-425302</v>
      </c>
      <c r="C10913">
        <v>5</v>
      </c>
      <c r="D10913" t="s">
        <v>3299</v>
      </c>
      <c r="E10913" t="s">
        <v>11</v>
      </c>
      <c r="F10913" t="s">
        <v>13</v>
      </c>
      <c r="G10913" t="s">
        <v>74</v>
      </c>
      <c r="H10913" t="s">
        <v>14</v>
      </c>
    </row>
    <row r="10914" spans="1:8" hidden="1" x14ac:dyDescent="0.25">
      <c r="A10914" t="s">
        <v>14499</v>
      </c>
      <c r="B10914" s="1" t="str">
        <f>HYPERLINK("https://asmlis.vasa.lt/Dashboard/Served?ServiceDateFrom=2025-11-24&amp;ServiceDateTo=2025-11-24&amp;DumpsterInvNr=13-S-504974", "13-S-504974")</f>
        <v>13-S-504974</v>
      </c>
      <c r="C10914">
        <v>0.12</v>
      </c>
      <c r="D10914" t="s">
        <v>14490</v>
      </c>
      <c r="E10914" t="s">
        <v>11</v>
      </c>
      <c r="F10914" t="s">
        <v>1209</v>
      </c>
      <c r="G10914" t="s">
        <v>2178</v>
      </c>
      <c r="H10914" t="s">
        <v>432</v>
      </c>
    </row>
    <row r="10915" spans="1:8" hidden="1" x14ac:dyDescent="0.25">
      <c r="A10915" t="s">
        <v>14501</v>
      </c>
      <c r="B10915" s="1" t="str">
        <f>HYPERLINK("https://asmlis.vasa.lt/Dashboard/Served?ServiceDateFrom=2025-11-24&amp;ServiceDateTo=2025-11-24&amp;DumpsterInvNr=13-L-318271", "13-L-318271")</f>
        <v>13-L-318271</v>
      </c>
      <c r="C10915">
        <v>0.24</v>
      </c>
      <c r="D10915" t="s">
        <v>14502</v>
      </c>
      <c r="E10915" t="s">
        <v>11</v>
      </c>
      <c r="F10915" t="s">
        <v>1209</v>
      </c>
      <c r="G10915" t="s">
        <v>9</v>
      </c>
      <c r="H10915" t="s">
        <v>14</v>
      </c>
    </row>
    <row r="10916" spans="1:8" hidden="1" x14ac:dyDescent="0.25">
      <c r="A10916" t="s">
        <v>14503</v>
      </c>
      <c r="B10916" s="1" t="str">
        <f>HYPERLINK("https://asmlis.vasa.lt/Dashboard/Served?ServiceDateFrom=2025-11-24&amp;ServiceDateTo=2025-11-24&amp;DumpsterInvNr=13-L-141778", "13-L-141778")</f>
        <v>13-L-141778</v>
      </c>
      <c r="C10916">
        <v>0.24</v>
      </c>
      <c r="D10916" t="s">
        <v>14504</v>
      </c>
      <c r="E10916" t="s">
        <v>11</v>
      </c>
      <c r="G10916" t="s">
        <v>430</v>
      </c>
      <c r="H10916" t="s">
        <v>432</v>
      </c>
    </row>
    <row r="10917" spans="1:8" hidden="1" x14ac:dyDescent="0.25">
      <c r="A10917" t="s">
        <v>14503</v>
      </c>
      <c r="B10917" s="1" t="str">
        <f>HYPERLINK("https://asmlis.vasa.lt/Dashboard/Served?ServiceDateFrom=2025-11-24&amp;ServiceDateTo=2025-11-24&amp;DumpsterInvNr=13-P-502733", "13-P-502733")</f>
        <v>13-P-502733</v>
      </c>
      <c r="C10917">
        <v>0.24</v>
      </c>
      <c r="D10917" t="s">
        <v>14504</v>
      </c>
      <c r="E10917" t="s">
        <v>11</v>
      </c>
      <c r="G10917" t="s">
        <v>2178</v>
      </c>
      <c r="H10917" t="s">
        <v>432</v>
      </c>
    </row>
    <row r="10918" spans="1:8" hidden="1" x14ac:dyDescent="0.25">
      <c r="A10918" t="s">
        <v>14507</v>
      </c>
      <c r="B10918" s="1" t="str">
        <f>HYPERLINK("https://asmlis.vasa.lt/Dashboard/Served?ServiceDateFrom=2025-11-24&amp;ServiceDateTo=2025-11-24&amp;DumpsterInvNr=13-L-309990", "13-L-309990")</f>
        <v>13-L-309990</v>
      </c>
      <c r="C10918">
        <v>1.1000000000000001</v>
      </c>
      <c r="D10918" t="s">
        <v>10369</v>
      </c>
      <c r="E10918" t="s">
        <v>11</v>
      </c>
      <c r="G10918" t="s">
        <v>9</v>
      </c>
      <c r="H10918" t="s">
        <v>14</v>
      </c>
    </row>
    <row r="10919" spans="1:8" hidden="1" x14ac:dyDescent="0.25">
      <c r="A10919" t="s">
        <v>14508</v>
      </c>
      <c r="B10919" s="1" t="str">
        <f>HYPERLINK("https://asmlis.vasa.lt/Dashboard/Served?ServiceDateFrom=2025-11-24&amp;ServiceDateTo=2025-11-24&amp;DumpsterInvNr=13-P-211655", "13-P-211655")</f>
        <v>13-P-211655</v>
      </c>
      <c r="C10919">
        <v>0.24</v>
      </c>
      <c r="D10919" t="s">
        <v>12261</v>
      </c>
      <c r="E10919" t="s">
        <v>11</v>
      </c>
      <c r="G10919" t="s">
        <v>234</v>
      </c>
      <c r="H10919" t="s">
        <v>14</v>
      </c>
    </row>
    <row r="10920" spans="1:8" hidden="1" x14ac:dyDescent="0.25">
      <c r="A10920" t="s">
        <v>14509</v>
      </c>
      <c r="B10920" s="1" t="str">
        <f>HYPERLINK("https://asmlis.vasa.lt/Dashboard/Served?ServiceDateFrom=2025-11-24&amp;ServiceDateTo=2025-11-24&amp;DumpsterInvNr=13-L-304385", "13-L-304385")</f>
        <v>13-L-304385</v>
      </c>
      <c r="C10920">
        <v>5</v>
      </c>
      <c r="D10920" t="s">
        <v>14510</v>
      </c>
      <c r="E10920" t="s">
        <v>11</v>
      </c>
      <c r="F10920" t="s">
        <v>13</v>
      </c>
      <c r="G10920" t="s">
        <v>9</v>
      </c>
      <c r="H10920" t="s">
        <v>14</v>
      </c>
    </row>
    <row r="10921" spans="1:8" hidden="1" x14ac:dyDescent="0.25">
      <c r="A10921" t="s">
        <v>14511</v>
      </c>
      <c r="B10921" s="1" t="str">
        <f>HYPERLINK("https://asmlis.vasa.lt/Dashboard/Served?ServiceDateFrom=2025-11-24&amp;ServiceDateTo=2025-11-24&amp;DumpsterInvNr=13-L-215231", "13-L-215231")</f>
        <v>13-L-215231</v>
      </c>
      <c r="C10921">
        <v>0.24</v>
      </c>
      <c r="D10921" t="s">
        <v>14512</v>
      </c>
      <c r="E10921" t="s">
        <v>11</v>
      </c>
      <c r="F10921" t="s">
        <v>1209</v>
      </c>
      <c r="G10921" t="s">
        <v>936</v>
      </c>
      <c r="H10921" t="s">
        <v>938</v>
      </c>
    </row>
    <row r="10922" spans="1:8" hidden="1" x14ac:dyDescent="0.25">
      <c r="A10922" t="s">
        <v>14514</v>
      </c>
      <c r="B10922" s="1" t="str">
        <f>HYPERLINK("https://asmlis.vasa.lt/Dashboard/Served?ServiceDateFrom=2025-11-24&amp;ServiceDateTo=2025-11-24&amp;DumpsterInvNr=13-L-139246", "13-L-139246")</f>
        <v>13-L-139246</v>
      </c>
      <c r="C10922">
        <v>5</v>
      </c>
      <c r="D10922" t="s">
        <v>14515</v>
      </c>
      <c r="E10922" t="s">
        <v>11</v>
      </c>
      <c r="F10922" t="s">
        <v>13</v>
      </c>
      <c r="G10922" t="s">
        <v>430</v>
      </c>
      <c r="H10922" t="s">
        <v>432</v>
      </c>
    </row>
    <row r="10923" spans="1:8" hidden="1" x14ac:dyDescent="0.25">
      <c r="A10923" t="s">
        <v>14516</v>
      </c>
      <c r="B10923" s="1" t="str">
        <f>HYPERLINK("https://asmlis.vasa.lt/Dashboard/Served?ServiceDateFrom=2025-11-24&amp;ServiceDateTo=2025-11-24&amp;DumpsterInvNr=13-L-136350", "13-L-136350")</f>
        <v>13-L-136350</v>
      </c>
      <c r="C10923">
        <v>5</v>
      </c>
      <c r="D10923" t="s">
        <v>2237</v>
      </c>
      <c r="E10923" t="s">
        <v>11</v>
      </c>
      <c r="F10923" t="s">
        <v>13</v>
      </c>
      <c r="G10923" t="s">
        <v>1912</v>
      </c>
      <c r="H10923" t="s">
        <v>432</v>
      </c>
    </row>
    <row r="10924" spans="1:8" hidden="1" x14ac:dyDescent="0.25">
      <c r="A10924" t="s">
        <v>14516</v>
      </c>
      <c r="B10924" s="1" t="str">
        <f>HYPERLINK("https://asmlis.vasa.lt/Dashboard/Served?ServiceDateFrom=2025-11-24&amp;ServiceDateTo=2025-11-24&amp;DumpsterInvNr=13-L-128385", "13-L-128385")</f>
        <v>13-L-128385</v>
      </c>
      <c r="C10924">
        <v>0.24</v>
      </c>
      <c r="D10924" t="s">
        <v>14484</v>
      </c>
      <c r="E10924" t="s">
        <v>11</v>
      </c>
      <c r="G10924" t="s">
        <v>1912</v>
      </c>
      <c r="H10924" t="s">
        <v>432</v>
      </c>
    </row>
    <row r="10925" spans="1:8" hidden="1" x14ac:dyDescent="0.25">
      <c r="A10925" t="s">
        <v>14517</v>
      </c>
      <c r="B10925" s="1" t="str">
        <f>HYPERLINK("https://asmlis.vasa.lt/Dashboard/Served?ServiceDateFrom=2025-11-24&amp;ServiceDateTo=2025-11-24&amp;DumpsterInvNr=13-L-143711", "13-L-143711")</f>
        <v>13-L-143711</v>
      </c>
      <c r="C10925">
        <v>0.24</v>
      </c>
      <c r="D10925" t="s">
        <v>14518</v>
      </c>
      <c r="E10925" t="s">
        <v>11</v>
      </c>
      <c r="G10925" t="s">
        <v>430</v>
      </c>
      <c r="H10925" t="s">
        <v>432</v>
      </c>
    </row>
    <row r="10926" spans="1:8" hidden="1" x14ac:dyDescent="0.25">
      <c r="A10926" t="s">
        <v>14517</v>
      </c>
      <c r="B10926" s="1" t="str">
        <f>HYPERLINK("https://asmlis.vasa.lt/Dashboard/Served?ServiceDateFrom=2025-11-24&amp;ServiceDateTo=2025-11-24&amp;DumpsterInvNr=13-S-503421", "13-S-503421")</f>
        <v>13-S-503421</v>
      </c>
      <c r="C10926">
        <v>0.12</v>
      </c>
      <c r="D10926" t="s">
        <v>14504</v>
      </c>
      <c r="E10926" t="s">
        <v>11</v>
      </c>
      <c r="F10926" t="s">
        <v>1209</v>
      </c>
      <c r="G10926" t="s">
        <v>2178</v>
      </c>
      <c r="H10926" t="s">
        <v>432</v>
      </c>
    </row>
    <row r="10927" spans="1:8" hidden="1" x14ac:dyDescent="0.25">
      <c r="A10927" t="s">
        <v>14517</v>
      </c>
      <c r="B10927" s="1" t="str">
        <f>HYPERLINK("https://asmlis.vasa.lt/Dashboard/Served?ServiceDateFrom=2025-11-24&amp;ServiceDateTo=2025-11-24&amp;DumpsterInvNr=13-P-502878", "13-P-502878")</f>
        <v>13-P-502878</v>
      </c>
      <c r="C10927">
        <v>0.24</v>
      </c>
      <c r="D10927" t="s">
        <v>14518</v>
      </c>
      <c r="E10927" t="s">
        <v>11</v>
      </c>
      <c r="G10927" t="s">
        <v>2178</v>
      </c>
      <c r="H10927" t="s">
        <v>432</v>
      </c>
    </row>
    <row r="10928" spans="1:8" hidden="1" x14ac:dyDescent="0.25">
      <c r="A10928" t="s">
        <v>14517</v>
      </c>
      <c r="B10928" s="1" t="str">
        <f>HYPERLINK("https://asmlis.vasa.lt/Dashboard/Served?ServiceDateFrom=2025-11-24&amp;ServiceDateTo=2025-11-24&amp;DumpsterInvNr=13-P-213451", "13-P-213451")</f>
        <v>13-P-213451</v>
      </c>
      <c r="C10928">
        <v>0.24</v>
      </c>
      <c r="D10928" t="s">
        <v>12211</v>
      </c>
      <c r="E10928" t="s">
        <v>11</v>
      </c>
      <c r="G10928" t="s">
        <v>234</v>
      </c>
      <c r="H10928" t="s">
        <v>14</v>
      </c>
    </row>
    <row r="10929" spans="1:8" hidden="1" x14ac:dyDescent="0.25">
      <c r="A10929" t="s">
        <v>14521</v>
      </c>
      <c r="B10929" s="1" t="str">
        <f>HYPERLINK("https://asmlis.vasa.lt/Dashboard/Served?ServiceDateFrom=2025-11-24&amp;ServiceDateTo=2025-11-24&amp;DumpsterInvNr=13-P-500624", "13-P-500624")</f>
        <v>13-P-500624</v>
      </c>
      <c r="C10929">
        <v>5</v>
      </c>
      <c r="D10929" t="s">
        <v>14522</v>
      </c>
      <c r="E10929" t="s">
        <v>11</v>
      </c>
      <c r="F10929" t="s">
        <v>13</v>
      </c>
      <c r="G10929" t="s">
        <v>2178</v>
      </c>
      <c r="H10929" t="s">
        <v>432</v>
      </c>
    </row>
    <row r="10930" spans="1:8" hidden="1" x14ac:dyDescent="0.25">
      <c r="A10930" t="s">
        <v>14523</v>
      </c>
      <c r="B10930" s="1" t="str">
        <f>HYPERLINK("https://asmlis.vasa.lt/Dashboard/Served?ServiceDateFrom=2025-11-24&amp;ServiceDateTo=2025-11-24&amp;DumpsterInvNr=13-L-303354", "13-L-303354")</f>
        <v>13-L-303354</v>
      </c>
      <c r="C10930">
        <v>1.1000000000000001</v>
      </c>
      <c r="D10930" t="s">
        <v>14479</v>
      </c>
      <c r="E10930" t="s">
        <v>11</v>
      </c>
      <c r="F10930" t="s">
        <v>13</v>
      </c>
      <c r="G10930" t="s">
        <v>9</v>
      </c>
      <c r="H10930" t="s">
        <v>14</v>
      </c>
    </row>
    <row r="10931" spans="1:8" hidden="1" x14ac:dyDescent="0.25">
      <c r="A10931" t="s">
        <v>14523</v>
      </c>
      <c r="B10931" s="1" t="str">
        <f>HYPERLINK("https://asmlis.vasa.lt/Dashboard/Served?ServiceDateFrom=2025-11-24&amp;ServiceDateTo=2025-11-24&amp;DumpsterInvNr=13-P-100913", "13-P-100913")</f>
        <v>13-P-100913</v>
      </c>
      <c r="C10931">
        <v>0.12</v>
      </c>
      <c r="D10931" t="s">
        <v>14484</v>
      </c>
      <c r="E10931" t="s">
        <v>11</v>
      </c>
      <c r="G10931" t="s">
        <v>1917</v>
      </c>
      <c r="H10931" t="s">
        <v>432</v>
      </c>
    </row>
    <row r="10932" spans="1:8" hidden="1" x14ac:dyDescent="0.25">
      <c r="A10932" t="s">
        <v>12688</v>
      </c>
      <c r="B10932" s="1" t="str">
        <f>HYPERLINK("https://asmlis.vasa.lt/Dashboard/Served?ServiceDateFrom=2025-11-24&amp;ServiceDateTo=2025-11-24&amp;DumpsterInvNr=13-P-416294", "13-P-416294")</f>
        <v>13-P-416294</v>
      </c>
      <c r="C10932">
        <v>5</v>
      </c>
      <c r="D10932" t="s">
        <v>13924</v>
      </c>
      <c r="E10932" t="s">
        <v>11</v>
      </c>
      <c r="G10932" t="s">
        <v>264</v>
      </c>
      <c r="H10932" t="s">
        <v>14</v>
      </c>
    </row>
    <row r="10933" spans="1:8" hidden="1" x14ac:dyDescent="0.25">
      <c r="A10933" t="s">
        <v>12852</v>
      </c>
      <c r="B10933" s="1" t="str">
        <f>HYPERLINK("https://asmlis.vasa.lt/Dashboard/Served?ServiceDateFrom=2025-11-24&amp;ServiceDateTo=2025-11-24&amp;DumpsterInvNr=13-L-133452", "13-L-133452")</f>
        <v>13-L-133452</v>
      </c>
      <c r="C10933">
        <v>5</v>
      </c>
      <c r="D10933" t="s">
        <v>7904</v>
      </c>
      <c r="E10933" t="s">
        <v>11</v>
      </c>
      <c r="F10933" t="s">
        <v>13</v>
      </c>
      <c r="G10933" t="s">
        <v>430</v>
      </c>
      <c r="H10933" t="s">
        <v>432</v>
      </c>
    </row>
    <row r="10934" spans="1:8" hidden="1" x14ac:dyDescent="0.25">
      <c r="A10934" t="s">
        <v>13205</v>
      </c>
      <c r="B10934" s="1" t="str">
        <f>HYPERLINK("https://asmlis.vasa.lt/Dashboard/Served?ServiceDateFrom=2025-11-24&amp;ServiceDateTo=2025-11-24&amp;DumpsterInvNr=13-L-316982", "13-L-316982")</f>
        <v>13-L-316982</v>
      </c>
      <c r="C10934">
        <v>1.1000000000000001</v>
      </c>
      <c r="D10934" t="s">
        <v>10369</v>
      </c>
      <c r="E10934" t="s">
        <v>11</v>
      </c>
      <c r="F10934" t="s">
        <v>13</v>
      </c>
      <c r="G10934" t="s">
        <v>9</v>
      </c>
      <c r="H10934" t="s">
        <v>14</v>
      </c>
    </row>
    <row r="10935" spans="1:8" hidden="1" x14ac:dyDescent="0.25">
      <c r="A10935" t="s">
        <v>14524</v>
      </c>
      <c r="B10935" s="1" t="str">
        <f>HYPERLINK("https://asmlis.vasa.lt/Dashboard/Served?ServiceDateFrom=2025-11-24&amp;ServiceDateTo=2025-11-24&amp;DumpsterInvNr=13-S-207823", "13-S-207823")</f>
        <v>13-S-207823</v>
      </c>
      <c r="C10935">
        <v>3</v>
      </c>
      <c r="D10935" t="s">
        <v>14525</v>
      </c>
      <c r="E10935" t="s">
        <v>11</v>
      </c>
      <c r="G10935" t="s">
        <v>234</v>
      </c>
      <c r="H10935" t="s">
        <v>14</v>
      </c>
    </row>
    <row r="10936" spans="1:8" hidden="1" x14ac:dyDescent="0.25">
      <c r="A10936" t="s">
        <v>14526</v>
      </c>
      <c r="B10936" s="1" t="str">
        <f>HYPERLINK("https://asmlis.vasa.lt/Dashboard/Served?ServiceDateFrom=2025-11-24&amp;ServiceDateTo=2025-11-24&amp;DumpsterInvNr=13-L-144893", "13-L-144893")</f>
        <v>13-L-144893</v>
      </c>
      <c r="C10936">
        <v>0.24</v>
      </c>
      <c r="D10936" t="s">
        <v>14527</v>
      </c>
      <c r="E10936" t="s">
        <v>11</v>
      </c>
      <c r="G10936" t="s">
        <v>430</v>
      </c>
      <c r="H10936" t="s">
        <v>432</v>
      </c>
    </row>
    <row r="10937" spans="1:8" hidden="1" x14ac:dyDescent="0.25">
      <c r="A10937" t="s">
        <v>14528</v>
      </c>
      <c r="B10937" s="1" t="str">
        <f>HYPERLINK("https://asmlis.vasa.lt/Dashboard/Served?ServiceDateFrom=2025-11-24&amp;ServiceDateTo=2025-11-24&amp;DumpsterInvNr=13-P-503068", "13-P-503068")</f>
        <v>13-P-503068</v>
      </c>
      <c r="C10937">
        <v>0.24</v>
      </c>
      <c r="D10937" t="s">
        <v>14529</v>
      </c>
      <c r="E10937" t="s">
        <v>11</v>
      </c>
      <c r="G10937" t="s">
        <v>2178</v>
      </c>
      <c r="H10937" t="s">
        <v>432</v>
      </c>
    </row>
    <row r="10938" spans="1:8" hidden="1" x14ac:dyDescent="0.25">
      <c r="A10938" t="s">
        <v>14530</v>
      </c>
      <c r="B10938" s="1" t="str">
        <f>HYPERLINK("https://asmlis.vasa.lt/Dashboard/Served?ServiceDateFrom=2025-11-24&amp;ServiceDateTo=2025-11-24&amp;DumpsterInvNr=13-S-503732", "13-S-503732")</f>
        <v>13-S-503732</v>
      </c>
      <c r="C10938">
        <v>0.12</v>
      </c>
      <c r="D10938" t="s">
        <v>14529</v>
      </c>
      <c r="E10938" t="s">
        <v>11</v>
      </c>
      <c r="G10938" t="s">
        <v>2178</v>
      </c>
      <c r="H10938" t="s">
        <v>432</v>
      </c>
    </row>
    <row r="10939" spans="1:8" hidden="1" x14ac:dyDescent="0.25">
      <c r="A10939" t="s">
        <v>14531</v>
      </c>
      <c r="B10939" s="1" t="str">
        <f>HYPERLINK("https://asmlis.vasa.lt/Dashboard/Served?ServiceDateFrom=2025-11-24&amp;ServiceDateTo=2025-11-24&amp;DumpsterInvNr=13-L-203536", "13-L-203536")</f>
        <v>13-L-203536</v>
      </c>
      <c r="C10939">
        <v>0.12</v>
      </c>
      <c r="D10939" t="s">
        <v>14532</v>
      </c>
      <c r="E10939" t="s">
        <v>11</v>
      </c>
      <c r="G10939" t="s">
        <v>936</v>
      </c>
      <c r="H10939" t="s">
        <v>938</v>
      </c>
    </row>
    <row r="10940" spans="1:8" hidden="1" x14ac:dyDescent="0.25">
      <c r="A10940" t="s">
        <v>14531</v>
      </c>
      <c r="B10940" s="1" t="str">
        <f>HYPERLINK("https://asmlis.vasa.lt/Dashboard/Served?ServiceDateFrom=2025-11-24&amp;ServiceDateTo=2025-11-24&amp;DumpsterInvNr=13-P-206188", "13-P-206188")</f>
        <v>13-P-206188</v>
      </c>
      <c r="C10940">
        <v>0.24</v>
      </c>
      <c r="D10940" t="s">
        <v>12250</v>
      </c>
      <c r="E10940" t="s">
        <v>11</v>
      </c>
      <c r="G10940" t="s">
        <v>234</v>
      </c>
      <c r="H10940" t="s">
        <v>14</v>
      </c>
    </row>
    <row r="10941" spans="1:8" hidden="1" x14ac:dyDescent="0.25">
      <c r="A10941" t="s">
        <v>14533</v>
      </c>
      <c r="B10941" s="1" t="str">
        <f>HYPERLINK("https://asmlis.vasa.lt/Dashboard/Served?ServiceDateFrom=2025-11-24&amp;ServiceDateTo=2025-11-24&amp;DumpsterInvNr=13-P-302622", "13-P-302622")</f>
        <v>13-P-302622</v>
      </c>
      <c r="C10941">
        <v>5</v>
      </c>
      <c r="D10941" t="s">
        <v>5694</v>
      </c>
      <c r="E10941" t="s">
        <v>11</v>
      </c>
      <c r="G10941" t="s">
        <v>412</v>
      </c>
      <c r="H10941" t="s">
        <v>14</v>
      </c>
    </row>
    <row r="10942" spans="1:8" hidden="1" x14ac:dyDescent="0.25">
      <c r="A10942" t="s">
        <v>14534</v>
      </c>
      <c r="B10942" s="1" t="str">
        <f>HYPERLINK("https://asmlis.vasa.lt/Dashboard/Served?ServiceDateFrom=2025-11-24&amp;ServiceDateTo=2025-11-24&amp;DumpsterInvNr=13-P-302375", "13-P-302375")</f>
        <v>13-P-302375</v>
      </c>
      <c r="C10942">
        <v>5</v>
      </c>
      <c r="D10942" t="s">
        <v>14339</v>
      </c>
      <c r="E10942" t="s">
        <v>11</v>
      </c>
      <c r="F10942" t="s">
        <v>13</v>
      </c>
      <c r="G10942" t="s">
        <v>412</v>
      </c>
      <c r="H10942" t="s">
        <v>14</v>
      </c>
    </row>
    <row r="10943" spans="1:8" hidden="1" x14ac:dyDescent="0.25">
      <c r="A10943" t="s">
        <v>14534</v>
      </c>
      <c r="B10943" s="1" t="str">
        <f>HYPERLINK("https://asmlis.vasa.lt/Dashboard/Served?ServiceDateFrom=2025-11-24&amp;ServiceDateTo=2025-11-24&amp;DumpsterInvNr=13-L-106027", "13-L-106027")</f>
        <v>13-L-106027</v>
      </c>
      <c r="C10943">
        <v>0.24</v>
      </c>
      <c r="D10943" t="s">
        <v>11856</v>
      </c>
      <c r="E10943" t="s">
        <v>11</v>
      </c>
      <c r="G10943" t="s">
        <v>1912</v>
      </c>
      <c r="H10943" t="s">
        <v>432</v>
      </c>
    </row>
    <row r="10944" spans="1:8" hidden="1" x14ac:dyDescent="0.25">
      <c r="A10944" t="s">
        <v>12789</v>
      </c>
      <c r="B10944" s="1" t="str">
        <f>HYPERLINK("https://asmlis.vasa.lt/Dashboard/Served?ServiceDateFrom=2025-11-24&amp;ServiceDateTo=2025-11-24&amp;DumpsterInvNr=13-P-302415", "13-P-302415")</f>
        <v>13-P-302415</v>
      </c>
      <c r="C10944">
        <v>5</v>
      </c>
      <c r="D10944" t="s">
        <v>14339</v>
      </c>
      <c r="E10944" t="s">
        <v>11</v>
      </c>
      <c r="F10944" t="s">
        <v>13</v>
      </c>
      <c r="G10944" t="s">
        <v>412</v>
      </c>
      <c r="H10944" t="s">
        <v>14</v>
      </c>
    </row>
    <row r="10945" spans="1:8" hidden="1" x14ac:dyDescent="0.25">
      <c r="A10945" t="s">
        <v>13700</v>
      </c>
      <c r="B10945" s="1" t="str">
        <f>HYPERLINK("https://asmlis.vasa.lt/Dashboard/Served?ServiceDateFrom=2025-11-24&amp;ServiceDateTo=2025-11-24&amp;DumpsterInvNr=13-S-207239", "13-S-207239")</f>
        <v>13-S-207239</v>
      </c>
      <c r="C10945">
        <v>0.12</v>
      </c>
      <c r="D10945" t="s">
        <v>12250</v>
      </c>
      <c r="E10945" t="s">
        <v>11</v>
      </c>
      <c r="F10945" t="s">
        <v>1209</v>
      </c>
      <c r="G10945" t="s">
        <v>234</v>
      </c>
      <c r="H10945" t="s">
        <v>14</v>
      </c>
    </row>
    <row r="10946" spans="1:8" hidden="1" x14ac:dyDescent="0.25">
      <c r="A10946" t="s">
        <v>13820</v>
      </c>
      <c r="B10946" s="1" t="str">
        <f>HYPERLINK("https://asmlis.vasa.lt/Dashboard/Served?ServiceDateFrom=2025-11-24&amp;ServiceDateTo=2025-11-24&amp;DumpsterInvNr=13-L-228347", "13-L-228347")</f>
        <v>13-L-228347</v>
      </c>
      <c r="C10946">
        <v>5</v>
      </c>
      <c r="D10946" t="s">
        <v>14488</v>
      </c>
      <c r="E10946" t="s">
        <v>11</v>
      </c>
      <c r="F10946" t="s">
        <v>13</v>
      </c>
      <c r="G10946" t="s">
        <v>936</v>
      </c>
      <c r="H10946" t="s">
        <v>938</v>
      </c>
    </row>
    <row r="10947" spans="1:8" hidden="1" x14ac:dyDescent="0.25">
      <c r="A10947" t="s">
        <v>14536</v>
      </c>
      <c r="B10947" s="1" t="str">
        <f>HYPERLINK("https://asmlis.vasa.lt/Dashboard/Served?ServiceDateFrom=2025-11-24&amp;ServiceDateTo=2025-11-24&amp;DumpsterInvNr=13-L-421965", "13-L-421965")</f>
        <v>13-L-421965</v>
      </c>
      <c r="C10947">
        <v>5</v>
      </c>
      <c r="D10947" t="s">
        <v>14537</v>
      </c>
      <c r="E10947" t="s">
        <v>11</v>
      </c>
      <c r="F10947" t="s">
        <v>13</v>
      </c>
      <c r="G10947" t="s">
        <v>74</v>
      </c>
      <c r="H10947" t="s">
        <v>14</v>
      </c>
    </row>
    <row r="10948" spans="1:8" hidden="1" x14ac:dyDescent="0.25">
      <c r="A10948" t="s">
        <v>14538</v>
      </c>
      <c r="B10948" s="1" t="str">
        <f>HYPERLINK("https://asmlis.vasa.lt/Dashboard/Served?ServiceDateFrom=2025-11-24&amp;ServiceDateTo=2025-11-24&amp;DumpsterInvNr=13-L-143989", "13-L-143989")</f>
        <v>13-L-143989</v>
      </c>
      <c r="C10948">
        <v>0.24</v>
      </c>
      <c r="D10948" t="s">
        <v>14539</v>
      </c>
      <c r="E10948" t="s">
        <v>11</v>
      </c>
      <c r="G10948" t="s">
        <v>430</v>
      </c>
      <c r="H10948" t="s">
        <v>432</v>
      </c>
    </row>
    <row r="10949" spans="1:8" hidden="1" x14ac:dyDescent="0.25">
      <c r="A10949" t="s">
        <v>14538</v>
      </c>
      <c r="B10949" s="1" t="str">
        <f>HYPERLINK("https://asmlis.vasa.lt/Dashboard/Served?ServiceDateFrom=2025-11-24&amp;ServiceDateTo=2025-11-24&amp;DumpsterInvNr=13-P-502981", "13-P-502981")</f>
        <v>13-P-502981</v>
      </c>
      <c r="C10949">
        <v>0.24</v>
      </c>
      <c r="D10949" t="s">
        <v>14539</v>
      </c>
      <c r="E10949" t="s">
        <v>11</v>
      </c>
      <c r="G10949" t="s">
        <v>2178</v>
      </c>
      <c r="H10949" t="s">
        <v>432</v>
      </c>
    </row>
    <row r="10950" spans="1:8" hidden="1" x14ac:dyDescent="0.25">
      <c r="A10950" t="s">
        <v>14540</v>
      </c>
      <c r="B10950" s="1" t="str">
        <f>HYPERLINK("https://asmlis.vasa.lt/Dashboard/Served?ServiceDateFrom=2025-11-24&amp;ServiceDateTo=2025-11-24&amp;DumpsterInvNr=13-L-221548", "13-L-221548")</f>
        <v>13-L-221548</v>
      </c>
      <c r="C10950">
        <v>1.1000000000000001</v>
      </c>
      <c r="D10950" t="s">
        <v>14541</v>
      </c>
      <c r="E10950" t="s">
        <v>11</v>
      </c>
      <c r="G10950" t="s">
        <v>936</v>
      </c>
      <c r="H10950" t="s">
        <v>938</v>
      </c>
    </row>
    <row r="10951" spans="1:8" hidden="1" x14ac:dyDescent="0.25">
      <c r="A10951" t="s">
        <v>14542</v>
      </c>
      <c r="B10951" s="1" t="str">
        <f>HYPERLINK("https://asmlis.vasa.lt/Dashboard/Served?ServiceDateFrom=2025-11-24&amp;ServiceDateTo=2025-11-24&amp;DumpsterInvNr=13-P-211607", "13-P-211607")</f>
        <v>13-P-211607</v>
      </c>
      <c r="C10951">
        <v>0.24</v>
      </c>
      <c r="D10951" t="s">
        <v>12127</v>
      </c>
      <c r="E10951" t="s">
        <v>11</v>
      </c>
      <c r="G10951" t="s">
        <v>234</v>
      </c>
      <c r="H10951" t="s">
        <v>14</v>
      </c>
    </row>
    <row r="10952" spans="1:8" hidden="1" x14ac:dyDescent="0.25">
      <c r="A10952" t="s">
        <v>14543</v>
      </c>
      <c r="B10952" s="1" t="str">
        <f>HYPERLINK("https://asmlis.vasa.lt/Dashboard/Served?ServiceDateFrom=2025-11-24&amp;ServiceDateTo=2025-11-24&amp;DumpsterInvNr=13-L-143773", "13-L-143773")</f>
        <v>13-L-143773</v>
      </c>
      <c r="C10952">
        <v>0.24</v>
      </c>
      <c r="D10952" t="s">
        <v>14544</v>
      </c>
      <c r="E10952" t="s">
        <v>11</v>
      </c>
      <c r="G10952" t="s">
        <v>430</v>
      </c>
      <c r="H10952" t="s">
        <v>432</v>
      </c>
    </row>
    <row r="10953" spans="1:8" hidden="1" x14ac:dyDescent="0.25">
      <c r="A10953" t="s">
        <v>14546</v>
      </c>
      <c r="B10953" s="1" t="str">
        <f>HYPERLINK("https://asmlis.vasa.lt/Dashboard/Served?ServiceDateFrom=2025-11-24&amp;ServiceDateTo=2025-11-24&amp;DumpsterInvNr=13-P-502994", "13-P-502994")</f>
        <v>13-P-502994</v>
      </c>
      <c r="C10953">
        <v>0.24</v>
      </c>
      <c r="D10953" t="s">
        <v>14544</v>
      </c>
      <c r="E10953" t="s">
        <v>11</v>
      </c>
      <c r="G10953" t="s">
        <v>2178</v>
      </c>
      <c r="H10953" t="s">
        <v>432</v>
      </c>
    </row>
    <row r="10954" spans="1:8" hidden="1" x14ac:dyDescent="0.25">
      <c r="A10954" t="s">
        <v>14547</v>
      </c>
      <c r="B10954" s="1" t="str">
        <f>HYPERLINK("https://asmlis.vasa.lt/Dashboard/Served?ServiceDateFrom=2025-11-24&amp;ServiceDateTo=2025-11-24&amp;DumpsterInvNr=13-L-102859", "13-L-102859")</f>
        <v>13-L-102859</v>
      </c>
      <c r="C10954">
        <v>1.1000000000000001</v>
      </c>
      <c r="D10954" t="s">
        <v>14548</v>
      </c>
      <c r="E10954" t="s">
        <v>11</v>
      </c>
      <c r="G10954" t="s">
        <v>1912</v>
      </c>
      <c r="H10954" t="s">
        <v>432</v>
      </c>
    </row>
    <row r="10955" spans="1:8" hidden="1" x14ac:dyDescent="0.25">
      <c r="A10955" t="s">
        <v>14549</v>
      </c>
      <c r="B10955" s="1" t="str">
        <f>HYPERLINK("https://asmlis.vasa.lt/Dashboard/Served?ServiceDateFrom=2025-11-24&amp;ServiceDateTo=2025-11-24&amp;DumpsterInvNr=13-S-207293", "13-S-207293")</f>
        <v>13-S-207293</v>
      </c>
      <c r="C10955">
        <v>0.12</v>
      </c>
      <c r="D10955" t="s">
        <v>12093</v>
      </c>
      <c r="E10955" t="s">
        <v>11</v>
      </c>
      <c r="G10955" t="s">
        <v>234</v>
      </c>
      <c r="H10955" t="s">
        <v>14</v>
      </c>
    </row>
    <row r="10956" spans="1:8" hidden="1" x14ac:dyDescent="0.25">
      <c r="A10956" t="s">
        <v>14550</v>
      </c>
      <c r="B10956" s="1" t="str">
        <f>HYPERLINK("https://asmlis.vasa.lt/Dashboard/Served?ServiceDateFrom=2025-11-24&amp;ServiceDateTo=2025-11-24&amp;DumpsterInvNr=13-S-503714", "13-S-503714")</f>
        <v>13-S-503714</v>
      </c>
      <c r="C10956">
        <v>0.12</v>
      </c>
      <c r="D10956" t="s">
        <v>14539</v>
      </c>
      <c r="E10956" t="s">
        <v>11</v>
      </c>
      <c r="F10956" t="s">
        <v>1209</v>
      </c>
      <c r="G10956" t="s">
        <v>2178</v>
      </c>
      <c r="H10956" t="s">
        <v>432</v>
      </c>
    </row>
    <row r="10957" spans="1:8" hidden="1" x14ac:dyDescent="0.25">
      <c r="A10957" t="s">
        <v>14552</v>
      </c>
      <c r="B10957" s="1" t="str">
        <f>HYPERLINK("https://asmlis.vasa.lt/Dashboard/Served?ServiceDateFrom=2025-11-24&amp;ServiceDateTo=2025-11-24&amp;DumpsterInvNr=13-P-206152", "13-P-206152")</f>
        <v>13-P-206152</v>
      </c>
      <c r="C10957">
        <v>0.24</v>
      </c>
      <c r="D10957" t="s">
        <v>12093</v>
      </c>
      <c r="E10957" t="s">
        <v>11</v>
      </c>
      <c r="G10957" t="s">
        <v>234</v>
      </c>
      <c r="H10957" t="s">
        <v>14</v>
      </c>
    </row>
    <row r="10958" spans="1:8" hidden="1" x14ac:dyDescent="0.25">
      <c r="A10958" t="s">
        <v>14553</v>
      </c>
      <c r="B10958" s="1" t="str">
        <f>HYPERLINK("https://asmlis.vasa.lt/Dashboard/Served?ServiceDateFrom=2025-11-24&amp;ServiceDateTo=2025-11-24&amp;DumpsterInvNr=13-L-140106", "13-L-140106")</f>
        <v>13-L-140106</v>
      </c>
      <c r="C10958">
        <v>0.24</v>
      </c>
      <c r="D10958" t="s">
        <v>14554</v>
      </c>
      <c r="E10958" t="s">
        <v>11</v>
      </c>
      <c r="G10958" t="s">
        <v>430</v>
      </c>
      <c r="H10958" t="s">
        <v>432</v>
      </c>
    </row>
    <row r="10959" spans="1:8" hidden="1" x14ac:dyDescent="0.25">
      <c r="A10959" t="s">
        <v>14553</v>
      </c>
      <c r="B10959" s="1" t="str">
        <f>HYPERLINK("https://asmlis.vasa.lt/Dashboard/Served?ServiceDateFrom=2025-11-24&amp;ServiceDateTo=2025-11-24&amp;DumpsterInvNr=13-P-503055", "13-P-503055")</f>
        <v>13-P-503055</v>
      </c>
      <c r="C10959">
        <v>0.24</v>
      </c>
      <c r="D10959" t="s">
        <v>14555</v>
      </c>
      <c r="E10959" t="s">
        <v>11</v>
      </c>
      <c r="G10959" t="s">
        <v>2178</v>
      </c>
      <c r="H10959" t="s">
        <v>432</v>
      </c>
    </row>
    <row r="10960" spans="1:8" hidden="1" x14ac:dyDescent="0.25">
      <c r="A10960" t="s">
        <v>14556</v>
      </c>
      <c r="B10960" s="1" t="str">
        <f>HYPERLINK("https://asmlis.vasa.lt/Dashboard/Served?ServiceDateFrom=2025-11-24&amp;ServiceDateTo=2025-11-24&amp;DumpsterInvNr=13-P-500623", "13-P-500623")</f>
        <v>13-P-500623</v>
      </c>
      <c r="C10960">
        <v>5</v>
      </c>
      <c r="D10960" t="s">
        <v>14557</v>
      </c>
      <c r="E10960" t="s">
        <v>11</v>
      </c>
      <c r="F10960" t="s">
        <v>13</v>
      </c>
      <c r="G10960" t="s">
        <v>2178</v>
      </c>
      <c r="H10960" t="s">
        <v>432</v>
      </c>
    </row>
    <row r="10961" spans="1:10" hidden="1" x14ac:dyDescent="0.25">
      <c r="A10961" t="s">
        <v>14558</v>
      </c>
      <c r="B10961" s="1" t="str">
        <f>HYPERLINK("https://asmlis.vasa.lt/Dashboard/Served?ServiceDateFrom=2025-11-24&amp;ServiceDateTo=2025-11-24&amp;DumpsterInvNr=13-L-146784", "13-L-146784")</f>
        <v>13-L-146784</v>
      </c>
      <c r="C10961">
        <v>1.1000000000000001</v>
      </c>
      <c r="D10961" t="s">
        <v>10491</v>
      </c>
      <c r="E10961" t="s">
        <v>11</v>
      </c>
      <c r="G10961" t="s">
        <v>1912</v>
      </c>
      <c r="H10961" t="s">
        <v>432</v>
      </c>
    </row>
    <row r="10962" spans="1:10" hidden="1" x14ac:dyDescent="0.25">
      <c r="A10962" t="s">
        <v>14559</v>
      </c>
      <c r="B10962" s="1" t="str">
        <f>HYPERLINK("https://asmlis.vasa.lt/Dashboard/Served?ServiceDateFrom=2025-11-24&amp;ServiceDateTo=2025-11-24&amp;DumpsterInvNr=13-L-137106", "13-L-137106")</f>
        <v>13-L-137106</v>
      </c>
      <c r="C10962">
        <v>0.24</v>
      </c>
      <c r="D10962" t="s">
        <v>14560</v>
      </c>
      <c r="E10962" t="s">
        <v>11</v>
      </c>
      <c r="G10962" t="s">
        <v>430</v>
      </c>
      <c r="H10962" t="s">
        <v>432</v>
      </c>
    </row>
    <row r="10963" spans="1:10" hidden="1" x14ac:dyDescent="0.25">
      <c r="A10963" t="s">
        <v>14561</v>
      </c>
      <c r="B10963" s="1" t="str">
        <f>HYPERLINK("https://asmlis.vasa.lt/Dashboard/Served?ServiceDateFrom=2025-11-24&amp;ServiceDateTo=2025-11-24&amp;DumpsterInvNr=13-L-314480", "13-L-314480")</f>
        <v>13-L-314480</v>
      </c>
      <c r="C10963">
        <v>1.1000000000000001</v>
      </c>
      <c r="D10963" t="s">
        <v>14562</v>
      </c>
      <c r="E10963" t="s">
        <v>11</v>
      </c>
      <c r="G10963" t="s">
        <v>9</v>
      </c>
      <c r="H10963" t="s">
        <v>14</v>
      </c>
    </row>
    <row r="10964" spans="1:10" hidden="1" x14ac:dyDescent="0.25">
      <c r="A10964" t="s">
        <v>14563</v>
      </c>
      <c r="B10964" s="1" t="str">
        <f>HYPERLINK("https://asmlis.vasa.lt/Dashboard/Served?ServiceDateFrom=2025-11-24&amp;ServiceDateTo=2025-11-24&amp;DumpsterInvNr=13-L-223125", "13-L-223125")</f>
        <v>13-L-223125</v>
      </c>
      <c r="C10964">
        <v>5</v>
      </c>
      <c r="D10964" t="s">
        <v>14564</v>
      </c>
      <c r="E10964" t="s">
        <v>11</v>
      </c>
      <c r="G10964" t="s">
        <v>936</v>
      </c>
      <c r="H10964" t="s">
        <v>938</v>
      </c>
    </row>
    <row r="10965" spans="1:10" hidden="1" x14ac:dyDescent="0.25">
      <c r="A10965" t="s">
        <v>14565</v>
      </c>
      <c r="B10965" s="1" t="str">
        <f>HYPERLINK("https://asmlis.vasa.lt/Dashboard/Served?ServiceDateFrom=2025-11-24&amp;ServiceDateTo=2025-11-24&amp;DumpsterInvNr=13-L-138035", "13-L-138035")</f>
        <v>13-L-138035</v>
      </c>
      <c r="C10965">
        <v>5</v>
      </c>
      <c r="D10965" t="s">
        <v>7994</v>
      </c>
      <c r="E10965" t="s">
        <v>11</v>
      </c>
      <c r="F10965" t="s">
        <v>10431</v>
      </c>
      <c r="G10965" t="s">
        <v>430</v>
      </c>
      <c r="H10965" t="s">
        <v>432</v>
      </c>
      <c r="J10965" t="s">
        <v>17519</v>
      </c>
    </row>
    <row r="10966" spans="1:10" hidden="1" x14ac:dyDescent="0.25">
      <c r="A10966" t="s">
        <v>14566</v>
      </c>
      <c r="B10966" s="1" t="str">
        <f>HYPERLINK("https://asmlis.vasa.lt/Dashboard/Served?ServiceDateFrom=2025-11-24&amp;ServiceDateTo=2025-11-24&amp;DumpsterInvNr=13-S-207847", "13-S-207847")</f>
        <v>13-S-207847</v>
      </c>
      <c r="C10966">
        <v>3</v>
      </c>
      <c r="D10966" t="s">
        <v>14567</v>
      </c>
      <c r="E10966" t="s">
        <v>11</v>
      </c>
      <c r="G10966" t="s">
        <v>234</v>
      </c>
      <c r="H10966" t="s">
        <v>14</v>
      </c>
    </row>
    <row r="10967" spans="1:10" hidden="1" x14ac:dyDescent="0.25">
      <c r="A10967" t="s">
        <v>14568</v>
      </c>
      <c r="B10967" s="1" t="str">
        <f>HYPERLINK("https://asmlis.vasa.lt/Dashboard/Served?ServiceDateFrom=2025-11-24&amp;ServiceDateTo=2025-11-24&amp;DumpsterInvNr=13-S-205679", "13-S-205679")</f>
        <v>13-S-205679</v>
      </c>
      <c r="C10967">
        <v>0.12</v>
      </c>
      <c r="D10967" t="s">
        <v>12090</v>
      </c>
      <c r="E10967" t="s">
        <v>11</v>
      </c>
      <c r="G10967" t="s">
        <v>234</v>
      </c>
      <c r="H10967" t="s">
        <v>14</v>
      </c>
    </row>
    <row r="10968" spans="1:10" hidden="1" x14ac:dyDescent="0.25">
      <c r="A10968" t="s">
        <v>14569</v>
      </c>
      <c r="B10968" s="1" t="str">
        <f>HYPERLINK("https://asmlis.vasa.lt/Dashboard/Served?ServiceDateFrom=2025-11-24&amp;ServiceDateTo=2025-11-24&amp;DumpsterInvNr=13-L-315948", "13-L-315948")</f>
        <v>13-L-315948</v>
      </c>
      <c r="C10968">
        <v>0.77</v>
      </c>
      <c r="D10968" t="s">
        <v>14570</v>
      </c>
      <c r="E10968" t="s">
        <v>11</v>
      </c>
      <c r="G10968" t="s">
        <v>9</v>
      </c>
      <c r="H10968" t="s">
        <v>14</v>
      </c>
    </row>
    <row r="10969" spans="1:10" hidden="1" x14ac:dyDescent="0.25">
      <c r="A10969" t="s">
        <v>14571</v>
      </c>
      <c r="B10969" s="1" t="str">
        <f>HYPERLINK("https://asmlis.vasa.lt/Dashboard/Served?ServiceDateFrom=2025-11-24&amp;ServiceDateTo=2025-11-24&amp;DumpsterInvNr=13-L-424313", "13-L-424313")</f>
        <v>13-L-424313</v>
      </c>
      <c r="C10969">
        <v>5</v>
      </c>
      <c r="D10969" t="s">
        <v>3047</v>
      </c>
      <c r="E10969" t="s">
        <v>11</v>
      </c>
      <c r="F10969" t="s">
        <v>13</v>
      </c>
      <c r="G10969" t="s">
        <v>74</v>
      </c>
      <c r="H10969" t="s">
        <v>14</v>
      </c>
    </row>
    <row r="10970" spans="1:10" x14ac:dyDescent="0.25">
      <c r="A10970" t="s">
        <v>14572</v>
      </c>
      <c r="B10970" s="1" t="str">
        <f>HYPERLINK("https://asmlis.vasa.lt/Dashboard/Served?ServiceDateFrom=2025-11-24&amp;ServiceDateTo=2025-11-24&amp;DumpsterInvNr=13-L-420745", "13-L-420745")</f>
        <v>13-L-420745</v>
      </c>
      <c r="C10970">
        <v>1.1000000000000001</v>
      </c>
      <c r="D10970" t="s">
        <v>14573</v>
      </c>
      <c r="E10970" t="s">
        <v>11</v>
      </c>
      <c r="F10970" t="s">
        <v>1215</v>
      </c>
      <c r="G10970" t="s">
        <v>74</v>
      </c>
      <c r="H10970" t="s">
        <v>14</v>
      </c>
      <c r="J10970" t="s">
        <v>17511</v>
      </c>
    </row>
    <row r="10971" spans="1:10" hidden="1" x14ac:dyDescent="0.25">
      <c r="A10971" t="s">
        <v>14574</v>
      </c>
      <c r="B10971" s="1" t="str">
        <f>HYPERLINK("https://asmlis.vasa.lt/Dashboard/Served?ServiceDateFrom=2025-11-24&amp;ServiceDateTo=2025-11-24&amp;DumpsterInvNr=13-P-413646", "13-P-413646")</f>
        <v>13-P-413646</v>
      </c>
      <c r="C10971">
        <v>5</v>
      </c>
      <c r="D10971" t="s">
        <v>13966</v>
      </c>
      <c r="E10971" t="s">
        <v>11</v>
      </c>
      <c r="G10971" t="s">
        <v>264</v>
      </c>
      <c r="H10971" t="s">
        <v>14</v>
      </c>
    </row>
    <row r="10972" spans="1:10" hidden="1" x14ac:dyDescent="0.25">
      <c r="A10972" t="s">
        <v>14574</v>
      </c>
      <c r="B10972" s="1" t="str">
        <f>HYPERLINK("https://asmlis.vasa.lt/Dashboard/Served?ServiceDateFrom=2025-11-24&amp;ServiceDateTo=2025-11-24&amp;DumpsterInvNr=13-L-128492", "13-L-128492")</f>
        <v>13-L-128492</v>
      </c>
      <c r="C10972">
        <v>5</v>
      </c>
      <c r="D10972" t="s">
        <v>14575</v>
      </c>
      <c r="E10972" t="s">
        <v>11</v>
      </c>
      <c r="F10972" t="s">
        <v>13</v>
      </c>
      <c r="G10972" t="s">
        <v>430</v>
      </c>
      <c r="H10972" t="s">
        <v>432</v>
      </c>
    </row>
    <row r="10973" spans="1:10" hidden="1" x14ac:dyDescent="0.25">
      <c r="A10973" t="s">
        <v>14576</v>
      </c>
      <c r="B10973" s="1" t="str">
        <f>HYPERLINK("https://asmlis.vasa.lt/Dashboard/Served?ServiceDateFrom=2025-11-24&amp;ServiceDateTo=2025-11-24&amp;DumpsterInvNr=13-L-111770", "13-L-111770")</f>
        <v>13-L-111770</v>
      </c>
      <c r="C10973">
        <v>1.1000000000000001</v>
      </c>
      <c r="D10973" t="s">
        <v>10491</v>
      </c>
      <c r="E10973" t="s">
        <v>11</v>
      </c>
      <c r="G10973" t="s">
        <v>1912</v>
      </c>
      <c r="H10973" t="s">
        <v>432</v>
      </c>
    </row>
    <row r="10974" spans="1:10" hidden="1" x14ac:dyDescent="0.25">
      <c r="A10974" t="s">
        <v>14577</v>
      </c>
      <c r="B10974" s="1" t="str">
        <f>HYPERLINK("https://asmlis.vasa.lt/Dashboard/Served?ServiceDateFrom=2025-11-24&amp;ServiceDateTo=2025-11-24&amp;DumpsterInvNr=13-L-128493", "13-L-128493")</f>
        <v>13-L-128493</v>
      </c>
      <c r="C10974">
        <v>5</v>
      </c>
      <c r="D10974" t="s">
        <v>14578</v>
      </c>
      <c r="E10974" t="s">
        <v>11</v>
      </c>
      <c r="F10974" t="s">
        <v>13</v>
      </c>
      <c r="G10974" t="s">
        <v>430</v>
      </c>
      <c r="H10974" t="s">
        <v>432</v>
      </c>
    </row>
    <row r="10975" spans="1:10" hidden="1" x14ac:dyDescent="0.25">
      <c r="A10975" t="s">
        <v>14579</v>
      </c>
      <c r="B10975" s="1" t="str">
        <f>HYPERLINK("https://asmlis.vasa.lt/Dashboard/Served?ServiceDateFrom=2025-11-24&amp;ServiceDateTo=2025-11-24&amp;DumpsterInvNr=13-P-204671", "13-P-204671")</f>
        <v>13-P-204671</v>
      </c>
      <c r="C10975">
        <v>0.24</v>
      </c>
      <c r="D10975" t="s">
        <v>12090</v>
      </c>
      <c r="E10975" t="s">
        <v>11</v>
      </c>
      <c r="F10975" t="s">
        <v>1209</v>
      </c>
      <c r="G10975" t="s">
        <v>234</v>
      </c>
      <c r="H10975" t="s">
        <v>14</v>
      </c>
    </row>
    <row r="10976" spans="1:10" hidden="1" x14ac:dyDescent="0.25">
      <c r="A10976" t="s">
        <v>14580</v>
      </c>
      <c r="B10976" s="1" t="str">
        <f>HYPERLINK("https://asmlis.vasa.lt/Dashboard/Served?ServiceDateFrom=2025-11-24&amp;ServiceDateTo=2025-11-24&amp;DumpsterInvNr=13-L-141219", "13-L-141219")</f>
        <v>13-L-141219</v>
      </c>
      <c r="C10976">
        <v>0.24</v>
      </c>
      <c r="D10976" t="s">
        <v>14581</v>
      </c>
      <c r="E10976" t="s">
        <v>11</v>
      </c>
      <c r="G10976" t="s">
        <v>430</v>
      </c>
      <c r="H10976" t="s">
        <v>432</v>
      </c>
    </row>
    <row r="10977" spans="1:10" hidden="1" x14ac:dyDescent="0.25">
      <c r="A10977" t="s">
        <v>14580</v>
      </c>
      <c r="B10977" s="1" t="str">
        <f>HYPERLINK("https://asmlis.vasa.lt/Dashboard/Served?ServiceDateFrom=2025-11-24&amp;ServiceDateTo=2025-11-24&amp;DumpsterInvNr=13-P-502879", "13-P-502879")</f>
        <v>13-P-502879</v>
      </c>
      <c r="C10977">
        <v>0.24</v>
      </c>
      <c r="D10977" t="s">
        <v>14554</v>
      </c>
      <c r="E10977" t="s">
        <v>11</v>
      </c>
      <c r="G10977" t="s">
        <v>2178</v>
      </c>
      <c r="H10977" t="s">
        <v>432</v>
      </c>
    </row>
    <row r="10978" spans="1:10" hidden="1" x14ac:dyDescent="0.25">
      <c r="A10978" t="s">
        <v>14583</v>
      </c>
      <c r="B10978" s="1" t="str">
        <f>HYPERLINK("https://asmlis.vasa.lt/Dashboard/Served?ServiceDateFrom=2025-11-24&amp;ServiceDateTo=2025-11-24&amp;DumpsterInvNr=13-L-317275", "13-L-317275")</f>
        <v>13-L-317275</v>
      </c>
      <c r="C10978">
        <v>1.1000000000000001</v>
      </c>
      <c r="D10978" t="s">
        <v>14584</v>
      </c>
      <c r="E10978" t="s">
        <v>11</v>
      </c>
      <c r="G10978" t="s">
        <v>9</v>
      </c>
      <c r="H10978" t="s">
        <v>14</v>
      </c>
    </row>
    <row r="10979" spans="1:10" x14ac:dyDescent="0.25">
      <c r="A10979" t="s">
        <v>14585</v>
      </c>
      <c r="B10979" s="1" t="str">
        <f>HYPERLINK("https://asmlis.vasa.lt/Dashboard/Served?ServiceDateFrom=2025-11-24&amp;ServiceDateTo=2025-11-24&amp;DumpsterInvNr=13-L-426139", "13-L-426139")</f>
        <v>13-L-426139</v>
      </c>
      <c r="C10979">
        <v>1.1000000000000001</v>
      </c>
      <c r="D10979" t="s">
        <v>14573</v>
      </c>
      <c r="E10979" t="s">
        <v>11</v>
      </c>
      <c r="F10979" t="s">
        <v>1215</v>
      </c>
      <c r="G10979" t="s">
        <v>74</v>
      </c>
      <c r="H10979" t="s">
        <v>14</v>
      </c>
      <c r="J10979" t="s">
        <v>17511</v>
      </c>
    </row>
    <row r="10980" spans="1:10" hidden="1" x14ac:dyDescent="0.25">
      <c r="A10980" t="s">
        <v>14586</v>
      </c>
      <c r="B10980" s="1" t="str">
        <f>HYPERLINK("https://asmlis.vasa.lt/Dashboard/Served?ServiceDateFrom=2025-11-24&amp;ServiceDateTo=2025-11-24&amp;DumpsterInvNr=13-P-213203", "13-P-213203")</f>
        <v>13-P-213203</v>
      </c>
      <c r="C10980">
        <v>1.1000000000000001</v>
      </c>
      <c r="D10980" t="s">
        <v>14587</v>
      </c>
      <c r="E10980" t="s">
        <v>11</v>
      </c>
      <c r="F10980" t="s">
        <v>13</v>
      </c>
      <c r="G10980" t="s">
        <v>234</v>
      </c>
      <c r="H10980" t="s">
        <v>14</v>
      </c>
    </row>
    <row r="10981" spans="1:10" hidden="1" x14ac:dyDescent="0.25">
      <c r="A10981" t="s">
        <v>14588</v>
      </c>
      <c r="B10981" s="1" t="str">
        <f>HYPERLINK("https://asmlis.vasa.lt/Dashboard/Served?ServiceDateFrom=2025-11-24&amp;ServiceDateTo=2025-11-24&amp;DumpsterInvNr=13-P-213266", "13-P-213266")</f>
        <v>13-P-213266</v>
      </c>
      <c r="C10981">
        <v>1.1000000000000001</v>
      </c>
      <c r="D10981" t="s">
        <v>14587</v>
      </c>
      <c r="E10981" t="s">
        <v>11</v>
      </c>
      <c r="F10981" t="s">
        <v>13</v>
      </c>
      <c r="G10981" t="s">
        <v>234</v>
      </c>
      <c r="H10981" t="s">
        <v>14</v>
      </c>
    </row>
    <row r="10982" spans="1:10" hidden="1" x14ac:dyDescent="0.25">
      <c r="A10982" t="s">
        <v>14589</v>
      </c>
      <c r="B10982" s="1" t="str">
        <f>HYPERLINK("https://asmlis.vasa.lt/Dashboard/Served?ServiceDateFrom=2025-11-24&amp;ServiceDateTo=2025-11-24&amp;DumpsterInvNr=13-L-305773", "13-L-305773")</f>
        <v>13-L-305773</v>
      </c>
      <c r="C10982">
        <v>5</v>
      </c>
      <c r="D10982" t="s">
        <v>10923</v>
      </c>
      <c r="E10982" t="s">
        <v>11</v>
      </c>
      <c r="G10982" t="s">
        <v>9</v>
      </c>
      <c r="H10982" t="s">
        <v>14</v>
      </c>
    </row>
    <row r="10983" spans="1:10" hidden="1" x14ac:dyDescent="0.25">
      <c r="A10983" t="s">
        <v>14589</v>
      </c>
      <c r="B10983" s="1" t="str">
        <f>HYPERLINK("https://asmlis.vasa.lt/Dashboard/Served?ServiceDateFrom=2025-11-24&amp;ServiceDateTo=2025-11-24&amp;DumpsterInvNr=13-P-502991", "13-P-502991")</f>
        <v>13-P-502991</v>
      </c>
      <c r="C10983">
        <v>0.24</v>
      </c>
      <c r="D10983" t="s">
        <v>14560</v>
      </c>
      <c r="E10983" t="s">
        <v>11</v>
      </c>
      <c r="G10983" t="s">
        <v>2178</v>
      </c>
      <c r="H10983" t="s">
        <v>432</v>
      </c>
    </row>
    <row r="10984" spans="1:10" hidden="1" x14ac:dyDescent="0.25">
      <c r="A10984" t="s">
        <v>14590</v>
      </c>
      <c r="B10984" s="1" t="str">
        <f>HYPERLINK("https://asmlis.vasa.lt/Dashboard/Served?ServiceDateFrom=2025-11-24&amp;ServiceDateTo=2025-11-24&amp;DumpsterInvNr=13-P-502911", "13-P-502911")</f>
        <v>13-P-502911</v>
      </c>
      <c r="C10984">
        <v>0.24</v>
      </c>
      <c r="D10984" t="s">
        <v>14581</v>
      </c>
      <c r="E10984" t="s">
        <v>11</v>
      </c>
      <c r="G10984" t="s">
        <v>2178</v>
      </c>
      <c r="H10984" t="s">
        <v>432</v>
      </c>
    </row>
    <row r="10985" spans="1:10" x14ac:dyDescent="0.25">
      <c r="A10985" t="s">
        <v>14591</v>
      </c>
      <c r="B10985" s="1" t="str">
        <f>HYPERLINK("https://asmlis.vasa.lt/Dashboard/Served?ServiceDateFrom=2025-11-24&amp;ServiceDateTo=2025-11-24&amp;DumpsterInvNr=13-L-427059", "13-L-427059")</f>
        <v>13-L-427059</v>
      </c>
      <c r="C10985">
        <v>1.1000000000000001</v>
      </c>
      <c r="D10985" t="s">
        <v>14573</v>
      </c>
      <c r="E10985" t="s">
        <v>11</v>
      </c>
      <c r="F10985" t="s">
        <v>1215</v>
      </c>
      <c r="G10985" t="s">
        <v>74</v>
      </c>
      <c r="H10985" t="s">
        <v>14</v>
      </c>
      <c r="J10985" t="s">
        <v>17511</v>
      </c>
    </row>
    <row r="10986" spans="1:10" hidden="1" x14ac:dyDescent="0.25">
      <c r="A10986" t="s">
        <v>14593</v>
      </c>
      <c r="B10986" s="1" t="str">
        <f>HYPERLINK("https://asmlis.vasa.lt/Dashboard/Served?ServiceDateFrom=2025-11-24&amp;ServiceDateTo=2025-11-24&amp;DumpsterInvNr=13-L-317124", "13-L-317124")</f>
        <v>13-L-317124</v>
      </c>
      <c r="C10986">
        <v>1.1000000000000001</v>
      </c>
      <c r="D10986" t="s">
        <v>14594</v>
      </c>
      <c r="E10986" t="s">
        <v>11</v>
      </c>
      <c r="G10986" t="s">
        <v>9</v>
      </c>
      <c r="H10986" t="s">
        <v>14</v>
      </c>
    </row>
    <row r="10987" spans="1:10" hidden="1" x14ac:dyDescent="0.25">
      <c r="A10987" t="s">
        <v>14595</v>
      </c>
      <c r="B10987" s="1" t="str">
        <f>HYPERLINK("https://asmlis.vasa.lt/Dashboard/Served?ServiceDateFrom=2025-11-24&amp;ServiceDateTo=2025-11-24&amp;DumpsterInvNr=13-P-211474", "13-P-211474")</f>
        <v>13-P-211474</v>
      </c>
      <c r="C10987">
        <v>0.24</v>
      </c>
      <c r="D10987" t="s">
        <v>12140</v>
      </c>
      <c r="E10987" t="s">
        <v>11</v>
      </c>
      <c r="G10987" t="s">
        <v>234</v>
      </c>
      <c r="H10987" t="s">
        <v>14</v>
      </c>
    </row>
    <row r="10988" spans="1:10" hidden="1" x14ac:dyDescent="0.25">
      <c r="A10988" t="s">
        <v>14595</v>
      </c>
      <c r="B10988" s="1" t="str">
        <f>HYPERLINK("https://asmlis.vasa.lt/Dashboard/Served?ServiceDateFrom=2025-11-24&amp;ServiceDateTo=2025-11-24&amp;DumpsterInvNr=13-L-149166", "13-L-149166")</f>
        <v>13-L-149166</v>
      </c>
      <c r="C10988">
        <v>1.1000000000000001</v>
      </c>
      <c r="D10988" t="s">
        <v>10491</v>
      </c>
      <c r="E10988" t="s">
        <v>11</v>
      </c>
      <c r="G10988" t="s">
        <v>1912</v>
      </c>
      <c r="H10988" t="s">
        <v>432</v>
      </c>
    </row>
    <row r="10989" spans="1:10" hidden="1" x14ac:dyDescent="0.25">
      <c r="A10989" t="s">
        <v>14592</v>
      </c>
      <c r="B10989" s="1" t="str">
        <f>HYPERLINK("https://asmlis.vasa.lt/Dashboard/Served?ServiceDateFrom=2025-11-24&amp;ServiceDateTo=2025-11-24&amp;DumpsterInvNr=13-L-402104", "13-L-402104")</f>
        <v>13-L-402104</v>
      </c>
      <c r="C10989">
        <v>5</v>
      </c>
      <c r="D10989" t="s">
        <v>3826</v>
      </c>
      <c r="E10989" t="s">
        <v>11</v>
      </c>
      <c r="G10989" t="s">
        <v>74</v>
      </c>
      <c r="H10989" t="s">
        <v>14</v>
      </c>
    </row>
    <row r="10990" spans="1:10" hidden="1" x14ac:dyDescent="0.25">
      <c r="A10990" t="s">
        <v>14596</v>
      </c>
      <c r="B10990" s="1" t="str">
        <f>HYPERLINK("https://asmlis.vasa.lt/Dashboard/Served?ServiceDateFrom=2025-11-24&amp;ServiceDateTo=2025-11-24&amp;DumpsterInvNr=13-L-221123", "13-L-221123")</f>
        <v>13-L-221123</v>
      </c>
      <c r="C10990">
        <v>0.24</v>
      </c>
      <c r="D10990" t="s">
        <v>14597</v>
      </c>
      <c r="E10990" t="s">
        <v>11</v>
      </c>
      <c r="G10990" t="s">
        <v>936</v>
      </c>
      <c r="H10990" t="s">
        <v>938</v>
      </c>
    </row>
    <row r="10991" spans="1:10" hidden="1" x14ac:dyDescent="0.25">
      <c r="A10991" t="s">
        <v>14598</v>
      </c>
      <c r="B10991" s="1" t="str">
        <f>HYPERLINK("https://asmlis.vasa.lt/Dashboard/Served?ServiceDateFrom=2025-11-24&amp;ServiceDateTo=2025-11-24&amp;DumpsterInvNr=13-S-503630", "13-S-503630")</f>
        <v>13-S-503630</v>
      </c>
      <c r="C10991">
        <v>0.12</v>
      </c>
      <c r="D10991" t="s">
        <v>14554</v>
      </c>
      <c r="E10991" t="s">
        <v>11</v>
      </c>
      <c r="F10991" t="s">
        <v>1209</v>
      </c>
      <c r="G10991" t="s">
        <v>2178</v>
      </c>
      <c r="H10991" t="s">
        <v>432</v>
      </c>
    </row>
    <row r="10992" spans="1:10" hidden="1" x14ac:dyDescent="0.25">
      <c r="A10992" t="s">
        <v>14599</v>
      </c>
      <c r="B10992" s="1" t="str">
        <f>HYPERLINK("https://asmlis.vasa.lt/Dashboard/Served?ServiceDateFrom=2025-11-24&amp;ServiceDateTo=2025-11-24&amp;DumpsterInvNr=13-L-222137", "13-L-222137")</f>
        <v>13-L-222137</v>
      </c>
      <c r="C10992">
        <v>1.1000000000000001</v>
      </c>
      <c r="D10992" t="s">
        <v>14600</v>
      </c>
      <c r="E10992" t="s">
        <v>11</v>
      </c>
      <c r="G10992" t="s">
        <v>936</v>
      </c>
      <c r="H10992" t="s">
        <v>938</v>
      </c>
    </row>
    <row r="10993" spans="1:8" hidden="1" x14ac:dyDescent="0.25">
      <c r="A10993" t="s">
        <v>14599</v>
      </c>
      <c r="B10993" s="1" t="str">
        <f>HYPERLINK("https://asmlis.vasa.lt/Dashboard/Served?ServiceDateFrom=2025-11-24&amp;ServiceDateTo=2025-11-24&amp;DumpsterInvNr=13-P-302293", "13-P-302293")</f>
        <v>13-P-302293</v>
      </c>
      <c r="C10993">
        <v>5</v>
      </c>
      <c r="D10993" t="s">
        <v>5598</v>
      </c>
      <c r="E10993" t="s">
        <v>11</v>
      </c>
      <c r="G10993" t="s">
        <v>412</v>
      </c>
      <c r="H10993" t="s">
        <v>14</v>
      </c>
    </row>
    <row r="10994" spans="1:8" hidden="1" x14ac:dyDescent="0.25">
      <c r="A10994" t="s">
        <v>14599</v>
      </c>
      <c r="B10994" s="1" t="str">
        <f>HYPERLINK("https://asmlis.vasa.lt/Dashboard/Served?ServiceDateFrom=2025-11-24&amp;ServiceDateTo=2025-11-24&amp;DumpsterInvNr=13-L-142317", "13-L-142317")</f>
        <v>13-L-142317</v>
      </c>
      <c r="C10994">
        <v>0.24</v>
      </c>
      <c r="D10994" t="s">
        <v>14555</v>
      </c>
      <c r="E10994" t="s">
        <v>11</v>
      </c>
      <c r="F10994" t="s">
        <v>1209</v>
      </c>
      <c r="G10994" t="s">
        <v>430</v>
      </c>
      <c r="H10994" t="s">
        <v>432</v>
      </c>
    </row>
    <row r="10995" spans="1:8" hidden="1" x14ac:dyDescent="0.25">
      <c r="A10995" t="s">
        <v>14602</v>
      </c>
      <c r="B10995" s="1" t="str">
        <f>HYPERLINK("https://asmlis.vasa.lt/Dashboard/Served?ServiceDateFrom=2025-11-24&amp;ServiceDateTo=2025-11-24&amp;DumpsterInvNr=13-L-210857", "13-L-210857")</f>
        <v>13-L-210857</v>
      </c>
      <c r="C10995">
        <v>0.24</v>
      </c>
      <c r="D10995" t="s">
        <v>14603</v>
      </c>
      <c r="E10995" t="s">
        <v>11</v>
      </c>
      <c r="G10995" t="s">
        <v>936</v>
      </c>
      <c r="H10995" t="s">
        <v>938</v>
      </c>
    </row>
    <row r="10996" spans="1:8" hidden="1" x14ac:dyDescent="0.25">
      <c r="A10996" t="s">
        <v>14604</v>
      </c>
      <c r="B10996" s="1" t="str">
        <f>HYPERLINK("https://asmlis.vasa.lt/Dashboard/Served?ServiceDateFrom=2025-11-24&amp;ServiceDateTo=2025-11-24&amp;DumpsterInvNr=13-S-503635", "13-S-503635")</f>
        <v>13-S-503635</v>
      </c>
      <c r="C10996">
        <v>0.12</v>
      </c>
      <c r="D10996" t="s">
        <v>14581</v>
      </c>
      <c r="E10996" t="s">
        <v>11</v>
      </c>
      <c r="F10996" t="s">
        <v>1209</v>
      </c>
      <c r="G10996" t="s">
        <v>2178</v>
      </c>
      <c r="H10996" t="s">
        <v>432</v>
      </c>
    </row>
    <row r="10997" spans="1:8" hidden="1" x14ac:dyDescent="0.25">
      <c r="A10997" t="s">
        <v>14605</v>
      </c>
      <c r="B10997" s="1" t="str">
        <f>HYPERLINK("https://asmlis.vasa.lt/Dashboard/Served?ServiceDateFrom=2025-11-24&amp;ServiceDateTo=2025-11-24&amp;DumpsterInvNr=13-L-139910", "13-L-139910")</f>
        <v>13-L-139910</v>
      </c>
      <c r="C10997">
        <v>5</v>
      </c>
      <c r="D10997" t="s">
        <v>2331</v>
      </c>
      <c r="E10997" t="s">
        <v>11</v>
      </c>
      <c r="F10997" t="s">
        <v>13</v>
      </c>
      <c r="G10997" t="s">
        <v>1912</v>
      </c>
      <c r="H10997" t="s">
        <v>432</v>
      </c>
    </row>
    <row r="10998" spans="1:8" hidden="1" x14ac:dyDescent="0.25">
      <c r="A10998" t="s">
        <v>14606</v>
      </c>
      <c r="B10998" s="1" t="str">
        <f>HYPERLINK("https://asmlis.vasa.lt/Dashboard/Served?ServiceDateFrom=2025-11-24&amp;ServiceDateTo=2025-11-24&amp;DumpsterInvNr=13-L-202306", "13-L-202306")</f>
        <v>13-L-202306</v>
      </c>
      <c r="C10998">
        <v>0.12</v>
      </c>
      <c r="D10998" t="s">
        <v>14607</v>
      </c>
      <c r="E10998" t="s">
        <v>11</v>
      </c>
      <c r="F10998" t="s">
        <v>1209</v>
      </c>
      <c r="G10998" t="s">
        <v>936</v>
      </c>
      <c r="H10998" t="s">
        <v>938</v>
      </c>
    </row>
    <row r="10999" spans="1:8" hidden="1" x14ac:dyDescent="0.25">
      <c r="A10999" t="s">
        <v>14608</v>
      </c>
      <c r="B10999" s="1" t="str">
        <f>HYPERLINK("https://asmlis.vasa.lt/Dashboard/Served?ServiceDateFrom=2025-11-24&amp;ServiceDateTo=2025-11-24&amp;DumpsterInvNr=13-L-402105", "13-L-402105")</f>
        <v>13-L-402105</v>
      </c>
      <c r="C10999">
        <v>5</v>
      </c>
      <c r="D10999" t="s">
        <v>3826</v>
      </c>
      <c r="E10999" t="s">
        <v>11</v>
      </c>
      <c r="F10999" t="s">
        <v>13</v>
      </c>
      <c r="G10999" t="s">
        <v>74</v>
      </c>
      <c r="H10999" t="s">
        <v>14</v>
      </c>
    </row>
    <row r="11000" spans="1:8" hidden="1" x14ac:dyDescent="0.25">
      <c r="A11000" t="s">
        <v>14609</v>
      </c>
      <c r="B11000" s="1" t="str">
        <f>HYPERLINK("https://asmlis.vasa.lt/Dashboard/Served?ServiceDateFrom=2025-11-24&amp;ServiceDateTo=2025-11-24&amp;DumpsterInvNr=13-P-206348", "13-P-206348")</f>
        <v>13-P-206348</v>
      </c>
      <c r="C11000">
        <v>0.24</v>
      </c>
      <c r="D11000" t="s">
        <v>12120</v>
      </c>
      <c r="E11000" t="s">
        <v>11</v>
      </c>
      <c r="G11000" t="s">
        <v>234</v>
      </c>
      <c r="H11000" t="s">
        <v>14</v>
      </c>
    </row>
    <row r="11001" spans="1:8" hidden="1" x14ac:dyDescent="0.25">
      <c r="A11001" t="s">
        <v>14610</v>
      </c>
      <c r="B11001" s="1" t="str">
        <f>HYPERLINK("https://asmlis.vasa.lt/Dashboard/Served?ServiceDateFrom=2025-11-24&amp;ServiceDateTo=2025-11-24&amp;DumpsterInvNr=13-L-127583", "13-L-127583")</f>
        <v>13-L-127583</v>
      </c>
      <c r="C11001">
        <v>0.12</v>
      </c>
      <c r="D11001" t="s">
        <v>14611</v>
      </c>
      <c r="E11001" t="s">
        <v>11</v>
      </c>
      <c r="G11001" t="s">
        <v>430</v>
      </c>
      <c r="H11001" t="s">
        <v>432</v>
      </c>
    </row>
    <row r="11002" spans="1:8" hidden="1" x14ac:dyDescent="0.25">
      <c r="A11002" t="s">
        <v>14612</v>
      </c>
      <c r="B11002" s="1" t="str">
        <f>HYPERLINK("https://asmlis.vasa.lt/Dashboard/Served?ServiceDateFrom=2025-11-24&amp;ServiceDateTo=2025-11-24&amp;DumpsterInvNr=13-P-501917", "13-P-501917")</f>
        <v>13-P-501917</v>
      </c>
      <c r="C11002">
        <v>0.12</v>
      </c>
      <c r="D11002" t="s">
        <v>14611</v>
      </c>
      <c r="E11002" t="s">
        <v>11</v>
      </c>
      <c r="G11002" t="s">
        <v>2178</v>
      </c>
      <c r="H11002" t="s">
        <v>432</v>
      </c>
    </row>
    <row r="11003" spans="1:8" hidden="1" x14ac:dyDescent="0.25">
      <c r="A11003" t="s">
        <v>14613</v>
      </c>
      <c r="B11003" s="1" t="str">
        <f>HYPERLINK("https://asmlis.vasa.lt/Dashboard/Served?ServiceDateFrom=2025-11-24&amp;ServiceDateTo=2025-11-24&amp;DumpsterInvNr=13-L-203521", "13-L-203521")</f>
        <v>13-L-203521</v>
      </c>
      <c r="C11003">
        <v>0.12</v>
      </c>
      <c r="D11003" t="s">
        <v>14614</v>
      </c>
      <c r="E11003" t="s">
        <v>11</v>
      </c>
      <c r="G11003" t="s">
        <v>936</v>
      </c>
      <c r="H11003" t="s">
        <v>938</v>
      </c>
    </row>
    <row r="11004" spans="1:8" hidden="1" x14ac:dyDescent="0.25">
      <c r="A11004" t="s">
        <v>14615</v>
      </c>
      <c r="B11004" s="1" t="str">
        <f>HYPERLINK("https://asmlis.vasa.lt/Dashboard/Served?ServiceDateFrom=2025-11-24&amp;ServiceDateTo=2025-11-24&amp;DumpsterInvNr=13-S-204050", "13-S-204050")</f>
        <v>13-S-204050</v>
      </c>
      <c r="C11004">
        <v>0.12</v>
      </c>
      <c r="D11004" t="s">
        <v>12120</v>
      </c>
      <c r="E11004" t="s">
        <v>11</v>
      </c>
      <c r="G11004" t="s">
        <v>234</v>
      </c>
      <c r="H11004" t="s">
        <v>14</v>
      </c>
    </row>
    <row r="11005" spans="1:8" hidden="1" x14ac:dyDescent="0.25">
      <c r="A11005" t="s">
        <v>14616</v>
      </c>
      <c r="B11005" s="1" t="str">
        <f>HYPERLINK("https://asmlis.vasa.lt/Dashboard/Served?ServiceDateFrom=2025-11-24&amp;ServiceDateTo=2025-11-24&amp;DumpsterInvNr=13-L-317603", "13-L-317603")</f>
        <v>13-L-317603</v>
      </c>
      <c r="C11005">
        <v>1.1000000000000001</v>
      </c>
      <c r="D11005" t="s">
        <v>14617</v>
      </c>
      <c r="E11005" t="s">
        <v>11</v>
      </c>
      <c r="G11005" t="s">
        <v>9</v>
      </c>
      <c r="H11005" t="s">
        <v>14</v>
      </c>
    </row>
    <row r="11006" spans="1:8" hidden="1" x14ac:dyDescent="0.25">
      <c r="A11006" t="s">
        <v>14618</v>
      </c>
      <c r="B11006" s="1" t="str">
        <f>HYPERLINK("https://asmlis.vasa.lt/Dashboard/Served?ServiceDateFrom=2025-11-24&amp;ServiceDateTo=2025-11-24&amp;DumpsterInvNr=13-L-318727", "13-L-318727")</f>
        <v>13-L-318727</v>
      </c>
      <c r="C11006">
        <v>1.1000000000000001</v>
      </c>
      <c r="D11006" t="s">
        <v>10324</v>
      </c>
      <c r="E11006" t="s">
        <v>11</v>
      </c>
      <c r="G11006" t="s">
        <v>9</v>
      </c>
      <c r="H11006" t="s">
        <v>14</v>
      </c>
    </row>
    <row r="11007" spans="1:8" hidden="1" x14ac:dyDescent="0.25">
      <c r="A11007" t="s">
        <v>14619</v>
      </c>
      <c r="B11007" s="1" t="str">
        <f>HYPERLINK("https://asmlis.vasa.lt/Dashboard/Served?ServiceDateFrom=2025-11-24&amp;ServiceDateTo=2025-11-24&amp;DumpsterInvNr=13-L-307619", "13-L-307619")</f>
        <v>13-L-307619</v>
      </c>
      <c r="C11007">
        <v>1.1000000000000001</v>
      </c>
      <c r="D11007" t="s">
        <v>14617</v>
      </c>
      <c r="E11007" t="s">
        <v>11</v>
      </c>
      <c r="F11007" t="s">
        <v>13</v>
      </c>
      <c r="G11007" t="s">
        <v>9</v>
      </c>
      <c r="H11007" t="s">
        <v>14</v>
      </c>
    </row>
    <row r="11008" spans="1:8" hidden="1" x14ac:dyDescent="0.25">
      <c r="A11008" t="s">
        <v>14621</v>
      </c>
      <c r="B11008" s="1" t="str">
        <f>HYPERLINK("https://asmlis.vasa.lt/Dashboard/Served?ServiceDateFrom=2025-11-24&amp;ServiceDateTo=2025-11-24&amp;DumpsterInvNr=13-L-106457", "13-L-106457")</f>
        <v>13-L-106457</v>
      </c>
      <c r="C11008">
        <v>0.12</v>
      </c>
      <c r="D11008" t="s">
        <v>14622</v>
      </c>
      <c r="E11008" t="s">
        <v>11</v>
      </c>
      <c r="G11008" t="s">
        <v>1912</v>
      </c>
      <c r="H11008" t="s">
        <v>432</v>
      </c>
    </row>
    <row r="11009" spans="1:8" hidden="1" x14ac:dyDescent="0.25">
      <c r="A11009" t="s">
        <v>14623</v>
      </c>
      <c r="B11009" s="1" t="str">
        <f>HYPERLINK("https://asmlis.vasa.lt/Dashboard/Served?ServiceDateFrom=2025-11-24&amp;ServiceDateTo=2025-11-24&amp;DumpsterInvNr=13-P-101186", "13-P-101186")</f>
        <v>13-P-101186</v>
      </c>
      <c r="C11009">
        <v>0.12</v>
      </c>
      <c r="D11009" t="s">
        <v>14622</v>
      </c>
      <c r="E11009" t="s">
        <v>11</v>
      </c>
      <c r="G11009" t="s">
        <v>1917</v>
      </c>
      <c r="H11009" t="s">
        <v>432</v>
      </c>
    </row>
    <row r="11010" spans="1:8" hidden="1" x14ac:dyDescent="0.25">
      <c r="A11010" t="s">
        <v>14624</v>
      </c>
      <c r="B11010" s="1" t="str">
        <f>HYPERLINK("https://asmlis.vasa.lt/Dashboard/Served?ServiceDateFrom=2025-11-24&amp;ServiceDateTo=2025-11-24&amp;DumpsterInvNr=13-P-416254", "13-P-416254")</f>
        <v>13-P-416254</v>
      </c>
      <c r="C11010">
        <v>5</v>
      </c>
      <c r="D11010" t="s">
        <v>14053</v>
      </c>
      <c r="E11010" t="s">
        <v>11</v>
      </c>
      <c r="G11010" t="s">
        <v>264</v>
      </c>
      <c r="H11010" t="s">
        <v>14</v>
      </c>
    </row>
    <row r="11011" spans="1:8" hidden="1" x14ac:dyDescent="0.25">
      <c r="A11011" t="s">
        <v>14625</v>
      </c>
      <c r="B11011" s="1" t="str">
        <f>HYPERLINK("https://asmlis.vasa.lt/Dashboard/Served?ServiceDateFrom=2025-11-24&amp;ServiceDateTo=2025-11-24&amp;DumpsterInvNr=13-L-125958", "13-L-125958")</f>
        <v>13-L-125958</v>
      </c>
      <c r="C11011">
        <v>0.24</v>
      </c>
      <c r="D11011" t="s">
        <v>14626</v>
      </c>
      <c r="E11011" t="s">
        <v>11</v>
      </c>
      <c r="G11011" t="s">
        <v>430</v>
      </c>
      <c r="H11011" t="s">
        <v>432</v>
      </c>
    </row>
    <row r="11012" spans="1:8" hidden="1" x14ac:dyDescent="0.25">
      <c r="A11012" t="s">
        <v>14627</v>
      </c>
      <c r="B11012" s="1" t="str">
        <f>HYPERLINK("https://asmlis.vasa.lt/Dashboard/Served?ServiceDateFrom=2025-11-24&amp;ServiceDateTo=2025-11-24&amp;DumpsterInvNr=13-L-318907", "13-L-318907")</f>
        <v>13-L-318907</v>
      </c>
      <c r="C11012">
        <v>1.1000000000000001</v>
      </c>
      <c r="D11012" t="s">
        <v>10324</v>
      </c>
      <c r="E11012" t="s">
        <v>11</v>
      </c>
      <c r="G11012" t="s">
        <v>9</v>
      </c>
      <c r="H11012" t="s">
        <v>14</v>
      </c>
    </row>
    <row r="11013" spans="1:8" hidden="1" x14ac:dyDescent="0.25">
      <c r="A11013" t="s">
        <v>14627</v>
      </c>
      <c r="B11013" s="1" t="str">
        <f>HYPERLINK("https://asmlis.vasa.lt/Dashboard/Served?ServiceDateFrom=2025-11-24&amp;ServiceDateTo=2025-11-24&amp;DumpsterInvNr=13-L-206155", "13-L-206155")</f>
        <v>13-L-206155</v>
      </c>
      <c r="C11013">
        <v>0.24</v>
      </c>
      <c r="D11013" t="s">
        <v>14628</v>
      </c>
      <c r="E11013" t="s">
        <v>11</v>
      </c>
      <c r="G11013" t="s">
        <v>936</v>
      </c>
      <c r="H11013" t="s">
        <v>938</v>
      </c>
    </row>
    <row r="11014" spans="1:8" hidden="1" x14ac:dyDescent="0.25">
      <c r="A11014" t="s">
        <v>14629</v>
      </c>
      <c r="B11014" s="1" t="str">
        <f>HYPERLINK("https://asmlis.vasa.lt/Dashboard/Served?ServiceDateFrom=2025-11-24&amp;ServiceDateTo=2025-11-24&amp;DumpsterInvNr=13-P-500620", "13-P-500620")</f>
        <v>13-P-500620</v>
      </c>
      <c r="C11014">
        <v>5</v>
      </c>
      <c r="D11014" t="s">
        <v>14630</v>
      </c>
      <c r="E11014" t="s">
        <v>11</v>
      </c>
      <c r="F11014" t="s">
        <v>13</v>
      </c>
      <c r="G11014" t="s">
        <v>2178</v>
      </c>
      <c r="H11014" t="s">
        <v>432</v>
      </c>
    </row>
    <row r="11015" spans="1:8" hidden="1" x14ac:dyDescent="0.25">
      <c r="A11015" t="s">
        <v>14631</v>
      </c>
      <c r="B11015" s="1" t="str">
        <f>HYPERLINK("https://asmlis.vasa.lt/Dashboard/Served?ServiceDateFrom=2025-11-24&amp;ServiceDateTo=2025-11-24&amp;DumpsterInvNr=13-L-316313", "13-L-316313")</f>
        <v>13-L-316313</v>
      </c>
      <c r="C11015">
        <v>1.1000000000000001</v>
      </c>
      <c r="D11015" t="s">
        <v>14632</v>
      </c>
      <c r="E11015" t="s">
        <v>11</v>
      </c>
      <c r="G11015" t="s">
        <v>9</v>
      </c>
      <c r="H11015" t="s">
        <v>14</v>
      </c>
    </row>
    <row r="11016" spans="1:8" hidden="1" x14ac:dyDescent="0.25">
      <c r="A11016" t="s">
        <v>14633</v>
      </c>
      <c r="B11016" s="1" t="str">
        <f>HYPERLINK("https://asmlis.vasa.lt/Dashboard/Served?ServiceDateFrom=2025-11-24&amp;ServiceDateTo=2025-11-24&amp;DumpsterInvNr=13-L-217497", "13-L-217497")</f>
        <v>13-L-217497</v>
      </c>
      <c r="C11016">
        <v>0.24</v>
      </c>
      <c r="D11016" t="s">
        <v>14634</v>
      </c>
      <c r="E11016" t="s">
        <v>11</v>
      </c>
      <c r="G11016" t="s">
        <v>936</v>
      </c>
      <c r="H11016" t="s">
        <v>938</v>
      </c>
    </row>
    <row r="11017" spans="1:8" hidden="1" x14ac:dyDescent="0.25">
      <c r="A11017" t="s">
        <v>14635</v>
      </c>
      <c r="B11017" s="1" t="str">
        <f>HYPERLINK("https://asmlis.vasa.lt/Dashboard/Served?ServiceDateFrom=2025-11-24&amp;ServiceDateTo=2025-11-24&amp;DumpsterInvNr=13-P-302409", "13-P-302409")</f>
        <v>13-P-302409</v>
      </c>
      <c r="C11017">
        <v>3</v>
      </c>
      <c r="D11017" t="s">
        <v>14636</v>
      </c>
      <c r="E11017" t="s">
        <v>11</v>
      </c>
      <c r="G11017" t="s">
        <v>412</v>
      </c>
      <c r="H11017" t="s">
        <v>14</v>
      </c>
    </row>
    <row r="11018" spans="1:8" hidden="1" x14ac:dyDescent="0.25">
      <c r="A11018" t="s">
        <v>14635</v>
      </c>
      <c r="B11018" s="1" t="str">
        <f>HYPERLINK("https://asmlis.vasa.lt/Dashboard/Served?ServiceDateFrom=2025-11-24&amp;ServiceDateTo=2025-11-24&amp;DumpsterInvNr=13-P-509200", "13-P-509200")</f>
        <v>13-P-509200</v>
      </c>
      <c r="C11018">
        <v>0.24</v>
      </c>
      <c r="D11018" t="s">
        <v>14626</v>
      </c>
      <c r="E11018" t="s">
        <v>11</v>
      </c>
      <c r="F11018" t="s">
        <v>1209</v>
      </c>
      <c r="G11018" t="s">
        <v>2178</v>
      </c>
      <c r="H11018" t="s">
        <v>432</v>
      </c>
    </row>
    <row r="11019" spans="1:8" hidden="1" x14ac:dyDescent="0.25">
      <c r="A11019" t="s">
        <v>14637</v>
      </c>
      <c r="B11019" s="1" t="str">
        <f>HYPERLINK("https://asmlis.vasa.lt/Dashboard/Served?ServiceDateFrom=2025-11-24&amp;ServiceDateTo=2025-11-24&amp;DumpsterInvNr=13-P-404475", "13-P-404475")</f>
        <v>13-P-404475</v>
      </c>
      <c r="C11019">
        <v>5</v>
      </c>
      <c r="D11019" t="s">
        <v>14638</v>
      </c>
      <c r="E11019" t="s">
        <v>11</v>
      </c>
      <c r="F11019" t="s">
        <v>13</v>
      </c>
      <c r="G11019" t="s">
        <v>264</v>
      </c>
      <c r="H11019" t="s">
        <v>14</v>
      </c>
    </row>
    <row r="11020" spans="1:8" hidden="1" x14ac:dyDescent="0.25">
      <c r="A11020" t="s">
        <v>14639</v>
      </c>
      <c r="B11020" s="1" t="str">
        <f>HYPERLINK("https://asmlis.vasa.lt/Dashboard/Served?ServiceDateFrom=2025-11-24&amp;ServiceDateTo=2025-11-24&amp;DumpsterInvNr=13-P-102400", "13-P-102400")</f>
        <v>13-P-102400</v>
      </c>
      <c r="C11020">
        <v>3</v>
      </c>
      <c r="D11020" t="s">
        <v>14640</v>
      </c>
      <c r="E11020" t="s">
        <v>11</v>
      </c>
      <c r="F11020" t="s">
        <v>13</v>
      </c>
      <c r="G11020" t="s">
        <v>1917</v>
      </c>
      <c r="H11020" t="s">
        <v>432</v>
      </c>
    </row>
    <row r="11021" spans="1:8" hidden="1" x14ac:dyDescent="0.25">
      <c r="A11021" t="s">
        <v>14641</v>
      </c>
      <c r="B11021" s="1" t="str">
        <f>HYPERLINK("https://asmlis.vasa.lt/Dashboard/Served?ServiceDateFrom=2025-11-24&amp;ServiceDateTo=2025-11-24&amp;DumpsterInvNr=13-P-206320", "13-P-206320")</f>
        <v>13-P-206320</v>
      </c>
      <c r="C11021">
        <v>0.24</v>
      </c>
      <c r="D11021" t="s">
        <v>12115</v>
      </c>
      <c r="E11021" t="s">
        <v>11</v>
      </c>
      <c r="G11021" t="s">
        <v>234</v>
      </c>
      <c r="H11021" t="s">
        <v>14</v>
      </c>
    </row>
    <row r="11022" spans="1:8" hidden="1" x14ac:dyDescent="0.25">
      <c r="A11022" t="s">
        <v>14642</v>
      </c>
      <c r="B11022" s="1" t="str">
        <f>HYPERLINK("https://asmlis.vasa.lt/Dashboard/Served?ServiceDateFrom=2025-11-24&amp;ServiceDateTo=2025-11-24&amp;DumpsterInvNr=13-P-102401", "13-P-102401")</f>
        <v>13-P-102401</v>
      </c>
      <c r="C11022">
        <v>3</v>
      </c>
      <c r="D11022" t="s">
        <v>14640</v>
      </c>
      <c r="E11022" t="s">
        <v>11</v>
      </c>
      <c r="F11022" t="s">
        <v>13</v>
      </c>
      <c r="G11022" t="s">
        <v>1917</v>
      </c>
      <c r="H11022" t="s">
        <v>432</v>
      </c>
    </row>
    <row r="11023" spans="1:8" hidden="1" x14ac:dyDescent="0.25">
      <c r="A11023" t="s">
        <v>14643</v>
      </c>
      <c r="B11023" s="1" t="str">
        <f>HYPERLINK("https://asmlis.vasa.lt/Dashboard/Served?ServiceDateFrom=2025-11-24&amp;ServiceDateTo=2025-11-24&amp;DumpsterInvNr=13-S-206097", "13-S-206097")</f>
        <v>13-S-206097</v>
      </c>
      <c r="C11023">
        <v>0.12</v>
      </c>
      <c r="D11023" t="s">
        <v>12115</v>
      </c>
      <c r="E11023" t="s">
        <v>11</v>
      </c>
      <c r="F11023" t="s">
        <v>1209</v>
      </c>
      <c r="G11023" t="s">
        <v>234</v>
      </c>
      <c r="H11023" t="s">
        <v>14</v>
      </c>
    </row>
    <row r="11024" spans="1:8" hidden="1" x14ac:dyDescent="0.25">
      <c r="A11024" t="s">
        <v>14644</v>
      </c>
      <c r="B11024" s="1" t="str">
        <f>HYPERLINK("https://asmlis.vasa.lt/Dashboard/Served?ServiceDateFrom=2025-11-24&amp;ServiceDateTo=2025-11-24&amp;DumpsterInvNr=13-P-101185", "13-P-101185")</f>
        <v>13-P-101185</v>
      </c>
      <c r="C11024">
        <v>0.12</v>
      </c>
      <c r="D11024" t="s">
        <v>14645</v>
      </c>
      <c r="E11024" t="s">
        <v>11</v>
      </c>
      <c r="G11024" t="s">
        <v>1917</v>
      </c>
      <c r="H11024" t="s">
        <v>432</v>
      </c>
    </row>
    <row r="11025" spans="1:8" hidden="1" x14ac:dyDescent="0.25">
      <c r="A11025" t="s">
        <v>14646</v>
      </c>
      <c r="B11025" s="1" t="str">
        <f>HYPERLINK("https://asmlis.vasa.lt/Dashboard/Served?ServiceDateFrom=2025-11-24&amp;ServiceDateTo=2025-11-24&amp;DumpsterInvNr=13-L-316314", "13-L-316314")</f>
        <v>13-L-316314</v>
      </c>
      <c r="C11025">
        <v>1.1000000000000001</v>
      </c>
      <c r="D11025" t="s">
        <v>14632</v>
      </c>
      <c r="E11025" t="s">
        <v>11</v>
      </c>
      <c r="G11025" t="s">
        <v>9</v>
      </c>
      <c r="H11025" t="s">
        <v>14</v>
      </c>
    </row>
    <row r="11026" spans="1:8" hidden="1" x14ac:dyDescent="0.25">
      <c r="A11026" t="s">
        <v>14646</v>
      </c>
      <c r="B11026" s="1" t="str">
        <f>HYPERLINK("https://asmlis.vasa.lt/Dashboard/Served?ServiceDateFrom=2025-11-24&amp;ServiceDateTo=2025-11-24&amp;DumpsterInvNr=13-L-203522", "13-L-203522")</f>
        <v>13-L-203522</v>
      </c>
      <c r="C11026">
        <v>0.12</v>
      </c>
      <c r="D11026" t="s">
        <v>14647</v>
      </c>
      <c r="E11026" t="s">
        <v>11</v>
      </c>
      <c r="G11026" t="s">
        <v>936</v>
      </c>
      <c r="H11026" t="s">
        <v>938</v>
      </c>
    </row>
    <row r="11027" spans="1:8" hidden="1" x14ac:dyDescent="0.25">
      <c r="A11027" t="s">
        <v>14648</v>
      </c>
      <c r="B11027" s="1" t="str">
        <f>HYPERLINK("https://asmlis.vasa.lt/Dashboard/Served?ServiceDateFrom=2025-11-24&amp;ServiceDateTo=2025-11-24&amp;DumpsterInvNr=13-L-104036", "13-L-104036")</f>
        <v>13-L-104036</v>
      </c>
      <c r="C11027">
        <v>1.1000000000000001</v>
      </c>
      <c r="D11027" t="s">
        <v>14649</v>
      </c>
      <c r="E11027" t="s">
        <v>11</v>
      </c>
      <c r="G11027" t="s">
        <v>1912</v>
      </c>
      <c r="H11027" t="s">
        <v>432</v>
      </c>
    </row>
    <row r="11028" spans="1:8" hidden="1" x14ac:dyDescent="0.25">
      <c r="A11028" t="s">
        <v>14648</v>
      </c>
      <c r="B11028" s="1" t="str">
        <f>HYPERLINK("https://asmlis.vasa.lt/Dashboard/Served?ServiceDateFrom=2025-11-24&amp;ServiceDateTo=2025-11-24&amp;DumpsterInvNr=13-S-207303", "13-S-207303")</f>
        <v>13-S-207303</v>
      </c>
      <c r="C11028">
        <v>3</v>
      </c>
      <c r="D11028" t="s">
        <v>14650</v>
      </c>
      <c r="E11028" t="s">
        <v>11</v>
      </c>
      <c r="G11028" t="s">
        <v>234</v>
      </c>
      <c r="H11028" t="s">
        <v>14</v>
      </c>
    </row>
    <row r="11029" spans="1:8" hidden="1" x14ac:dyDescent="0.25">
      <c r="A11029" t="s">
        <v>14651</v>
      </c>
      <c r="B11029" s="1" t="str">
        <f>HYPERLINK("https://asmlis.vasa.lt/Dashboard/Served?ServiceDateFrom=2025-11-24&amp;ServiceDateTo=2025-11-24&amp;DumpsterInvNr=13-P-502056", "13-P-502056")</f>
        <v>13-P-502056</v>
      </c>
      <c r="C11029">
        <v>0.24</v>
      </c>
      <c r="D11029" t="s">
        <v>14652</v>
      </c>
      <c r="E11029" t="s">
        <v>11</v>
      </c>
      <c r="G11029" t="s">
        <v>2178</v>
      </c>
      <c r="H11029" t="s">
        <v>432</v>
      </c>
    </row>
    <row r="11030" spans="1:8" hidden="1" x14ac:dyDescent="0.25">
      <c r="A11030" t="s">
        <v>14654</v>
      </c>
      <c r="B11030" s="1" t="str">
        <f>HYPERLINK("https://asmlis.vasa.lt/Dashboard/Served?ServiceDateFrom=2025-11-24&amp;ServiceDateTo=2025-11-24&amp;DumpsterInvNr=13-L-202866", "13-L-202866")</f>
        <v>13-L-202866</v>
      </c>
      <c r="C11030">
        <v>1.1000000000000001</v>
      </c>
      <c r="D11030" t="s">
        <v>14600</v>
      </c>
      <c r="E11030" t="s">
        <v>11</v>
      </c>
      <c r="G11030" t="s">
        <v>936</v>
      </c>
      <c r="H11030" t="s">
        <v>938</v>
      </c>
    </row>
    <row r="11031" spans="1:8" hidden="1" x14ac:dyDescent="0.25">
      <c r="A11031" t="s">
        <v>14654</v>
      </c>
      <c r="B11031" s="1" t="str">
        <f>HYPERLINK("https://asmlis.vasa.lt/Dashboard/Served?ServiceDateFrom=2025-11-24&amp;ServiceDateTo=2025-11-24&amp;DumpsterInvNr=13-L-129534", "13-L-129534")</f>
        <v>13-L-129534</v>
      </c>
      <c r="C11031">
        <v>1.3</v>
      </c>
      <c r="D11031" t="s">
        <v>14655</v>
      </c>
      <c r="E11031" t="s">
        <v>11</v>
      </c>
      <c r="F11031" t="s">
        <v>13</v>
      </c>
      <c r="G11031" t="s">
        <v>430</v>
      </c>
      <c r="H11031" t="s">
        <v>432</v>
      </c>
    </row>
    <row r="11032" spans="1:8" hidden="1" x14ac:dyDescent="0.25">
      <c r="A11032" t="s">
        <v>14656</v>
      </c>
      <c r="B11032" s="1" t="str">
        <f>HYPERLINK("https://asmlis.vasa.lt/Dashboard/Served?ServiceDateFrom=2025-11-24&amp;ServiceDateTo=2025-11-24&amp;DumpsterInvNr=13-L-129533", "13-L-129533")</f>
        <v>13-L-129533</v>
      </c>
      <c r="C11032">
        <v>1.3</v>
      </c>
      <c r="D11032" t="s">
        <v>14655</v>
      </c>
      <c r="E11032" t="s">
        <v>11</v>
      </c>
      <c r="F11032" t="s">
        <v>13</v>
      </c>
      <c r="G11032" t="s">
        <v>430</v>
      </c>
      <c r="H11032" t="s">
        <v>432</v>
      </c>
    </row>
    <row r="11033" spans="1:8" hidden="1" x14ac:dyDescent="0.25">
      <c r="A11033" t="s">
        <v>14657</v>
      </c>
      <c r="B11033" s="1" t="str">
        <f>HYPERLINK("https://asmlis.vasa.lt/Dashboard/Served?ServiceDateFrom=2025-11-24&amp;ServiceDateTo=2025-11-24&amp;DumpsterInvNr=13-L-147045", "13-L-147045")</f>
        <v>13-L-147045</v>
      </c>
      <c r="C11033">
        <v>0.24</v>
      </c>
      <c r="D11033" t="s">
        <v>14658</v>
      </c>
      <c r="E11033" t="s">
        <v>11</v>
      </c>
      <c r="G11033" t="s">
        <v>430</v>
      </c>
      <c r="H11033" t="s">
        <v>432</v>
      </c>
    </row>
    <row r="11034" spans="1:8" hidden="1" x14ac:dyDescent="0.25">
      <c r="A11034" t="s">
        <v>14657</v>
      </c>
      <c r="B11034" s="1" t="str">
        <f>HYPERLINK("https://asmlis.vasa.lt/Dashboard/Served?ServiceDateFrom=2025-11-24&amp;ServiceDateTo=2025-11-24&amp;DumpsterInvNr=13-L-148057", "13-L-148057")</f>
        <v>13-L-148057</v>
      </c>
      <c r="C11034">
        <v>0.24</v>
      </c>
      <c r="D11034" t="s">
        <v>14652</v>
      </c>
      <c r="E11034" t="s">
        <v>11</v>
      </c>
      <c r="G11034" t="s">
        <v>430</v>
      </c>
      <c r="H11034" t="s">
        <v>432</v>
      </c>
    </row>
    <row r="11035" spans="1:8" hidden="1" x14ac:dyDescent="0.25">
      <c r="A11035" t="s">
        <v>14660</v>
      </c>
      <c r="B11035" s="1" t="str">
        <f>HYPERLINK("https://asmlis.vasa.lt/Dashboard/Served?ServiceDateFrom=2025-11-24&amp;ServiceDateTo=2025-11-24&amp;DumpsterInvNr=13-L-129531", "13-L-129531")</f>
        <v>13-L-129531</v>
      </c>
      <c r="C11035">
        <v>1.3</v>
      </c>
      <c r="D11035" t="s">
        <v>14661</v>
      </c>
      <c r="E11035" t="s">
        <v>11</v>
      </c>
      <c r="F11035" t="s">
        <v>13</v>
      </c>
      <c r="G11035" t="s">
        <v>430</v>
      </c>
      <c r="H11035" t="s">
        <v>432</v>
      </c>
    </row>
    <row r="11036" spans="1:8" hidden="1" x14ac:dyDescent="0.25">
      <c r="A11036" t="s">
        <v>14660</v>
      </c>
      <c r="B11036" s="1" t="str">
        <f>HYPERLINK("https://asmlis.vasa.lt/Dashboard/Served?ServiceDateFrom=2025-11-24&amp;ServiceDateTo=2025-11-24&amp;DumpsterInvNr=13-P-206343", "13-P-206343")</f>
        <v>13-P-206343</v>
      </c>
      <c r="C11036">
        <v>0.24</v>
      </c>
      <c r="D11036" t="s">
        <v>12088</v>
      </c>
      <c r="E11036" t="s">
        <v>11</v>
      </c>
      <c r="G11036" t="s">
        <v>234</v>
      </c>
      <c r="H11036" t="s">
        <v>14</v>
      </c>
    </row>
    <row r="11037" spans="1:8" hidden="1" x14ac:dyDescent="0.25">
      <c r="A11037" t="s">
        <v>14663</v>
      </c>
      <c r="B11037" s="1" t="str">
        <f>HYPERLINK("https://asmlis.vasa.lt/Dashboard/Served?ServiceDateFrom=2025-11-24&amp;ServiceDateTo=2025-11-24&amp;DumpsterInvNr=13-L-134334", "13-L-134334")</f>
        <v>13-L-134334</v>
      </c>
      <c r="C11037">
        <v>0.77</v>
      </c>
      <c r="D11037" t="s">
        <v>14664</v>
      </c>
      <c r="E11037" t="s">
        <v>11</v>
      </c>
      <c r="G11037" t="s">
        <v>430</v>
      </c>
      <c r="H11037" t="s">
        <v>432</v>
      </c>
    </row>
    <row r="11038" spans="1:8" hidden="1" x14ac:dyDescent="0.25">
      <c r="A11038" t="s">
        <v>14663</v>
      </c>
      <c r="B11038" s="1" t="str">
        <f>HYPERLINK("https://asmlis.vasa.lt/Dashboard/Served?ServiceDateFrom=2025-11-24&amp;ServiceDateTo=2025-11-24&amp;DumpsterInvNr=13-L-129532", "13-L-129532")</f>
        <v>13-L-129532</v>
      </c>
      <c r="C11038">
        <v>1.3</v>
      </c>
      <c r="D11038" t="s">
        <v>14661</v>
      </c>
      <c r="E11038" t="s">
        <v>11</v>
      </c>
      <c r="F11038" t="s">
        <v>13</v>
      </c>
      <c r="G11038" t="s">
        <v>430</v>
      </c>
      <c r="H11038" t="s">
        <v>432</v>
      </c>
    </row>
    <row r="11039" spans="1:8" hidden="1" x14ac:dyDescent="0.25">
      <c r="A11039" t="s">
        <v>9778</v>
      </c>
      <c r="B11039" s="1" t="str">
        <f>HYPERLINK("https://asmlis.vasa.lt/Dashboard/Served?ServiceDateFrom=2025-11-24&amp;ServiceDateTo=2025-11-24&amp;DumpsterInvNr=13-L-315631", "13-L-315631")</f>
        <v>13-L-315631</v>
      </c>
      <c r="C11039">
        <v>2.5</v>
      </c>
      <c r="D11039" t="s">
        <v>14665</v>
      </c>
      <c r="E11039" t="s">
        <v>11</v>
      </c>
      <c r="F11039" t="s">
        <v>13</v>
      </c>
      <c r="G11039" t="s">
        <v>9</v>
      </c>
      <c r="H11039" t="s">
        <v>14</v>
      </c>
    </row>
    <row r="11040" spans="1:8" hidden="1" x14ac:dyDescent="0.25">
      <c r="A11040" t="s">
        <v>14666</v>
      </c>
      <c r="B11040" s="1" t="str">
        <f>HYPERLINK("https://asmlis.vasa.lt/Dashboard/Served?ServiceDateFrom=2025-11-24&amp;ServiceDateTo=2025-11-24&amp;DumpsterInvNr=13-S-206270", "13-S-206270")</f>
        <v>13-S-206270</v>
      </c>
      <c r="C11040">
        <v>0.12</v>
      </c>
      <c r="D11040" t="s">
        <v>12096</v>
      </c>
      <c r="E11040" t="s">
        <v>11</v>
      </c>
      <c r="F11040" t="s">
        <v>1209</v>
      </c>
      <c r="G11040" t="s">
        <v>234</v>
      </c>
      <c r="H11040" t="s">
        <v>14</v>
      </c>
    </row>
    <row r="11041" spans="1:10" hidden="1" x14ac:dyDescent="0.25">
      <c r="A11041" t="s">
        <v>10731</v>
      </c>
      <c r="B11041" s="1" t="str">
        <f>HYPERLINK("https://asmlis.vasa.lt/Dashboard/Served?ServiceDateFrom=2025-11-24&amp;ServiceDateTo=2025-11-24&amp;DumpsterInvNr=13-P-208499", "13-P-208499")</f>
        <v>13-P-208499</v>
      </c>
      <c r="C11041">
        <v>0.24</v>
      </c>
      <c r="D11041" t="s">
        <v>12096</v>
      </c>
      <c r="E11041" t="s">
        <v>11</v>
      </c>
      <c r="F11041" t="s">
        <v>1209</v>
      </c>
      <c r="G11041" t="s">
        <v>234</v>
      </c>
      <c r="H11041" t="s">
        <v>14</v>
      </c>
    </row>
    <row r="11042" spans="1:10" hidden="1" x14ac:dyDescent="0.25">
      <c r="A11042" t="s">
        <v>10791</v>
      </c>
      <c r="B11042" s="1" t="str">
        <f>HYPERLINK("https://asmlis.vasa.lt/Dashboard/Served?ServiceDateFrom=2025-11-24&amp;ServiceDateTo=2025-11-24&amp;DumpsterInvNr=13-S-506865", "13-S-506865")</f>
        <v>13-S-506865</v>
      </c>
      <c r="C11042">
        <v>0.12</v>
      </c>
      <c r="D11042" t="s">
        <v>14658</v>
      </c>
      <c r="E11042" t="s">
        <v>11</v>
      </c>
      <c r="F11042" t="s">
        <v>1209</v>
      </c>
      <c r="G11042" t="s">
        <v>2178</v>
      </c>
      <c r="H11042" t="s">
        <v>432</v>
      </c>
    </row>
    <row r="11043" spans="1:10" hidden="1" x14ac:dyDescent="0.25">
      <c r="A11043" t="s">
        <v>11159</v>
      </c>
      <c r="B11043" s="1" t="str">
        <f>HYPERLINK("https://asmlis.vasa.lt/Dashboard/Served?ServiceDateFrom=2025-11-24&amp;ServiceDateTo=2025-11-24&amp;DumpsterInvNr=13-L-317293", "13-L-317293")</f>
        <v>13-L-317293</v>
      </c>
      <c r="C11043">
        <v>1.1000000000000001</v>
      </c>
      <c r="D11043" t="s">
        <v>14668</v>
      </c>
      <c r="E11043" t="s">
        <v>11</v>
      </c>
      <c r="G11043" t="s">
        <v>9</v>
      </c>
      <c r="H11043" t="s">
        <v>14</v>
      </c>
    </row>
    <row r="11044" spans="1:10" hidden="1" x14ac:dyDescent="0.25">
      <c r="A11044" t="s">
        <v>11159</v>
      </c>
      <c r="B11044" s="1" t="str">
        <f>HYPERLINK("https://asmlis.vasa.lt/Dashboard/Served?ServiceDateFrom=2025-11-24&amp;ServiceDateTo=2025-11-24&amp;DumpsterInvNr=13-L-415201", "13-L-415201")</f>
        <v>13-L-415201</v>
      </c>
      <c r="C11044">
        <v>5</v>
      </c>
      <c r="D11044" t="s">
        <v>2904</v>
      </c>
      <c r="E11044" t="s">
        <v>11</v>
      </c>
      <c r="F11044" t="s">
        <v>13</v>
      </c>
      <c r="G11044" t="s">
        <v>74</v>
      </c>
      <c r="H11044" t="s">
        <v>14</v>
      </c>
    </row>
    <row r="11045" spans="1:10" x14ac:dyDescent="0.25">
      <c r="A11045" t="s">
        <v>11535</v>
      </c>
      <c r="B11045" s="1" t="str">
        <f>HYPERLINK("https://asmlis.vasa.lt/Dashboard/Served?ServiceDateFrom=2025-11-24&amp;ServiceDateTo=2025-11-24&amp;DumpsterInvNr=13-P-101190", "13-P-101190")</f>
        <v>13-P-101190</v>
      </c>
      <c r="C11045">
        <v>0.12</v>
      </c>
      <c r="D11045" t="s">
        <v>14669</v>
      </c>
      <c r="E11045" t="s">
        <v>11</v>
      </c>
      <c r="F11045" t="s">
        <v>2556</v>
      </c>
      <c r="G11045" t="s">
        <v>1917</v>
      </c>
      <c r="H11045" t="s">
        <v>432</v>
      </c>
      <c r="J11045" t="s">
        <v>17511</v>
      </c>
    </row>
    <row r="11046" spans="1:10" hidden="1" x14ac:dyDescent="0.25">
      <c r="A11046" t="s">
        <v>11904</v>
      </c>
      <c r="B11046" s="1" t="str">
        <f>HYPERLINK("https://asmlis.vasa.lt/Dashboard/Served?ServiceDateFrom=2025-11-24&amp;ServiceDateTo=2025-11-24&amp;DumpsterInvNr=13-P-501995", "13-P-501995")</f>
        <v>13-P-501995</v>
      </c>
      <c r="C11046">
        <v>0.24</v>
      </c>
      <c r="D11046" t="s">
        <v>14658</v>
      </c>
      <c r="E11046" t="s">
        <v>11</v>
      </c>
      <c r="G11046" t="s">
        <v>2178</v>
      </c>
      <c r="H11046" t="s">
        <v>432</v>
      </c>
    </row>
    <row r="11047" spans="1:10" hidden="1" x14ac:dyDescent="0.25">
      <c r="A11047" t="s">
        <v>12129</v>
      </c>
      <c r="B11047" s="1" t="str">
        <f>HYPERLINK("https://asmlis.vasa.lt/Dashboard/Served?ServiceDateFrom=2025-11-24&amp;ServiceDateTo=2025-11-24&amp;DumpsterInvNr=13-L-139245", "13-L-139245")</f>
        <v>13-L-139245</v>
      </c>
      <c r="C11047">
        <v>5</v>
      </c>
      <c r="D11047" t="s">
        <v>14670</v>
      </c>
      <c r="E11047" t="s">
        <v>11</v>
      </c>
      <c r="F11047" t="s">
        <v>13</v>
      </c>
      <c r="G11047" t="s">
        <v>430</v>
      </c>
      <c r="H11047" t="s">
        <v>432</v>
      </c>
    </row>
    <row r="11048" spans="1:10" x14ac:dyDescent="0.25">
      <c r="A11048" t="s">
        <v>13165</v>
      </c>
      <c r="B11048" s="1" t="str">
        <f>HYPERLINK("https://asmlis.vasa.lt/Dashboard/Served?ServiceDateFrom=2025-11-24&amp;ServiceDateTo=2025-11-24&amp;DumpsterInvNr=13-S-103079", "13-S-103079")</f>
        <v>13-S-103079</v>
      </c>
      <c r="C11048">
        <v>0.12</v>
      </c>
      <c r="D11048" t="s">
        <v>14669</v>
      </c>
      <c r="E11048" t="s">
        <v>11</v>
      </c>
      <c r="F11048" t="s">
        <v>2556</v>
      </c>
      <c r="G11048" t="s">
        <v>1917</v>
      </c>
      <c r="H11048" t="s">
        <v>432</v>
      </c>
      <c r="J11048" t="s">
        <v>17511</v>
      </c>
    </row>
    <row r="11049" spans="1:10" hidden="1" x14ac:dyDescent="0.25">
      <c r="A11049" t="s">
        <v>14671</v>
      </c>
      <c r="B11049" s="1" t="str">
        <f>HYPERLINK("https://asmlis.vasa.lt/Dashboard/Served?ServiceDateFrom=2025-11-24&amp;ServiceDateTo=2025-11-24&amp;DumpsterInvNr=13-S-506921", "13-S-506921")</f>
        <v>13-S-506921</v>
      </c>
      <c r="C11049">
        <v>0.12</v>
      </c>
      <c r="D11049" t="s">
        <v>14652</v>
      </c>
      <c r="E11049" t="s">
        <v>11</v>
      </c>
      <c r="F11049" t="s">
        <v>1209</v>
      </c>
      <c r="G11049" t="s">
        <v>2178</v>
      </c>
      <c r="H11049" t="s">
        <v>432</v>
      </c>
    </row>
    <row r="11050" spans="1:10" hidden="1" x14ac:dyDescent="0.25">
      <c r="A11050" t="s">
        <v>14672</v>
      </c>
      <c r="B11050" s="1" t="str">
        <f>HYPERLINK("https://asmlis.vasa.lt/Dashboard/Served?ServiceDateFrom=2025-11-24&amp;ServiceDateTo=2025-11-24&amp;DumpsterInvNr=13-P-211746", "13-P-211746")</f>
        <v>13-P-211746</v>
      </c>
      <c r="C11050">
        <v>0.24</v>
      </c>
      <c r="D11050" t="s">
        <v>12081</v>
      </c>
      <c r="E11050" t="s">
        <v>11</v>
      </c>
      <c r="G11050" t="s">
        <v>234</v>
      </c>
      <c r="H11050" t="s">
        <v>14</v>
      </c>
    </row>
    <row r="11051" spans="1:10" hidden="1" x14ac:dyDescent="0.25">
      <c r="A11051" t="s">
        <v>14672</v>
      </c>
      <c r="B11051" s="1" t="str">
        <f>HYPERLINK("https://asmlis.vasa.lt/Dashboard/Served?ServiceDateFrom=2025-11-24&amp;ServiceDateTo=2025-11-24&amp;DumpsterInvNr=13-S-211744", "13-S-211744")</f>
        <v>13-S-211744</v>
      </c>
      <c r="C11051">
        <v>0.12</v>
      </c>
      <c r="D11051" t="s">
        <v>12081</v>
      </c>
      <c r="E11051" t="s">
        <v>11</v>
      </c>
      <c r="G11051" t="s">
        <v>234</v>
      </c>
      <c r="H11051" t="s">
        <v>14</v>
      </c>
    </row>
    <row r="11052" spans="1:10" hidden="1" x14ac:dyDescent="0.25">
      <c r="A11052" t="s">
        <v>14674</v>
      </c>
      <c r="B11052" s="1" t="str">
        <f>HYPERLINK("https://asmlis.vasa.lt/Dashboard/Served?ServiceDateFrom=2025-11-24&amp;ServiceDateTo=2025-11-24&amp;DumpsterInvNr=13-P-302410", "13-P-302410")</f>
        <v>13-P-302410</v>
      </c>
      <c r="C11052">
        <v>3</v>
      </c>
      <c r="D11052" t="s">
        <v>14636</v>
      </c>
      <c r="E11052" t="s">
        <v>11</v>
      </c>
      <c r="G11052" t="s">
        <v>412</v>
      </c>
      <c r="H11052" t="s">
        <v>14</v>
      </c>
    </row>
    <row r="11053" spans="1:10" x14ac:dyDescent="0.25">
      <c r="A11053" t="s">
        <v>14675</v>
      </c>
      <c r="B11053" s="1" t="str">
        <f>HYPERLINK("https://asmlis.vasa.lt/Dashboard/Served?ServiceDateFrom=2025-11-24&amp;ServiceDateTo=2025-11-24&amp;DumpsterInvNr=13-P-101191", "13-P-101191")</f>
        <v>13-P-101191</v>
      </c>
      <c r="C11053">
        <v>0.12</v>
      </c>
      <c r="D11053" t="s">
        <v>14676</v>
      </c>
      <c r="E11053" t="s">
        <v>11</v>
      </c>
      <c r="F11053" t="s">
        <v>2556</v>
      </c>
      <c r="G11053" t="s">
        <v>1917</v>
      </c>
      <c r="H11053" t="s">
        <v>432</v>
      </c>
      <c r="J11053" t="s">
        <v>17511</v>
      </c>
    </row>
    <row r="11054" spans="1:10" hidden="1" x14ac:dyDescent="0.25">
      <c r="A11054" t="s">
        <v>14677</v>
      </c>
      <c r="B11054" s="1" t="str">
        <f>HYPERLINK("https://asmlis.vasa.lt/Dashboard/Served?ServiceDateFrom=2025-11-24&amp;ServiceDateTo=2025-11-24&amp;DumpsterInvNr=13-L-145866", "13-L-145866")</f>
        <v>13-L-145866</v>
      </c>
      <c r="C11054">
        <v>5</v>
      </c>
      <c r="D11054" t="s">
        <v>14678</v>
      </c>
      <c r="E11054" t="s">
        <v>11</v>
      </c>
      <c r="F11054" t="s">
        <v>13</v>
      </c>
      <c r="G11054" t="s">
        <v>1912</v>
      </c>
      <c r="H11054" t="s">
        <v>432</v>
      </c>
    </row>
    <row r="11055" spans="1:10" hidden="1" x14ac:dyDescent="0.25">
      <c r="A11055" t="s">
        <v>14679</v>
      </c>
      <c r="B11055" s="1" t="str">
        <f>HYPERLINK("https://asmlis.vasa.lt/Dashboard/Served?ServiceDateFrom=2025-11-24&amp;ServiceDateTo=2025-11-24&amp;DumpsterInvNr=13-P-212141", "13-P-212141")</f>
        <v>13-P-212141</v>
      </c>
      <c r="C11055">
        <v>1.1000000000000001</v>
      </c>
      <c r="D11055" t="s">
        <v>14680</v>
      </c>
      <c r="E11055" t="s">
        <v>11</v>
      </c>
      <c r="F11055" t="s">
        <v>13</v>
      </c>
      <c r="G11055" t="s">
        <v>234</v>
      </c>
      <c r="H11055" t="s">
        <v>14</v>
      </c>
    </row>
    <row r="11056" spans="1:10" hidden="1" x14ac:dyDescent="0.25">
      <c r="A11056" t="s">
        <v>14681</v>
      </c>
      <c r="B11056" s="1" t="str">
        <f>HYPERLINK("https://asmlis.vasa.lt/Dashboard/Served?ServiceDateFrom=2025-11-24&amp;ServiceDateTo=2025-11-24&amp;DumpsterInvNr=13-L-225343", "13-L-225343")</f>
        <v>13-L-225343</v>
      </c>
      <c r="C11056">
        <v>5</v>
      </c>
      <c r="D11056" t="s">
        <v>14682</v>
      </c>
      <c r="E11056" t="s">
        <v>11</v>
      </c>
      <c r="G11056" t="s">
        <v>936</v>
      </c>
      <c r="H11056" t="s">
        <v>938</v>
      </c>
    </row>
    <row r="11057" spans="1:10" hidden="1" x14ac:dyDescent="0.25">
      <c r="A11057" t="s">
        <v>14681</v>
      </c>
      <c r="B11057" s="1" t="str">
        <f>HYPERLINK("https://asmlis.vasa.lt/Dashboard/Served?ServiceDateFrom=2025-11-24&amp;ServiceDateTo=2025-11-24&amp;DumpsterInvNr=13-P-500619", "13-P-500619")</f>
        <v>13-P-500619</v>
      </c>
      <c r="C11057">
        <v>5</v>
      </c>
      <c r="D11057" t="s">
        <v>14630</v>
      </c>
      <c r="E11057" t="s">
        <v>11</v>
      </c>
      <c r="F11057" t="s">
        <v>13</v>
      </c>
      <c r="G11057" t="s">
        <v>2178</v>
      </c>
      <c r="H11057" t="s">
        <v>432</v>
      </c>
    </row>
    <row r="11058" spans="1:10" hidden="1" x14ac:dyDescent="0.25">
      <c r="A11058" t="s">
        <v>14684</v>
      </c>
      <c r="B11058" s="1" t="str">
        <f>HYPERLINK("https://asmlis.vasa.lt/Dashboard/Served?ServiceDateFrom=2025-11-24&amp;ServiceDateTo=2025-11-24&amp;DumpsterInvNr=13-P-115393", "13-P-115393")</f>
        <v>13-P-115393</v>
      </c>
      <c r="C11058">
        <v>1.1000000000000001</v>
      </c>
      <c r="D11058" t="s">
        <v>9905</v>
      </c>
      <c r="E11058" t="s">
        <v>11</v>
      </c>
      <c r="G11058" t="s">
        <v>1917</v>
      </c>
      <c r="H11058" t="s">
        <v>432</v>
      </c>
    </row>
    <row r="11059" spans="1:10" x14ac:dyDescent="0.25">
      <c r="A11059" t="s">
        <v>14685</v>
      </c>
      <c r="B11059" s="1" t="str">
        <f>HYPERLINK("https://asmlis.vasa.lt/Dashboard/Served?ServiceDateFrom=2025-11-24&amp;ServiceDateTo=2025-11-24&amp;DumpsterInvNr=13-L-120425", "13-L-120425")</f>
        <v>13-L-120425</v>
      </c>
      <c r="C11059">
        <v>0.12</v>
      </c>
      <c r="D11059" t="s">
        <v>14669</v>
      </c>
      <c r="E11059" t="s">
        <v>11</v>
      </c>
      <c r="F11059" t="s">
        <v>2556</v>
      </c>
      <c r="G11059" t="s">
        <v>1912</v>
      </c>
      <c r="H11059" t="s">
        <v>432</v>
      </c>
      <c r="J11059" t="s">
        <v>17511</v>
      </c>
    </row>
    <row r="11060" spans="1:10" hidden="1" x14ac:dyDescent="0.25">
      <c r="A11060" t="s">
        <v>14687</v>
      </c>
      <c r="B11060" s="1" t="str">
        <f>HYPERLINK("https://asmlis.vasa.lt/Dashboard/Served?ServiceDateFrom=2025-11-24&amp;ServiceDateTo=2025-11-24&amp;DumpsterInvNr=13-P-208062", "13-P-208062")</f>
        <v>13-P-208062</v>
      </c>
      <c r="C11060">
        <v>1.1000000000000001</v>
      </c>
      <c r="D11060" t="s">
        <v>14680</v>
      </c>
      <c r="E11060" t="s">
        <v>11</v>
      </c>
      <c r="F11060" t="s">
        <v>13</v>
      </c>
      <c r="G11060" t="s">
        <v>234</v>
      </c>
      <c r="H11060" t="s">
        <v>14</v>
      </c>
    </row>
    <row r="11061" spans="1:10" hidden="1" x14ac:dyDescent="0.25">
      <c r="A11061" t="s">
        <v>14688</v>
      </c>
      <c r="B11061" s="1" t="str">
        <f>HYPERLINK("https://asmlis.vasa.lt/Dashboard/Served?ServiceDateFrom=2025-11-24&amp;ServiceDateTo=2025-11-24&amp;DumpsterInvNr=13-P-416258", "13-P-416258")</f>
        <v>13-P-416258</v>
      </c>
      <c r="C11061">
        <v>5</v>
      </c>
      <c r="D11061" t="s">
        <v>14127</v>
      </c>
      <c r="E11061" t="s">
        <v>11</v>
      </c>
      <c r="F11061" t="s">
        <v>13</v>
      </c>
      <c r="G11061" t="s">
        <v>264</v>
      </c>
      <c r="H11061" t="s">
        <v>14</v>
      </c>
    </row>
    <row r="11062" spans="1:10" x14ac:dyDescent="0.25">
      <c r="A11062" t="s">
        <v>14689</v>
      </c>
      <c r="B11062" s="1" t="str">
        <f>HYPERLINK("https://asmlis.vasa.lt/Dashboard/Served?ServiceDateFrom=2025-11-24&amp;ServiceDateTo=2025-11-24&amp;DumpsterInvNr=13-P-101192", "13-P-101192")</f>
        <v>13-P-101192</v>
      </c>
      <c r="C11062">
        <v>0.12</v>
      </c>
      <c r="D11062" t="s">
        <v>14690</v>
      </c>
      <c r="E11062" t="s">
        <v>11</v>
      </c>
      <c r="F11062" t="s">
        <v>2556</v>
      </c>
      <c r="G11062" t="s">
        <v>1917</v>
      </c>
      <c r="H11062" t="s">
        <v>432</v>
      </c>
      <c r="J11062" t="s">
        <v>17511</v>
      </c>
    </row>
    <row r="11063" spans="1:10" hidden="1" x14ac:dyDescent="0.25">
      <c r="A11063" t="s">
        <v>14692</v>
      </c>
      <c r="B11063" s="1" t="str">
        <f>HYPERLINK("https://asmlis.vasa.lt/Dashboard/Served?ServiceDateFrom=2025-11-24&amp;ServiceDateTo=2025-11-24&amp;DumpsterInvNr=13-P-115394", "13-P-115394")</f>
        <v>13-P-115394</v>
      </c>
      <c r="C11063">
        <v>1.1000000000000001</v>
      </c>
      <c r="D11063" t="s">
        <v>9905</v>
      </c>
      <c r="E11063" t="s">
        <v>11</v>
      </c>
      <c r="G11063" t="s">
        <v>1917</v>
      </c>
      <c r="H11063" t="s">
        <v>432</v>
      </c>
    </row>
    <row r="11064" spans="1:10" x14ac:dyDescent="0.25">
      <c r="A11064" t="s">
        <v>14694</v>
      </c>
      <c r="B11064" s="1" t="str">
        <f>HYPERLINK("https://asmlis.vasa.lt/Dashboard/Served?ServiceDateFrom=2025-11-24&amp;ServiceDateTo=2025-11-24&amp;DumpsterInvNr=13-L-118948", "13-L-118948")</f>
        <v>13-L-118948</v>
      </c>
      <c r="C11064">
        <v>0.12</v>
      </c>
      <c r="D11064" t="s">
        <v>14690</v>
      </c>
      <c r="E11064" t="s">
        <v>11</v>
      </c>
      <c r="F11064" t="s">
        <v>2556</v>
      </c>
      <c r="G11064" t="s">
        <v>1912</v>
      </c>
      <c r="H11064" t="s">
        <v>432</v>
      </c>
      <c r="J11064" t="s">
        <v>17511</v>
      </c>
    </row>
    <row r="11065" spans="1:10" hidden="1" x14ac:dyDescent="0.25">
      <c r="A11065" t="s">
        <v>14696</v>
      </c>
      <c r="B11065" s="1" t="str">
        <f>HYPERLINK("https://asmlis.vasa.lt/Dashboard/Served?ServiceDateFrom=2025-11-24&amp;ServiceDateTo=2025-11-24&amp;DumpsterInvNr=13-P-204106", "13-P-204106")</f>
        <v>13-P-204106</v>
      </c>
      <c r="C11065">
        <v>0.24</v>
      </c>
      <c r="D11065" t="s">
        <v>12073</v>
      </c>
      <c r="E11065" t="s">
        <v>11</v>
      </c>
      <c r="G11065" t="s">
        <v>234</v>
      </c>
      <c r="H11065" t="s">
        <v>14</v>
      </c>
    </row>
    <row r="11066" spans="1:10" hidden="1" x14ac:dyDescent="0.25">
      <c r="A11066" t="s">
        <v>14696</v>
      </c>
      <c r="B11066" s="1" t="str">
        <f>HYPERLINK("https://asmlis.vasa.lt/Dashboard/Served?ServiceDateFrom=2025-11-24&amp;ServiceDateTo=2025-11-24&amp;DumpsterInvNr=13-S-205637", "13-S-205637")</f>
        <v>13-S-205637</v>
      </c>
      <c r="C11066">
        <v>0.12</v>
      </c>
      <c r="D11066" t="s">
        <v>12073</v>
      </c>
      <c r="E11066" t="s">
        <v>11</v>
      </c>
      <c r="G11066" t="s">
        <v>234</v>
      </c>
      <c r="H11066" t="s">
        <v>14</v>
      </c>
    </row>
    <row r="11067" spans="1:10" hidden="1" x14ac:dyDescent="0.25">
      <c r="A11067" t="s">
        <v>14697</v>
      </c>
      <c r="B11067" s="1" t="str">
        <f>HYPERLINK("https://asmlis.vasa.lt/Dashboard/Served?ServiceDateFrom=2025-11-24&amp;ServiceDateTo=2025-11-24&amp;DumpsterInvNr=13-L-316228", "13-L-316228")</f>
        <v>13-L-316228</v>
      </c>
      <c r="C11067">
        <v>1.1000000000000001</v>
      </c>
      <c r="D11067" t="s">
        <v>14698</v>
      </c>
      <c r="E11067" t="s">
        <v>11</v>
      </c>
      <c r="G11067" t="s">
        <v>9</v>
      </c>
      <c r="H11067" t="s">
        <v>14</v>
      </c>
    </row>
    <row r="11068" spans="1:10" hidden="1" x14ac:dyDescent="0.25">
      <c r="A11068" t="s">
        <v>14699</v>
      </c>
      <c r="B11068" s="1" t="str">
        <f>HYPERLINK("https://asmlis.vasa.lt/Dashboard/Served?ServiceDateFrom=2025-11-24&amp;ServiceDateTo=2025-11-24&amp;DumpsterInvNr=13-S-206027", "13-S-206027")</f>
        <v>13-S-206027</v>
      </c>
      <c r="C11068">
        <v>0.12</v>
      </c>
      <c r="D11068" t="s">
        <v>12088</v>
      </c>
      <c r="E11068" t="s">
        <v>11</v>
      </c>
      <c r="F11068" t="s">
        <v>1209</v>
      </c>
      <c r="G11068" t="s">
        <v>234</v>
      </c>
      <c r="H11068" t="s">
        <v>14</v>
      </c>
    </row>
    <row r="11069" spans="1:10" hidden="1" x14ac:dyDescent="0.25">
      <c r="A11069" t="s">
        <v>14701</v>
      </c>
      <c r="B11069" s="1" t="str">
        <f>HYPERLINK("https://asmlis.vasa.lt/Dashboard/Served?ServiceDateFrom=2025-11-24&amp;ServiceDateTo=2025-11-24&amp;DumpsterInvNr=13-S-504500", "13-S-504500")</f>
        <v>13-S-504500</v>
      </c>
      <c r="C11069">
        <v>0.12</v>
      </c>
      <c r="D11069" t="s">
        <v>14702</v>
      </c>
      <c r="E11069" t="s">
        <v>11</v>
      </c>
      <c r="G11069" t="s">
        <v>2178</v>
      </c>
      <c r="H11069" t="s">
        <v>432</v>
      </c>
    </row>
    <row r="11070" spans="1:10" x14ac:dyDescent="0.25">
      <c r="A11070" t="s">
        <v>14703</v>
      </c>
      <c r="B11070" s="1" t="str">
        <f>HYPERLINK("https://asmlis.vasa.lt/Dashboard/Served?ServiceDateFrom=2025-11-24&amp;ServiceDateTo=2025-11-24&amp;DumpsterInvNr=13-L-118308", "13-L-118308")</f>
        <v>13-L-118308</v>
      </c>
      <c r="C11070">
        <v>0.12</v>
      </c>
      <c r="D11070" t="s">
        <v>14704</v>
      </c>
      <c r="E11070" t="s">
        <v>11</v>
      </c>
      <c r="F11070" t="s">
        <v>2556</v>
      </c>
      <c r="G11070" t="s">
        <v>1912</v>
      </c>
      <c r="H11070" t="s">
        <v>432</v>
      </c>
      <c r="J11070" t="s">
        <v>17511</v>
      </c>
    </row>
    <row r="11071" spans="1:10" hidden="1" x14ac:dyDescent="0.25">
      <c r="A11071" t="s">
        <v>14705</v>
      </c>
      <c r="B11071" s="1" t="str">
        <f>HYPERLINK("https://asmlis.vasa.lt/Dashboard/Served?ServiceDateFrom=2025-11-24&amp;ServiceDateTo=2025-11-24&amp;DumpsterInvNr=13-L-203524", "13-L-203524")</f>
        <v>13-L-203524</v>
      </c>
      <c r="C11071">
        <v>0.24</v>
      </c>
      <c r="D11071" t="s">
        <v>14706</v>
      </c>
      <c r="E11071" t="s">
        <v>11</v>
      </c>
      <c r="G11071" t="s">
        <v>936</v>
      </c>
      <c r="H11071" t="s">
        <v>938</v>
      </c>
    </row>
    <row r="11072" spans="1:10" hidden="1" x14ac:dyDescent="0.25">
      <c r="A11072" t="s">
        <v>14705</v>
      </c>
      <c r="B11072" s="1" t="str">
        <f>HYPERLINK("https://asmlis.vasa.lt/Dashboard/Served?ServiceDateFrom=2025-11-24&amp;ServiceDateTo=2025-11-24&amp;DumpsterInvNr=13-L-123363", "13-L-123363")</f>
        <v>13-L-123363</v>
      </c>
      <c r="C11072">
        <v>0.12</v>
      </c>
      <c r="D11072" t="s">
        <v>14702</v>
      </c>
      <c r="E11072" t="s">
        <v>11</v>
      </c>
      <c r="G11072" t="s">
        <v>430</v>
      </c>
      <c r="H11072" t="s">
        <v>432</v>
      </c>
    </row>
    <row r="11073" spans="1:10" hidden="1" x14ac:dyDescent="0.25">
      <c r="A11073" t="s">
        <v>14513</v>
      </c>
      <c r="B11073" s="1" t="str">
        <f>HYPERLINK("https://asmlis.vasa.lt/Dashboard/Served?ServiceDateFrom=2025-11-24&amp;ServiceDateTo=2025-11-24&amp;DumpsterInvNr=13-L-316486", "13-L-316486")</f>
        <v>13-L-316486</v>
      </c>
      <c r="C11073">
        <v>1.1000000000000001</v>
      </c>
      <c r="D11073" t="s">
        <v>14707</v>
      </c>
      <c r="E11073" t="s">
        <v>11</v>
      </c>
      <c r="G11073" t="s">
        <v>9</v>
      </c>
      <c r="H11073" t="s">
        <v>14</v>
      </c>
    </row>
    <row r="11074" spans="1:10" hidden="1" x14ac:dyDescent="0.25">
      <c r="A11074" t="s">
        <v>14513</v>
      </c>
      <c r="B11074" s="1" t="str">
        <f>HYPERLINK("https://asmlis.vasa.lt/Dashboard/Served?ServiceDateFrom=2025-11-24&amp;ServiceDateTo=2025-11-24&amp;DumpsterInvNr=13-L-309515", "13-L-309515")</f>
        <v>13-L-309515</v>
      </c>
      <c r="C11074">
        <v>1.1000000000000001</v>
      </c>
      <c r="D11074" t="s">
        <v>14707</v>
      </c>
      <c r="E11074" t="s">
        <v>11</v>
      </c>
      <c r="G11074" t="s">
        <v>9</v>
      </c>
      <c r="H11074" t="s">
        <v>14</v>
      </c>
    </row>
    <row r="11075" spans="1:10" hidden="1" x14ac:dyDescent="0.25">
      <c r="A11075" t="s">
        <v>14708</v>
      </c>
      <c r="B11075" s="1" t="str">
        <f>HYPERLINK("https://asmlis.vasa.lt/Dashboard/Served?ServiceDateFrom=2025-11-24&amp;ServiceDateTo=2025-11-24&amp;DumpsterInvNr=13-L-207064", "13-L-207064")</f>
        <v>13-L-207064</v>
      </c>
      <c r="C11075">
        <v>1.1000000000000001</v>
      </c>
      <c r="D11075" t="s">
        <v>14709</v>
      </c>
      <c r="E11075" t="s">
        <v>11</v>
      </c>
      <c r="G11075" t="s">
        <v>936</v>
      </c>
      <c r="H11075" t="s">
        <v>938</v>
      </c>
    </row>
    <row r="11076" spans="1:10" hidden="1" x14ac:dyDescent="0.25">
      <c r="A11076" t="s">
        <v>14708</v>
      </c>
      <c r="B11076" s="1" t="str">
        <f>HYPERLINK("https://asmlis.vasa.lt/Dashboard/Served?ServiceDateFrom=2025-11-24&amp;ServiceDateTo=2025-11-24&amp;DumpsterInvNr=13-P-501919", "13-P-501919")</f>
        <v>13-P-501919</v>
      </c>
      <c r="C11076">
        <v>0.24</v>
      </c>
      <c r="D11076" t="s">
        <v>14702</v>
      </c>
      <c r="E11076" t="s">
        <v>11</v>
      </c>
      <c r="G11076" t="s">
        <v>2178</v>
      </c>
      <c r="H11076" t="s">
        <v>432</v>
      </c>
    </row>
    <row r="11077" spans="1:10" hidden="1" x14ac:dyDescent="0.25">
      <c r="A11077" t="s">
        <v>14710</v>
      </c>
      <c r="B11077" s="1" t="str">
        <f>HYPERLINK("https://asmlis.vasa.lt/Dashboard/Served?ServiceDateFrom=2025-11-24&amp;ServiceDateTo=2025-11-24&amp;DumpsterInvNr=13-L-203523", "13-L-203523")</f>
        <v>13-L-203523</v>
      </c>
      <c r="C11077">
        <v>0.12</v>
      </c>
      <c r="D11077" t="s">
        <v>14711</v>
      </c>
      <c r="E11077" t="s">
        <v>11</v>
      </c>
      <c r="F11077" t="s">
        <v>13</v>
      </c>
      <c r="G11077" t="s">
        <v>936</v>
      </c>
      <c r="H11077" t="s">
        <v>938</v>
      </c>
    </row>
    <row r="11078" spans="1:10" hidden="1" x14ac:dyDescent="0.25">
      <c r="A11078" t="s">
        <v>14683</v>
      </c>
      <c r="B11078" s="1" t="str">
        <f>HYPERLINK("https://asmlis.vasa.lt/Dashboard/Served?ServiceDateFrom=2025-11-24&amp;ServiceDateTo=2025-11-24&amp;DumpsterInvNr=13-P-302407", "13-P-302407")</f>
        <v>13-P-302407</v>
      </c>
      <c r="C11078">
        <v>5</v>
      </c>
      <c r="D11078" t="s">
        <v>14636</v>
      </c>
      <c r="E11078" t="s">
        <v>11</v>
      </c>
      <c r="F11078" t="s">
        <v>13</v>
      </c>
      <c r="G11078" t="s">
        <v>412</v>
      </c>
      <c r="H11078" t="s">
        <v>14</v>
      </c>
    </row>
    <row r="11079" spans="1:10" x14ac:dyDescent="0.25">
      <c r="A11079" t="s">
        <v>14712</v>
      </c>
      <c r="B11079" s="1" t="str">
        <f>HYPERLINK("https://asmlis.vasa.lt/Dashboard/Served?ServiceDateFrom=2025-11-24&amp;ServiceDateTo=2025-11-24&amp;DumpsterInvNr=13-P-101189", "13-P-101189")</f>
        <v>13-P-101189</v>
      </c>
      <c r="C11079">
        <v>0.12</v>
      </c>
      <c r="D11079" t="s">
        <v>14704</v>
      </c>
      <c r="E11079" t="s">
        <v>11</v>
      </c>
      <c r="F11079" t="s">
        <v>2556</v>
      </c>
      <c r="G11079" t="s">
        <v>1917</v>
      </c>
      <c r="H11079" t="s">
        <v>432</v>
      </c>
      <c r="J11079" t="s">
        <v>17511</v>
      </c>
    </row>
    <row r="11080" spans="1:10" hidden="1" x14ac:dyDescent="0.25">
      <c r="A11080" t="s">
        <v>14713</v>
      </c>
      <c r="B11080" s="1" t="str">
        <f>HYPERLINK("https://asmlis.vasa.lt/Dashboard/Served?ServiceDateFrom=2025-11-24&amp;ServiceDateTo=2025-11-24&amp;DumpsterInvNr=13-L-137184", "13-L-137184")</f>
        <v>13-L-137184</v>
      </c>
      <c r="C11080">
        <v>1.1000000000000001</v>
      </c>
      <c r="D11080" t="s">
        <v>7987</v>
      </c>
      <c r="E11080" t="s">
        <v>11</v>
      </c>
      <c r="G11080" t="s">
        <v>430</v>
      </c>
      <c r="H11080" t="s">
        <v>432</v>
      </c>
    </row>
    <row r="11081" spans="1:10" x14ac:dyDescent="0.25">
      <c r="A11081" t="s">
        <v>14371</v>
      </c>
      <c r="B11081" s="1" t="str">
        <f>HYPERLINK("https://asmlis.vasa.lt/Dashboard/Served?ServiceDateFrom=2025-11-24&amp;ServiceDateTo=2025-11-24&amp;DumpsterInvNr=13-L-120424", "13-L-120424")</f>
        <v>13-L-120424</v>
      </c>
      <c r="C11081">
        <v>0.12</v>
      </c>
      <c r="D11081" t="s">
        <v>14676</v>
      </c>
      <c r="E11081" t="s">
        <v>11</v>
      </c>
      <c r="F11081" t="s">
        <v>2556</v>
      </c>
      <c r="G11081" t="s">
        <v>1912</v>
      </c>
      <c r="H11081" t="s">
        <v>432</v>
      </c>
      <c r="J11081" t="s">
        <v>17511</v>
      </c>
    </row>
    <row r="11082" spans="1:10" hidden="1" x14ac:dyDescent="0.25">
      <c r="A11082" t="s">
        <v>14714</v>
      </c>
      <c r="B11082" s="1" t="str">
        <f>HYPERLINK("https://asmlis.vasa.lt/Dashboard/Served?ServiceDateFrom=2025-11-24&amp;ServiceDateTo=2025-11-24&amp;DumpsterInvNr=13-S-206007", "13-S-206007")</f>
        <v>13-S-206007</v>
      </c>
      <c r="C11082">
        <v>0.12</v>
      </c>
      <c r="D11082" t="s">
        <v>12064</v>
      </c>
      <c r="E11082" t="s">
        <v>11</v>
      </c>
      <c r="G11082" t="s">
        <v>234</v>
      </c>
      <c r="H11082" t="s">
        <v>14</v>
      </c>
    </row>
    <row r="11083" spans="1:10" hidden="1" x14ac:dyDescent="0.25">
      <c r="A11083" t="s">
        <v>14715</v>
      </c>
      <c r="B11083" s="1" t="str">
        <f>HYPERLINK("https://asmlis.vasa.lt/Dashboard/Served?ServiceDateFrom=2025-11-24&amp;ServiceDateTo=2025-11-24&amp;DumpsterInvNr=13-L-319671", "13-L-319671")</f>
        <v>13-L-319671</v>
      </c>
      <c r="C11083">
        <v>1.1000000000000001</v>
      </c>
      <c r="D11083" t="s">
        <v>14698</v>
      </c>
      <c r="E11083" t="s">
        <v>11</v>
      </c>
      <c r="G11083" t="s">
        <v>9</v>
      </c>
      <c r="H11083" t="s">
        <v>14</v>
      </c>
    </row>
    <row r="11084" spans="1:10" hidden="1" x14ac:dyDescent="0.25">
      <c r="A11084" t="s">
        <v>14535</v>
      </c>
      <c r="B11084" s="1" t="str">
        <f>HYPERLINK("https://asmlis.vasa.lt/Dashboard/Served?ServiceDateFrom=2025-11-24&amp;ServiceDateTo=2025-11-24&amp;DumpsterInvNr=13-P-211517", "13-P-211517")</f>
        <v>13-P-211517</v>
      </c>
      <c r="C11084">
        <v>0.24</v>
      </c>
      <c r="D11084" t="s">
        <v>12061</v>
      </c>
      <c r="E11084" t="s">
        <v>11</v>
      </c>
      <c r="G11084" t="s">
        <v>234</v>
      </c>
      <c r="H11084" t="s">
        <v>14</v>
      </c>
    </row>
    <row r="11085" spans="1:10" hidden="1" x14ac:dyDescent="0.25">
      <c r="A11085" t="s">
        <v>14667</v>
      </c>
      <c r="B11085" s="1" t="str">
        <f>HYPERLINK("https://asmlis.vasa.lt/Dashboard/Served?ServiceDateFrom=2025-11-24&amp;ServiceDateTo=2025-11-24&amp;DumpsterInvNr=13-L-210645", "13-L-210645")</f>
        <v>13-L-210645</v>
      </c>
      <c r="C11085">
        <v>0.24</v>
      </c>
      <c r="D11085" t="s">
        <v>14716</v>
      </c>
      <c r="E11085" t="s">
        <v>11</v>
      </c>
      <c r="G11085" t="s">
        <v>936</v>
      </c>
      <c r="H11085" t="s">
        <v>938</v>
      </c>
    </row>
    <row r="11086" spans="1:10" x14ac:dyDescent="0.25">
      <c r="A11086" t="s">
        <v>14667</v>
      </c>
      <c r="B11086" s="1" t="str">
        <f>HYPERLINK("https://asmlis.vasa.lt/Dashboard/Served?ServiceDateFrom=2025-11-24&amp;ServiceDateTo=2025-11-24&amp;DumpsterInvNr=13-S-103059", "13-S-103059")</f>
        <v>13-S-103059</v>
      </c>
      <c r="C11086">
        <v>0.12</v>
      </c>
      <c r="D11086" t="s">
        <v>14717</v>
      </c>
      <c r="E11086" t="s">
        <v>11</v>
      </c>
      <c r="F11086" t="s">
        <v>2556</v>
      </c>
      <c r="G11086" t="s">
        <v>1917</v>
      </c>
      <c r="H11086" t="s">
        <v>432</v>
      </c>
      <c r="J11086" t="s">
        <v>17511</v>
      </c>
    </row>
    <row r="11087" spans="1:10" hidden="1" x14ac:dyDescent="0.25">
      <c r="A11087" t="s">
        <v>14718</v>
      </c>
      <c r="B11087" s="1" t="str">
        <f>HYPERLINK("https://asmlis.vasa.lt/Dashboard/Served?ServiceDateFrom=2025-11-24&amp;ServiceDateTo=2025-11-24&amp;DumpsterInvNr=13-L-137183", "13-L-137183")</f>
        <v>13-L-137183</v>
      </c>
      <c r="C11087">
        <v>1.1000000000000001</v>
      </c>
      <c r="D11087" t="s">
        <v>7987</v>
      </c>
      <c r="E11087" t="s">
        <v>11</v>
      </c>
      <c r="G11087" t="s">
        <v>430</v>
      </c>
      <c r="H11087" t="s">
        <v>432</v>
      </c>
    </row>
    <row r="11088" spans="1:10" hidden="1" x14ac:dyDescent="0.25">
      <c r="A11088" t="s">
        <v>14358</v>
      </c>
      <c r="B11088" s="1" t="str">
        <f>HYPERLINK("https://asmlis.vasa.lt/Dashboard/Served?ServiceDateFrom=2025-11-24&amp;ServiceDateTo=2025-11-24&amp;DumpsterInvNr=13-L-220296", "13-L-220296")</f>
        <v>13-L-220296</v>
      </c>
      <c r="C11088">
        <v>0.24</v>
      </c>
      <c r="D11088" t="s">
        <v>14719</v>
      </c>
      <c r="E11088" t="s">
        <v>11</v>
      </c>
      <c r="G11088" t="s">
        <v>936</v>
      </c>
      <c r="H11088" t="s">
        <v>938</v>
      </c>
    </row>
    <row r="11089" spans="1:10" x14ac:dyDescent="0.25">
      <c r="A11089" t="s">
        <v>14358</v>
      </c>
      <c r="B11089" s="1" t="str">
        <f>HYPERLINK("https://asmlis.vasa.lt/Dashboard/Served?ServiceDateFrom=2025-11-24&amp;ServiceDateTo=2025-11-24&amp;DumpsterInvNr=13-P-103467", "13-P-103467")</f>
        <v>13-P-103467</v>
      </c>
      <c r="C11089">
        <v>0.24</v>
      </c>
      <c r="D11089" t="s">
        <v>14717</v>
      </c>
      <c r="E11089" t="s">
        <v>11</v>
      </c>
      <c r="F11089" t="s">
        <v>2556</v>
      </c>
      <c r="G11089" t="s">
        <v>1917</v>
      </c>
      <c r="H11089" t="s">
        <v>432</v>
      </c>
      <c r="J11089" t="s">
        <v>17511</v>
      </c>
    </row>
    <row r="11090" spans="1:10" hidden="1" x14ac:dyDescent="0.25">
      <c r="A11090" t="s">
        <v>14343</v>
      </c>
      <c r="B11090" s="1" t="str">
        <f>HYPERLINK("https://asmlis.vasa.lt/Dashboard/Served?ServiceDateFrom=2025-11-24&amp;ServiceDateTo=2025-11-24&amp;DumpsterInvNr=13-P-300006", "13-P-300006")</f>
        <v>13-P-300006</v>
      </c>
      <c r="C11090">
        <v>5</v>
      </c>
      <c r="D11090" t="s">
        <v>5522</v>
      </c>
      <c r="E11090" t="s">
        <v>11</v>
      </c>
      <c r="G11090" t="s">
        <v>412</v>
      </c>
      <c r="H11090" t="s">
        <v>14</v>
      </c>
    </row>
    <row r="11091" spans="1:10" x14ac:dyDescent="0.25">
      <c r="A11091" t="s">
        <v>14351</v>
      </c>
      <c r="B11091" s="1" t="str">
        <f>HYPERLINK("https://asmlis.vasa.lt/Dashboard/Served?ServiceDateFrom=2025-11-24&amp;ServiceDateTo=2025-11-24&amp;DumpsterInvNr=13-L-128093", "13-L-128093")</f>
        <v>13-L-128093</v>
      </c>
      <c r="C11091">
        <v>0.12</v>
      </c>
      <c r="D11091" t="s">
        <v>14717</v>
      </c>
      <c r="E11091" t="s">
        <v>11</v>
      </c>
      <c r="F11091" t="s">
        <v>2556</v>
      </c>
      <c r="G11091" t="s">
        <v>1912</v>
      </c>
      <c r="H11091" t="s">
        <v>432</v>
      </c>
      <c r="J11091" t="s">
        <v>17511</v>
      </c>
    </row>
    <row r="11092" spans="1:10" hidden="1" x14ac:dyDescent="0.25">
      <c r="A11092" t="s">
        <v>14391</v>
      </c>
      <c r="B11092" s="1" t="str">
        <f>HYPERLINK("https://asmlis.vasa.lt/Dashboard/Served?ServiceDateFrom=2025-11-24&amp;ServiceDateTo=2025-11-24&amp;DumpsterInvNr=13-P-207861", "13-P-207861")</f>
        <v>13-P-207861</v>
      </c>
      <c r="C11092">
        <v>0.24</v>
      </c>
      <c r="D11092" t="s">
        <v>12064</v>
      </c>
      <c r="E11092" t="s">
        <v>11</v>
      </c>
      <c r="F11092" t="s">
        <v>1209</v>
      </c>
      <c r="G11092" t="s">
        <v>234</v>
      </c>
      <c r="H11092" t="s">
        <v>14</v>
      </c>
    </row>
    <row r="11093" spans="1:10" x14ac:dyDescent="0.25">
      <c r="A11093" t="s">
        <v>14412</v>
      </c>
      <c r="B11093" s="1" t="str">
        <f>HYPERLINK("https://asmlis.vasa.lt/Dashboard/Served?ServiceDateFrom=2025-11-24&amp;ServiceDateTo=2025-11-24&amp;DumpsterInvNr=13-L-134636", "13-L-134636")</f>
        <v>13-L-134636</v>
      </c>
      <c r="C11093">
        <v>0.12</v>
      </c>
      <c r="D11093" t="s">
        <v>14720</v>
      </c>
      <c r="E11093" t="s">
        <v>11</v>
      </c>
      <c r="F11093" t="s">
        <v>2556</v>
      </c>
      <c r="G11093" t="s">
        <v>1912</v>
      </c>
      <c r="H11093" t="s">
        <v>432</v>
      </c>
      <c r="J11093" t="s">
        <v>17511</v>
      </c>
    </row>
    <row r="11094" spans="1:10" hidden="1" x14ac:dyDescent="0.25">
      <c r="A11094" t="s">
        <v>14420</v>
      </c>
      <c r="B11094" s="1" t="str">
        <f>HYPERLINK("https://asmlis.vasa.lt/Dashboard/Served?ServiceDateFrom=2025-11-24&amp;ServiceDateTo=2025-11-24&amp;DumpsterInvNr=13-L-142403", "13-L-142403")</f>
        <v>13-L-142403</v>
      </c>
      <c r="C11094">
        <v>0.24</v>
      </c>
      <c r="D11094" t="s">
        <v>14722</v>
      </c>
      <c r="E11094" t="s">
        <v>11</v>
      </c>
      <c r="G11094" t="s">
        <v>430</v>
      </c>
      <c r="H11094" t="s">
        <v>432</v>
      </c>
    </row>
    <row r="11095" spans="1:10" hidden="1" x14ac:dyDescent="0.25">
      <c r="A11095" t="s">
        <v>14420</v>
      </c>
      <c r="B11095" s="1" t="str">
        <f>HYPERLINK("https://asmlis.vasa.lt/Dashboard/Served?ServiceDateFrom=2025-11-24&amp;ServiceDateTo=2025-11-24&amp;DumpsterInvNr=13-P-502792", "13-P-502792")</f>
        <v>13-P-502792</v>
      </c>
      <c r="C11095">
        <v>0.24</v>
      </c>
      <c r="D11095" t="s">
        <v>14722</v>
      </c>
      <c r="E11095" t="s">
        <v>11</v>
      </c>
      <c r="G11095" t="s">
        <v>2178</v>
      </c>
      <c r="H11095" t="s">
        <v>432</v>
      </c>
    </row>
    <row r="11096" spans="1:10" hidden="1" x14ac:dyDescent="0.25">
      <c r="A11096" t="s">
        <v>14431</v>
      </c>
      <c r="B11096" s="1" t="str">
        <f>HYPERLINK("https://asmlis.vasa.lt/Dashboard/Served?ServiceDateFrom=2025-11-24&amp;ServiceDateTo=2025-11-24&amp;DumpsterInvNr=13-L-107475", "13-L-107475")</f>
        <v>13-L-107475</v>
      </c>
      <c r="C11096">
        <v>1.1000000000000001</v>
      </c>
      <c r="D11096" t="s">
        <v>14723</v>
      </c>
      <c r="E11096" t="s">
        <v>11</v>
      </c>
      <c r="G11096" t="s">
        <v>1912</v>
      </c>
      <c r="H11096" t="s">
        <v>432</v>
      </c>
    </row>
    <row r="11097" spans="1:10" hidden="1" x14ac:dyDescent="0.25">
      <c r="A11097" t="s">
        <v>14437</v>
      </c>
      <c r="B11097" s="1" t="str">
        <f>HYPERLINK("https://asmlis.vasa.lt/Dashboard/Served?ServiceDateFrom=2025-11-24&amp;ServiceDateTo=2025-11-24&amp;DumpsterInvNr=13-S-503476", "13-S-503476")</f>
        <v>13-S-503476</v>
      </c>
      <c r="C11097">
        <v>0.12</v>
      </c>
      <c r="D11097" t="s">
        <v>14722</v>
      </c>
      <c r="E11097" t="s">
        <v>11</v>
      </c>
      <c r="F11097" t="s">
        <v>1209</v>
      </c>
      <c r="G11097" t="s">
        <v>2178</v>
      </c>
      <c r="H11097" t="s">
        <v>432</v>
      </c>
    </row>
    <row r="11098" spans="1:10" hidden="1" x14ac:dyDescent="0.25">
      <c r="A11098" t="s">
        <v>14724</v>
      </c>
      <c r="B11098" s="1" t="str">
        <f>HYPERLINK("https://asmlis.vasa.lt/Dashboard/Served?ServiceDateFrom=2025-11-24&amp;ServiceDateTo=2025-11-24&amp;DumpsterInvNr=13-P-400614", "13-P-400614")</f>
        <v>13-P-400614</v>
      </c>
      <c r="C11098">
        <v>5</v>
      </c>
      <c r="D11098" t="s">
        <v>14725</v>
      </c>
      <c r="E11098" t="s">
        <v>11</v>
      </c>
      <c r="G11098" t="s">
        <v>264</v>
      </c>
      <c r="H11098" t="s">
        <v>14</v>
      </c>
    </row>
    <row r="11099" spans="1:10" hidden="1" x14ac:dyDescent="0.25">
      <c r="A11099" t="s">
        <v>14724</v>
      </c>
      <c r="B11099" s="1" t="str">
        <f>HYPERLINK("https://asmlis.vasa.lt/Dashboard/Served?ServiceDateFrom=2025-11-24&amp;ServiceDateTo=2025-11-24&amp;DumpsterInvNr=13-L-317155", "13-L-317155")</f>
        <v>13-L-317155</v>
      </c>
      <c r="C11099">
        <v>1.1000000000000001</v>
      </c>
      <c r="D11099" t="s">
        <v>14698</v>
      </c>
      <c r="E11099" t="s">
        <v>11</v>
      </c>
      <c r="G11099" t="s">
        <v>9</v>
      </c>
      <c r="H11099" t="s">
        <v>14</v>
      </c>
    </row>
    <row r="11100" spans="1:10" hidden="1" x14ac:dyDescent="0.25">
      <c r="A11100" t="s">
        <v>14445</v>
      </c>
      <c r="B11100" s="1" t="str">
        <f>HYPERLINK("https://asmlis.vasa.lt/Dashboard/Served?ServiceDateFrom=2025-11-24&amp;ServiceDateTo=2025-11-24&amp;DumpsterInvNr=13-P-413857", "13-P-413857")</f>
        <v>13-P-413857</v>
      </c>
      <c r="C11100">
        <v>5</v>
      </c>
      <c r="D11100" t="s">
        <v>14217</v>
      </c>
      <c r="E11100" t="s">
        <v>11</v>
      </c>
      <c r="F11100" t="s">
        <v>13</v>
      </c>
      <c r="G11100" t="s">
        <v>264</v>
      </c>
      <c r="H11100" t="s">
        <v>14</v>
      </c>
    </row>
    <row r="11101" spans="1:10" hidden="1" x14ac:dyDescent="0.25">
      <c r="A11101" t="s">
        <v>14447</v>
      </c>
      <c r="B11101" s="1" t="str">
        <f>HYPERLINK("https://asmlis.vasa.lt/Dashboard/Served?ServiceDateFrom=2025-11-24&amp;ServiceDateTo=2025-11-24&amp;DumpsterInvNr=13-L-316106", "13-L-316106")</f>
        <v>13-L-316106</v>
      </c>
      <c r="C11101">
        <v>5</v>
      </c>
      <c r="D11101" t="s">
        <v>14726</v>
      </c>
      <c r="E11101" t="s">
        <v>11</v>
      </c>
      <c r="G11101" t="s">
        <v>9</v>
      </c>
      <c r="H11101" t="s">
        <v>14</v>
      </c>
    </row>
    <row r="11102" spans="1:10" hidden="1" x14ac:dyDescent="0.25">
      <c r="A11102" t="s">
        <v>14454</v>
      </c>
      <c r="B11102" s="1" t="str">
        <f>HYPERLINK("https://asmlis.vasa.lt/Dashboard/Served?ServiceDateFrom=2025-11-24&amp;ServiceDateTo=2025-11-24&amp;DumpsterInvNr=13-L-203525", "13-L-203525")</f>
        <v>13-L-203525</v>
      </c>
      <c r="C11102">
        <v>0.24</v>
      </c>
      <c r="D11102" t="s">
        <v>14727</v>
      </c>
      <c r="E11102" t="s">
        <v>11</v>
      </c>
      <c r="G11102" t="s">
        <v>936</v>
      </c>
      <c r="H11102" t="s">
        <v>938</v>
      </c>
    </row>
    <row r="11103" spans="1:10" x14ac:dyDescent="0.25">
      <c r="A11103" t="s">
        <v>14474</v>
      </c>
      <c r="B11103" s="1" t="str">
        <f>HYPERLINK("https://asmlis.vasa.lt/Dashboard/Served?ServiceDateFrom=2025-11-24&amp;ServiceDateTo=2025-11-24&amp;DumpsterInvNr=13-S-102445", "13-S-102445")</f>
        <v>13-S-102445</v>
      </c>
      <c r="C11103">
        <v>0.12</v>
      </c>
      <c r="D11103" t="s">
        <v>14676</v>
      </c>
      <c r="E11103" t="s">
        <v>11</v>
      </c>
      <c r="F11103" t="s">
        <v>2556</v>
      </c>
      <c r="G11103" t="s">
        <v>1917</v>
      </c>
      <c r="H11103" t="s">
        <v>432</v>
      </c>
      <c r="J11103" t="s">
        <v>17511</v>
      </c>
    </row>
    <row r="11104" spans="1:10" hidden="1" x14ac:dyDescent="0.25">
      <c r="A11104" t="s">
        <v>14474</v>
      </c>
      <c r="B11104" s="1" t="str">
        <f>HYPERLINK("https://asmlis.vasa.lt/Dashboard/Served?ServiceDateFrom=2025-11-24&amp;ServiceDateTo=2025-11-24&amp;DumpsterInvNr=13-S-211860", "13-S-211860")</f>
        <v>13-S-211860</v>
      </c>
      <c r="C11104">
        <v>0.12</v>
      </c>
      <c r="D11104" t="s">
        <v>12029</v>
      </c>
      <c r="E11104" t="s">
        <v>11</v>
      </c>
      <c r="G11104" t="s">
        <v>234</v>
      </c>
      <c r="H11104" t="s">
        <v>14</v>
      </c>
    </row>
    <row r="11105" spans="1:10" hidden="1" x14ac:dyDescent="0.25">
      <c r="A11105" t="s">
        <v>14482</v>
      </c>
      <c r="B11105" s="1" t="str">
        <f>HYPERLINK("https://asmlis.vasa.lt/Dashboard/Served?ServiceDateFrom=2025-11-24&amp;ServiceDateTo=2025-11-24&amp;DumpsterInvNr=13-S-206084", "13-S-206084")</f>
        <v>13-S-206084</v>
      </c>
      <c r="C11105">
        <v>0.12</v>
      </c>
      <c r="D11105" t="s">
        <v>12028</v>
      </c>
      <c r="E11105" t="s">
        <v>11</v>
      </c>
      <c r="G11105" t="s">
        <v>234</v>
      </c>
      <c r="H11105" t="s">
        <v>14</v>
      </c>
    </row>
    <row r="11106" spans="1:10" hidden="1" x14ac:dyDescent="0.25">
      <c r="A11106" t="s">
        <v>14729</v>
      </c>
      <c r="B11106" s="1" t="str">
        <f>HYPERLINK("https://asmlis.vasa.lt/Dashboard/Served?ServiceDateFrom=2025-11-24&amp;ServiceDateTo=2025-11-24&amp;DumpsterInvNr=13-L-211044", "13-L-211044")</f>
        <v>13-L-211044</v>
      </c>
      <c r="C11106">
        <v>0.24</v>
      </c>
      <c r="D11106" t="s">
        <v>14730</v>
      </c>
      <c r="E11106" t="s">
        <v>11</v>
      </c>
      <c r="F11106" t="s">
        <v>13</v>
      </c>
      <c r="G11106" t="s">
        <v>936</v>
      </c>
      <c r="H11106" t="s">
        <v>938</v>
      </c>
    </row>
    <row r="11107" spans="1:10" hidden="1" x14ac:dyDescent="0.25">
      <c r="A11107" t="s">
        <v>14500</v>
      </c>
      <c r="B11107" s="1" t="str">
        <f>HYPERLINK("https://asmlis.vasa.lt/Dashboard/Served?ServiceDateFrom=2025-11-24&amp;ServiceDateTo=2025-11-24&amp;DumpsterInvNr=13-L-125955", "13-L-125955")</f>
        <v>13-L-125955</v>
      </c>
      <c r="C11107">
        <v>0.24</v>
      </c>
      <c r="D11107" t="s">
        <v>14731</v>
      </c>
      <c r="E11107" t="s">
        <v>11</v>
      </c>
      <c r="G11107" t="s">
        <v>430</v>
      </c>
      <c r="H11107" t="s">
        <v>432</v>
      </c>
    </row>
    <row r="11108" spans="1:10" x14ac:dyDescent="0.25">
      <c r="A11108" t="s">
        <v>14733</v>
      </c>
      <c r="B11108" s="1" t="str">
        <f>HYPERLINK("https://asmlis.vasa.lt/Dashboard/Served?ServiceDateFrom=2025-11-24&amp;ServiceDateTo=2025-11-24&amp;DumpsterInvNr=13-S-102447", "13-S-102447")</f>
        <v>13-S-102447</v>
      </c>
      <c r="C11108">
        <v>0.12</v>
      </c>
      <c r="D11108" t="s">
        <v>14734</v>
      </c>
      <c r="E11108" t="s">
        <v>11</v>
      </c>
      <c r="F11108" t="s">
        <v>2556</v>
      </c>
      <c r="G11108" t="s">
        <v>1917</v>
      </c>
      <c r="H11108" t="s">
        <v>432</v>
      </c>
      <c r="J11108" t="s">
        <v>17511</v>
      </c>
    </row>
    <row r="11109" spans="1:10" hidden="1" x14ac:dyDescent="0.25">
      <c r="A11109" t="s">
        <v>14506</v>
      </c>
      <c r="B11109" s="1" t="str">
        <f>HYPERLINK("https://asmlis.vasa.lt/Dashboard/Served?ServiceDateFrom=2025-11-24&amp;ServiceDateTo=2025-11-24&amp;DumpsterInvNr=13-P-206190", "13-P-206190")</f>
        <v>13-P-206190</v>
      </c>
      <c r="C11109">
        <v>0.24</v>
      </c>
      <c r="D11109" t="s">
        <v>12028</v>
      </c>
      <c r="E11109" t="s">
        <v>11</v>
      </c>
      <c r="G11109" t="s">
        <v>234</v>
      </c>
      <c r="H11109" t="s">
        <v>14</v>
      </c>
    </row>
    <row r="11110" spans="1:10" hidden="1" x14ac:dyDescent="0.25">
      <c r="A11110" t="s">
        <v>14505</v>
      </c>
      <c r="B11110" s="1" t="str">
        <f>HYPERLINK("https://asmlis.vasa.lt/Dashboard/Served?ServiceDateFrom=2025-11-24&amp;ServiceDateTo=2025-11-24&amp;DumpsterInvNr=13-P-501920", "13-P-501920")</f>
        <v>13-P-501920</v>
      </c>
      <c r="C11110">
        <v>0.24</v>
      </c>
      <c r="D11110" t="s">
        <v>14731</v>
      </c>
      <c r="E11110" t="s">
        <v>11</v>
      </c>
      <c r="F11110" t="s">
        <v>1209</v>
      </c>
      <c r="G11110" t="s">
        <v>2178</v>
      </c>
      <c r="H11110" t="s">
        <v>432</v>
      </c>
    </row>
    <row r="11111" spans="1:10" hidden="1" x14ac:dyDescent="0.25">
      <c r="A11111" t="s">
        <v>14736</v>
      </c>
      <c r="B11111" s="1" t="str">
        <f>HYPERLINK("https://asmlis.vasa.lt/Dashboard/Served?ServiceDateFrom=2025-11-24&amp;ServiceDateTo=2025-11-24&amp;DumpsterInvNr=13-S-504499", "13-S-504499")</f>
        <v>13-S-504499</v>
      </c>
      <c r="C11111">
        <v>0.12</v>
      </c>
      <c r="D11111" t="s">
        <v>14731</v>
      </c>
      <c r="E11111" t="s">
        <v>11</v>
      </c>
      <c r="F11111" t="s">
        <v>1209</v>
      </c>
      <c r="G11111" t="s">
        <v>2178</v>
      </c>
      <c r="H11111" t="s">
        <v>432</v>
      </c>
    </row>
    <row r="11112" spans="1:10" hidden="1" x14ac:dyDescent="0.25">
      <c r="A11112" t="s">
        <v>14520</v>
      </c>
      <c r="B11112" s="1" t="str">
        <f>HYPERLINK("https://asmlis.vasa.lt/Dashboard/Served?ServiceDateFrom=2025-11-24&amp;ServiceDateTo=2025-11-24&amp;DumpsterInvNr=13-L-224209", "13-L-224209")</f>
        <v>13-L-224209</v>
      </c>
      <c r="C11112">
        <v>5</v>
      </c>
      <c r="D11112" t="s">
        <v>14738</v>
      </c>
      <c r="E11112" t="s">
        <v>11</v>
      </c>
      <c r="G11112" t="s">
        <v>936</v>
      </c>
      <c r="H11112" t="s">
        <v>938</v>
      </c>
    </row>
    <row r="11113" spans="1:10" hidden="1" x14ac:dyDescent="0.25">
      <c r="A11113" t="s">
        <v>14519</v>
      </c>
      <c r="B11113" s="1" t="str">
        <f>HYPERLINK("https://asmlis.vasa.lt/Dashboard/Served?ServiceDateFrom=2025-11-24&amp;ServiceDateTo=2025-11-24&amp;DumpsterInvNr=13-L-308177", "13-L-308177")</f>
        <v>13-L-308177</v>
      </c>
      <c r="C11113">
        <v>1.1000000000000001</v>
      </c>
      <c r="D11113" t="s">
        <v>10218</v>
      </c>
      <c r="E11113" t="s">
        <v>11</v>
      </c>
      <c r="G11113" t="s">
        <v>9</v>
      </c>
      <c r="H11113" t="s">
        <v>14</v>
      </c>
    </row>
    <row r="11114" spans="1:10" hidden="1" x14ac:dyDescent="0.25">
      <c r="A11114" t="s">
        <v>14519</v>
      </c>
      <c r="B11114" s="1" t="str">
        <f>HYPERLINK("https://asmlis.vasa.lt/Dashboard/Served?ServiceDateFrom=2025-11-24&amp;ServiceDateTo=2025-11-24&amp;DumpsterInvNr=13-L-133637", "13-L-133637")</f>
        <v>13-L-133637</v>
      </c>
      <c r="C11114">
        <v>1.1000000000000001</v>
      </c>
      <c r="D11114" t="s">
        <v>14740</v>
      </c>
      <c r="E11114" t="s">
        <v>11</v>
      </c>
      <c r="G11114" t="s">
        <v>1912</v>
      </c>
      <c r="H11114" t="s">
        <v>432</v>
      </c>
    </row>
    <row r="11115" spans="1:10" x14ac:dyDescent="0.25">
      <c r="A11115" t="s">
        <v>14742</v>
      </c>
      <c r="B11115" s="1" t="str">
        <f>HYPERLINK("https://asmlis.vasa.lt/Dashboard/Served?ServiceDateFrom=2025-11-24&amp;ServiceDateTo=2025-11-24&amp;DumpsterInvNr=13-P-101188", "13-P-101188")</f>
        <v>13-P-101188</v>
      </c>
      <c r="C11115">
        <v>0.12</v>
      </c>
      <c r="D11115" t="s">
        <v>14743</v>
      </c>
      <c r="E11115" t="s">
        <v>11</v>
      </c>
      <c r="F11115" t="s">
        <v>2556</v>
      </c>
      <c r="G11115" t="s">
        <v>1917</v>
      </c>
      <c r="H11115" t="s">
        <v>432</v>
      </c>
      <c r="J11115" t="s">
        <v>17511</v>
      </c>
    </row>
    <row r="11116" spans="1:10" hidden="1" x14ac:dyDescent="0.25">
      <c r="A11116" t="s">
        <v>14742</v>
      </c>
      <c r="B11116" s="1" t="str">
        <f>HYPERLINK("https://asmlis.vasa.lt/Dashboard/Served?ServiceDateFrom=2025-11-24&amp;ServiceDateTo=2025-11-24&amp;DumpsterInvNr=13-P-211608", "13-P-211608")</f>
        <v>13-P-211608</v>
      </c>
      <c r="C11116">
        <v>0.24</v>
      </c>
      <c r="D11116" t="s">
        <v>12029</v>
      </c>
      <c r="E11116" t="s">
        <v>11</v>
      </c>
      <c r="G11116" t="s">
        <v>234</v>
      </c>
      <c r="H11116" t="s">
        <v>14</v>
      </c>
    </row>
    <row r="11117" spans="1:10" hidden="1" x14ac:dyDescent="0.25">
      <c r="A11117" t="s">
        <v>14745</v>
      </c>
      <c r="B11117" s="1" t="str">
        <f>HYPERLINK("https://asmlis.vasa.lt/Dashboard/Served?ServiceDateFrom=2025-11-24&amp;ServiceDateTo=2025-11-24&amp;DumpsterInvNr=13-L-136219", "13-L-136219")</f>
        <v>13-L-136219</v>
      </c>
      <c r="C11117">
        <v>5</v>
      </c>
      <c r="D11117" t="s">
        <v>5477</v>
      </c>
      <c r="E11117" t="s">
        <v>11</v>
      </c>
      <c r="F11117" t="s">
        <v>13</v>
      </c>
      <c r="G11117" t="s">
        <v>1912</v>
      </c>
      <c r="H11117" t="s">
        <v>432</v>
      </c>
    </row>
    <row r="11118" spans="1:10" x14ac:dyDescent="0.25">
      <c r="A11118" t="s">
        <v>14747</v>
      </c>
      <c r="B11118" s="1" t="str">
        <f>HYPERLINK("https://asmlis.vasa.lt/Dashboard/Served?ServiceDateFrom=2025-11-24&amp;ServiceDateTo=2025-11-24&amp;DumpsterInvNr=13-S-102446", "13-S-102446")</f>
        <v>13-S-102446</v>
      </c>
      <c r="C11118">
        <v>0.12</v>
      </c>
      <c r="D11118" t="s">
        <v>14743</v>
      </c>
      <c r="E11118" t="s">
        <v>11</v>
      </c>
      <c r="F11118" t="s">
        <v>2556</v>
      </c>
      <c r="G11118" t="s">
        <v>1917</v>
      </c>
      <c r="H11118" t="s">
        <v>432</v>
      </c>
      <c r="J11118" t="s">
        <v>17511</v>
      </c>
    </row>
    <row r="11119" spans="1:10" hidden="1" x14ac:dyDescent="0.25">
      <c r="A11119" t="s">
        <v>14748</v>
      </c>
      <c r="B11119" s="1" t="str">
        <f>HYPERLINK("https://asmlis.vasa.lt/Dashboard/Served?ServiceDateFrom=2025-11-24&amp;ServiceDateTo=2025-11-24&amp;DumpsterInvNr=13-L-215556", "13-L-215556")</f>
        <v>13-L-215556</v>
      </c>
      <c r="C11119">
        <v>0.24</v>
      </c>
      <c r="D11119" t="s">
        <v>14749</v>
      </c>
      <c r="E11119" t="s">
        <v>11</v>
      </c>
      <c r="G11119" t="s">
        <v>936</v>
      </c>
      <c r="H11119" t="s">
        <v>938</v>
      </c>
    </row>
    <row r="11120" spans="1:10" hidden="1" x14ac:dyDescent="0.25">
      <c r="A11120" t="s">
        <v>14545</v>
      </c>
      <c r="B11120" s="1" t="str">
        <f>HYPERLINK("https://asmlis.vasa.lt/Dashboard/Served?ServiceDateFrom=2025-11-24&amp;ServiceDateTo=2025-11-24&amp;DumpsterInvNr=13-L-107474", "13-L-107474")</f>
        <v>13-L-107474</v>
      </c>
      <c r="C11120">
        <v>1.1000000000000001</v>
      </c>
      <c r="D11120" t="s">
        <v>14723</v>
      </c>
      <c r="E11120" t="s">
        <v>11</v>
      </c>
      <c r="G11120" t="s">
        <v>1912</v>
      </c>
      <c r="H11120" t="s">
        <v>432</v>
      </c>
    </row>
    <row r="11121" spans="1:10" x14ac:dyDescent="0.25">
      <c r="A11121" t="s">
        <v>14551</v>
      </c>
      <c r="B11121" s="1" t="str">
        <f>HYPERLINK("https://asmlis.vasa.lt/Dashboard/Served?ServiceDateFrom=2025-11-24&amp;ServiceDateTo=2025-11-24&amp;DumpsterInvNr=13-L-120423", "13-L-120423")</f>
        <v>13-L-120423</v>
      </c>
      <c r="C11121">
        <v>0.12</v>
      </c>
      <c r="D11121" t="s">
        <v>14743</v>
      </c>
      <c r="E11121" t="s">
        <v>11</v>
      </c>
      <c r="F11121" t="s">
        <v>2556</v>
      </c>
      <c r="G11121" t="s">
        <v>1912</v>
      </c>
      <c r="H11121" t="s">
        <v>432</v>
      </c>
      <c r="J11121" t="s">
        <v>17511</v>
      </c>
    </row>
    <row r="11122" spans="1:10" hidden="1" x14ac:dyDescent="0.25">
      <c r="A11122" t="s">
        <v>14582</v>
      </c>
      <c r="B11122" s="1" t="str">
        <f>HYPERLINK("https://asmlis.vasa.lt/Dashboard/Served?ServiceDateFrom=2025-11-24&amp;ServiceDateTo=2025-11-24&amp;DumpsterInvNr=13-L-123362", "13-L-123362")</f>
        <v>13-L-123362</v>
      </c>
      <c r="C11122">
        <v>0.24</v>
      </c>
      <c r="D11122" t="s">
        <v>14750</v>
      </c>
      <c r="E11122" t="s">
        <v>11</v>
      </c>
      <c r="G11122" t="s">
        <v>430</v>
      </c>
      <c r="H11122" t="s">
        <v>432</v>
      </c>
    </row>
    <row r="11123" spans="1:10" hidden="1" x14ac:dyDescent="0.25">
      <c r="A11123" t="s">
        <v>10773</v>
      </c>
      <c r="B11123" s="1" t="str">
        <f>HYPERLINK("https://asmlis.vasa.lt/Dashboard/Served?ServiceDateFrom=2025-11-24&amp;ServiceDateTo=2025-11-24&amp;DumpsterInvNr=13-L-305408", "13-L-305408")</f>
        <v>13-L-305408</v>
      </c>
      <c r="C11123">
        <v>5</v>
      </c>
      <c r="D11123" t="s">
        <v>14752</v>
      </c>
      <c r="E11123" t="s">
        <v>11</v>
      </c>
      <c r="G11123" t="s">
        <v>9</v>
      </c>
      <c r="H11123" t="s">
        <v>14</v>
      </c>
    </row>
    <row r="11124" spans="1:10" x14ac:dyDescent="0.25">
      <c r="A11124" t="s">
        <v>10829</v>
      </c>
      <c r="B11124" s="1" t="str">
        <f>HYPERLINK("https://asmlis.vasa.lt/Dashboard/Served?ServiceDateFrom=2025-11-24&amp;ServiceDateTo=2025-11-24&amp;DumpsterInvNr=13-S-108546", "13-S-108546")</f>
        <v>13-S-108546</v>
      </c>
      <c r="C11124">
        <v>0.12</v>
      </c>
      <c r="D11124" t="s">
        <v>14720</v>
      </c>
      <c r="E11124" t="s">
        <v>11</v>
      </c>
      <c r="F11124" t="s">
        <v>2556</v>
      </c>
      <c r="G11124" t="s">
        <v>1917</v>
      </c>
      <c r="H11124" t="s">
        <v>432</v>
      </c>
      <c r="J11124" t="s">
        <v>17511</v>
      </c>
    </row>
    <row r="11125" spans="1:10" hidden="1" x14ac:dyDescent="0.25">
      <c r="A11125" t="s">
        <v>10829</v>
      </c>
      <c r="B11125" s="1" t="str">
        <f>HYPERLINK("https://asmlis.vasa.lt/Dashboard/Served?ServiceDateFrom=2025-11-24&amp;ServiceDateTo=2025-11-24&amp;DumpsterInvNr=13-L-142837", "13-L-142837")</f>
        <v>13-L-142837</v>
      </c>
      <c r="C11125">
        <v>1.1000000000000001</v>
      </c>
      <c r="D11125" t="s">
        <v>14753</v>
      </c>
      <c r="E11125" t="s">
        <v>11</v>
      </c>
      <c r="G11125" t="s">
        <v>430</v>
      </c>
      <c r="H11125" t="s">
        <v>432</v>
      </c>
    </row>
    <row r="11126" spans="1:10" hidden="1" x14ac:dyDescent="0.25">
      <c r="A11126" t="s">
        <v>11032</v>
      </c>
      <c r="B11126" s="1" t="str">
        <f>HYPERLINK("https://asmlis.vasa.lt/Dashboard/Served?ServiceDateFrom=2025-11-24&amp;ServiceDateTo=2025-11-24&amp;DumpsterInvNr=13-P-501921", "13-P-501921")</f>
        <v>13-P-501921</v>
      </c>
      <c r="C11126">
        <v>0.24</v>
      </c>
      <c r="D11126" t="s">
        <v>14750</v>
      </c>
      <c r="E11126" t="s">
        <v>11</v>
      </c>
      <c r="G11126" t="s">
        <v>2178</v>
      </c>
      <c r="H11126" t="s">
        <v>432</v>
      </c>
    </row>
    <row r="11127" spans="1:10" hidden="1" x14ac:dyDescent="0.25">
      <c r="A11127" t="s">
        <v>14601</v>
      </c>
      <c r="B11127" s="1" t="str">
        <f>HYPERLINK("https://asmlis.vasa.lt/Dashboard/Served?ServiceDateFrom=2025-11-24&amp;ServiceDateTo=2025-11-24&amp;DumpsterInvNr=13-P-102399", "13-P-102399")</f>
        <v>13-P-102399</v>
      </c>
      <c r="C11127">
        <v>5</v>
      </c>
      <c r="D11127" t="s">
        <v>14754</v>
      </c>
      <c r="E11127" t="s">
        <v>11</v>
      </c>
      <c r="F11127" t="s">
        <v>13</v>
      </c>
      <c r="G11127" t="s">
        <v>1917</v>
      </c>
      <c r="H11127" t="s">
        <v>432</v>
      </c>
    </row>
    <row r="11128" spans="1:10" hidden="1" x14ac:dyDescent="0.25">
      <c r="A11128" t="s">
        <v>11337</v>
      </c>
      <c r="B11128" s="1" t="str">
        <f>HYPERLINK("https://asmlis.vasa.lt/Dashboard/Served?ServiceDateFrom=2025-11-24&amp;ServiceDateTo=2025-11-24&amp;DumpsterInvNr=13-P-206389", "13-P-206389")</f>
        <v>13-P-206389</v>
      </c>
      <c r="C11128">
        <v>0.24</v>
      </c>
      <c r="D11128" t="s">
        <v>12049</v>
      </c>
      <c r="E11128" t="s">
        <v>11</v>
      </c>
      <c r="F11128" t="s">
        <v>1209</v>
      </c>
      <c r="G11128" t="s">
        <v>234</v>
      </c>
      <c r="H11128" t="s">
        <v>14</v>
      </c>
    </row>
    <row r="11129" spans="1:10" hidden="1" x14ac:dyDescent="0.25">
      <c r="A11129" t="s">
        <v>11803</v>
      </c>
      <c r="B11129" s="1" t="str">
        <f>HYPERLINK("https://asmlis.vasa.lt/Dashboard/Served?ServiceDateFrom=2025-11-24&amp;ServiceDateTo=2025-11-24&amp;DumpsterInvNr=13-L-318731", "13-L-318731")</f>
        <v>13-L-318731</v>
      </c>
      <c r="C11129">
        <v>1.1000000000000001</v>
      </c>
      <c r="D11129" t="s">
        <v>14755</v>
      </c>
      <c r="E11129" t="s">
        <v>11</v>
      </c>
      <c r="G11129" t="s">
        <v>9</v>
      </c>
      <c r="H11129" t="s">
        <v>14</v>
      </c>
    </row>
    <row r="11130" spans="1:10" hidden="1" x14ac:dyDescent="0.25">
      <c r="A11130" t="s">
        <v>11803</v>
      </c>
      <c r="B11130" s="1" t="str">
        <f>HYPERLINK("https://asmlis.vasa.lt/Dashboard/Served?ServiceDateFrom=2025-11-24&amp;ServiceDateTo=2025-11-24&amp;DumpsterInvNr=13-L-313662", "13-L-313662")</f>
        <v>13-L-313662</v>
      </c>
      <c r="C11130">
        <v>0.77</v>
      </c>
      <c r="D11130" t="s">
        <v>14755</v>
      </c>
      <c r="E11130" t="s">
        <v>11</v>
      </c>
      <c r="G11130" t="s">
        <v>9</v>
      </c>
      <c r="H11130" t="s">
        <v>14</v>
      </c>
    </row>
    <row r="11131" spans="1:10" x14ac:dyDescent="0.25">
      <c r="A11131" t="s">
        <v>14653</v>
      </c>
      <c r="B11131" s="1" t="str">
        <f>HYPERLINK("https://asmlis.vasa.lt/Dashboard/Served?ServiceDateFrom=2025-11-24&amp;ServiceDateTo=2025-11-24&amp;DumpsterInvNr=13-S-103069", "13-S-103069")</f>
        <v>13-S-103069</v>
      </c>
      <c r="C11131">
        <v>0.12</v>
      </c>
      <c r="D11131" t="s">
        <v>14756</v>
      </c>
      <c r="E11131" t="s">
        <v>11</v>
      </c>
      <c r="F11131" t="s">
        <v>2556</v>
      </c>
      <c r="G11131" t="s">
        <v>1917</v>
      </c>
      <c r="H11131" t="s">
        <v>432</v>
      </c>
      <c r="J11131" t="s">
        <v>17511</v>
      </c>
    </row>
    <row r="11132" spans="1:10" hidden="1" x14ac:dyDescent="0.25">
      <c r="A11132" t="s">
        <v>14659</v>
      </c>
      <c r="B11132" s="1" t="str">
        <f>HYPERLINK("https://asmlis.vasa.lt/Dashboard/Served?ServiceDateFrom=2025-11-24&amp;ServiceDateTo=2025-11-24&amp;DumpsterInvNr=13-L-318664", "13-L-318664")</f>
        <v>13-L-318664</v>
      </c>
      <c r="C11132">
        <v>1.1000000000000001</v>
      </c>
      <c r="D11132" t="s">
        <v>14698</v>
      </c>
      <c r="E11132" t="s">
        <v>11</v>
      </c>
      <c r="G11132" t="s">
        <v>9</v>
      </c>
      <c r="H11132" t="s">
        <v>14</v>
      </c>
    </row>
    <row r="11133" spans="1:10" x14ac:dyDescent="0.25">
      <c r="A11133" t="s">
        <v>12802</v>
      </c>
      <c r="B11133" s="1" t="str">
        <f>HYPERLINK("https://asmlis.vasa.lt/Dashboard/Served?ServiceDateFrom=2025-11-24&amp;ServiceDateTo=2025-11-24&amp;DumpsterInvNr=13-S-103047", "13-S-103047")</f>
        <v>13-S-103047</v>
      </c>
      <c r="C11133">
        <v>0.12</v>
      </c>
      <c r="D11133" t="s">
        <v>14757</v>
      </c>
      <c r="E11133" t="s">
        <v>11</v>
      </c>
      <c r="F11133" t="s">
        <v>2556</v>
      </c>
      <c r="G11133" t="s">
        <v>1917</v>
      </c>
      <c r="H11133" t="s">
        <v>432</v>
      </c>
      <c r="J11133" t="s">
        <v>17511</v>
      </c>
    </row>
    <row r="11134" spans="1:10" hidden="1" x14ac:dyDescent="0.25">
      <c r="A11134" t="s">
        <v>12802</v>
      </c>
      <c r="B11134" s="1" t="str">
        <f>HYPERLINK("https://asmlis.vasa.lt/Dashboard/Served?ServiceDateFrom=2025-11-24&amp;ServiceDateTo=2025-11-24&amp;DumpsterInvNr=13-S-207831", "13-S-207831")</f>
        <v>13-S-207831</v>
      </c>
      <c r="C11134">
        <v>3</v>
      </c>
      <c r="D11134" t="s">
        <v>14758</v>
      </c>
      <c r="E11134" t="s">
        <v>11</v>
      </c>
      <c r="G11134" t="s">
        <v>234</v>
      </c>
      <c r="H11134" t="s">
        <v>14</v>
      </c>
    </row>
    <row r="11135" spans="1:10" hidden="1" x14ac:dyDescent="0.25">
      <c r="A11135" t="s">
        <v>14759</v>
      </c>
      <c r="B11135" s="1" t="str">
        <f>HYPERLINK("https://asmlis.vasa.lt/Dashboard/Served?ServiceDateFrom=2025-11-24&amp;ServiceDateTo=2025-11-24&amp;DumpsterInvNr=13-S-503196", "13-S-503196")</f>
        <v>13-S-503196</v>
      </c>
      <c r="C11135">
        <v>0.12</v>
      </c>
      <c r="D11135" t="s">
        <v>14750</v>
      </c>
      <c r="E11135" t="s">
        <v>11</v>
      </c>
      <c r="F11135" t="s">
        <v>1209</v>
      </c>
      <c r="G11135" t="s">
        <v>2178</v>
      </c>
      <c r="H11135" t="s">
        <v>432</v>
      </c>
    </row>
    <row r="11136" spans="1:10" hidden="1" x14ac:dyDescent="0.25">
      <c r="A11136" t="s">
        <v>13647</v>
      </c>
      <c r="B11136" s="1" t="str">
        <f>HYPERLINK("https://asmlis.vasa.lt/Dashboard/Served?ServiceDateFrom=2025-11-24&amp;ServiceDateTo=2025-11-24&amp;DumpsterInvNr=13-L-316578", "13-L-316578")</f>
        <v>13-L-316578</v>
      </c>
      <c r="C11136">
        <v>1.1000000000000001</v>
      </c>
      <c r="D11136" t="s">
        <v>14755</v>
      </c>
      <c r="E11136" t="s">
        <v>11</v>
      </c>
      <c r="G11136" t="s">
        <v>9</v>
      </c>
      <c r="H11136" t="s">
        <v>14</v>
      </c>
    </row>
    <row r="11137" spans="1:10" hidden="1" x14ac:dyDescent="0.25">
      <c r="A11137" t="s">
        <v>14761</v>
      </c>
      <c r="B11137" s="1" t="str">
        <f>HYPERLINK("https://asmlis.vasa.lt/Dashboard/Served?ServiceDateFrom=2025-11-24&amp;ServiceDateTo=2025-11-24&amp;DumpsterInvNr=13-L-136748", "13-L-136748")</f>
        <v>13-L-136748</v>
      </c>
      <c r="C11137">
        <v>5</v>
      </c>
      <c r="D11137" t="s">
        <v>14762</v>
      </c>
      <c r="E11137" t="s">
        <v>11</v>
      </c>
      <c r="F11137" t="s">
        <v>13</v>
      </c>
      <c r="G11137" t="s">
        <v>430</v>
      </c>
      <c r="H11137" t="s">
        <v>432</v>
      </c>
    </row>
    <row r="11138" spans="1:10" x14ac:dyDescent="0.25">
      <c r="A11138" t="s">
        <v>14761</v>
      </c>
      <c r="B11138" s="1" t="str">
        <f>HYPERLINK("https://asmlis.vasa.lt/Dashboard/Served?ServiceDateFrom=2025-11-24&amp;ServiceDateTo=2025-11-24&amp;DumpsterInvNr=13-S-103061", "13-S-103061")</f>
        <v>13-S-103061</v>
      </c>
      <c r="C11138">
        <v>0.12</v>
      </c>
      <c r="D11138" t="s">
        <v>14763</v>
      </c>
      <c r="E11138" t="s">
        <v>11</v>
      </c>
      <c r="F11138" t="s">
        <v>2556</v>
      </c>
      <c r="G11138" t="s">
        <v>1917</v>
      </c>
      <c r="H11138" t="s">
        <v>432</v>
      </c>
      <c r="J11138" t="s">
        <v>17511</v>
      </c>
    </row>
    <row r="11139" spans="1:10" hidden="1" x14ac:dyDescent="0.25">
      <c r="A11139" t="s">
        <v>14765</v>
      </c>
      <c r="B11139" s="1" t="str">
        <f>HYPERLINK("https://asmlis.vasa.lt/Dashboard/Served?ServiceDateFrom=2025-11-24&amp;ServiceDateTo=2025-11-24&amp;DumpsterInvNr=13-P-409078", "13-P-409078")</f>
        <v>13-P-409078</v>
      </c>
      <c r="C11139">
        <v>1.1000000000000001</v>
      </c>
      <c r="D11139" t="s">
        <v>14766</v>
      </c>
      <c r="E11139" t="s">
        <v>11</v>
      </c>
      <c r="F11139" t="s">
        <v>13</v>
      </c>
      <c r="G11139" t="s">
        <v>264</v>
      </c>
      <c r="H11139" t="s">
        <v>14</v>
      </c>
    </row>
    <row r="11140" spans="1:10" hidden="1" x14ac:dyDescent="0.25">
      <c r="A11140" t="s">
        <v>14767</v>
      </c>
      <c r="B11140" s="1" t="str">
        <f>HYPERLINK("https://asmlis.vasa.lt/Dashboard/Served?ServiceDateFrom=2025-11-24&amp;ServiceDateTo=2025-11-24&amp;DumpsterInvNr=13-P-409076", "13-P-409076")</f>
        <v>13-P-409076</v>
      </c>
      <c r="C11140">
        <v>1.1000000000000001</v>
      </c>
      <c r="D11140" t="s">
        <v>14766</v>
      </c>
      <c r="E11140" t="s">
        <v>11</v>
      </c>
      <c r="F11140" t="s">
        <v>13</v>
      </c>
      <c r="G11140" t="s">
        <v>264</v>
      </c>
      <c r="H11140" t="s">
        <v>14</v>
      </c>
    </row>
    <row r="11141" spans="1:10" hidden="1" x14ac:dyDescent="0.25">
      <c r="A11141" t="s">
        <v>14768</v>
      </c>
      <c r="B11141" s="1" t="str">
        <f>HYPERLINK("https://asmlis.vasa.lt/Dashboard/Served?ServiceDateFrom=2025-11-24&amp;ServiceDateTo=2025-11-24&amp;DumpsterInvNr=13-L-316681", "13-L-316681")</f>
        <v>13-L-316681</v>
      </c>
      <c r="C11141">
        <v>1.1000000000000001</v>
      </c>
      <c r="D11141" t="s">
        <v>14698</v>
      </c>
      <c r="E11141" t="s">
        <v>11</v>
      </c>
      <c r="G11141" t="s">
        <v>9</v>
      </c>
      <c r="H11141" t="s">
        <v>14</v>
      </c>
    </row>
    <row r="11142" spans="1:10" x14ac:dyDescent="0.25">
      <c r="A11142" t="s">
        <v>14769</v>
      </c>
      <c r="B11142" s="1" t="str">
        <f>HYPERLINK("https://asmlis.vasa.lt/Dashboard/Served?ServiceDateFrom=2025-11-24&amp;ServiceDateTo=2025-11-24&amp;DumpsterInvNr=13-L-135359", "13-L-135359")</f>
        <v>13-L-135359</v>
      </c>
      <c r="C11142">
        <v>0.24</v>
      </c>
      <c r="D11142" t="s">
        <v>14757</v>
      </c>
      <c r="E11142" t="s">
        <v>11</v>
      </c>
      <c r="F11142" t="s">
        <v>2556</v>
      </c>
      <c r="G11142" t="s">
        <v>1912</v>
      </c>
      <c r="H11142" t="s">
        <v>432</v>
      </c>
      <c r="J11142" t="s">
        <v>17511</v>
      </c>
    </row>
    <row r="11143" spans="1:10" hidden="1" x14ac:dyDescent="0.25">
      <c r="A11143" t="s">
        <v>14769</v>
      </c>
      <c r="B11143" s="1" t="str">
        <f>HYPERLINK("https://asmlis.vasa.lt/Dashboard/Served?ServiceDateFrom=2025-11-24&amp;ServiceDateTo=2025-11-24&amp;DumpsterInvNr=13-L-210078", "13-L-210078")</f>
        <v>13-L-210078</v>
      </c>
      <c r="C11143">
        <v>0.24</v>
      </c>
      <c r="D11143" t="s">
        <v>14770</v>
      </c>
      <c r="E11143" t="s">
        <v>11</v>
      </c>
      <c r="G11143" t="s">
        <v>936</v>
      </c>
      <c r="H11143" t="s">
        <v>938</v>
      </c>
    </row>
    <row r="11144" spans="1:10" x14ac:dyDescent="0.25">
      <c r="A11144" t="s">
        <v>14771</v>
      </c>
      <c r="B11144" s="1" t="str">
        <f>HYPERLINK("https://asmlis.vasa.lt/Dashboard/Served?ServiceDateFrom=2025-11-24&amp;ServiceDateTo=2025-11-24&amp;DumpsterInvNr=13-P-103466", "13-P-103466")</f>
        <v>13-P-103466</v>
      </c>
      <c r="C11144">
        <v>0.24</v>
      </c>
      <c r="D11144" t="s">
        <v>14763</v>
      </c>
      <c r="E11144" t="s">
        <v>11</v>
      </c>
      <c r="F11144" t="s">
        <v>2556</v>
      </c>
      <c r="G11144" t="s">
        <v>1917</v>
      </c>
      <c r="H11144" t="s">
        <v>432</v>
      </c>
      <c r="J11144" t="s">
        <v>17511</v>
      </c>
    </row>
    <row r="11145" spans="1:10" hidden="1" x14ac:dyDescent="0.25">
      <c r="A11145" t="s">
        <v>14773</v>
      </c>
      <c r="B11145" s="1" t="str">
        <f>HYPERLINK("https://asmlis.vasa.lt/Dashboard/Served?ServiceDateFrom=2025-11-24&amp;ServiceDateTo=2025-11-24&amp;DumpsterInvNr=13-L-313520", "13-L-313520")</f>
        <v>13-L-313520</v>
      </c>
      <c r="C11145">
        <v>5</v>
      </c>
      <c r="D11145" t="s">
        <v>11260</v>
      </c>
      <c r="E11145" t="s">
        <v>11</v>
      </c>
      <c r="G11145" t="s">
        <v>9</v>
      </c>
      <c r="H11145" t="s">
        <v>14</v>
      </c>
    </row>
    <row r="11146" spans="1:10" hidden="1" x14ac:dyDescent="0.25">
      <c r="A11146" t="s">
        <v>14775</v>
      </c>
      <c r="B11146" s="1" t="str">
        <f>HYPERLINK("https://asmlis.vasa.lt/Dashboard/Served?ServiceDateFrom=2025-11-24&amp;ServiceDateTo=2025-11-24&amp;DumpsterInvNr=13-L-308178", "13-L-308178")</f>
        <v>13-L-308178</v>
      </c>
      <c r="C11146">
        <v>1.1000000000000001</v>
      </c>
      <c r="D11146" t="s">
        <v>10218</v>
      </c>
      <c r="E11146" t="s">
        <v>11</v>
      </c>
      <c r="G11146" t="s">
        <v>9</v>
      </c>
      <c r="H11146" t="s">
        <v>14</v>
      </c>
    </row>
    <row r="11147" spans="1:10" x14ac:dyDescent="0.25">
      <c r="A11147" t="s">
        <v>14776</v>
      </c>
      <c r="B11147" s="1" t="str">
        <f>HYPERLINK("https://asmlis.vasa.lt/Dashboard/Served?ServiceDateFrom=2025-11-24&amp;ServiceDateTo=2025-11-24&amp;DumpsterInvNr=13-P-103548", "13-P-103548")</f>
        <v>13-P-103548</v>
      </c>
      <c r="C11147">
        <v>0.24</v>
      </c>
      <c r="D11147" t="s">
        <v>14777</v>
      </c>
      <c r="E11147" t="s">
        <v>11</v>
      </c>
      <c r="F11147" t="s">
        <v>2556</v>
      </c>
      <c r="G11147" t="s">
        <v>1917</v>
      </c>
      <c r="H11147" t="s">
        <v>432</v>
      </c>
      <c r="J11147" t="s">
        <v>17511</v>
      </c>
    </row>
    <row r="11148" spans="1:10" hidden="1" x14ac:dyDescent="0.25">
      <c r="A11148" t="s">
        <v>14779</v>
      </c>
      <c r="B11148" s="1" t="str">
        <f>HYPERLINK("https://asmlis.vasa.lt/Dashboard/Served?ServiceDateFrom=2025-11-24&amp;ServiceDateTo=2025-11-24&amp;DumpsterInvNr=13-P-509661", "13-P-509661")</f>
        <v>13-P-509661</v>
      </c>
      <c r="C11148">
        <v>5</v>
      </c>
      <c r="D11148" t="s">
        <v>14780</v>
      </c>
      <c r="E11148" t="s">
        <v>11</v>
      </c>
      <c r="F11148" t="s">
        <v>13</v>
      </c>
      <c r="G11148" t="s">
        <v>2178</v>
      </c>
      <c r="H11148" t="s">
        <v>432</v>
      </c>
    </row>
    <row r="11149" spans="1:10" hidden="1" x14ac:dyDescent="0.25">
      <c r="A11149" t="s">
        <v>14781</v>
      </c>
      <c r="B11149" s="1" t="str">
        <f>HYPERLINK("https://asmlis.vasa.lt/Dashboard/Served?ServiceDateFrom=2025-11-24&amp;ServiceDateTo=2025-11-24&amp;DumpsterInvNr=13-L-415418", "13-L-415418")</f>
        <v>13-L-415418</v>
      </c>
      <c r="C11149">
        <v>3</v>
      </c>
      <c r="D11149" t="s">
        <v>14782</v>
      </c>
      <c r="E11149" t="s">
        <v>11</v>
      </c>
      <c r="F11149" t="s">
        <v>13</v>
      </c>
      <c r="G11149" t="s">
        <v>74</v>
      </c>
      <c r="H11149" t="s">
        <v>14</v>
      </c>
    </row>
    <row r="11150" spans="1:10" x14ac:dyDescent="0.25">
      <c r="A11150" t="s">
        <v>14783</v>
      </c>
      <c r="B11150" s="1" t="str">
        <f>HYPERLINK("https://asmlis.vasa.lt/Dashboard/Served?ServiceDateFrom=2025-11-24&amp;ServiceDateTo=2025-11-24&amp;DumpsterInvNr=13-L-145152", "13-L-145152")</f>
        <v>13-L-145152</v>
      </c>
      <c r="C11150">
        <v>0.24</v>
      </c>
      <c r="D11150" t="s">
        <v>14777</v>
      </c>
      <c r="E11150" t="s">
        <v>11</v>
      </c>
      <c r="F11150" t="s">
        <v>2556</v>
      </c>
      <c r="G11150" t="s">
        <v>1912</v>
      </c>
      <c r="H11150" t="s">
        <v>432</v>
      </c>
      <c r="J11150" t="s">
        <v>17511</v>
      </c>
    </row>
    <row r="11151" spans="1:10" hidden="1" x14ac:dyDescent="0.25">
      <c r="A11151" t="s">
        <v>14784</v>
      </c>
      <c r="B11151" s="1" t="str">
        <f>HYPERLINK("https://asmlis.vasa.lt/Dashboard/Served?ServiceDateFrom=2025-11-24&amp;ServiceDateTo=2025-11-24&amp;DumpsterInvNr=13-P-300002", "13-P-300002")</f>
        <v>13-P-300002</v>
      </c>
      <c r="C11151">
        <v>5</v>
      </c>
      <c r="D11151" t="s">
        <v>5473</v>
      </c>
      <c r="E11151" t="s">
        <v>11</v>
      </c>
      <c r="G11151" t="s">
        <v>412</v>
      </c>
      <c r="H11151" t="s">
        <v>14</v>
      </c>
    </row>
    <row r="11152" spans="1:10" hidden="1" x14ac:dyDescent="0.25">
      <c r="A11152" t="s">
        <v>14785</v>
      </c>
      <c r="B11152" s="1" t="str">
        <f>HYPERLINK("https://asmlis.vasa.lt/Dashboard/Served?ServiceDateFrom=2025-11-24&amp;ServiceDateTo=2025-11-24&amp;DumpsterInvNr=13-P-206323", "13-P-206323")</f>
        <v>13-P-206323</v>
      </c>
      <c r="C11152">
        <v>0.24</v>
      </c>
      <c r="D11152" t="s">
        <v>5453</v>
      </c>
      <c r="E11152" t="s">
        <v>11</v>
      </c>
      <c r="G11152" t="s">
        <v>234</v>
      </c>
      <c r="H11152" t="s">
        <v>14</v>
      </c>
    </row>
    <row r="11153" spans="1:10" hidden="1" x14ac:dyDescent="0.25">
      <c r="A11153" t="s">
        <v>14786</v>
      </c>
      <c r="B11153" s="1" t="str">
        <f>HYPERLINK("https://asmlis.vasa.lt/Dashboard/Served?ServiceDateFrom=2025-11-24&amp;ServiceDateTo=2025-11-24&amp;DumpsterInvNr=13-L-217004", "13-L-217004")</f>
        <v>13-L-217004</v>
      </c>
      <c r="C11153">
        <v>0.24</v>
      </c>
      <c r="D11153" t="s">
        <v>14787</v>
      </c>
      <c r="E11153" t="s">
        <v>11</v>
      </c>
      <c r="G11153" t="s">
        <v>936</v>
      </c>
      <c r="H11153" t="s">
        <v>938</v>
      </c>
    </row>
    <row r="11154" spans="1:10" hidden="1" x14ac:dyDescent="0.25">
      <c r="A11154" t="s">
        <v>14788</v>
      </c>
      <c r="B11154" s="1" t="str">
        <f>HYPERLINK("https://asmlis.vasa.lt/Dashboard/Served?ServiceDateFrom=2025-11-24&amp;ServiceDateTo=2025-11-24&amp;DumpsterInvNr=13-L-422040", "13-L-422040")</f>
        <v>13-L-422040</v>
      </c>
      <c r="C11154">
        <v>5</v>
      </c>
      <c r="D11154" t="s">
        <v>14790</v>
      </c>
      <c r="E11154" t="s">
        <v>11</v>
      </c>
      <c r="F11154" t="s">
        <v>13</v>
      </c>
      <c r="G11154" t="s">
        <v>74</v>
      </c>
      <c r="H11154" t="s">
        <v>14</v>
      </c>
    </row>
    <row r="11155" spans="1:10" x14ac:dyDescent="0.25">
      <c r="A11155" t="s">
        <v>14791</v>
      </c>
      <c r="B11155" s="1" t="str">
        <f>HYPERLINK("https://asmlis.vasa.lt/Dashboard/Served?ServiceDateFrom=2025-11-24&amp;ServiceDateTo=2025-11-24&amp;DumpsterInvNr=13-S-103039", "13-S-103039")</f>
        <v>13-S-103039</v>
      </c>
      <c r="C11155">
        <v>0.12</v>
      </c>
      <c r="D11155" t="s">
        <v>14777</v>
      </c>
      <c r="E11155" t="s">
        <v>11</v>
      </c>
      <c r="F11155" t="s">
        <v>2556</v>
      </c>
      <c r="G11155" t="s">
        <v>1917</v>
      </c>
      <c r="H11155" t="s">
        <v>432</v>
      </c>
      <c r="J11155" t="s">
        <v>17511</v>
      </c>
    </row>
    <row r="11156" spans="1:10" hidden="1" x14ac:dyDescent="0.25">
      <c r="A11156" t="s">
        <v>14792</v>
      </c>
      <c r="B11156" s="1" t="str">
        <f>HYPERLINK("https://asmlis.vasa.lt/Dashboard/Served?ServiceDateFrom=2025-11-24&amp;ServiceDateTo=2025-11-24&amp;DumpsterInvNr=13-L-129574", "13-L-129574")</f>
        <v>13-L-129574</v>
      </c>
      <c r="C11156">
        <v>1.1000000000000001</v>
      </c>
      <c r="D11156" t="s">
        <v>14740</v>
      </c>
      <c r="E11156" t="s">
        <v>11</v>
      </c>
      <c r="G11156" t="s">
        <v>1912</v>
      </c>
      <c r="H11156" t="s">
        <v>432</v>
      </c>
    </row>
    <row r="11157" spans="1:10" hidden="1" x14ac:dyDescent="0.25">
      <c r="A11157" t="s">
        <v>14793</v>
      </c>
      <c r="B11157" s="1" t="str">
        <f>HYPERLINK("https://asmlis.vasa.lt/Dashboard/Served?ServiceDateFrom=2025-11-24&amp;ServiceDateTo=2025-11-24&amp;DumpsterInvNr=13-S-206099", "13-S-206099")</f>
        <v>13-S-206099</v>
      </c>
      <c r="C11157">
        <v>0.12</v>
      </c>
      <c r="D11157" t="s">
        <v>5453</v>
      </c>
      <c r="E11157" t="s">
        <v>11</v>
      </c>
      <c r="F11157" t="s">
        <v>1209</v>
      </c>
      <c r="G11157" t="s">
        <v>234</v>
      </c>
      <c r="H11157" t="s">
        <v>14</v>
      </c>
    </row>
    <row r="11158" spans="1:10" x14ac:dyDescent="0.25">
      <c r="A11158" t="s">
        <v>14794</v>
      </c>
      <c r="B11158" s="1" t="str">
        <f>HYPERLINK("https://asmlis.vasa.lt/Dashboard/Served?ServiceDateFrom=2025-11-24&amp;ServiceDateTo=2025-11-24&amp;DumpsterInvNr=13-P-113448", "13-P-113448")</f>
        <v>13-P-113448</v>
      </c>
      <c r="C11158">
        <v>0.24</v>
      </c>
      <c r="D11158" t="s">
        <v>14720</v>
      </c>
      <c r="E11158" t="s">
        <v>11</v>
      </c>
      <c r="F11158" t="s">
        <v>2556</v>
      </c>
      <c r="G11158" t="s">
        <v>1917</v>
      </c>
      <c r="H11158" t="s">
        <v>432</v>
      </c>
      <c r="J11158" t="s">
        <v>17511</v>
      </c>
    </row>
    <row r="11159" spans="1:10" hidden="1" x14ac:dyDescent="0.25">
      <c r="A11159" t="s">
        <v>14795</v>
      </c>
      <c r="B11159" s="1" t="str">
        <f>HYPERLINK("https://asmlis.vasa.lt/Dashboard/Served?ServiceDateFrom=2025-11-24&amp;ServiceDateTo=2025-11-24&amp;DumpsterInvNr=13-S-504495", "13-S-504495")</f>
        <v>13-S-504495</v>
      </c>
      <c r="C11159">
        <v>0.12</v>
      </c>
      <c r="D11159" t="s">
        <v>14796</v>
      </c>
      <c r="E11159" t="s">
        <v>11</v>
      </c>
      <c r="G11159" t="s">
        <v>2178</v>
      </c>
      <c r="H11159" t="s">
        <v>432</v>
      </c>
    </row>
    <row r="11160" spans="1:10" hidden="1" x14ac:dyDescent="0.25">
      <c r="A11160" t="s">
        <v>14797</v>
      </c>
      <c r="B11160" s="1" t="str">
        <f>HYPERLINK("https://asmlis.vasa.lt/Dashboard/Served?ServiceDateFrom=2025-11-24&amp;ServiceDateTo=2025-11-24&amp;DumpsterInvNr=13-L-423775", "13-L-423775")</f>
        <v>13-L-423775</v>
      </c>
      <c r="C11160">
        <v>5</v>
      </c>
      <c r="D11160" t="s">
        <v>14798</v>
      </c>
      <c r="E11160" t="s">
        <v>11</v>
      </c>
      <c r="F11160" t="s">
        <v>13</v>
      </c>
      <c r="G11160" t="s">
        <v>74</v>
      </c>
      <c r="H11160" t="s">
        <v>14</v>
      </c>
    </row>
    <row r="11161" spans="1:10" x14ac:dyDescent="0.25">
      <c r="A11161" t="s">
        <v>14799</v>
      </c>
      <c r="B11161" s="1" t="str">
        <f>HYPERLINK("https://asmlis.vasa.lt/Dashboard/Served?ServiceDateFrom=2025-11-24&amp;ServiceDateTo=2025-11-24&amp;DumpsterInvNr=13-P-101187", "13-P-101187")</f>
        <v>13-P-101187</v>
      </c>
      <c r="C11161">
        <v>0.12</v>
      </c>
      <c r="D11161" t="s">
        <v>14734</v>
      </c>
      <c r="E11161" t="s">
        <v>11</v>
      </c>
      <c r="F11161" t="s">
        <v>2556</v>
      </c>
      <c r="G11161" t="s">
        <v>1917</v>
      </c>
      <c r="H11161" t="s">
        <v>432</v>
      </c>
      <c r="J11161" t="s">
        <v>17511</v>
      </c>
    </row>
    <row r="11162" spans="1:10" hidden="1" x14ac:dyDescent="0.25">
      <c r="A11162" t="s">
        <v>14801</v>
      </c>
      <c r="B11162" s="1" t="str">
        <f>HYPERLINK("https://asmlis.vasa.lt/Dashboard/Served?ServiceDateFrom=2025-11-24&amp;ServiceDateTo=2025-11-24&amp;DumpsterInvNr=13-L-215672", "13-L-215672")</f>
        <v>13-L-215672</v>
      </c>
      <c r="C11162">
        <v>0.24</v>
      </c>
      <c r="D11162" t="s">
        <v>6608</v>
      </c>
      <c r="E11162" t="s">
        <v>11</v>
      </c>
      <c r="G11162" t="s">
        <v>936</v>
      </c>
      <c r="H11162" t="s">
        <v>938</v>
      </c>
    </row>
    <row r="11163" spans="1:10" x14ac:dyDescent="0.25">
      <c r="A11163" t="s">
        <v>14802</v>
      </c>
      <c r="B11163" s="1" t="str">
        <f>HYPERLINK("https://asmlis.vasa.lt/Dashboard/Served?ServiceDateFrom=2025-11-24&amp;ServiceDateTo=2025-11-24&amp;DumpsterInvNr=13-L-120422", "13-L-120422")</f>
        <v>13-L-120422</v>
      </c>
      <c r="C11163">
        <v>0.12</v>
      </c>
      <c r="D11163" t="s">
        <v>14734</v>
      </c>
      <c r="E11163" t="s">
        <v>11</v>
      </c>
      <c r="F11163" t="s">
        <v>2556</v>
      </c>
      <c r="G11163" t="s">
        <v>1912</v>
      </c>
      <c r="H11163" t="s">
        <v>432</v>
      </c>
      <c r="J11163" t="s">
        <v>17511</v>
      </c>
    </row>
    <row r="11164" spans="1:10" hidden="1" x14ac:dyDescent="0.25">
      <c r="A11164" t="s">
        <v>14803</v>
      </c>
      <c r="B11164" s="1" t="str">
        <f>HYPERLINK("https://asmlis.vasa.lt/Dashboard/Served?ServiceDateFrom=2025-11-24&amp;ServiceDateTo=2025-11-24&amp;DumpsterInvNr=13-P-400526", "13-P-400526")</f>
        <v>13-P-400526</v>
      </c>
      <c r="C11164">
        <v>5</v>
      </c>
      <c r="D11164" t="s">
        <v>14347</v>
      </c>
      <c r="E11164" t="s">
        <v>11</v>
      </c>
      <c r="F11164" t="s">
        <v>13</v>
      </c>
      <c r="G11164" t="s">
        <v>264</v>
      </c>
      <c r="H11164" t="s">
        <v>14</v>
      </c>
    </row>
    <row r="11165" spans="1:10" hidden="1" x14ac:dyDescent="0.25">
      <c r="A11165" t="s">
        <v>14804</v>
      </c>
      <c r="B11165" s="1" t="str">
        <f>HYPERLINK("https://asmlis.vasa.lt/Dashboard/Served?ServiceDateFrom=2025-11-24&amp;ServiceDateTo=2025-11-24&amp;DumpsterInvNr=13-L-422047", "13-L-422047")</f>
        <v>13-L-422047</v>
      </c>
      <c r="C11165">
        <v>5</v>
      </c>
      <c r="D11165" t="s">
        <v>14805</v>
      </c>
      <c r="E11165" t="s">
        <v>11</v>
      </c>
      <c r="F11165" t="s">
        <v>13</v>
      </c>
      <c r="G11165" t="s">
        <v>74</v>
      </c>
      <c r="H11165" t="s">
        <v>14</v>
      </c>
    </row>
    <row r="11166" spans="1:10" x14ac:dyDescent="0.25">
      <c r="A11166" t="s">
        <v>14806</v>
      </c>
      <c r="B11166" s="1" t="str">
        <f>HYPERLINK("https://asmlis.vasa.lt/Dashboard/Served?ServiceDateFrom=2025-11-24&amp;ServiceDateTo=2025-11-24&amp;DumpsterInvNr=13-P-100912", "13-P-100912")</f>
        <v>13-P-100912</v>
      </c>
      <c r="C11166">
        <v>0.24</v>
      </c>
      <c r="D11166" t="s">
        <v>14756</v>
      </c>
      <c r="E11166" t="s">
        <v>11</v>
      </c>
      <c r="F11166" t="s">
        <v>2556</v>
      </c>
      <c r="G11166" t="s">
        <v>1917</v>
      </c>
      <c r="H11166" t="s">
        <v>432</v>
      </c>
      <c r="J11166" t="s">
        <v>17511</v>
      </c>
    </row>
    <row r="11167" spans="1:10" hidden="1" x14ac:dyDescent="0.25">
      <c r="A11167" t="s">
        <v>14693</v>
      </c>
      <c r="B11167" s="1" t="str">
        <f>HYPERLINK("https://asmlis.vasa.lt/Dashboard/Served?ServiceDateFrom=2025-11-24&amp;ServiceDateTo=2025-11-24&amp;DumpsterInvNr=13-L-316108", "13-L-316108")</f>
        <v>13-L-316108</v>
      </c>
      <c r="C11167">
        <v>3</v>
      </c>
      <c r="D11167" t="s">
        <v>14726</v>
      </c>
      <c r="E11167" t="s">
        <v>11</v>
      </c>
      <c r="F11167" t="s">
        <v>13</v>
      </c>
      <c r="G11167" t="s">
        <v>9</v>
      </c>
      <c r="H11167" t="s">
        <v>14</v>
      </c>
    </row>
    <row r="11168" spans="1:10" hidden="1" x14ac:dyDescent="0.25">
      <c r="A11168" t="s">
        <v>14807</v>
      </c>
      <c r="B11168" s="1" t="str">
        <f>HYPERLINK("https://asmlis.vasa.lt/Dashboard/Served?ServiceDateFrom=2025-11-24&amp;ServiceDateTo=2025-11-24&amp;DumpsterInvNr=13-L-104315", "13-L-104315")</f>
        <v>13-L-104315</v>
      </c>
      <c r="C11168">
        <v>1.1000000000000001</v>
      </c>
      <c r="D11168" t="s">
        <v>14808</v>
      </c>
      <c r="E11168" t="s">
        <v>11</v>
      </c>
      <c r="G11168" t="s">
        <v>430</v>
      </c>
      <c r="H11168" t="s">
        <v>432</v>
      </c>
    </row>
    <row r="11169" spans="1:10" x14ac:dyDescent="0.25">
      <c r="A11169" t="s">
        <v>14809</v>
      </c>
      <c r="B11169" s="1" t="str">
        <f>HYPERLINK("https://asmlis.vasa.lt/Dashboard/Served?ServiceDateFrom=2025-11-24&amp;ServiceDateTo=2025-11-24&amp;DumpsterInvNr=13-L-102672", "13-L-102672")</f>
        <v>13-L-102672</v>
      </c>
      <c r="C11169">
        <v>0.12</v>
      </c>
      <c r="D11169" t="s">
        <v>14756</v>
      </c>
      <c r="E11169" t="s">
        <v>11</v>
      </c>
      <c r="F11169" t="s">
        <v>2556</v>
      </c>
      <c r="G11169" t="s">
        <v>1912</v>
      </c>
      <c r="H11169" t="s">
        <v>432</v>
      </c>
      <c r="J11169" t="s">
        <v>17511</v>
      </c>
    </row>
    <row r="11170" spans="1:10" hidden="1" x14ac:dyDescent="0.25">
      <c r="A11170" t="s">
        <v>14810</v>
      </c>
      <c r="B11170" s="1" t="str">
        <f>HYPERLINK("https://asmlis.vasa.lt/Dashboard/Served?ServiceDateFrom=2025-11-24&amp;ServiceDateTo=2025-11-24&amp;DumpsterInvNr=13-L-314266", "13-L-314266")</f>
        <v>13-L-314266</v>
      </c>
      <c r="C11170">
        <v>1.1000000000000001</v>
      </c>
      <c r="D11170" t="s">
        <v>1275</v>
      </c>
      <c r="E11170" t="s">
        <v>11</v>
      </c>
      <c r="G11170" t="s">
        <v>9</v>
      </c>
      <c r="H11170" t="s">
        <v>14</v>
      </c>
    </row>
    <row r="11171" spans="1:10" hidden="1" x14ac:dyDescent="0.25">
      <c r="A11171" t="s">
        <v>14811</v>
      </c>
      <c r="B11171" s="1" t="str">
        <f>HYPERLINK("https://asmlis.vasa.lt/Dashboard/Served?ServiceDateFrom=2025-11-24&amp;ServiceDateTo=2025-11-24&amp;DumpsterInvNr=13-P-306067", "13-P-306067")</f>
        <v>13-P-306067</v>
      </c>
      <c r="C11171">
        <v>5</v>
      </c>
      <c r="D11171" t="s">
        <v>14812</v>
      </c>
      <c r="E11171" t="s">
        <v>11</v>
      </c>
      <c r="G11171" t="s">
        <v>412</v>
      </c>
      <c r="H11171" t="s">
        <v>14</v>
      </c>
    </row>
    <row r="11172" spans="1:10" hidden="1" x14ac:dyDescent="0.25">
      <c r="A11172" t="s">
        <v>14813</v>
      </c>
      <c r="B11172" s="1" t="str">
        <f>HYPERLINK("https://asmlis.vasa.lt/Dashboard/Served?ServiceDateFrom=2025-11-24&amp;ServiceDateTo=2025-11-24&amp;DumpsterInvNr=13-L-224227", "13-L-224227")</f>
        <v>13-L-224227</v>
      </c>
      <c r="C11172">
        <v>5</v>
      </c>
      <c r="D11172" t="s">
        <v>14814</v>
      </c>
      <c r="E11172" t="s">
        <v>11</v>
      </c>
      <c r="G11172" t="s">
        <v>936</v>
      </c>
      <c r="H11172" t="s">
        <v>938</v>
      </c>
    </row>
    <row r="11173" spans="1:10" hidden="1" x14ac:dyDescent="0.25">
      <c r="A11173" t="s">
        <v>14815</v>
      </c>
      <c r="B11173" s="1" t="str">
        <f>HYPERLINK("https://asmlis.vasa.lt/Dashboard/Served?ServiceDateFrom=2025-11-24&amp;ServiceDateTo=2025-11-24&amp;DumpsterInvNr=13-P-501926", "13-P-501926")</f>
        <v>13-P-501926</v>
      </c>
      <c r="C11173">
        <v>0.24</v>
      </c>
      <c r="D11173" t="s">
        <v>4510</v>
      </c>
      <c r="E11173" t="s">
        <v>11</v>
      </c>
      <c r="G11173" t="s">
        <v>2178</v>
      </c>
      <c r="H11173" t="s">
        <v>432</v>
      </c>
    </row>
    <row r="11174" spans="1:10" x14ac:dyDescent="0.25">
      <c r="A11174" t="s">
        <v>14816</v>
      </c>
      <c r="B11174" s="1" t="str">
        <f>HYPERLINK("https://asmlis.vasa.lt/Dashboard/Served?ServiceDateFrom=2025-11-24&amp;ServiceDateTo=2025-11-24&amp;DumpsterInvNr=13-L-102671", "13-L-102671")</f>
        <v>13-L-102671</v>
      </c>
      <c r="C11174">
        <v>0.24</v>
      </c>
      <c r="D11174" t="s">
        <v>14763</v>
      </c>
      <c r="E11174" t="s">
        <v>11</v>
      </c>
      <c r="F11174" t="s">
        <v>2556</v>
      </c>
      <c r="G11174" t="s">
        <v>1912</v>
      </c>
      <c r="H11174" t="s">
        <v>432</v>
      </c>
      <c r="J11174" t="s">
        <v>17511</v>
      </c>
    </row>
    <row r="11175" spans="1:10" hidden="1" x14ac:dyDescent="0.25">
      <c r="A11175" t="s">
        <v>14817</v>
      </c>
      <c r="B11175" s="1" t="str">
        <f>HYPERLINK("https://asmlis.vasa.lt/Dashboard/Served?ServiceDateFrom=2025-11-24&amp;ServiceDateTo=2025-11-24&amp;DumpsterInvNr=13-L-148819", "13-L-148819")</f>
        <v>13-L-148819</v>
      </c>
      <c r="C11175">
        <v>1.1000000000000001</v>
      </c>
      <c r="D11175" t="s">
        <v>14740</v>
      </c>
      <c r="E11175" t="s">
        <v>11</v>
      </c>
      <c r="G11175" t="s">
        <v>1912</v>
      </c>
      <c r="H11175" t="s">
        <v>432</v>
      </c>
    </row>
    <row r="11176" spans="1:10" hidden="1" x14ac:dyDescent="0.25">
      <c r="A11176" t="s">
        <v>14818</v>
      </c>
      <c r="B11176" s="1" t="str">
        <f>HYPERLINK("https://asmlis.vasa.lt/Dashboard/Served?ServiceDateFrom=2025-11-24&amp;ServiceDateTo=2025-11-24&amp;DumpsterInvNr=13-P-501924", "13-P-501924")</f>
        <v>13-P-501924</v>
      </c>
      <c r="C11176">
        <v>0.12</v>
      </c>
      <c r="D11176" t="s">
        <v>14819</v>
      </c>
      <c r="E11176" t="s">
        <v>11</v>
      </c>
      <c r="G11176" t="s">
        <v>2178</v>
      </c>
      <c r="H11176" t="s">
        <v>432</v>
      </c>
    </row>
    <row r="11177" spans="1:10" hidden="1" x14ac:dyDescent="0.25">
      <c r="A11177" t="s">
        <v>14818</v>
      </c>
      <c r="B11177" s="1" t="str">
        <f>HYPERLINK("https://asmlis.vasa.lt/Dashboard/Served?ServiceDateFrom=2025-11-24&amp;ServiceDateTo=2025-11-24&amp;DumpsterInvNr=13-P-501992", "13-P-501992")</f>
        <v>13-P-501992</v>
      </c>
      <c r="C11177">
        <v>0.24</v>
      </c>
      <c r="D11177" t="s">
        <v>14821</v>
      </c>
      <c r="E11177" t="s">
        <v>11</v>
      </c>
      <c r="G11177" t="s">
        <v>2178</v>
      </c>
      <c r="H11177" t="s">
        <v>432</v>
      </c>
    </row>
    <row r="11178" spans="1:10" hidden="1" x14ac:dyDescent="0.25">
      <c r="A11178" t="s">
        <v>14822</v>
      </c>
      <c r="B11178" s="1" t="str">
        <f>HYPERLINK("https://asmlis.vasa.lt/Dashboard/Served?ServiceDateFrom=2025-11-24&amp;ServiceDateTo=2025-11-24&amp;DumpsterInvNr=13-L-221467", "13-L-221467")</f>
        <v>13-L-221467</v>
      </c>
      <c r="C11178">
        <v>1.1000000000000001</v>
      </c>
      <c r="D11178" t="s">
        <v>14823</v>
      </c>
      <c r="E11178" t="s">
        <v>11</v>
      </c>
      <c r="G11178" t="s">
        <v>936</v>
      </c>
      <c r="H11178" t="s">
        <v>938</v>
      </c>
    </row>
    <row r="11179" spans="1:10" hidden="1" x14ac:dyDescent="0.25">
      <c r="A11179" t="s">
        <v>14822</v>
      </c>
      <c r="B11179" s="1" t="str">
        <f>HYPERLINK("https://asmlis.vasa.lt/Dashboard/Served?ServiceDateFrom=2025-11-24&amp;ServiceDateTo=2025-11-24&amp;DumpsterInvNr=13-P-409125", "13-P-409125")</f>
        <v>13-P-409125</v>
      </c>
      <c r="C11179">
        <v>1.1000000000000001</v>
      </c>
      <c r="D11179" t="s">
        <v>14766</v>
      </c>
      <c r="E11179" t="s">
        <v>11</v>
      </c>
      <c r="G11179" t="s">
        <v>264</v>
      </c>
      <c r="H11179" t="s">
        <v>14</v>
      </c>
    </row>
    <row r="11180" spans="1:10" hidden="1" x14ac:dyDescent="0.25">
      <c r="A11180" t="s">
        <v>14824</v>
      </c>
      <c r="B11180" s="1" t="str">
        <f>HYPERLINK("https://asmlis.vasa.lt/Dashboard/Served?ServiceDateFrom=2025-11-24&amp;ServiceDateTo=2025-11-24&amp;DumpsterInvNr=13-L-317220", "13-L-317220")</f>
        <v>13-L-317220</v>
      </c>
      <c r="C11180">
        <v>1.1000000000000001</v>
      </c>
      <c r="D11180" t="s">
        <v>1275</v>
      </c>
      <c r="E11180" t="s">
        <v>11</v>
      </c>
      <c r="G11180" t="s">
        <v>9</v>
      </c>
      <c r="H11180" t="s">
        <v>14</v>
      </c>
    </row>
    <row r="11181" spans="1:10" hidden="1" x14ac:dyDescent="0.25">
      <c r="A11181" t="s">
        <v>14825</v>
      </c>
      <c r="B11181" s="1" t="str">
        <f>HYPERLINK("https://asmlis.vasa.lt/Dashboard/Served?ServiceDateFrom=2025-11-24&amp;ServiceDateTo=2025-11-24&amp;DumpsterInvNr=13-L-104314", "13-L-104314")</f>
        <v>13-L-104314</v>
      </c>
      <c r="C11181">
        <v>1.1000000000000001</v>
      </c>
      <c r="D11181" t="s">
        <v>14808</v>
      </c>
      <c r="E11181" t="s">
        <v>11</v>
      </c>
      <c r="G11181" t="s">
        <v>430</v>
      </c>
      <c r="H11181" t="s">
        <v>432</v>
      </c>
    </row>
    <row r="11182" spans="1:10" x14ac:dyDescent="0.25">
      <c r="A11182" t="s">
        <v>14825</v>
      </c>
      <c r="B11182" s="1" t="str">
        <f>HYPERLINK("https://asmlis.vasa.lt/Dashboard/Served?ServiceDateFrom=2025-11-24&amp;ServiceDateTo=2025-11-24&amp;DumpsterInvNr=13-P-103541", "13-P-103541")</f>
        <v>13-P-103541</v>
      </c>
      <c r="C11182">
        <v>0.24</v>
      </c>
      <c r="D11182" t="s">
        <v>14757</v>
      </c>
      <c r="E11182" t="s">
        <v>11</v>
      </c>
      <c r="F11182" t="s">
        <v>2556</v>
      </c>
      <c r="G11182" t="s">
        <v>1917</v>
      </c>
      <c r="H11182" t="s">
        <v>432</v>
      </c>
      <c r="J11182" t="s">
        <v>17511</v>
      </c>
    </row>
    <row r="11183" spans="1:10" hidden="1" x14ac:dyDescent="0.25">
      <c r="A11183" t="s">
        <v>14827</v>
      </c>
      <c r="B11183" s="1" t="str">
        <f>HYPERLINK("https://asmlis.vasa.lt/Dashboard/Served?ServiceDateFrom=2025-11-24&amp;ServiceDateTo=2025-11-24&amp;DumpsterInvNr=13-L-113321", "13-L-113321")</f>
        <v>13-L-113321</v>
      </c>
      <c r="C11183">
        <v>5</v>
      </c>
      <c r="D11183" t="s">
        <v>14828</v>
      </c>
      <c r="E11183" t="s">
        <v>11</v>
      </c>
      <c r="F11183" t="s">
        <v>13</v>
      </c>
      <c r="G11183" t="s">
        <v>430</v>
      </c>
      <c r="H11183" t="s">
        <v>432</v>
      </c>
    </row>
    <row r="11184" spans="1:10" hidden="1" x14ac:dyDescent="0.25">
      <c r="A11184" t="s">
        <v>14829</v>
      </c>
      <c r="B11184" s="1" t="str">
        <f>HYPERLINK("https://asmlis.vasa.lt/Dashboard/Served?ServiceDateFrom=2025-11-24&amp;ServiceDateTo=2025-11-24&amp;DumpsterInvNr=13-L-414519", "13-L-414519")</f>
        <v>13-L-414519</v>
      </c>
      <c r="C11184">
        <v>5</v>
      </c>
      <c r="D11184" t="s">
        <v>14830</v>
      </c>
      <c r="E11184" t="s">
        <v>11</v>
      </c>
      <c r="F11184" t="s">
        <v>13</v>
      </c>
      <c r="G11184" t="s">
        <v>74</v>
      </c>
      <c r="H11184" t="s">
        <v>14</v>
      </c>
    </row>
    <row r="11185" spans="1:8" hidden="1" x14ac:dyDescent="0.25">
      <c r="A11185" t="s">
        <v>14831</v>
      </c>
      <c r="B11185" s="1" t="str">
        <f>HYPERLINK("https://asmlis.vasa.lt/Dashboard/Served?ServiceDateFrom=2025-11-24&amp;ServiceDateTo=2025-11-24&amp;DumpsterInvNr=13-L-128632", "13-L-128632")</f>
        <v>13-L-128632</v>
      </c>
      <c r="C11185">
        <v>0.24</v>
      </c>
      <c r="D11185" t="s">
        <v>4510</v>
      </c>
      <c r="E11185" t="s">
        <v>11</v>
      </c>
      <c r="G11185" t="s">
        <v>430</v>
      </c>
      <c r="H11185" t="s">
        <v>432</v>
      </c>
    </row>
    <row r="11186" spans="1:8" hidden="1" x14ac:dyDescent="0.25">
      <c r="A11186" t="s">
        <v>14832</v>
      </c>
      <c r="B11186" s="1" t="str">
        <f>HYPERLINK("https://asmlis.vasa.lt/Dashboard/Served?ServiceDateFrom=2025-11-24&amp;ServiceDateTo=2025-11-24&amp;DumpsterInvNr=13-L-423818", "13-L-423818")</f>
        <v>13-L-423818</v>
      </c>
      <c r="C11186">
        <v>5</v>
      </c>
      <c r="D11186" t="s">
        <v>14833</v>
      </c>
      <c r="E11186" t="s">
        <v>11</v>
      </c>
      <c r="F11186" t="s">
        <v>13</v>
      </c>
      <c r="G11186" t="s">
        <v>74</v>
      </c>
      <c r="H11186" t="s">
        <v>14</v>
      </c>
    </row>
    <row r="11187" spans="1:8" hidden="1" x14ac:dyDescent="0.25">
      <c r="A11187" t="s">
        <v>14834</v>
      </c>
      <c r="B11187" s="1" t="str">
        <f>HYPERLINK("https://asmlis.vasa.lt/Dashboard/Served?ServiceDateFrom=2025-11-24&amp;ServiceDateTo=2025-11-24&amp;DumpsterInvNr=13-L-108256", "13-L-108256")</f>
        <v>13-L-108256</v>
      </c>
      <c r="C11187">
        <v>0.24</v>
      </c>
      <c r="D11187" t="s">
        <v>14835</v>
      </c>
      <c r="E11187" t="s">
        <v>11</v>
      </c>
      <c r="G11187" t="s">
        <v>430</v>
      </c>
      <c r="H11187" t="s">
        <v>432</v>
      </c>
    </row>
    <row r="11188" spans="1:8" hidden="1" x14ac:dyDescent="0.25">
      <c r="A11188" t="s">
        <v>14836</v>
      </c>
      <c r="B11188" s="1" t="str">
        <f>HYPERLINK("https://asmlis.vasa.lt/Dashboard/Served?ServiceDateFrom=2025-11-24&amp;ServiceDateTo=2025-11-24&amp;DumpsterInvNr=13-P-501991", "13-P-501991")</f>
        <v>13-P-501991</v>
      </c>
      <c r="C11188">
        <v>0.24</v>
      </c>
      <c r="D11188" t="s">
        <v>14835</v>
      </c>
      <c r="E11188" t="s">
        <v>11</v>
      </c>
      <c r="G11188" t="s">
        <v>2178</v>
      </c>
      <c r="H11188" t="s">
        <v>432</v>
      </c>
    </row>
    <row r="11189" spans="1:8" hidden="1" x14ac:dyDescent="0.25">
      <c r="A11189" t="s">
        <v>14838</v>
      </c>
      <c r="B11189" s="1" t="str">
        <f>HYPERLINK("https://asmlis.vasa.lt/Dashboard/Served?ServiceDateFrom=2025-11-24&amp;ServiceDateTo=2025-11-24&amp;DumpsterInvNr=13-L-131358", "13-L-131358")</f>
        <v>13-L-131358</v>
      </c>
      <c r="C11189">
        <v>1.1000000000000001</v>
      </c>
      <c r="D11189" t="s">
        <v>14740</v>
      </c>
      <c r="E11189" t="s">
        <v>11</v>
      </c>
      <c r="G11189" t="s">
        <v>1912</v>
      </c>
      <c r="H11189" t="s">
        <v>432</v>
      </c>
    </row>
    <row r="11190" spans="1:8" hidden="1" x14ac:dyDescent="0.25">
      <c r="A11190" t="s">
        <v>14839</v>
      </c>
      <c r="B11190" s="1" t="str">
        <f>HYPERLINK("https://asmlis.vasa.lt/Dashboard/Served?ServiceDateFrom=2025-11-24&amp;ServiceDateTo=2025-11-24&amp;DumpsterInvNr=13-P-102398", "13-P-102398")</f>
        <v>13-P-102398</v>
      </c>
      <c r="C11190">
        <v>5</v>
      </c>
      <c r="D11190" t="s">
        <v>14385</v>
      </c>
      <c r="E11190" t="s">
        <v>11</v>
      </c>
      <c r="F11190" t="s">
        <v>13</v>
      </c>
      <c r="G11190" t="s">
        <v>1917</v>
      </c>
      <c r="H11190" t="s">
        <v>432</v>
      </c>
    </row>
    <row r="11191" spans="1:8" hidden="1" x14ac:dyDescent="0.25">
      <c r="A11191" t="s">
        <v>14840</v>
      </c>
      <c r="B11191" s="1" t="str">
        <f>HYPERLINK("https://asmlis.vasa.lt/Dashboard/Served?ServiceDateFrom=2025-11-24&amp;ServiceDateTo=2025-11-24&amp;DumpsterInvNr=13-L-203534", "13-L-203534")</f>
        <v>13-L-203534</v>
      </c>
      <c r="C11191">
        <v>0.24</v>
      </c>
      <c r="D11191" t="s">
        <v>14841</v>
      </c>
      <c r="E11191" t="s">
        <v>11</v>
      </c>
      <c r="G11191" t="s">
        <v>936</v>
      </c>
      <c r="H11191" t="s">
        <v>938</v>
      </c>
    </row>
    <row r="11192" spans="1:8" hidden="1" x14ac:dyDescent="0.25">
      <c r="A11192" t="s">
        <v>14842</v>
      </c>
      <c r="B11192" s="1" t="str">
        <f>HYPERLINK("https://asmlis.vasa.lt/Dashboard/Served?ServiceDateFrom=2025-11-24&amp;ServiceDateTo=2025-11-24&amp;DumpsterInvNr=13-L-109822", "13-L-109822")</f>
        <v>13-L-109822</v>
      </c>
      <c r="C11192">
        <v>0.12</v>
      </c>
      <c r="D11192" t="s">
        <v>14819</v>
      </c>
      <c r="E11192" t="s">
        <v>11</v>
      </c>
      <c r="G11192" t="s">
        <v>430</v>
      </c>
      <c r="H11192" t="s">
        <v>432</v>
      </c>
    </row>
    <row r="11193" spans="1:8" hidden="1" x14ac:dyDescent="0.25">
      <c r="A11193" t="s">
        <v>14842</v>
      </c>
      <c r="B11193" s="1" t="str">
        <f>HYPERLINK("https://asmlis.vasa.lt/Dashboard/Served?ServiceDateFrom=2025-11-24&amp;ServiceDateTo=2025-11-24&amp;DumpsterInvNr=13-L-108250", "13-L-108250")</f>
        <v>13-L-108250</v>
      </c>
      <c r="C11193">
        <v>0.12</v>
      </c>
      <c r="D11193" t="s">
        <v>14821</v>
      </c>
      <c r="E11193" t="s">
        <v>11</v>
      </c>
      <c r="G11193" t="s">
        <v>430</v>
      </c>
      <c r="H11193" t="s">
        <v>432</v>
      </c>
    </row>
    <row r="11194" spans="1:8" hidden="1" x14ac:dyDescent="0.25">
      <c r="A11194" t="s">
        <v>14844</v>
      </c>
      <c r="B11194" s="1" t="str">
        <f>HYPERLINK("https://asmlis.vasa.lt/Dashboard/Served?ServiceDateFrom=2025-11-24&amp;ServiceDateTo=2025-11-24&amp;DumpsterInvNr=13-L-109821", "13-L-109821")</f>
        <v>13-L-109821</v>
      </c>
      <c r="C11194">
        <v>0.12</v>
      </c>
      <c r="D11194" t="s">
        <v>14796</v>
      </c>
      <c r="E11194" t="s">
        <v>11</v>
      </c>
      <c r="F11194" t="s">
        <v>1209</v>
      </c>
      <c r="G11194" t="s">
        <v>430</v>
      </c>
      <c r="H11194" t="s">
        <v>432</v>
      </c>
    </row>
    <row r="11195" spans="1:8" hidden="1" x14ac:dyDescent="0.25">
      <c r="A11195" t="s">
        <v>14845</v>
      </c>
      <c r="B11195" s="1" t="str">
        <f>HYPERLINK("https://asmlis.vasa.lt/Dashboard/Served?ServiceDateFrom=2025-11-24&amp;ServiceDateTo=2025-11-24&amp;DumpsterInvNr=13-S-102413", "13-S-102413")</f>
        <v>13-S-102413</v>
      </c>
      <c r="C11195">
        <v>0.12</v>
      </c>
      <c r="D11195" t="s">
        <v>14645</v>
      </c>
      <c r="E11195" t="s">
        <v>11</v>
      </c>
      <c r="F11195" t="s">
        <v>1209</v>
      </c>
      <c r="G11195" t="s">
        <v>1917</v>
      </c>
      <c r="H11195" t="s">
        <v>432</v>
      </c>
    </row>
    <row r="11196" spans="1:8" hidden="1" x14ac:dyDescent="0.25">
      <c r="A11196" t="s">
        <v>14845</v>
      </c>
      <c r="B11196" s="1" t="str">
        <f>HYPERLINK("https://asmlis.vasa.lt/Dashboard/Served?ServiceDateFrom=2025-11-24&amp;ServiceDateTo=2025-11-24&amp;DumpsterInvNr=13-L-225196", "13-L-225196")</f>
        <v>13-L-225196</v>
      </c>
      <c r="C11196">
        <v>0.24</v>
      </c>
      <c r="D11196" t="s">
        <v>14846</v>
      </c>
      <c r="E11196" t="s">
        <v>11</v>
      </c>
      <c r="G11196" t="s">
        <v>936</v>
      </c>
      <c r="H11196" t="s">
        <v>938</v>
      </c>
    </row>
    <row r="11197" spans="1:8" hidden="1" x14ac:dyDescent="0.25">
      <c r="A11197" t="s">
        <v>14847</v>
      </c>
      <c r="B11197" s="1" t="str">
        <f>HYPERLINK("https://asmlis.vasa.lt/Dashboard/Served?ServiceDateFrom=2025-11-24&amp;ServiceDateTo=2025-11-24&amp;DumpsterInvNr=13-P-409075", "13-P-409075")</f>
        <v>13-P-409075</v>
      </c>
      <c r="C11197">
        <v>1.1000000000000001</v>
      </c>
      <c r="D11197" t="s">
        <v>14766</v>
      </c>
      <c r="E11197" t="s">
        <v>11</v>
      </c>
      <c r="F11197" t="s">
        <v>13</v>
      </c>
      <c r="G11197" t="s">
        <v>264</v>
      </c>
      <c r="H11197" t="s">
        <v>14</v>
      </c>
    </row>
    <row r="11198" spans="1:8" hidden="1" x14ac:dyDescent="0.25">
      <c r="A11198" t="s">
        <v>14848</v>
      </c>
      <c r="B11198" s="1" t="str">
        <f>HYPERLINK("https://asmlis.vasa.lt/Dashboard/Served?ServiceDateFrom=2025-11-24&amp;ServiceDateTo=2025-11-24&amp;DumpsterInvNr=13-L-106456", "13-L-106456")</f>
        <v>13-L-106456</v>
      </c>
      <c r="C11198">
        <v>0.24</v>
      </c>
      <c r="D11198" t="s">
        <v>14645</v>
      </c>
      <c r="E11198" t="s">
        <v>11</v>
      </c>
      <c r="F11198" t="s">
        <v>1209</v>
      </c>
      <c r="G11198" t="s">
        <v>1912</v>
      </c>
      <c r="H11198" t="s">
        <v>432</v>
      </c>
    </row>
    <row r="11199" spans="1:8" hidden="1" x14ac:dyDescent="0.25">
      <c r="A11199" t="s">
        <v>14849</v>
      </c>
      <c r="B11199" s="1" t="str">
        <f>HYPERLINK("https://asmlis.vasa.lt/Dashboard/Served?ServiceDateFrom=2025-11-24&amp;ServiceDateTo=2025-11-24&amp;DumpsterInvNr=13-S-504496", "13-S-504496")</f>
        <v>13-S-504496</v>
      </c>
      <c r="C11199">
        <v>0.12</v>
      </c>
      <c r="D11199" t="s">
        <v>14819</v>
      </c>
      <c r="E11199" t="s">
        <v>11</v>
      </c>
      <c r="F11199" t="s">
        <v>1209</v>
      </c>
      <c r="G11199" t="s">
        <v>2178</v>
      </c>
      <c r="H11199" t="s">
        <v>432</v>
      </c>
    </row>
    <row r="11200" spans="1:8" hidden="1" x14ac:dyDescent="0.25">
      <c r="A11200" t="s">
        <v>14850</v>
      </c>
      <c r="B11200" s="1" t="str">
        <f>HYPERLINK("https://asmlis.vasa.lt/Dashboard/Served?ServiceDateFrom=2025-11-24&amp;ServiceDateTo=2025-11-24&amp;DumpsterInvNr=13-L-315842", "13-L-315842")</f>
        <v>13-L-315842</v>
      </c>
      <c r="C11200">
        <v>1.1000000000000001</v>
      </c>
      <c r="D11200" t="s">
        <v>1275</v>
      </c>
      <c r="E11200" t="s">
        <v>11</v>
      </c>
      <c r="G11200" t="s">
        <v>9</v>
      </c>
      <c r="H11200" t="s">
        <v>14</v>
      </c>
    </row>
    <row r="11201" spans="1:8" hidden="1" x14ac:dyDescent="0.25">
      <c r="A11201" t="s">
        <v>14851</v>
      </c>
      <c r="B11201" s="1" t="str">
        <f>HYPERLINK("https://asmlis.vasa.lt/Dashboard/Served?ServiceDateFrom=2025-11-24&amp;ServiceDateTo=2025-11-24&amp;DumpsterInvNr=13-P-204231", "13-P-204231")</f>
        <v>13-P-204231</v>
      </c>
      <c r="C11201">
        <v>0.24</v>
      </c>
      <c r="D11201" t="s">
        <v>13998</v>
      </c>
      <c r="E11201" t="s">
        <v>11</v>
      </c>
      <c r="G11201" t="s">
        <v>234</v>
      </c>
      <c r="H11201" t="s">
        <v>14</v>
      </c>
    </row>
    <row r="11202" spans="1:8" hidden="1" x14ac:dyDescent="0.25">
      <c r="A11202" t="s">
        <v>14852</v>
      </c>
      <c r="B11202" s="1" t="str">
        <f>HYPERLINK("https://asmlis.vasa.lt/Dashboard/Served?ServiceDateFrom=2025-11-24&amp;ServiceDateTo=2025-11-24&amp;DumpsterInvNr=13-L-141836", "13-L-141836")</f>
        <v>13-L-141836</v>
      </c>
      <c r="C11202">
        <v>1.1000000000000001</v>
      </c>
      <c r="D11202" t="s">
        <v>14740</v>
      </c>
      <c r="E11202" t="s">
        <v>11</v>
      </c>
      <c r="G11202" t="s">
        <v>1912</v>
      </c>
      <c r="H11202" t="s">
        <v>432</v>
      </c>
    </row>
    <row r="11203" spans="1:8" hidden="1" x14ac:dyDescent="0.25">
      <c r="A11203" t="s">
        <v>14853</v>
      </c>
      <c r="B11203" s="1" t="str">
        <f>HYPERLINK("https://asmlis.vasa.lt/Dashboard/Served?ServiceDateFrom=2025-11-24&amp;ServiceDateTo=2025-11-24&amp;DumpsterInvNr=13-L-144501", "13-L-144501")</f>
        <v>13-L-144501</v>
      </c>
      <c r="C11203">
        <v>5</v>
      </c>
      <c r="D11203" t="s">
        <v>13289</v>
      </c>
      <c r="E11203" t="s">
        <v>11</v>
      </c>
      <c r="F11203" t="s">
        <v>13</v>
      </c>
      <c r="G11203" t="s">
        <v>430</v>
      </c>
      <c r="H11203" t="s">
        <v>432</v>
      </c>
    </row>
    <row r="11204" spans="1:8" hidden="1" x14ac:dyDescent="0.25">
      <c r="A11204" t="s">
        <v>14854</v>
      </c>
      <c r="B11204" s="1" t="str">
        <f>HYPERLINK("https://asmlis.vasa.lt/Dashboard/Served?ServiceDateFrom=2025-11-24&amp;ServiceDateTo=2025-11-24&amp;DumpsterInvNr=13-L-227300", "13-L-227300")</f>
        <v>13-L-227300</v>
      </c>
      <c r="C11204">
        <v>0.24</v>
      </c>
      <c r="D11204" t="s">
        <v>14855</v>
      </c>
      <c r="E11204" t="s">
        <v>11</v>
      </c>
      <c r="G11204" t="s">
        <v>936</v>
      </c>
      <c r="H11204" t="s">
        <v>938</v>
      </c>
    </row>
    <row r="11205" spans="1:8" hidden="1" x14ac:dyDescent="0.25">
      <c r="A11205" t="s">
        <v>14856</v>
      </c>
      <c r="B11205" s="1" t="str">
        <f>HYPERLINK("https://asmlis.vasa.lt/Dashboard/Served?ServiceDateFrom=2025-11-24&amp;ServiceDateTo=2025-11-24&amp;DumpsterInvNr=DGA-ZALVARIS", "DGA-ZALVARIS")</f>
        <v>DGA-ZALVARIS</v>
      </c>
      <c r="C11205">
        <v>1</v>
      </c>
      <c r="D11205" t="s">
        <v>14310</v>
      </c>
      <c r="E11205" t="s">
        <v>12</v>
      </c>
      <c r="F11205" t="s">
        <v>13</v>
      </c>
      <c r="G11205" t="s">
        <v>14259</v>
      </c>
      <c r="H11205" t="s">
        <v>6765</v>
      </c>
    </row>
    <row r="11206" spans="1:8" hidden="1" x14ac:dyDescent="0.25">
      <c r="A11206" t="s">
        <v>14857</v>
      </c>
      <c r="B11206" s="1" t="str">
        <f>HYPERLINK("https://asmlis.vasa.lt/Dashboard/Served?ServiceDateFrom=2025-11-24&amp;ServiceDateTo=2025-11-24&amp;DumpsterInvNr=13-L-418287", "13-L-418287")</f>
        <v>13-L-418287</v>
      </c>
      <c r="C11206">
        <v>5</v>
      </c>
      <c r="D11206" t="s">
        <v>14858</v>
      </c>
      <c r="E11206" t="s">
        <v>11</v>
      </c>
      <c r="F11206" t="s">
        <v>13</v>
      </c>
      <c r="G11206" t="s">
        <v>74</v>
      </c>
      <c r="H11206" t="s">
        <v>14</v>
      </c>
    </row>
    <row r="11207" spans="1:8" hidden="1" x14ac:dyDescent="0.25">
      <c r="A11207" t="s">
        <v>14859</v>
      </c>
      <c r="B11207" s="1" t="str">
        <f>HYPERLINK("https://asmlis.vasa.lt/Dashboard/Served?ServiceDateFrom=2025-11-24&amp;ServiceDateTo=2025-11-24&amp;DumpsterInvNr=13-P-212412", "13-P-212412")</f>
        <v>13-P-212412</v>
      </c>
      <c r="C11207">
        <v>1.1000000000000001</v>
      </c>
      <c r="D11207" t="s">
        <v>14860</v>
      </c>
      <c r="E11207" t="s">
        <v>11</v>
      </c>
      <c r="F11207" t="s">
        <v>13</v>
      </c>
      <c r="G11207" t="s">
        <v>234</v>
      </c>
      <c r="H11207" t="s">
        <v>14</v>
      </c>
    </row>
    <row r="11208" spans="1:8" hidden="1" x14ac:dyDescent="0.25">
      <c r="A11208" t="s">
        <v>14861</v>
      </c>
      <c r="B11208" s="1" t="str">
        <f>HYPERLINK("https://asmlis.vasa.lt/Dashboard/Served?ServiceDateFrom=2025-11-24&amp;ServiceDateTo=2025-11-24&amp;DumpsterInvNr=13-L-219885", "13-L-219885")</f>
        <v>13-L-219885</v>
      </c>
      <c r="C11208">
        <v>0.12</v>
      </c>
      <c r="D11208" t="s">
        <v>14862</v>
      </c>
      <c r="E11208" t="s">
        <v>11</v>
      </c>
      <c r="G11208" t="s">
        <v>936</v>
      </c>
      <c r="H11208" t="s">
        <v>938</v>
      </c>
    </row>
    <row r="11209" spans="1:8" hidden="1" x14ac:dyDescent="0.25">
      <c r="A11209" t="s">
        <v>14863</v>
      </c>
      <c r="B11209" s="1" t="str">
        <f>HYPERLINK("https://asmlis.vasa.lt/Dashboard/Served?ServiceDateFrom=2025-11-24&amp;ServiceDateTo=2025-11-24&amp;DumpsterInvNr=13-L-417883", "13-L-417883")</f>
        <v>13-L-417883</v>
      </c>
      <c r="C11209">
        <v>5</v>
      </c>
      <c r="D11209" t="s">
        <v>14864</v>
      </c>
      <c r="E11209" t="s">
        <v>11</v>
      </c>
      <c r="F11209" t="s">
        <v>13</v>
      </c>
      <c r="G11209" t="s">
        <v>74</v>
      </c>
      <c r="H11209" t="s">
        <v>14</v>
      </c>
    </row>
    <row r="11210" spans="1:8" hidden="1" x14ac:dyDescent="0.25">
      <c r="A11210" t="s">
        <v>14865</v>
      </c>
      <c r="B11210" s="1" t="str">
        <f>HYPERLINK("https://asmlis.vasa.lt/Dashboard/Served?ServiceDateFrom=2025-11-24&amp;ServiceDateTo=2025-11-24&amp;DumpsterInvNr=13-L-219011", "13-L-219011")</f>
        <v>13-L-219011</v>
      </c>
      <c r="C11210">
        <v>1.1000000000000001</v>
      </c>
      <c r="D11210" t="s">
        <v>14866</v>
      </c>
      <c r="E11210" t="s">
        <v>11</v>
      </c>
      <c r="F11210" t="s">
        <v>13</v>
      </c>
      <c r="G11210" t="s">
        <v>936</v>
      </c>
      <c r="H11210" t="s">
        <v>938</v>
      </c>
    </row>
    <row r="11211" spans="1:8" hidden="1" x14ac:dyDescent="0.25">
      <c r="A11211" t="s">
        <v>14867</v>
      </c>
      <c r="B11211" s="1" t="str">
        <f>HYPERLINK("https://asmlis.vasa.lt/Dashboard/Served?ServiceDateFrom=2025-11-24&amp;ServiceDateTo=2025-11-24&amp;DumpsterInvNr=13-L-141914", "13-L-141914")</f>
        <v>13-L-141914</v>
      </c>
      <c r="C11211">
        <v>1.1000000000000001</v>
      </c>
      <c r="D11211" t="s">
        <v>14740</v>
      </c>
      <c r="E11211" t="s">
        <v>11</v>
      </c>
      <c r="G11211" t="s">
        <v>1912</v>
      </c>
      <c r="H11211" t="s">
        <v>432</v>
      </c>
    </row>
    <row r="11212" spans="1:8" hidden="1" x14ac:dyDescent="0.25">
      <c r="A11212" t="s">
        <v>14868</v>
      </c>
      <c r="B11212" s="1" t="str">
        <f>HYPERLINK("https://asmlis.vasa.lt/Dashboard/Served?ServiceDateFrom=2025-11-24&amp;ServiceDateTo=2025-11-24&amp;DumpsterInvNr=13-L-144716", "13-L-144716")</f>
        <v>13-L-144716</v>
      </c>
      <c r="C11212">
        <v>0.12</v>
      </c>
      <c r="D11212" t="s">
        <v>14869</v>
      </c>
      <c r="E11212" t="s">
        <v>11</v>
      </c>
      <c r="F11212" t="s">
        <v>1209</v>
      </c>
      <c r="G11212" t="s">
        <v>1912</v>
      </c>
      <c r="H11212" t="s">
        <v>432</v>
      </c>
    </row>
    <row r="11213" spans="1:8" hidden="1" x14ac:dyDescent="0.25">
      <c r="A11213" t="s">
        <v>14870</v>
      </c>
      <c r="B11213" s="1" t="str">
        <f>HYPERLINK("https://asmlis.vasa.lt/Dashboard/Served?ServiceDateFrom=2025-11-24&amp;ServiceDateTo=2025-11-24&amp;DumpsterInvNr=13-L-314485", "13-L-314485")</f>
        <v>13-L-314485</v>
      </c>
      <c r="C11213">
        <v>1.1000000000000001</v>
      </c>
      <c r="D11213" t="s">
        <v>1275</v>
      </c>
      <c r="E11213" t="s">
        <v>11</v>
      </c>
      <c r="G11213" t="s">
        <v>9</v>
      </c>
      <c r="H11213" t="s">
        <v>14</v>
      </c>
    </row>
    <row r="11214" spans="1:8" hidden="1" x14ac:dyDescent="0.25">
      <c r="A11214" t="s">
        <v>14871</v>
      </c>
      <c r="B11214" s="1" t="str">
        <f>HYPERLINK("https://asmlis.vasa.lt/Dashboard/Served?ServiceDateFrom=2025-11-24&amp;ServiceDateTo=2025-11-24&amp;DumpsterInvNr=13-L-317111", "13-L-317111")</f>
        <v>13-L-317111</v>
      </c>
      <c r="C11214">
        <v>0.77</v>
      </c>
      <c r="D11214" t="s">
        <v>14872</v>
      </c>
      <c r="E11214" t="s">
        <v>11</v>
      </c>
      <c r="G11214" t="s">
        <v>9</v>
      </c>
      <c r="H11214" t="s">
        <v>14</v>
      </c>
    </row>
    <row r="11215" spans="1:8" hidden="1" x14ac:dyDescent="0.25">
      <c r="A11215" t="s">
        <v>14871</v>
      </c>
      <c r="B11215" s="1" t="str">
        <f>HYPERLINK("https://asmlis.vasa.lt/Dashboard/Served?ServiceDateFrom=2025-11-24&amp;ServiceDateTo=2025-11-24&amp;DumpsterInvNr=13-P-105379", "13-P-105379")</f>
        <v>13-P-105379</v>
      </c>
      <c r="C11215">
        <v>0.12</v>
      </c>
      <c r="D11215" t="s">
        <v>14869</v>
      </c>
      <c r="E11215" t="s">
        <v>11</v>
      </c>
      <c r="F11215" t="s">
        <v>1209</v>
      </c>
      <c r="G11215" t="s">
        <v>1917</v>
      </c>
      <c r="H11215" t="s">
        <v>432</v>
      </c>
    </row>
    <row r="11216" spans="1:8" hidden="1" x14ac:dyDescent="0.25">
      <c r="A11216" t="s">
        <v>14871</v>
      </c>
      <c r="B11216" s="1" t="str">
        <f>HYPERLINK("https://asmlis.vasa.lt/Dashboard/Served?ServiceDateFrom=2025-11-24&amp;ServiceDateTo=2025-11-24&amp;DumpsterInvNr=13-S-103019", "13-S-103019")</f>
        <v>13-S-103019</v>
      </c>
      <c r="C11216">
        <v>0.12</v>
      </c>
      <c r="D11216" t="s">
        <v>14869</v>
      </c>
      <c r="E11216" t="s">
        <v>11</v>
      </c>
      <c r="F11216" t="s">
        <v>1209</v>
      </c>
      <c r="G11216" t="s">
        <v>1917</v>
      </c>
      <c r="H11216" t="s">
        <v>432</v>
      </c>
    </row>
    <row r="11217" spans="1:8" hidden="1" x14ac:dyDescent="0.25">
      <c r="A11217" t="s">
        <v>14874</v>
      </c>
      <c r="B11217" s="1" t="str">
        <f>HYPERLINK("https://asmlis.vasa.lt/Dashboard/Served?ServiceDateFrom=2025-11-24&amp;ServiceDateTo=2025-11-24&amp;DumpsterInvNr=13-L-144469", "13-L-144469")</f>
        <v>13-L-144469</v>
      </c>
      <c r="C11217">
        <v>0.24</v>
      </c>
      <c r="D11217" t="s">
        <v>14875</v>
      </c>
      <c r="E11217" t="s">
        <v>11</v>
      </c>
      <c r="G11217" t="s">
        <v>430</v>
      </c>
      <c r="H11217" t="s">
        <v>432</v>
      </c>
    </row>
    <row r="11218" spans="1:8" hidden="1" x14ac:dyDescent="0.25">
      <c r="A11218" t="s">
        <v>14874</v>
      </c>
      <c r="B11218" s="1" t="str">
        <f>HYPERLINK("https://asmlis.vasa.lt/Dashboard/Served?ServiceDateFrom=2025-11-24&amp;ServiceDateTo=2025-11-24&amp;DumpsterInvNr=13-P-506947", "13-P-506947")</f>
        <v>13-P-506947</v>
      </c>
      <c r="C11218">
        <v>0.24</v>
      </c>
      <c r="D11218" t="s">
        <v>14875</v>
      </c>
      <c r="E11218" t="s">
        <v>11</v>
      </c>
      <c r="G11218" t="s">
        <v>2178</v>
      </c>
      <c r="H11218" t="s">
        <v>432</v>
      </c>
    </row>
    <row r="11219" spans="1:8" hidden="1" x14ac:dyDescent="0.25">
      <c r="A11219" t="s">
        <v>14876</v>
      </c>
      <c r="B11219" s="1" t="str">
        <f>HYPERLINK("https://asmlis.vasa.lt/Dashboard/Served?ServiceDateFrom=2025-11-24&amp;ServiceDateTo=2025-11-24&amp;DumpsterInvNr=13-P-103463", "13-P-103463")</f>
        <v>13-P-103463</v>
      </c>
      <c r="C11219">
        <v>0.24</v>
      </c>
      <c r="D11219" t="s">
        <v>14877</v>
      </c>
      <c r="E11219" t="s">
        <v>11</v>
      </c>
      <c r="F11219" t="s">
        <v>1209</v>
      </c>
      <c r="G11219" t="s">
        <v>1917</v>
      </c>
      <c r="H11219" t="s">
        <v>432</v>
      </c>
    </row>
    <row r="11220" spans="1:8" hidden="1" x14ac:dyDescent="0.25">
      <c r="A11220" t="s">
        <v>14878</v>
      </c>
      <c r="B11220" s="1" t="str">
        <f>HYPERLINK("https://asmlis.vasa.lt/Dashboard/Served?ServiceDateFrom=2025-11-24&amp;ServiceDateTo=2025-11-24&amp;DumpsterInvNr=13-L-137015", "13-L-137015")</f>
        <v>13-L-137015</v>
      </c>
      <c r="C11220">
        <v>0.24</v>
      </c>
      <c r="D11220" t="s">
        <v>14877</v>
      </c>
      <c r="E11220" t="s">
        <v>11</v>
      </c>
      <c r="F11220" t="s">
        <v>1209</v>
      </c>
      <c r="G11220" t="s">
        <v>1912</v>
      </c>
      <c r="H11220" t="s">
        <v>432</v>
      </c>
    </row>
    <row r="11221" spans="1:8" hidden="1" x14ac:dyDescent="0.25">
      <c r="A11221" t="s">
        <v>14879</v>
      </c>
      <c r="B11221" s="1" t="str">
        <f>HYPERLINK("https://asmlis.vasa.lt/Dashboard/Served?ServiceDateFrom=2025-11-24&amp;ServiceDateTo=2025-11-24&amp;DumpsterInvNr=13-S-207862", "13-S-207862")</f>
        <v>13-S-207862</v>
      </c>
      <c r="C11221">
        <v>3</v>
      </c>
      <c r="D11221" t="s">
        <v>14880</v>
      </c>
      <c r="E11221" t="s">
        <v>11</v>
      </c>
      <c r="G11221" t="s">
        <v>234</v>
      </c>
      <c r="H11221" t="s">
        <v>14</v>
      </c>
    </row>
    <row r="11222" spans="1:8" hidden="1" x14ac:dyDescent="0.25">
      <c r="A11222" t="s">
        <v>14879</v>
      </c>
      <c r="B11222" s="1" t="str">
        <f>HYPERLINK("https://asmlis.vasa.lt/Dashboard/Served?ServiceDateFrom=2025-11-24&amp;ServiceDateTo=2025-11-24&amp;DumpsterInvNr=13-P-401521", "13-P-401521")</f>
        <v>13-P-401521</v>
      </c>
      <c r="C11222">
        <v>1.1000000000000001</v>
      </c>
      <c r="D11222" t="s">
        <v>14766</v>
      </c>
      <c r="E11222" t="s">
        <v>11</v>
      </c>
      <c r="F11222" t="s">
        <v>13</v>
      </c>
      <c r="G11222" t="s">
        <v>264</v>
      </c>
      <c r="H11222" t="s">
        <v>14</v>
      </c>
    </row>
    <row r="11223" spans="1:8" hidden="1" x14ac:dyDescent="0.25">
      <c r="A11223" t="s">
        <v>14881</v>
      </c>
      <c r="B11223" s="1" t="str">
        <f>HYPERLINK("https://asmlis.vasa.lt/Dashboard/Served?ServiceDateFrom=2025-11-24&amp;ServiceDateTo=2025-11-24&amp;DumpsterInvNr=13-L-420207", "13-L-420207")</f>
        <v>13-L-420207</v>
      </c>
      <c r="C11223">
        <v>5</v>
      </c>
      <c r="D11223" t="s">
        <v>14882</v>
      </c>
      <c r="E11223" t="s">
        <v>11</v>
      </c>
      <c r="F11223" t="s">
        <v>13</v>
      </c>
      <c r="G11223" t="s">
        <v>74</v>
      </c>
      <c r="H11223" t="s">
        <v>14</v>
      </c>
    </row>
    <row r="11224" spans="1:8" hidden="1" x14ac:dyDescent="0.25">
      <c r="A11224" t="s">
        <v>14883</v>
      </c>
      <c r="B11224" s="1" t="str">
        <f>HYPERLINK("https://asmlis.vasa.lt/Dashboard/Served?ServiceDateFrom=2025-11-24&amp;ServiceDateTo=2025-11-24&amp;DumpsterInvNr=13-S-103049", "13-S-103049")</f>
        <v>13-S-103049</v>
      </c>
      <c r="C11224">
        <v>0.12</v>
      </c>
      <c r="D11224" t="s">
        <v>14877</v>
      </c>
      <c r="E11224" t="s">
        <v>11</v>
      </c>
      <c r="F11224" t="s">
        <v>1209</v>
      </c>
      <c r="G11224" t="s">
        <v>1917</v>
      </c>
      <c r="H11224" t="s">
        <v>432</v>
      </c>
    </row>
    <row r="11225" spans="1:8" hidden="1" x14ac:dyDescent="0.25">
      <c r="A11225" t="s">
        <v>14884</v>
      </c>
      <c r="B11225" s="1" t="str">
        <f>HYPERLINK("https://asmlis.vasa.lt/Dashboard/Served?ServiceDateFrom=2025-11-24&amp;ServiceDateTo=2025-11-24&amp;DumpsterInvNr=13-L-318951", "13-L-318951")</f>
        <v>13-L-318951</v>
      </c>
      <c r="C11225">
        <v>0.77</v>
      </c>
      <c r="D11225" t="s">
        <v>14872</v>
      </c>
      <c r="E11225" t="s">
        <v>11</v>
      </c>
      <c r="G11225" t="s">
        <v>9</v>
      </c>
      <c r="H11225" t="s">
        <v>14</v>
      </c>
    </row>
    <row r="11226" spans="1:8" hidden="1" x14ac:dyDescent="0.25">
      <c r="A11226" t="s">
        <v>14885</v>
      </c>
      <c r="B11226" s="1" t="str">
        <f>HYPERLINK("https://asmlis.vasa.lt/Dashboard/Served?ServiceDateFrom=2025-11-24&amp;ServiceDateTo=2025-11-24&amp;DumpsterInvNr=13-L-107478", "13-L-107478")</f>
        <v>13-L-107478</v>
      </c>
      <c r="C11226">
        <v>1.1000000000000001</v>
      </c>
      <c r="D11226" t="s">
        <v>14740</v>
      </c>
      <c r="E11226" t="s">
        <v>11</v>
      </c>
      <c r="G11226" t="s">
        <v>1912</v>
      </c>
      <c r="H11226" t="s">
        <v>432</v>
      </c>
    </row>
    <row r="11227" spans="1:8" hidden="1" x14ac:dyDescent="0.25">
      <c r="A11227" t="s">
        <v>14887</v>
      </c>
      <c r="B11227" s="1" t="str">
        <f>HYPERLINK("https://asmlis.vasa.lt/Dashboard/Served?ServiceDateFrom=2025-11-24&amp;ServiceDateTo=2025-11-24&amp;DumpsterInvNr=13-P-105550", "13-P-105550")</f>
        <v>13-P-105550</v>
      </c>
      <c r="C11227">
        <v>1.1000000000000001</v>
      </c>
      <c r="D11227" t="s">
        <v>10535</v>
      </c>
      <c r="E11227" t="s">
        <v>11</v>
      </c>
      <c r="G11227" t="s">
        <v>1917</v>
      </c>
      <c r="H11227" t="s">
        <v>432</v>
      </c>
    </row>
    <row r="11228" spans="1:8" hidden="1" x14ac:dyDescent="0.25">
      <c r="A11228" t="s">
        <v>14889</v>
      </c>
      <c r="B11228" s="1" t="str">
        <f>HYPERLINK("https://asmlis.vasa.lt/Dashboard/Served?ServiceDateFrom=2025-11-24&amp;ServiceDateTo=2025-11-24&amp;DumpsterInvNr=13-L-136220", "13-L-136220")</f>
        <v>13-L-136220</v>
      </c>
      <c r="C11228">
        <v>5</v>
      </c>
      <c r="D11228" t="s">
        <v>13910</v>
      </c>
      <c r="E11228" t="s">
        <v>11</v>
      </c>
      <c r="F11228" t="s">
        <v>13</v>
      </c>
      <c r="G11228" t="s">
        <v>1912</v>
      </c>
      <c r="H11228" t="s">
        <v>432</v>
      </c>
    </row>
    <row r="11229" spans="1:8" hidden="1" x14ac:dyDescent="0.25">
      <c r="A11229" t="s">
        <v>14891</v>
      </c>
      <c r="B11229" s="1" t="str">
        <f>HYPERLINK("https://asmlis.vasa.lt/Dashboard/Served?ServiceDateFrom=2025-11-24&amp;ServiceDateTo=2025-11-24&amp;DumpsterInvNr=13-L-143329", "13-L-143329")</f>
        <v>13-L-143329</v>
      </c>
      <c r="C11229">
        <v>5</v>
      </c>
      <c r="D11229" t="s">
        <v>14892</v>
      </c>
      <c r="E11229" t="s">
        <v>11</v>
      </c>
      <c r="F11229" t="s">
        <v>13</v>
      </c>
      <c r="G11229" t="s">
        <v>430</v>
      </c>
      <c r="H11229" t="s">
        <v>432</v>
      </c>
    </row>
    <row r="11230" spans="1:8" hidden="1" x14ac:dyDescent="0.25">
      <c r="A11230" t="s">
        <v>14893</v>
      </c>
      <c r="B11230" s="1" t="str">
        <f>HYPERLINK("https://asmlis.vasa.lt/Dashboard/Served?ServiceDateFrom=2025-11-24&amp;ServiceDateTo=2025-11-24&amp;DumpsterInvNr=13-L-316747", "13-L-316747")</f>
        <v>13-L-316747</v>
      </c>
      <c r="C11230">
        <v>0.77</v>
      </c>
      <c r="D11230" t="s">
        <v>14872</v>
      </c>
      <c r="E11230" t="s">
        <v>11</v>
      </c>
      <c r="G11230" t="s">
        <v>9</v>
      </c>
      <c r="H11230" t="s">
        <v>14</v>
      </c>
    </row>
    <row r="11231" spans="1:8" hidden="1" x14ac:dyDescent="0.25">
      <c r="A11231" t="s">
        <v>14894</v>
      </c>
      <c r="B11231" s="1" t="str">
        <f>HYPERLINK("https://asmlis.vasa.lt/Dashboard/Served?ServiceDateFrom=2025-11-24&amp;ServiceDateTo=2025-11-24&amp;DumpsterInvNr=13-S-207201", "13-S-207201")</f>
        <v>13-S-207201</v>
      </c>
      <c r="C11231">
        <v>0.12</v>
      </c>
      <c r="D11231" t="s">
        <v>13983</v>
      </c>
      <c r="E11231" t="s">
        <v>11</v>
      </c>
      <c r="G11231" t="s">
        <v>234</v>
      </c>
      <c r="H11231" t="s">
        <v>14</v>
      </c>
    </row>
    <row r="11232" spans="1:8" hidden="1" x14ac:dyDescent="0.25">
      <c r="A11232" t="s">
        <v>14895</v>
      </c>
      <c r="B11232" s="1" t="str">
        <f>HYPERLINK("https://asmlis.vasa.lt/Dashboard/Served?ServiceDateFrom=2025-11-24&amp;ServiceDateTo=2025-11-24&amp;DumpsterInvNr=13-L-210220", "13-L-210220")</f>
        <v>13-L-210220</v>
      </c>
      <c r="C11232">
        <v>0.12</v>
      </c>
      <c r="D11232" t="s">
        <v>14896</v>
      </c>
      <c r="E11232" t="s">
        <v>11</v>
      </c>
      <c r="F11232" t="s">
        <v>13</v>
      </c>
      <c r="G11232" t="s">
        <v>936</v>
      </c>
      <c r="H11232" t="s">
        <v>938</v>
      </c>
    </row>
    <row r="11233" spans="1:8" hidden="1" x14ac:dyDescent="0.25">
      <c r="A11233" t="s">
        <v>14897</v>
      </c>
      <c r="B11233" s="1" t="str">
        <f>HYPERLINK("https://asmlis.vasa.lt/Dashboard/Served?ServiceDateFrom=2025-11-24&amp;ServiceDateTo=2025-11-24&amp;DumpsterInvNr=13-L-221815", "13-L-221815")</f>
        <v>13-L-221815</v>
      </c>
      <c r="C11233">
        <v>0.24</v>
      </c>
      <c r="D11233" t="s">
        <v>14899</v>
      </c>
      <c r="E11233" t="s">
        <v>11</v>
      </c>
      <c r="F11233" t="s">
        <v>13</v>
      </c>
      <c r="G11233" t="s">
        <v>936</v>
      </c>
      <c r="H11233" t="s">
        <v>938</v>
      </c>
    </row>
    <row r="11234" spans="1:8" hidden="1" x14ac:dyDescent="0.25">
      <c r="A11234" t="s">
        <v>14900</v>
      </c>
      <c r="B11234" s="1" t="str">
        <f>HYPERLINK("https://asmlis.vasa.lt/Dashboard/Served?ServiceDateFrom=2025-11-24&amp;ServiceDateTo=2025-11-24&amp;DumpsterInvNr=13-L-107479", "13-L-107479")</f>
        <v>13-L-107479</v>
      </c>
      <c r="C11234">
        <v>1.1000000000000001</v>
      </c>
      <c r="D11234" t="s">
        <v>14740</v>
      </c>
      <c r="E11234" t="s">
        <v>11</v>
      </c>
      <c r="G11234" t="s">
        <v>1912</v>
      </c>
      <c r="H11234" t="s">
        <v>432</v>
      </c>
    </row>
    <row r="11235" spans="1:8" hidden="1" x14ac:dyDescent="0.25">
      <c r="A11235" t="s">
        <v>14901</v>
      </c>
      <c r="B11235" s="1" t="str">
        <f>HYPERLINK("https://asmlis.vasa.lt/Dashboard/Served?ServiceDateFrom=2025-11-24&amp;ServiceDateTo=2025-11-24&amp;DumpsterInvNr=13-L-420918", "13-L-420918")</f>
        <v>13-L-420918</v>
      </c>
      <c r="C11235">
        <v>5</v>
      </c>
      <c r="D11235" t="s">
        <v>14902</v>
      </c>
      <c r="E11235" t="s">
        <v>11</v>
      </c>
      <c r="F11235" t="s">
        <v>13</v>
      </c>
      <c r="G11235" t="s">
        <v>74</v>
      </c>
      <c r="H11235" t="s">
        <v>14</v>
      </c>
    </row>
    <row r="11236" spans="1:8" hidden="1" x14ac:dyDescent="0.25">
      <c r="A11236" t="s">
        <v>14903</v>
      </c>
      <c r="B11236" s="1" t="str">
        <f>HYPERLINK("https://asmlis.vasa.lt/Dashboard/Served?ServiceDateFrom=2025-11-24&amp;ServiceDateTo=2025-11-24&amp;DumpsterInvNr=13-L-109820", "13-L-109820")</f>
        <v>13-L-109820</v>
      </c>
      <c r="C11236">
        <v>0.24</v>
      </c>
      <c r="D11236" t="s">
        <v>14904</v>
      </c>
      <c r="E11236" t="s">
        <v>11</v>
      </c>
      <c r="G11236" t="s">
        <v>430</v>
      </c>
      <c r="H11236" t="s">
        <v>432</v>
      </c>
    </row>
    <row r="11237" spans="1:8" hidden="1" x14ac:dyDescent="0.25">
      <c r="A11237" t="s">
        <v>14903</v>
      </c>
      <c r="B11237" s="1" t="str">
        <f>HYPERLINK("https://asmlis.vasa.lt/Dashboard/Served?ServiceDateFrom=2025-11-24&amp;ServiceDateTo=2025-11-24&amp;DumpsterInvNr=13-L-317985", "13-L-317985")</f>
        <v>13-L-317985</v>
      </c>
      <c r="C11237">
        <v>1.1000000000000001</v>
      </c>
      <c r="D11237" t="s">
        <v>1275</v>
      </c>
      <c r="E11237" t="s">
        <v>11</v>
      </c>
      <c r="G11237" t="s">
        <v>9</v>
      </c>
      <c r="H11237" t="s">
        <v>14</v>
      </c>
    </row>
    <row r="11238" spans="1:8" hidden="1" x14ac:dyDescent="0.25">
      <c r="A11238" t="s">
        <v>14905</v>
      </c>
      <c r="B11238" s="1" t="str">
        <f>HYPERLINK("https://asmlis.vasa.lt/Dashboard/Served?ServiceDateFrom=2025-11-24&amp;ServiceDateTo=2025-11-24&amp;DumpsterInvNr=13-L-420108", "13-L-420108")</f>
        <v>13-L-420108</v>
      </c>
      <c r="C11238">
        <v>5</v>
      </c>
      <c r="D11238" t="s">
        <v>14906</v>
      </c>
      <c r="E11238" t="s">
        <v>11</v>
      </c>
      <c r="F11238" t="s">
        <v>13</v>
      </c>
      <c r="G11238" t="s">
        <v>74</v>
      </c>
      <c r="H11238" t="s">
        <v>14</v>
      </c>
    </row>
    <row r="11239" spans="1:8" hidden="1" x14ac:dyDescent="0.25">
      <c r="A11239" t="s">
        <v>14907</v>
      </c>
      <c r="B11239" s="1" t="str">
        <f>HYPERLINK("https://asmlis.vasa.lt/Dashboard/Served?ServiceDateFrom=2025-11-24&amp;ServiceDateTo=2025-11-24&amp;DumpsterInvNr=13-P-505059", "13-P-505059")</f>
        <v>13-P-505059</v>
      </c>
      <c r="C11239">
        <v>0.12</v>
      </c>
      <c r="D11239" t="s">
        <v>14904</v>
      </c>
      <c r="E11239" t="s">
        <v>11</v>
      </c>
      <c r="G11239" t="s">
        <v>2178</v>
      </c>
      <c r="H11239" t="s">
        <v>432</v>
      </c>
    </row>
    <row r="11240" spans="1:8" hidden="1" x14ac:dyDescent="0.25">
      <c r="A11240" t="s">
        <v>14908</v>
      </c>
      <c r="B11240" s="1" t="str">
        <f>HYPERLINK("https://asmlis.vasa.lt/Dashboard/Served?ServiceDateFrom=2025-11-24&amp;ServiceDateTo=2025-11-24&amp;DumpsterInvNr=13-S-505642", "13-S-505642")</f>
        <v>13-S-505642</v>
      </c>
      <c r="C11240">
        <v>0.12</v>
      </c>
      <c r="D11240" t="s">
        <v>14904</v>
      </c>
      <c r="E11240" t="s">
        <v>11</v>
      </c>
      <c r="G11240" t="s">
        <v>2178</v>
      </c>
      <c r="H11240" t="s">
        <v>432</v>
      </c>
    </row>
    <row r="11241" spans="1:8" hidden="1" x14ac:dyDescent="0.25">
      <c r="A11241" t="s">
        <v>14910</v>
      </c>
      <c r="B11241" s="1" t="str">
        <f>HYPERLINK("https://asmlis.vasa.lt/Dashboard/Served?ServiceDateFrom=2025-11-24&amp;ServiceDateTo=2025-11-24&amp;DumpsterInvNr=13-P-205194", "13-P-205194")</f>
        <v>13-P-205194</v>
      </c>
      <c r="C11241">
        <v>0.24</v>
      </c>
      <c r="D11241" t="s">
        <v>13983</v>
      </c>
      <c r="E11241" t="s">
        <v>11</v>
      </c>
      <c r="G11241" t="s">
        <v>234</v>
      </c>
      <c r="H11241" t="s">
        <v>14</v>
      </c>
    </row>
    <row r="11242" spans="1:8" hidden="1" x14ac:dyDescent="0.25">
      <c r="A11242" t="s">
        <v>14911</v>
      </c>
      <c r="B11242" s="1" t="str">
        <f>HYPERLINK("https://asmlis.vasa.lt/Dashboard/Served?ServiceDateFrom=2025-11-24&amp;ServiceDateTo=2025-11-24&amp;DumpsterInvNr=13-L-420206", "13-L-420206")</f>
        <v>13-L-420206</v>
      </c>
      <c r="C11242">
        <v>5</v>
      </c>
      <c r="D11242" t="s">
        <v>14912</v>
      </c>
      <c r="E11242" t="s">
        <v>11</v>
      </c>
      <c r="F11242" t="s">
        <v>13</v>
      </c>
      <c r="G11242" t="s">
        <v>74</v>
      </c>
      <c r="H11242" t="s">
        <v>14</v>
      </c>
    </row>
    <row r="11243" spans="1:8" hidden="1" x14ac:dyDescent="0.25">
      <c r="A11243" t="s">
        <v>14913</v>
      </c>
      <c r="B11243" s="1" t="str">
        <f>HYPERLINK("https://asmlis.vasa.lt/Dashboard/Served?ServiceDateFrom=2025-11-24&amp;ServiceDateTo=2025-11-24&amp;DumpsterInvNr=13-P-204253", "13-P-204253")</f>
        <v>13-P-204253</v>
      </c>
      <c r="C11243">
        <v>0.24</v>
      </c>
      <c r="D11243" t="s">
        <v>13973</v>
      </c>
      <c r="E11243" t="s">
        <v>11</v>
      </c>
      <c r="G11243" t="s">
        <v>234</v>
      </c>
      <c r="H11243" t="s">
        <v>14</v>
      </c>
    </row>
    <row r="11244" spans="1:8" hidden="1" x14ac:dyDescent="0.25">
      <c r="A11244" t="s">
        <v>14914</v>
      </c>
      <c r="B11244" s="1" t="str">
        <f>HYPERLINK("https://asmlis.vasa.lt/Dashboard/Served?ServiceDateFrom=2025-11-24&amp;ServiceDateTo=2025-11-24&amp;DumpsterInvNr=13-L-318950", "13-L-318950")</f>
        <v>13-L-318950</v>
      </c>
      <c r="C11244">
        <v>0.77</v>
      </c>
      <c r="D11244" t="s">
        <v>14872</v>
      </c>
      <c r="E11244" t="s">
        <v>11</v>
      </c>
      <c r="F11244" t="s">
        <v>13</v>
      </c>
      <c r="G11244" t="s">
        <v>9</v>
      </c>
      <c r="H11244" t="s">
        <v>14</v>
      </c>
    </row>
    <row r="11245" spans="1:8" hidden="1" x14ac:dyDescent="0.25">
      <c r="A11245" t="s">
        <v>14915</v>
      </c>
      <c r="B11245" s="1" t="str">
        <f>HYPERLINK("https://asmlis.vasa.lt/Dashboard/Served?ServiceDateFrom=2025-11-24&amp;ServiceDateTo=2025-11-24&amp;DumpsterInvNr=13-L-209093", "13-L-209093")</f>
        <v>13-L-209093</v>
      </c>
      <c r="C11245">
        <v>0.12</v>
      </c>
      <c r="D11245" t="s">
        <v>14916</v>
      </c>
      <c r="E11245" t="s">
        <v>11</v>
      </c>
      <c r="G11245" t="s">
        <v>936</v>
      </c>
      <c r="H11245" t="s">
        <v>938</v>
      </c>
    </row>
    <row r="11246" spans="1:8" hidden="1" x14ac:dyDescent="0.25">
      <c r="A11246" t="s">
        <v>14917</v>
      </c>
      <c r="B11246" s="1" t="str">
        <f>HYPERLINK("https://asmlis.vasa.lt/Dashboard/Served?ServiceDateFrom=2025-11-24&amp;ServiceDateTo=2025-11-24&amp;DumpsterInvNr=13-L-316483", "13-L-316483")</f>
        <v>13-L-316483</v>
      </c>
      <c r="C11246">
        <v>0.77</v>
      </c>
      <c r="D11246" t="s">
        <v>14872</v>
      </c>
      <c r="E11246" t="s">
        <v>11</v>
      </c>
      <c r="F11246" t="s">
        <v>13</v>
      </c>
      <c r="G11246" t="s">
        <v>9</v>
      </c>
      <c r="H11246" t="s">
        <v>14</v>
      </c>
    </row>
    <row r="11247" spans="1:8" hidden="1" x14ac:dyDescent="0.25">
      <c r="A11247" t="s">
        <v>14918</v>
      </c>
      <c r="B11247" s="1" t="str">
        <f>HYPERLINK("https://asmlis.vasa.lt/Dashboard/Served?ServiceDateFrom=2025-11-24&amp;ServiceDateTo=2025-11-24&amp;DumpsterInvNr=13-S-205001", "13-S-205001")</f>
        <v>13-S-205001</v>
      </c>
      <c r="C11247">
        <v>0.12</v>
      </c>
      <c r="D11247" t="s">
        <v>13973</v>
      </c>
      <c r="E11247" t="s">
        <v>11</v>
      </c>
      <c r="G11247" t="s">
        <v>234</v>
      </c>
      <c r="H11247" t="s">
        <v>14</v>
      </c>
    </row>
    <row r="11248" spans="1:8" hidden="1" x14ac:dyDescent="0.25">
      <c r="A11248" t="s">
        <v>14919</v>
      </c>
      <c r="B11248" s="1" t="str">
        <f>HYPERLINK("https://asmlis.vasa.lt/Dashboard/Served?ServiceDateFrom=2025-11-24&amp;ServiceDateTo=2025-11-24&amp;DumpsterInvNr=13-L-144502", "13-L-144502")</f>
        <v>13-L-144502</v>
      </c>
      <c r="C11248">
        <v>5</v>
      </c>
      <c r="D11248" t="s">
        <v>13643</v>
      </c>
      <c r="E11248" t="s">
        <v>11</v>
      </c>
      <c r="F11248" t="s">
        <v>13</v>
      </c>
      <c r="G11248" t="s">
        <v>430</v>
      </c>
      <c r="H11248" t="s">
        <v>432</v>
      </c>
    </row>
    <row r="11249" spans="1:8" hidden="1" x14ac:dyDescent="0.25">
      <c r="A11249" t="s">
        <v>14921</v>
      </c>
      <c r="B11249" s="1" t="str">
        <f>HYPERLINK("https://asmlis.vasa.lt/Dashboard/Served?ServiceDateFrom=2025-11-24&amp;ServiceDateTo=2025-11-24&amp;DumpsterInvNr=13-P-501927", "13-P-501927")</f>
        <v>13-P-501927</v>
      </c>
      <c r="C11249">
        <v>0.24</v>
      </c>
      <c r="D11249" t="s">
        <v>14922</v>
      </c>
      <c r="E11249" t="s">
        <v>11</v>
      </c>
      <c r="G11249" t="s">
        <v>2178</v>
      </c>
      <c r="H11249" t="s">
        <v>432</v>
      </c>
    </row>
    <row r="11250" spans="1:8" hidden="1" x14ac:dyDescent="0.25">
      <c r="A11250" t="s">
        <v>14923</v>
      </c>
      <c r="B11250" s="1" t="str">
        <f>HYPERLINK("https://asmlis.vasa.lt/Dashboard/Served?ServiceDateFrom=2025-11-24&amp;ServiceDateTo=2025-11-24&amp;DumpsterInvNr=13-S-503494", "13-S-503494")</f>
        <v>13-S-503494</v>
      </c>
      <c r="C11250">
        <v>0.12</v>
      </c>
      <c r="D11250" t="s">
        <v>14924</v>
      </c>
      <c r="E11250" t="s">
        <v>11</v>
      </c>
      <c r="G11250" t="s">
        <v>2178</v>
      </c>
      <c r="H11250" t="s">
        <v>432</v>
      </c>
    </row>
    <row r="11251" spans="1:8" hidden="1" x14ac:dyDescent="0.25">
      <c r="A11251" t="s">
        <v>14923</v>
      </c>
      <c r="B11251" s="1" t="str">
        <f>HYPERLINK("https://asmlis.vasa.lt/Dashboard/Served?ServiceDateFrom=2025-11-24&amp;ServiceDateTo=2025-11-24&amp;DumpsterInvNr=13-P-502790", "13-P-502790")</f>
        <v>13-P-502790</v>
      </c>
      <c r="C11251">
        <v>0.24</v>
      </c>
      <c r="D11251" t="s">
        <v>14925</v>
      </c>
      <c r="E11251" t="s">
        <v>11</v>
      </c>
      <c r="G11251" t="s">
        <v>2178</v>
      </c>
      <c r="H11251" t="s">
        <v>432</v>
      </c>
    </row>
    <row r="11252" spans="1:8" hidden="1" x14ac:dyDescent="0.25">
      <c r="A11252" t="s">
        <v>14926</v>
      </c>
      <c r="B11252" s="1" t="str">
        <f>HYPERLINK("https://asmlis.vasa.lt/Dashboard/Served?ServiceDateFrom=2025-11-24&amp;ServiceDateTo=2025-11-24&amp;DumpsterInvNr=13-L-301922", "13-L-301922")</f>
        <v>13-L-301922</v>
      </c>
      <c r="C11252">
        <v>0.24</v>
      </c>
      <c r="D11252" t="s">
        <v>14927</v>
      </c>
      <c r="E11252" t="s">
        <v>11</v>
      </c>
      <c r="G11252" t="s">
        <v>9</v>
      </c>
      <c r="H11252" t="s">
        <v>14</v>
      </c>
    </row>
    <row r="11253" spans="1:8" hidden="1" x14ac:dyDescent="0.25">
      <c r="A11253" t="s">
        <v>14926</v>
      </c>
      <c r="B11253" s="1" t="str">
        <f>HYPERLINK("https://asmlis.vasa.lt/Dashboard/Served?ServiceDateFrom=2025-11-24&amp;ServiceDateTo=2025-11-24&amp;DumpsterInvNr=13-L-315114", "13-L-315114")</f>
        <v>13-L-315114</v>
      </c>
      <c r="C11253">
        <v>0.24</v>
      </c>
      <c r="D11253" t="s">
        <v>14928</v>
      </c>
      <c r="E11253" t="s">
        <v>11</v>
      </c>
      <c r="G11253" t="s">
        <v>9</v>
      </c>
      <c r="H11253" t="s">
        <v>14</v>
      </c>
    </row>
    <row r="11254" spans="1:8" hidden="1" x14ac:dyDescent="0.25">
      <c r="A11254" t="s">
        <v>14929</v>
      </c>
      <c r="B11254" s="1" t="str">
        <f>HYPERLINK("https://asmlis.vasa.lt/Dashboard/Served?ServiceDateFrom=2025-11-24&amp;ServiceDateTo=2025-11-24&amp;DumpsterInvNr=13-P-302638", "13-P-302638")</f>
        <v>13-P-302638</v>
      </c>
      <c r="C11254">
        <v>5</v>
      </c>
      <c r="D11254" t="s">
        <v>5822</v>
      </c>
      <c r="E11254" t="s">
        <v>11</v>
      </c>
      <c r="G11254" t="s">
        <v>412</v>
      </c>
      <c r="H11254" t="s">
        <v>14</v>
      </c>
    </row>
    <row r="11255" spans="1:8" hidden="1" x14ac:dyDescent="0.25">
      <c r="A11255" t="s">
        <v>14930</v>
      </c>
      <c r="B11255" s="1" t="str">
        <f>HYPERLINK("https://asmlis.vasa.lt/Dashboard/Served?ServiceDateFrom=2025-11-24&amp;ServiceDateTo=2025-11-24&amp;DumpsterInvNr=13-L-223211", "13-L-223211")</f>
        <v>13-L-223211</v>
      </c>
      <c r="C11255">
        <v>5</v>
      </c>
      <c r="D11255" t="s">
        <v>8825</v>
      </c>
      <c r="E11255" t="s">
        <v>11</v>
      </c>
      <c r="G11255" t="s">
        <v>936</v>
      </c>
      <c r="H11255" t="s">
        <v>938</v>
      </c>
    </row>
    <row r="11256" spans="1:8" hidden="1" x14ac:dyDescent="0.25">
      <c r="A11256" t="s">
        <v>14932</v>
      </c>
      <c r="B11256" s="1" t="str">
        <f>HYPERLINK("https://asmlis.vasa.lt/Dashboard/Served?ServiceDateFrom=2025-11-24&amp;ServiceDateTo=2025-11-24&amp;DumpsterInvNr=13-P-505069", "13-P-505069")</f>
        <v>13-P-505069</v>
      </c>
      <c r="C11256">
        <v>0.24</v>
      </c>
      <c r="D11256" t="s">
        <v>14933</v>
      </c>
      <c r="E11256" t="s">
        <v>11</v>
      </c>
      <c r="G11256" t="s">
        <v>2178</v>
      </c>
      <c r="H11256" t="s">
        <v>432</v>
      </c>
    </row>
    <row r="11257" spans="1:8" hidden="1" x14ac:dyDescent="0.25">
      <c r="A11257" t="s">
        <v>14934</v>
      </c>
      <c r="B11257" s="1" t="str">
        <f>HYPERLINK("https://asmlis.vasa.lt/Dashboard/Served?ServiceDateFrom=2025-11-24&amp;ServiceDateTo=2025-11-24&amp;DumpsterInvNr=13-L-214085", "13-L-214085")</f>
        <v>13-L-214085</v>
      </c>
      <c r="C11257">
        <v>1.1000000000000001</v>
      </c>
      <c r="D11257" t="s">
        <v>14935</v>
      </c>
      <c r="E11257" t="s">
        <v>11</v>
      </c>
      <c r="G11257" t="s">
        <v>936</v>
      </c>
      <c r="H11257" t="s">
        <v>938</v>
      </c>
    </row>
    <row r="11258" spans="1:8" hidden="1" x14ac:dyDescent="0.25">
      <c r="A11258" t="s">
        <v>14936</v>
      </c>
      <c r="B11258" s="1" t="str">
        <f>HYPERLINK("https://asmlis.vasa.lt/Dashboard/Served?ServiceDateFrom=2025-11-24&amp;ServiceDateTo=2025-11-24&amp;DumpsterInvNr=13-P-102396", "13-P-102396")</f>
        <v>13-P-102396</v>
      </c>
      <c r="C11258">
        <v>5</v>
      </c>
      <c r="D11258" t="s">
        <v>14937</v>
      </c>
      <c r="E11258" t="s">
        <v>11</v>
      </c>
      <c r="F11258" t="s">
        <v>13</v>
      </c>
      <c r="G11258" t="s">
        <v>1917</v>
      </c>
      <c r="H11258" t="s">
        <v>432</v>
      </c>
    </row>
    <row r="11259" spans="1:8" hidden="1" x14ac:dyDescent="0.25">
      <c r="A11259" t="s">
        <v>14938</v>
      </c>
      <c r="B11259" s="1" t="str">
        <f>HYPERLINK("https://asmlis.vasa.lt/Dashboard/Served?ServiceDateFrom=2025-11-24&amp;ServiceDateTo=2025-11-24&amp;DumpsterInvNr=13-L-420109", "13-L-420109")</f>
        <v>13-L-420109</v>
      </c>
      <c r="C11259">
        <v>5</v>
      </c>
      <c r="D11259" t="s">
        <v>14939</v>
      </c>
      <c r="E11259" t="s">
        <v>11</v>
      </c>
      <c r="F11259" t="s">
        <v>13</v>
      </c>
      <c r="G11259" t="s">
        <v>74</v>
      </c>
      <c r="H11259" t="s">
        <v>14</v>
      </c>
    </row>
    <row r="11260" spans="1:8" hidden="1" x14ac:dyDescent="0.25">
      <c r="A11260" t="s">
        <v>14940</v>
      </c>
      <c r="B11260" s="1" t="str">
        <f>HYPERLINK("https://asmlis.vasa.lt/Dashboard/Served?ServiceDateFrom=2025-11-24&amp;ServiceDateTo=2025-11-24&amp;DumpsterInvNr=13-L-123359", "13-L-123359")</f>
        <v>13-L-123359</v>
      </c>
      <c r="C11260">
        <v>0.12</v>
      </c>
      <c r="D11260" t="s">
        <v>14922</v>
      </c>
      <c r="E11260" t="s">
        <v>11</v>
      </c>
      <c r="G11260" t="s">
        <v>430</v>
      </c>
      <c r="H11260" t="s">
        <v>432</v>
      </c>
    </row>
    <row r="11261" spans="1:8" hidden="1" x14ac:dyDescent="0.25">
      <c r="A11261" t="s">
        <v>14942</v>
      </c>
      <c r="B11261" s="1" t="str">
        <f>HYPERLINK("https://asmlis.vasa.lt/Dashboard/Served?ServiceDateFrom=2025-11-24&amp;ServiceDateTo=2025-11-24&amp;DumpsterInvNr=13-L-123357", "13-L-123357")</f>
        <v>13-L-123357</v>
      </c>
      <c r="C11261">
        <v>0.24</v>
      </c>
      <c r="D11261" t="s">
        <v>14922</v>
      </c>
      <c r="E11261" t="s">
        <v>11</v>
      </c>
      <c r="G11261" t="s">
        <v>430</v>
      </c>
      <c r="H11261" t="s">
        <v>432</v>
      </c>
    </row>
    <row r="11262" spans="1:8" hidden="1" x14ac:dyDescent="0.25">
      <c r="A11262" t="s">
        <v>14943</v>
      </c>
      <c r="B11262" s="1" t="str">
        <f>HYPERLINK("https://asmlis.vasa.lt/Dashboard/Served?ServiceDateFrom=2025-11-24&amp;ServiceDateTo=2025-11-24&amp;DumpsterInvNr=13-P-400490", "13-P-400490")</f>
        <v>13-P-400490</v>
      </c>
      <c r="C11262">
        <v>5</v>
      </c>
      <c r="D11262" t="s">
        <v>6177</v>
      </c>
      <c r="E11262" t="s">
        <v>11</v>
      </c>
      <c r="F11262" t="s">
        <v>13</v>
      </c>
      <c r="G11262" t="s">
        <v>264</v>
      </c>
      <c r="H11262" t="s">
        <v>14</v>
      </c>
    </row>
    <row r="11263" spans="1:8" hidden="1" x14ac:dyDescent="0.25">
      <c r="A11263" t="s">
        <v>14944</v>
      </c>
      <c r="B11263" s="1" t="str">
        <f>HYPERLINK("https://asmlis.vasa.lt/Dashboard/Served?ServiceDateFrom=2025-11-24&amp;ServiceDateTo=2025-11-24&amp;DumpsterInvNr=13-L-209861", "13-L-209861")</f>
        <v>13-L-209861</v>
      </c>
      <c r="C11263">
        <v>0.12</v>
      </c>
      <c r="D11263" t="s">
        <v>14945</v>
      </c>
      <c r="E11263" t="s">
        <v>11</v>
      </c>
      <c r="F11263" t="s">
        <v>1209</v>
      </c>
      <c r="G11263" t="s">
        <v>936</v>
      </c>
      <c r="H11263" t="s">
        <v>938</v>
      </c>
    </row>
    <row r="11264" spans="1:8" hidden="1" x14ac:dyDescent="0.25">
      <c r="A11264" t="s">
        <v>14946</v>
      </c>
      <c r="B11264" s="1" t="str">
        <f>HYPERLINK("https://asmlis.vasa.lt/Dashboard/Served?ServiceDateFrom=2025-11-24&amp;ServiceDateTo=2025-11-24&amp;DumpsterInvNr=13-L-123356", "13-L-123356")</f>
        <v>13-L-123356</v>
      </c>
      <c r="C11264">
        <v>0.24</v>
      </c>
      <c r="D11264" t="s">
        <v>14924</v>
      </c>
      <c r="E11264" t="s">
        <v>11</v>
      </c>
      <c r="G11264" t="s">
        <v>430</v>
      </c>
      <c r="H11264" t="s">
        <v>432</v>
      </c>
    </row>
    <row r="11265" spans="1:8" hidden="1" x14ac:dyDescent="0.25">
      <c r="A11265" t="s">
        <v>14947</v>
      </c>
      <c r="B11265" s="1" t="str">
        <f>HYPERLINK("https://asmlis.vasa.lt/Dashboard/Served?ServiceDateFrom=2025-11-24&amp;ServiceDateTo=2025-11-24&amp;DumpsterInvNr=13-P-204344", "13-P-204344")</f>
        <v>13-P-204344</v>
      </c>
      <c r="C11265">
        <v>0.24</v>
      </c>
      <c r="D11265" t="s">
        <v>14013</v>
      </c>
      <c r="E11265" t="s">
        <v>11</v>
      </c>
      <c r="G11265" t="s">
        <v>234</v>
      </c>
      <c r="H11265" t="s">
        <v>14</v>
      </c>
    </row>
    <row r="11266" spans="1:8" hidden="1" x14ac:dyDescent="0.25">
      <c r="A11266" t="s">
        <v>14948</v>
      </c>
      <c r="B11266" s="1" t="str">
        <f>HYPERLINK("https://asmlis.vasa.lt/Dashboard/Served?ServiceDateFrom=2025-11-24&amp;ServiceDateTo=2025-11-24&amp;DumpsterInvNr=13-P-502794", "13-P-502794")</f>
        <v>13-P-502794</v>
      </c>
      <c r="C11266">
        <v>0.24</v>
      </c>
      <c r="D11266" t="s">
        <v>14922</v>
      </c>
      <c r="E11266" t="s">
        <v>11</v>
      </c>
      <c r="G11266" t="s">
        <v>2178</v>
      </c>
      <c r="H11266" t="s">
        <v>432</v>
      </c>
    </row>
    <row r="11267" spans="1:8" hidden="1" x14ac:dyDescent="0.25">
      <c r="A11267" t="s">
        <v>14950</v>
      </c>
      <c r="B11267" s="1" t="str">
        <f>HYPERLINK("https://asmlis.vasa.lt/Dashboard/Served?ServiceDateFrom=2025-11-24&amp;ServiceDateTo=2025-11-24&amp;DumpsterInvNr=13-L-220459", "13-L-220459")</f>
        <v>13-L-220459</v>
      </c>
      <c r="C11267">
        <v>1.1000000000000001</v>
      </c>
      <c r="D11267" t="s">
        <v>14935</v>
      </c>
      <c r="E11267" t="s">
        <v>11</v>
      </c>
      <c r="G11267" t="s">
        <v>936</v>
      </c>
      <c r="H11267" t="s">
        <v>938</v>
      </c>
    </row>
    <row r="11268" spans="1:8" hidden="1" x14ac:dyDescent="0.25">
      <c r="A11268" t="s">
        <v>14951</v>
      </c>
      <c r="B11268" s="1" t="str">
        <f>HYPERLINK("https://asmlis.vasa.lt/Dashboard/Served?ServiceDateFrom=2025-11-24&amp;ServiceDateTo=2025-11-24&amp;DumpsterInvNr=13-P-501897", "13-P-501897")</f>
        <v>13-P-501897</v>
      </c>
      <c r="C11268">
        <v>2.5</v>
      </c>
      <c r="D11268" t="s">
        <v>14952</v>
      </c>
      <c r="E11268" t="s">
        <v>11</v>
      </c>
      <c r="F11268" t="s">
        <v>13</v>
      </c>
      <c r="G11268" t="s">
        <v>2178</v>
      </c>
      <c r="H11268" t="s">
        <v>432</v>
      </c>
    </row>
    <row r="11269" spans="1:8" hidden="1" x14ac:dyDescent="0.25">
      <c r="A11269" t="s">
        <v>14953</v>
      </c>
      <c r="B11269" s="1" t="str">
        <f>HYPERLINK("https://asmlis.vasa.lt/Dashboard/Served?ServiceDateFrom=2025-11-24&amp;ServiceDateTo=2025-11-24&amp;DumpsterInvNr=13-L-123358", "13-L-123358")</f>
        <v>13-L-123358</v>
      </c>
      <c r="C11269">
        <v>0.24</v>
      </c>
      <c r="D11269" t="s">
        <v>14925</v>
      </c>
      <c r="E11269" t="s">
        <v>11</v>
      </c>
      <c r="G11269" t="s">
        <v>430</v>
      </c>
      <c r="H11269" t="s">
        <v>432</v>
      </c>
    </row>
    <row r="11270" spans="1:8" hidden="1" x14ac:dyDescent="0.25">
      <c r="A11270" t="s">
        <v>14955</v>
      </c>
      <c r="B11270" s="1" t="str">
        <f>HYPERLINK("https://asmlis.vasa.lt/Dashboard/Served?ServiceDateFrom=2025-11-24&amp;ServiceDateTo=2025-11-24&amp;DumpsterInvNr=13-P-213137", "13-P-213137")</f>
        <v>13-P-213137</v>
      </c>
      <c r="C11270">
        <v>1.1000000000000001</v>
      </c>
      <c r="D11270" t="s">
        <v>14956</v>
      </c>
      <c r="E11270" t="s">
        <v>11</v>
      </c>
      <c r="F11270" t="s">
        <v>13</v>
      </c>
      <c r="G11270" t="s">
        <v>234</v>
      </c>
      <c r="H11270" t="s">
        <v>14</v>
      </c>
    </row>
    <row r="11271" spans="1:8" hidden="1" x14ac:dyDescent="0.25">
      <c r="A11271" t="s">
        <v>14955</v>
      </c>
      <c r="B11271" s="1" t="str">
        <f>HYPERLINK("https://asmlis.vasa.lt/Dashboard/Served?ServiceDateFrom=2025-11-24&amp;ServiceDateTo=2025-11-24&amp;DumpsterInvNr=13-P-501896", "13-P-501896")</f>
        <v>13-P-501896</v>
      </c>
      <c r="C11271">
        <v>2.5</v>
      </c>
      <c r="D11271" t="s">
        <v>14952</v>
      </c>
      <c r="E11271" t="s">
        <v>11</v>
      </c>
      <c r="F11271" t="s">
        <v>13</v>
      </c>
      <c r="G11271" t="s">
        <v>2178</v>
      </c>
      <c r="H11271" t="s">
        <v>432</v>
      </c>
    </row>
    <row r="11272" spans="1:8" hidden="1" x14ac:dyDescent="0.25">
      <c r="A11272" t="s">
        <v>14957</v>
      </c>
      <c r="B11272" s="1" t="str">
        <f>HYPERLINK("https://asmlis.vasa.lt/Dashboard/Served?ServiceDateFrom=2025-11-24&amp;ServiceDateTo=2025-11-24&amp;DumpsterInvNr=13-L-123355", "13-L-123355")</f>
        <v>13-L-123355</v>
      </c>
      <c r="C11272">
        <v>0.12</v>
      </c>
      <c r="D11272" t="s">
        <v>14933</v>
      </c>
      <c r="E11272" t="s">
        <v>11</v>
      </c>
      <c r="G11272" t="s">
        <v>430</v>
      </c>
      <c r="H11272" t="s">
        <v>432</v>
      </c>
    </row>
    <row r="11273" spans="1:8" hidden="1" x14ac:dyDescent="0.25">
      <c r="A11273" t="s">
        <v>14957</v>
      </c>
      <c r="B11273" s="1" t="str">
        <f>HYPERLINK("https://asmlis.vasa.lt/Dashboard/Served?ServiceDateFrom=2025-11-24&amp;ServiceDateTo=2025-11-24&amp;DumpsterInvNr=13-T-000309", "13-T-000309")</f>
        <v>13-T-000309</v>
      </c>
      <c r="C11273">
        <v>2.5</v>
      </c>
      <c r="D11273" t="s">
        <v>11411</v>
      </c>
      <c r="E11273" t="s">
        <v>11</v>
      </c>
      <c r="F11273" t="s">
        <v>13</v>
      </c>
      <c r="G11273" t="s">
        <v>1899</v>
      </c>
      <c r="H11273" t="s">
        <v>432</v>
      </c>
    </row>
    <row r="11274" spans="1:8" hidden="1" x14ac:dyDescent="0.25">
      <c r="A11274" t="s">
        <v>14958</v>
      </c>
      <c r="B11274" s="1" t="str">
        <f>HYPERLINK("https://asmlis.vasa.lt/Dashboard/Served?ServiceDateFrom=2025-11-24&amp;ServiceDateTo=2025-11-24&amp;DumpsterInvNr=13-L-214084", "13-L-214084")</f>
        <v>13-L-214084</v>
      </c>
      <c r="C11274">
        <v>1.1000000000000001</v>
      </c>
      <c r="D11274" t="s">
        <v>14935</v>
      </c>
      <c r="E11274" t="s">
        <v>11</v>
      </c>
      <c r="G11274" t="s">
        <v>936</v>
      </c>
      <c r="H11274" t="s">
        <v>938</v>
      </c>
    </row>
    <row r="11275" spans="1:8" hidden="1" x14ac:dyDescent="0.25">
      <c r="A11275" t="s">
        <v>14958</v>
      </c>
      <c r="B11275" s="1" t="str">
        <f>HYPERLINK("https://asmlis.vasa.lt/Dashboard/Served?ServiceDateFrom=2025-11-24&amp;ServiceDateTo=2025-11-24&amp;DumpsterInvNr=13-P-409170", "13-P-409170")</f>
        <v>13-P-409170</v>
      </c>
      <c r="C11275">
        <v>1.1000000000000001</v>
      </c>
      <c r="D11275" t="s">
        <v>14766</v>
      </c>
      <c r="E11275" t="s">
        <v>11</v>
      </c>
      <c r="G11275" t="s">
        <v>264</v>
      </c>
      <c r="H11275" t="s">
        <v>14</v>
      </c>
    </row>
    <row r="11276" spans="1:8" hidden="1" x14ac:dyDescent="0.25">
      <c r="A11276" t="s">
        <v>14959</v>
      </c>
      <c r="B11276" s="1" t="str">
        <f>HYPERLINK("https://asmlis.vasa.lt/Dashboard/Served?ServiceDateFrom=2025-11-24&amp;ServiceDateTo=2025-11-24&amp;DumpsterInvNr=13-L-316309", "13-L-316309")</f>
        <v>13-L-316309</v>
      </c>
      <c r="C11276">
        <v>1.1000000000000001</v>
      </c>
      <c r="D11276" t="s">
        <v>14960</v>
      </c>
      <c r="E11276" t="s">
        <v>11</v>
      </c>
      <c r="G11276" t="s">
        <v>9</v>
      </c>
      <c r="H11276" t="s">
        <v>14</v>
      </c>
    </row>
    <row r="11277" spans="1:8" hidden="1" x14ac:dyDescent="0.25">
      <c r="A11277" t="s">
        <v>14961</v>
      </c>
      <c r="B11277" s="1" t="str">
        <f>HYPERLINK("https://asmlis.vasa.lt/Dashboard/Served?ServiceDateFrom=2025-11-24&amp;ServiceDateTo=2025-11-24&amp;DumpsterInvNr=13-P-212722", "13-P-212722")</f>
        <v>13-P-212722</v>
      </c>
      <c r="C11277">
        <v>0.24</v>
      </c>
      <c r="D11277" t="s">
        <v>14032</v>
      </c>
      <c r="E11277" t="s">
        <v>11</v>
      </c>
      <c r="G11277" t="s">
        <v>234</v>
      </c>
      <c r="H11277" t="s">
        <v>14</v>
      </c>
    </row>
    <row r="11278" spans="1:8" hidden="1" x14ac:dyDescent="0.25">
      <c r="A11278" t="s">
        <v>14961</v>
      </c>
      <c r="B11278" s="1" t="str">
        <f>HYPERLINK("https://asmlis.vasa.lt/Dashboard/Served?ServiceDateFrom=2025-11-24&amp;ServiceDateTo=2025-11-24&amp;DumpsterInvNr=13-L-134779", "13-L-134779")</f>
        <v>13-L-134779</v>
      </c>
      <c r="C11278">
        <v>5</v>
      </c>
      <c r="D11278" t="s">
        <v>14962</v>
      </c>
      <c r="E11278" t="s">
        <v>11</v>
      </c>
      <c r="F11278" t="s">
        <v>13</v>
      </c>
      <c r="G11278" t="s">
        <v>430</v>
      </c>
      <c r="H11278" t="s">
        <v>432</v>
      </c>
    </row>
    <row r="11279" spans="1:8" hidden="1" x14ac:dyDescent="0.25">
      <c r="A11279" t="s">
        <v>14961</v>
      </c>
      <c r="B11279" s="1" t="str">
        <f>HYPERLINK("https://asmlis.vasa.lt/Dashboard/Served?ServiceDateFrom=2025-11-24&amp;ServiceDateTo=2025-11-24&amp;DumpsterInvNr=13-T-000310", "13-T-000310")</f>
        <v>13-T-000310</v>
      </c>
      <c r="C11279">
        <v>2.5</v>
      </c>
      <c r="D11279" t="s">
        <v>11411</v>
      </c>
      <c r="E11279" t="s">
        <v>11</v>
      </c>
      <c r="F11279" t="s">
        <v>13</v>
      </c>
      <c r="G11279" t="s">
        <v>1899</v>
      </c>
      <c r="H11279" t="s">
        <v>432</v>
      </c>
    </row>
    <row r="11280" spans="1:8" hidden="1" x14ac:dyDescent="0.25">
      <c r="A11280" t="s">
        <v>14963</v>
      </c>
      <c r="B11280" s="1" t="str">
        <f>HYPERLINK("https://asmlis.vasa.lt/Dashboard/Served?ServiceDateFrom=2025-11-24&amp;ServiceDateTo=2025-11-24&amp;DumpsterInvNr=13-L-301920", "13-L-301920")</f>
        <v>13-L-301920</v>
      </c>
      <c r="C11280">
        <v>0.24</v>
      </c>
      <c r="D11280" t="s">
        <v>14964</v>
      </c>
      <c r="E11280" t="s">
        <v>11</v>
      </c>
      <c r="G11280" t="s">
        <v>9</v>
      </c>
      <c r="H11280" t="s">
        <v>14</v>
      </c>
    </row>
    <row r="11281" spans="1:8" hidden="1" x14ac:dyDescent="0.25">
      <c r="A11281" t="s">
        <v>14965</v>
      </c>
      <c r="B11281" s="1" t="str">
        <f>HYPERLINK("https://asmlis.vasa.lt/Dashboard/Served?ServiceDateFrom=2025-11-24&amp;ServiceDateTo=2025-11-24&amp;DumpsterInvNr=13-P-305425", "13-P-305425")</f>
        <v>13-P-305425</v>
      </c>
      <c r="C11281">
        <v>3</v>
      </c>
      <c r="D11281" t="s">
        <v>14966</v>
      </c>
      <c r="E11281" t="s">
        <v>11</v>
      </c>
      <c r="F11281" t="s">
        <v>13</v>
      </c>
      <c r="G11281" t="s">
        <v>412</v>
      </c>
      <c r="H11281" t="s">
        <v>14</v>
      </c>
    </row>
    <row r="11282" spans="1:8" hidden="1" x14ac:dyDescent="0.25">
      <c r="A11282" t="s">
        <v>14967</v>
      </c>
      <c r="B11282" s="1" t="str">
        <f>HYPERLINK("https://asmlis.vasa.lt/Dashboard/Served?ServiceDateFrom=2025-11-24&amp;ServiceDateTo=2025-11-24&amp;DumpsterInvNr=13-P-302314", "13-P-302314")</f>
        <v>13-P-302314</v>
      </c>
      <c r="C11282">
        <v>3</v>
      </c>
      <c r="D11282" t="s">
        <v>14966</v>
      </c>
      <c r="E11282" t="s">
        <v>11</v>
      </c>
      <c r="F11282" t="s">
        <v>13</v>
      </c>
      <c r="G11282" t="s">
        <v>412</v>
      </c>
      <c r="H11282" t="s">
        <v>14</v>
      </c>
    </row>
    <row r="11283" spans="1:8" hidden="1" x14ac:dyDescent="0.25">
      <c r="A11283" t="s">
        <v>14967</v>
      </c>
      <c r="B11283" s="1" t="str">
        <f>HYPERLINK("https://asmlis.vasa.lt/Dashboard/Served?ServiceDateFrom=2025-11-24&amp;ServiceDateTo=2025-11-24&amp;DumpsterInvNr=13-L-139668", "13-L-139668")</f>
        <v>13-L-139668</v>
      </c>
      <c r="C11283">
        <v>5</v>
      </c>
      <c r="D11283" t="s">
        <v>14010</v>
      </c>
      <c r="E11283" t="s">
        <v>11</v>
      </c>
      <c r="F11283" t="s">
        <v>13</v>
      </c>
      <c r="G11283" t="s">
        <v>1912</v>
      </c>
      <c r="H11283" t="s">
        <v>432</v>
      </c>
    </row>
    <row r="11284" spans="1:8" hidden="1" x14ac:dyDescent="0.25">
      <c r="A11284" t="s">
        <v>14967</v>
      </c>
      <c r="B11284" s="1" t="str">
        <f>HYPERLINK("https://asmlis.vasa.lt/Dashboard/Served?ServiceDateFrom=2025-11-24&amp;ServiceDateTo=2025-11-24&amp;DumpsterInvNr=13-P-501895", "13-P-501895")</f>
        <v>13-P-501895</v>
      </c>
      <c r="C11284">
        <v>5</v>
      </c>
      <c r="D11284" t="s">
        <v>14969</v>
      </c>
      <c r="E11284" t="s">
        <v>11</v>
      </c>
      <c r="F11284" t="s">
        <v>13</v>
      </c>
      <c r="G11284" t="s">
        <v>2178</v>
      </c>
      <c r="H11284" t="s">
        <v>432</v>
      </c>
    </row>
    <row r="11285" spans="1:8" hidden="1" x14ac:dyDescent="0.25">
      <c r="A11285" t="s">
        <v>14970</v>
      </c>
      <c r="B11285" s="1" t="str">
        <f>HYPERLINK("https://asmlis.vasa.lt/Dashboard/Served?ServiceDateFrom=2025-11-24&amp;ServiceDateTo=2025-11-24&amp;DumpsterInvNr=13-L-223210", "13-L-223210")</f>
        <v>13-L-223210</v>
      </c>
      <c r="C11285">
        <v>5</v>
      </c>
      <c r="D11285" t="s">
        <v>8825</v>
      </c>
      <c r="E11285" t="s">
        <v>11</v>
      </c>
      <c r="G11285" t="s">
        <v>936</v>
      </c>
      <c r="H11285" t="s">
        <v>938</v>
      </c>
    </row>
    <row r="11286" spans="1:8" hidden="1" x14ac:dyDescent="0.25">
      <c r="A11286" t="s">
        <v>14971</v>
      </c>
      <c r="B11286" s="1" t="str">
        <f>HYPERLINK("https://asmlis.vasa.lt/Dashboard/Served?ServiceDateFrom=2025-11-24&amp;ServiceDateTo=2025-11-24&amp;DumpsterInvNr=13-T-000377", "13-T-000377")</f>
        <v>13-T-000377</v>
      </c>
      <c r="C11286">
        <v>2.5</v>
      </c>
      <c r="D11286" t="s">
        <v>11411</v>
      </c>
      <c r="E11286" t="s">
        <v>11</v>
      </c>
      <c r="F11286" t="s">
        <v>13</v>
      </c>
      <c r="G11286" t="s">
        <v>1899</v>
      </c>
      <c r="H11286" t="s">
        <v>432</v>
      </c>
    </row>
    <row r="11287" spans="1:8" hidden="1" x14ac:dyDescent="0.25">
      <c r="A11287" t="s">
        <v>14972</v>
      </c>
      <c r="B11287" s="1" t="str">
        <f>HYPERLINK("https://asmlis.vasa.lt/Dashboard/Served?ServiceDateFrom=2025-11-24&amp;ServiceDateTo=2025-11-24&amp;DumpsterInvNr=13-L-421568", "13-L-421568")</f>
        <v>13-L-421568</v>
      </c>
      <c r="C11287">
        <v>5</v>
      </c>
      <c r="D11287" t="s">
        <v>14973</v>
      </c>
      <c r="E11287" t="s">
        <v>11</v>
      </c>
      <c r="F11287" t="s">
        <v>13</v>
      </c>
      <c r="G11287" t="s">
        <v>74</v>
      </c>
      <c r="H11287" t="s">
        <v>14</v>
      </c>
    </row>
    <row r="11288" spans="1:8" hidden="1" x14ac:dyDescent="0.25">
      <c r="A11288" t="s">
        <v>14739</v>
      </c>
      <c r="B11288" s="1" t="str">
        <f>HYPERLINK("https://asmlis.vasa.lt/Dashboard/Served?ServiceDateFrom=2025-11-24&amp;ServiceDateTo=2025-11-24&amp;DumpsterInvNr=13-P-205352", "13-P-205352")</f>
        <v>13-P-205352</v>
      </c>
      <c r="C11288">
        <v>0.24</v>
      </c>
      <c r="D11288" t="s">
        <v>14028</v>
      </c>
      <c r="E11288" t="s">
        <v>11</v>
      </c>
      <c r="G11288" t="s">
        <v>234</v>
      </c>
      <c r="H11288" t="s">
        <v>14</v>
      </c>
    </row>
    <row r="11289" spans="1:8" hidden="1" x14ac:dyDescent="0.25">
      <c r="A11289" t="s">
        <v>14931</v>
      </c>
      <c r="B11289" s="1" t="str">
        <f>HYPERLINK("https://asmlis.vasa.lt/Dashboard/Served?ServiceDateFrom=2025-11-24&amp;ServiceDateTo=2025-11-24&amp;DumpsterInvNr=13-S-207824", "13-S-207824")</f>
        <v>13-S-207824</v>
      </c>
      <c r="C11289">
        <v>3</v>
      </c>
      <c r="D11289" t="s">
        <v>14974</v>
      </c>
      <c r="E11289" t="s">
        <v>11</v>
      </c>
      <c r="G11289" t="s">
        <v>234</v>
      </c>
      <c r="H11289" t="s">
        <v>14</v>
      </c>
    </row>
    <row r="11290" spans="1:8" hidden="1" x14ac:dyDescent="0.25">
      <c r="A11290" t="s">
        <v>14975</v>
      </c>
      <c r="B11290" s="1" t="str">
        <f>HYPERLINK("https://asmlis.vasa.lt/Dashboard/Served?ServiceDateFrom=2025-11-24&amp;ServiceDateTo=2025-11-24&amp;DumpsterInvNr=13-L-147665", "13-L-147665")</f>
        <v>13-L-147665</v>
      </c>
      <c r="C11290">
        <v>0.24</v>
      </c>
      <c r="D11290" t="s">
        <v>14976</v>
      </c>
      <c r="E11290" t="s">
        <v>11</v>
      </c>
      <c r="G11290" t="s">
        <v>430</v>
      </c>
      <c r="H11290" t="s">
        <v>432</v>
      </c>
    </row>
    <row r="11291" spans="1:8" hidden="1" x14ac:dyDescent="0.25">
      <c r="A11291" t="s">
        <v>14977</v>
      </c>
      <c r="B11291" s="1" t="str">
        <f>HYPERLINK("https://asmlis.vasa.lt/Dashboard/Served?ServiceDateFrom=2025-11-24&amp;ServiceDateTo=2025-11-24&amp;DumpsterInvNr=13-P-502011", "13-P-502011")</f>
        <v>13-P-502011</v>
      </c>
      <c r="C11291">
        <v>0.24</v>
      </c>
      <c r="D11291" t="s">
        <v>14976</v>
      </c>
      <c r="E11291" t="s">
        <v>11</v>
      </c>
      <c r="G11291" t="s">
        <v>2178</v>
      </c>
      <c r="H11291" t="s">
        <v>432</v>
      </c>
    </row>
    <row r="11292" spans="1:8" hidden="1" x14ac:dyDescent="0.25">
      <c r="A11292" t="s">
        <v>14979</v>
      </c>
      <c r="B11292" s="1" t="str">
        <f>HYPERLINK("https://asmlis.vasa.lt/Dashboard/Served?ServiceDateFrom=2025-11-24&amp;ServiceDateTo=2025-11-24&amp;DumpsterInvNr=13-S-504494", "13-S-504494")</f>
        <v>13-S-504494</v>
      </c>
      <c r="C11292">
        <v>0.12</v>
      </c>
      <c r="D11292" t="s">
        <v>14922</v>
      </c>
      <c r="E11292" t="s">
        <v>11</v>
      </c>
      <c r="F11292" t="s">
        <v>1209</v>
      </c>
      <c r="G11292" t="s">
        <v>2178</v>
      </c>
      <c r="H11292" t="s">
        <v>432</v>
      </c>
    </row>
    <row r="11293" spans="1:8" hidden="1" x14ac:dyDescent="0.25">
      <c r="A11293" t="s">
        <v>14981</v>
      </c>
      <c r="B11293" s="1" t="str">
        <f>HYPERLINK("https://asmlis.vasa.lt/Dashboard/Served?ServiceDateFrom=2025-11-24&amp;ServiceDateTo=2025-11-24&amp;DumpsterInvNr=13-L-226338", "13-L-226338")</f>
        <v>13-L-226338</v>
      </c>
      <c r="C11293">
        <v>1.1000000000000001</v>
      </c>
      <c r="D11293" t="s">
        <v>14935</v>
      </c>
      <c r="E11293" t="s">
        <v>11</v>
      </c>
      <c r="G11293" t="s">
        <v>936</v>
      </c>
      <c r="H11293" t="s">
        <v>938</v>
      </c>
    </row>
    <row r="11294" spans="1:8" hidden="1" x14ac:dyDescent="0.25">
      <c r="A11294" t="s">
        <v>14982</v>
      </c>
      <c r="B11294" s="1" t="str">
        <f>HYPERLINK("https://asmlis.vasa.lt/Dashboard/Served?ServiceDateFrom=2025-11-24&amp;ServiceDateTo=2025-11-24&amp;DumpsterInvNr=13-S-503495", "13-S-503495")</f>
        <v>13-S-503495</v>
      </c>
      <c r="C11294">
        <v>0.12</v>
      </c>
      <c r="D11294" t="s">
        <v>14925</v>
      </c>
      <c r="E11294" t="s">
        <v>11</v>
      </c>
      <c r="F11294" t="s">
        <v>1209</v>
      </c>
      <c r="G11294" t="s">
        <v>2178</v>
      </c>
      <c r="H11294" t="s">
        <v>432</v>
      </c>
    </row>
    <row r="11295" spans="1:8" hidden="1" x14ac:dyDescent="0.25">
      <c r="A11295" t="s">
        <v>14984</v>
      </c>
      <c r="B11295" s="1" t="str">
        <f>HYPERLINK("https://asmlis.vasa.lt/Dashboard/Served?ServiceDateFrom=2025-11-24&amp;ServiceDateTo=2025-11-24&amp;DumpsterInvNr=13-P-304017", "13-P-304017")</f>
        <v>13-P-304017</v>
      </c>
      <c r="C11295">
        <v>2.5</v>
      </c>
      <c r="D11295" t="s">
        <v>14985</v>
      </c>
      <c r="E11295" t="s">
        <v>11</v>
      </c>
      <c r="F11295" t="s">
        <v>13</v>
      </c>
      <c r="G11295" t="s">
        <v>412</v>
      </c>
      <c r="H11295" t="s">
        <v>14</v>
      </c>
    </row>
    <row r="11296" spans="1:8" hidden="1" x14ac:dyDescent="0.25">
      <c r="A11296" t="s">
        <v>14986</v>
      </c>
      <c r="B11296" s="1" t="str">
        <f>HYPERLINK("https://asmlis.vasa.lt/Dashboard/Served?ServiceDateFrom=2025-11-24&amp;ServiceDateTo=2025-11-24&amp;DumpsterInvNr=13-P-304018", "13-P-304018")</f>
        <v>13-P-304018</v>
      </c>
      <c r="C11296">
        <v>5</v>
      </c>
      <c r="D11296" t="s">
        <v>14985</v>
      </c>
      <c r="E11296" t="s">
        <v>11</v>
      </c>
      <c r="F11296" t="s">
        <v>13</v>
      </c>
      <c r="G11296" t="s">
        <v>412</v>
      </c>
      <c r="H11296" t="s">
        <v>14</v>
      </c>
    </row>
    <row r="11297" spans="1:10" hidden="1" x14ac:dyDescent="0.25">
      <c r="A11297" t="s">
        <v>14986</v>
      </c>
      <c r="B11297" s="1" t="str">
        <f>HYPERLINK("https://asmlis.vasa.lt/Dashboard/Served?ServiceDateFrom=2025-11-24&amp;ServiceDateTo=2025-11-24&amp;DumpsterInvNr=13-P-501928", "13-P-501928")</f>
        <v>13-P-501928</v>
      </c>
      <c r="C11297">
        <v>0.12</v>
      </c>
      <c r="D11297" t="s">
        <v>14987</v>
      </c>
      <c r="E11297" t="s">
        <v>11</v>
      </c>
      <c r="G11297" t="s">
        <v>2178</v>
      </c>
      <c r="H11297" t="s">
        <v>432</v>
      </c>
    </row>
    <row r="11298" spans="1:10" hidden="1" x14ac:dyDescent="0.25">
      <c r="A11298" t="s">
        <v>13620</v>
      </c>
      <c r="B11298" s="1" t="str">
        <f>HYPERLINK("https://asmlis.vasa.lt/Dashboard/Served?ServiceDateFrom=2025-11-24&amp;ServiceDateTo=2025-11-24&amp;DumpsterInvNr=13-L-301919", "13-L-301919")</f>
        <v>13-L-301919</v>
      </c>
      <c r="C11298">
        <v>0.24</v>
      </c>
      <c r="D11298" t="s">
        <v>14988</v>
      </c>
      <c r="E11298" t="s">
        <v>11</v>
      </c>
      <c r="G11298" t="s">
        <v>9</v>
      </c>
      <c r="H11298" t="s">
        <v>14</v>
      </c>
    </row>
    <row r="11299" spans="1:10" hidden="1" x14ac:dyDescent="0.25">
      <c r="A11299" t="s">
        <v>14464</v>
      </c>
      <c r="B11299" s="1" t="str">
        <f>HYPERLINK("https://asmlis.vasa.lt/Dashboard/Served?ServiceDateFrom=2025-11-24&amp;ServiceDateTo=2025-11-24&amp;DumpsterInvNr=13-L-123354", "13-L-123354")</f>
        <v>13-L-123354</v>
      </c>
      <c r="C11299">
        <v>0.12</v>
      </c>
      <c r="D11299" t="s">
        <v>14987</v>
      </c>
      <c r="E11299" t="s">
        <v>11</v>
      </c>
      <c r="G11299" t="s">
        <v>430</v>
      </c>
      <c r="H11299" t="s">
        <v>432</v>
      </c>
    </row>
    <row r="11300" spans="1:10" hidden="1" x14ac:dyDescent="0.25">
      <c r="A11300" t="s">
        <v>14989</v>
      </c>
      <c r="B11300" s="1" t="str">
        <f>HYPERLINK("https://asmlis.vasa.lt/Dashboard/Served?ServiceDateFrom=2025-11-24&amp;ServiceDateTo=2025-11-24&amp;DumpsterInvNr=13-S-506886", "13-S-506886")</f>
        <v>13-S-506886</v>
      </c>
      <c r="C11300">
        <v>0.12</v>
      </c>
      <c r="D11300" t="s">
        <v>14976</v>
      </c>
      <c r="E11300" t="s">
        <v>11</v>
      </c>
      <c r="F11300" t="s">
        <v>1209</v>
      </c>
      <c r="G11300" t="s">
        <v>2178</v>
      </c>
      <c r="H11300" t="s">
        <v>432</v>
      </c>
    </row>
    <row r="11301" spans="1:10" hidden="1" x14ac:dyDescent="0.25">
      <c r="A11301" t="s">
        <v>14990</v>
      </c>
      <c r="B11301" s="1" t="str">
        <f>HYPERLINK("https://asmlis.vasa.lt/Dashboard/Served?ServiceDateFrom=2025-11-24&amp;ServiceDateTo=2025-11-24&amp;DumpsterInvNr=13-P-204432", "13-P-204432")</f>
        <v>13-P-204432</v>
      </c>
      <c r="C11301">
        <v>0.24</v>
      </c>
      <c r="D11301" t="s">
        <v>14991</v>
      </c>
      <c r="E11301" t="s">
        <v>11</v>
      </c>
      <c r="F11301" t="s">
        <v>1209</v>
      </c>
      <c r="G11301" t="s">
        <v>234</v>
      </c>
      <c r="H11301" t="s">
        <v>14</v>
      </c>
    </row>
    <row r="11302" spans="1:10" hidden="1" x14ac:dyDescent="0.25">
      <c r="A11302" t="s">
        <v>14990</v>
      </c>
      <c r="B11302" s="1" t="str">
        <f>HYPERLINK("https://asmlis.vasa.lt/Dashboard/Served?ServiceDateFrom=2025-11-24&amp;ServiceDateTo=2025-11-24&amp;DumpsterInvNr=13-L-144503", "13-L-144503")</f>
        <v>13-L-144503</v>
      </c>
      <c r="C11302">
        <v>5</v>
      </c>
      <c r="D11302" t="s">
        <v>11651</v>
      </c>
      <c r="E11302" t="s">
        <v>11</v>
      </c>
      <c r="F11302" t="s">
        <v>13</v>
      </c>
      <c r="G11302" t="s">
        <v>430</v>
      </c>
      <c r="H11302" t="s">
        <v>432</v>
      </c>
    </row>
    <row r="11303" spans="1:10" x14ac:dyDescent="0.25">
      <c r="A11303" t="s">
        <v>14992</v>
      </c>
      <c r="B11303" s="1" t="str">
        <f>HYPERLINK("https://asmlis.vasa.lt/Dashboard/Served?ServiceDateFrom=2025-11-24&amp;ServiceDateTo=2025-11-24&amp;DumpsterInvNr=13-L-125083", "13-L-125083")</f>
        <v>13-L-125083</v>
      </c>
      <c r="C11303">
        <v>0.24</v>
      </c>
      <c r="D11303" t="s">
        <v>14993</v>
      </c>
      <c r="E11303" t="s">
        <v>11</v>
      </c>
      <c r="F11303" t="s">
        <v>2556</v>
      </c>
      <c r="G11303" t="s">
        <v>1912</v>
      </c>
      <c r="H11303" t="s">
        <v>432</v>
      </c>
      <c r="J11303" t="s">
        <v>17511</v>
      </c>
    </row>
    <row r="11304" spans="1:10" hidden="1" x14ac:dyDescent="0.25">
      <c r="A11304" t="s">
        <v>14994</v>
      </c>
      <c r="B11304" s="1" t="str">
        <f>HYPERLINK("https://asmlis.vasa.lt/Dashboard/Served?ServiceDateFrom=2025-11-24&amp;ServiceDateTo=2025-11-24&amp;DumpsterInvNr=13-L-312453", "13-L-312453")</f>
        <v>13-L-312453</v>
      </c>
      <c r="C11304">
        <v>5</v>
      </c>
      <c r="D11304" t="s">
        <v>11373</v>
      </c>
      <c r="E11304" t="s">
        <v>11</v>
      </c>
      <c r="G11304" t="s">
        <v>9</v>
      </c>
      <c r="H11304" t="s">
        <v>14</v>
      </c>
    </row>
    <row r="11305" spans="1:10" hidden="1" x14ac:dyDescent="0.25">
      <c r="A11305" t="s">
        <v>14994</v>
      </c>
      <c r="B11305" s="1" t="str">
        <f>HYPERLINK("https://asmlis.vasa.lt/Dashboard/Served?ServiceDateFrom=2025-11-24&amp;ServiceDateTo=2025-11-24&amp;DumpsterInvNr=13-L-317277", "13-L-317277")</f>
        <v>13-L-317277</v>
      </c>
      <c r="C11305">
        <v>1.1000000000000001</v>
      </c>
      <c r="D11305" t="s">
        <v>392</v>
      </c>
      <c r="E11305" t="s">
        <v>11</v>
      </c>
      <c r="G11305" t="s">
        <v>9</v>
      </c>
      <c r="H11305" t="s">
        <v>14</v>
      </c>
    </row>
    <row r="11306" spans="1:10" hidden="1" x14ac:dyDescent="0.25">
      <c r="A11306" t="s">
        <v>14995</v>
      </c>
      <c r="B11306" s="1" t="str">
        <f>HYPERLINK("https://asmlis.vasa.lt/Dashboard/Served?ServiceDateFrom=2025-11-24&amp;ServiceDateTo=2025-11-24&amp;DumpsterInvNr=13-L-305267", "13-L-305267")</f>
        <v>13-L-305267</v>
      </c>
      <c r="C11306">
        <v>0.24</v>
      </c>
      <c r="D11306" t="s">
        <v>14988</v>
      </c>
      <c r="E11306" t="s">
        <v>11</v>
      </c>
      <c r="F11306" t="s">
        <v>13</v>
      </c>
      <c r="G11306" t="s">
        <v>9</v>
      </c>
      <c r="H11306" t="s">
        <v>14</v>
      </c>
    </row>
    <row r="11307" spans="1:10" x14ac:dyDescent="0.25">
      <c r="A11307" t="s">
        <v>14996</v>
      </c>
      <c r="B11307" s="1" t="str">
        <f>HYPERLINK("https://asmlis.vasa.lt/Dashboard/Served?ServiceDateFrom=2025-11-24&amp;ServiceDateTo=2025-11-24&amp;DumpsterInvNr=13-P-101183", "13-P-101183")</f>
        <v>13-P-101183</v>
      </c>
      <c r="C11307">
        <v>0.24</v>
      </c>
      <c r="D11307" t="s">
        <v>14993</v>
      </c>
      <c r="E11307" t="s">
        <v>11</v>
      </c>
      <c r="F11307" t="s">
        <v>2556</v>
      </c>
      <c r="G11307" t="s">
        <v>1917</v>
      </c>
      <c r="H11307" t="s">
        <v>432</v>
      </c>
      <c r="J11307" t="s">
        <v>17511</v>
      </c>
    </row>
    <row r="11308" spans="1:10" hidden="1" x14ac:dyDescent="0.25">
      <c r="A11308" t="s">
        <v>14997</v>
      </c>
      <c r="B11308" s="1" t="str">
        <f>HYPERLINK("https://asmlis.vasa.lt/Dashboard/Served?ServiceDateFrom=2025-11-24&amp;ServiceDateTo=2025-11-24&amp;DumpsterInvNr=13-L-303612", "13-L-303612")</f>
        <v>13-L-303612</v>
      </c>
      <c r="C11308">
        <v>0.12</v>
      </c>
      <c r="D11308" t="s">
        <v>14998</v>
      </c>
      <c r="E11308" t="s">
        <v>11</v>
      </c>
      <c r="F11308" t="s">
        <v>13</v>
      </c>
      <c r="G11308" t="s">
        <v>9</v>
      </c>
      <c r="H11308" t="s">
        <v>14</v>
      </c>
    </row>
    <row r="11309" spans="1:10" hidden="1" x14ac:dyDescent="0.25">
      <c r="A11309" t="s">
        <v>14997</v>
      </c>
      <c r="B11309" s="1" t="str">
        <f>HYPERLINK("https://asmlis.vasa.lt/Dashboard/Served?ServiceDateFrom=2025-11-24&amp;ServiceDateTo=2025-11-24&amp;DumpsterInvNr=13-L-424427", "13-L-424427")</f>
        <v>13-L-424427</v>
      </c>
      <c r="C11309">
        <v>5</v>
      </c>
      <c r="D11309" t="s">
        <v>7397</v>
      </c>
      <c r="E11309" t="s">
        <v>11</v>
      </c>
      <c r="F11309" t="s">
        <v>13</v>
      </c>
      <c r="G11309" t="s">
        <v>74</v>
      </c>
      <c r="H11309" t="s">
        <v>14</v>
      </c>
    </row>
    <row r="11310" spans="1:10" hidden="1" x14ac:dyDescent="0.25">
      <c r="A11310" t="s">
        <v>14999</v>
      </c>
      <c r="B11310" s="1" t="str">
        <f>HYPERLINK("https://asmlis.vasa.lt/Dashboard/Served?ServiceDateFrom=2025-11-24&amp;ServiceDateTo=2025-11-24&amp;DumpsterInvNr=13-L-144035", "13-L-144035")</f>
        <v>13-L-144035</v>
      </c>
      <c r="C11310">
        <v>1.1000000000000001</v>
      </c>
      <c r="D11310" t="s">
        <v>15000</v>
      </c>
      <c r="E11310" t="s">
        <v>11</v>
      </c>
      <c r="G11310" t="s">
        <v>430</v>
      </c>
      <c r="H11310" t="s">
        <v>432</v>
      </c>
    </row>
    <row r="11311" spans="1:10" x14ac:dyDescent="0.25">
      <c r="A11311" t="s">
        <v>15001</v>
      </c>
      <c r="B11311" s="1" t="str">
        <f>HYPERLINK("https://asmlis.vasa.lt/Dashboard/Served?ServiceDateFrom=2025-11-24&amp;ServiceDateTo=2025-11-24&amp;DumpsterInvNr=13-S-108465", "13-S-108465")</f>
        <v>13-S-108465</v>
      </c>
      <c r="C11311">
        <v>0.12</v>
      </c>
      <c r="D11311" t="s">
        <v>14993</v>
      </c>
      <c r="E11311" t="s">
        <v>11</v>
      </c>
      <c r="F11311" t="s">
        <v>2556</v>
      </c>
      <c r="G11311" t="s">
        <v>1917</v>
      </c>
      <c r="H11311" t="s">
        <v>432</v>
      </c>
      <c r="J11311" t="s">
        <v>17511</v>
      </c>
    </row>
    <row r="11312" spans="1:10" hidden="1" x14ac:dyDescent="0.25">
      <c r="A11312" t="s">
        <v>15003</v>
      </c>
      <c r="B11312" s="1" t="str">
        <f>HYPERLINK("https://asmlis.vasa.lt/Dashboard/Served?ServiceDateFrom=2025-11-24&amp;ServiceDateTo=2025-11-24&amp;DumpsterInvNr=13-L-303611", "13-L-303611")</f>
        <v>13-L-303611</v>
      </c>
      <c r="C11312">
        <v>0.12</v>
      </c>
      <c r="D11312" t="s">
        <v>14998</v>
      </c>
      <c r="E11312" t="s">
        <v>11</v>
      </c>
      <c r="F11312" t="s">
        <v>13</v>
      </c>
      <c r="G11312" t="s">
        <v>9</v>
      </c>
      <c r="H11312" t="s">
        <v>14</v>
      </c>
    </row>
    <row r="11313" spans="1:10" hidden="1" x14ac:dyDescent="0.25">
      <c r="A11313" t="s">
        <v>15004</v>
      </c>
      <c r="B11313" s="1" t="str">
        <f>HYPERLINK("https://asmlis.vasa.lt/Dashboard/Served?ServiceDateFrom=2025-11-24&amp;ServiceDateTo=2025-11-24&amp;DumpsterInvNr=13-L-309294", "13-L-309294")</f>
        <v>13-L-309294</v>
      </c>
      <c r="C11313">
        <v>0.12</v>
      </c>
      <c r="D11313" t="s">
        <v>15005</v>
      </c>
      <c r="E11313" t="s">
        <v>11</v>
      </c>
      <c r="F11313" t="s">
        <v>13</v>
      </c>
      <c r="G11313" t="s">
        <v>9</v>
      </c>
      <c r="H11313" t="s">
        <v>14</v>
      </c>
    </row>
    <row r="11314" spans="1:10" hidden="1" x14ac:dyDescent="0.25">
      <c r="A11314" t="s">
        <v>15004</v>
      </c>
      <c r="B11314" s="1" t="str">
        <f>HYPERLINK("https://asmlis.vasa.lt/Dashboard/Served?ServiceDateFrom=2025-11-24&amp;ServiceDateTo=2025-11-24&amp;DumpsterInvNr=13-L-302130", "13-L-302130")</f>
        <v>13-L-302130</v>
      </c>
      <c r="C11314">
        <v>1.1000000000000001</v>
      </c>
      <c r="D11314" t="s">
        <v>392</v>
      </c>
      <c r="E11314" t="s">
        <v>11</v>
      </c>
      <c r="G11314" t="s">
        <v>9</v>
      </c>
      <c r="H11314" t="s">
        <v>14</v>
      </c>
    </row>
    <row r="11315" spans="1:10" hidden="1" x14ac:dyDescent="0.25">
      <c r="A11315" t="s">
        <v>15006</v>
      </c>
      <c r="B11315" s="1" t="str">
        <f>HYPERLINK("https://asmlis.vasa.lt/Dashboard/Served?ServiceDateFrom=2025-11-24&amp;ServiceDateTo=2025-11-24&amp;DumpsterInvNr=13-L-305437", "13-L-305437")</f>
        <v>13-L-305437</v>
      </c>
      <c r="C11315">
        <v>1.1000000000000001</v>
      </c>
      <c r="D11315" t="s">
        <v>15007</v>
      </c>
      <c r="E11315" t="s">
        <v>11</v>
      </c>
      <c r="F11315" t="s">
        <v>13</v>
      </c>
      <c r="G11315" t="s">
        <v>9</v>
      </c>
      <c r="H11315" t="s">
        <v>14</v>
      </c>
    </row>
    <row r="11316" spans="1:10" hidden="1" x14ac:dyDescent="0.25">
      <c r="A11316" t="s">
        <v>15006</v>
      </c>
      <c r="B11316" s="1" t="str">
        <f>HYPERLINK("https://asmlis.vasa.lt/Dashboard/Served?ServiceDateFrom=2025-11-24&amp;ServiceDateTo=2025-11-24&amp;DumpsterInvNr=13-L-228472", "13-L-228472")</f>
        <v>13-L-228472</v>
      </c>
      <c r="C11316">
        <v>0.24</v>
      </c>
      <c r="D11316" t="s">
        <v>15008</v>
      </c>
      <c r="E11316" t="s">
        <v>12</v>
      </c>
      <c r="G11316" t="s">
        <v>936</v>
      </c>
      <c r="H11316" t="s">
        <v>938</v>
      </c>
    </row>
    <row r="11317" spans="1:10" hidden="1" x14ac:dyDescent="0.25">
      <c r="A11317" t="s">
        <v>15009</v>
      </c>
      <c r="B11317" s="1" t="str">
        <f>HYPERLINK("https://asmlis.vasa.lt/Dashboard/Served?ServiceDateFrom=2025-11-24&amp;ServiceDateTo=2025-11-24&amp;DumpsterInvNr=13-P-211664", "13-P-211664")</f>
        <v>13-P-211664</v>
      </c>
      <c r="C11317">
        <v>0.24</v>
      </c>
      <c r="D11317" t="s">
        <v>5330</v>
      </c>
      <c r="E11317" t="s">
        <v>11</v>
      </c>
      <c r="G11317" t="s">
        <v>234</v>
      </c>
      <c r="H11317" t="s">
        <v>14</v>
      </c>
    </row>
    <row r="11318" spans="1:10" hidden="1" x14ac:dyDescent="0.25">
      <c r="A11318" t="s">
        <v>15010</v>
      </c>
      <c r="B11318" s="1" t="str">
        <f>HYPERLINK("https://asmlis.vasa.lt/Dashboard/Served?ServiceDateFrom=2025-11-24&amp;ServiceDateTo=2025-11-24&amp;DumpsterInvNr=13-L-142115", "13-L-142115")</f>
        <v>13-L-142115</v>
      </c>
      <c r="C11318">
        <v>1.1000000000000001</v>
      </c>
      <c r="D11318" t="s">
        <v>15011</v>
      </c>
      <c r="E11318" t="s">
        <v>11</v>
      </c>
      <c r="G11318" t="s">
        <v>1912</v>
      </c>
      <c r="H11318" t="s">
        <v>432</v>
      </c>
    </row>
    <row r="11319" spans="1:10" hidden="1" x14ac:dyDescent="0.25">
      <c r="A11319" t="s">
        <v>15010</v>
      </c>
      <c r="B11319" s="1" t="str">
        <f>HYPERLINK("https://asmlis.vasa.lt/Dashboard/Served?ServiceDateFrom=2025-11-24&amp;ServiceDateTo=2025-11-24&amp;DumpsterInvNr=13-P-211713", "13-P-211713")</f>
        <v>13-P-211713</v>
      </c>
      <c r="C11319">
        <v>0.24</v>
      </c>
      <c r="D11319" t="s">
        <v>14095</v>
      </c>
      <c r="E11319" t="s">
        <v>11</v>
      </c>
      <c r="G11319" t="s">
        <v>234</v>
      </c>
      <c r="H11319" t="s">
        <v>14</v>
      </c>
    </row>
    <row r="11320" spans="1:10" x14ac:dyDescent="0.25">
      <c r="A11320" t="s">
        <v>15012</v>
      </c>
      <c r="B11320" s="1" t="str">
        <f>HYPERLINK("https://asmlis.vasa.lt/Dashboard/Served?ServiceDateFrom=2025-11-24&amp;ServiceDateTo=2025-11-24&amp;DumpsterInvNr=13-S-102415", "13-S-102415")</f>
        <v>13-S-102415</v>
      </c>
      <c r="C11320">
        <v>0.12</v>
      </c>
      <c r="D11320" t="s">
        <v>14993</v>
      </c>
      <c r="E11320" t="s">
        <v>11</v>
      </c>
      <c r="F11320" t="s">
        <v>2556</v>
      </c>
      <c r="G11320" t="s">
        <v>1917</v>
      </c>
      <c r="H11320" t="s">
        <v>432</v>
      </c>
      <c r="J11320" t="s">
        <v>17511</v>
      </c>
    </row>
    <row r="11321" spans="1:10" hidden="1" x14ac:dyDescent="0.25">
      <c r="A11321" t="s">
        <v>15014</v>
      </c>
      <c r="B11321" s="1" t="str">
        <f>HYPERLINK("https://asmlis.vasa.lt/Dashboard/Served?ServiceDateFrom=2025-11-24&amp;ServiceDateTo=2025-11-24&amp;DumpsterInvNr=13-M-208354", "13-M-208354")</f>
        <v>13-M-208354</v>
      </c>
      <c r="C11321">
        <v>0.12</v>
      </c>
      <c r="D11321" t="s">
        <v>15008</v>
      </c>
      <c r="E11321" t="s">
        <v>12</v>
      </c>
      <c r="F11321" t="s">
        <v>13</v>
      </c>
      <c r="H11321" t="s">
        <v>938</v>
      </c>
    </row>
    <row r="11322" spans="1:10" hidden="1" x14ac:dyDescent="0.25">
      <c r="A11322" t="s">
        <v>15015</v>
      </c>
      <c r="B11322" s="1" t="str">
        <f>HYPERLINK("https://asmlis.vasa.lt/Dashboard/Served?ServiceDateFrom=2025-11-24&amp;ServiceDateTo=2025-11-24&amp;DumpsterInvNr=13-S-211492", "13-S-211492")</f>
        <v>13-S-211492</v>
      </c>
      <c r="C11322">
        <v>0.12</v>
      </c>
      <c r="D11322" t="s">
        <v>14104</v>
      </c>
      <c r="E11322" t="s">
        <v>11</v>
      </c>
      <c r="G11322" t="s">
        <v>234</v>
      </c>
      <c r="H11322" t="s">
        <v>14</v>
      </c>
    </row>
    <row r="11323" spans="1:10" hidden="1" x14ac:dyDescent="0.25">
      <c r="A11323" t="s">
        <v>15016</v>
      </c>
      <c r="B11323" s="1" t="str">
        <f>HYPERLINK("https://asmlis.vasa.lt/Dashboard/Served?ServiceDateFrom=2025-11-24&amp;ServiceDateTo=2025-11-24&amp;DumpsterInvNr=13-L-319661", "13-L-319661")</f>
        <v>13-L-319661</v>
      </c>
      <c r="C11323">
        <v>1.1000000000000001</v>
      </c>
      <c r="D11323" t="s">
        <v>15017</v>
      </c>
      <c r="E11323" t="s">
        <v>11</v>
      </c>
      <c r="G11323" t="s">
        <v>9</v>
      </c>
      <c r="H11323" t="s">
        <v>14</v>
      </c>
    </row>
    <row r="11324" spans="1:10" hidden="1" x14ac:dyDescent="0.25">
      <c r="A11324" t="s">
        <v>15018</v>
      </c>
      <c r="B11324" s="1" t="str">
        <f>HYPERLINK("https://asmlis.vasa.lt/Dashboard/Served?ServiceDateFrom=2025-11-24&amp;ServiceDateTo=2025-11-24&amp;DumpsterInvNr=13-L-134778", "13-L-134778")</f>
        <v>13-L-134778</v>
      </c>
      <c r="C11324">
        <v>5</v>
      </c>
      <c r="D11324" t="s">
        <v>15019</v>
      </c>
      <c r="E11324" t="s">
        <v>11</v>
      </c>
      <c r="F11324" t="s">
        <v>13</v>
      </c>
      <c r="G11324" t="s">
        <v>430</v>
      </c>
      <c r="H11324" t="s">
        <v>432</v>
      </c>
    </row>
    <row r="11325" spans="1:10" hidden="1" x14ac:dyDescent="0.25">
      <c r="A11325" t="s">
        <v>15018</v>
      </c>
      <c r="B11325" s="1" t="str">
        <f>HYPERLINK("https://asmlis.vasa.lt/Dashboard/Served?ServiceDateFrom=2025-11-24&amp;ServiceDateTo=2025-11-24&amp;DumpsterInvNr=13-P-502759", "13-P-502759")</f>
        <v>13-P-502759</v>
      </c>
      <c r="C11325">
        <v>0.12</v>
      </c>
      <c r="D11325" t="s">
        <v>15020</v>
      </c>
      <c r="E11325" t="s">
        <v>11</v>
      </c>
      <c r="G11325" t="s">
        <v>2178</v>
      </c>
      <c r="H11325" t="s">
        <v>432</v>
      </c>
    </row>
    <row r="11326" spans="1:10" hidden="1" x14ac:dyDescent="0.25">
      <c r="A11326" t="s">
        <v>15021</v>
      </c>
      <c r="B11326" s="1" t="str">
        <f>HYPERLINK("https://asmlis.vasa.lt/Dashboard/Served?ServiceDateFrom=2025-11-24&amp;ServiceDateTo=2025-11-24&amp;DumpsterInvNr=13-L-424745", "13-L-424745")</f>
        <v>13-L-424745</v>
      </c>
      <c r="C11326">
        <v>5</v>
      </c>
      <c r="D11326" t="s">
        <v>7287</v>
      </c>
      <c r="E11326" t="s">
        <v>11</v>
      </c>
      <c r="F11326" t="s">
        <v>13</v>
      </c>
      <c r="G11326" t="s">
        <v>74</v>
      </c>
      <c r="H11326" t="s">
        <v>14</v>
      </c>
    </row>
    <row r="11327" spans="1:10" hidden="1" x14ac:dyDescent="0.25">
      <c r="A11327" t="s">
        <v>15022</v>
      </c>
      <c r="B11327" s="1" t="str">
        <f>HYPERLINK("https://asmlis.vasa.lt/Dashboard/Served?ServiceDateFrom=2025-11-24&amp;ServiceDateTo=2025-11-24&amp;DumpsterInvNr=13-S-207890", "13-S-207890")</f>
        <v>13-S-207890</v>
      </c>
      <c r="C11327">
        <v>3</v>
      </c>
      <c r="D11327" t="s">
        <v>15023</v>
      </c>
      <c r="E11327" t="s">
        <v>11</v>
      </c>
      <c r="F11327" t="s">
        <v>13</v>
      </c>
      <c r="G11327" t="s">
        <v>234</v>
      </c>
      <c r="H11327" t="s">
        <v>14</v>
      </c>
    </row>
    <row r="11328" spans="1:10" hidden="1" x14ac:dyDescent="0.25">
      <c r="A11328" t="s">
        <v>15022</v>
      </c>
      <c r="B11328" s="1" t="str">
        <f>HYPERLINK("https://asmlis.vasa.lt/Dashboard/Served?ServiceDateFrom=2025-11-24&amp;ServiceDateTo=2025-11-24&amp;DumpsterInvNr=13-P-409128", "13-P-409128")</f>
        <v>13-P-409128</v>
      </c>
      <c r="C11328">
        <v>1.1000000000000001</v>
      </c>
      <c r="D11328" t="s">
        <v>14766</v>
      </c>
      <c r="E11328" t="s">
        <v>11</v>
      </c>
      <c r="G11328" t="s">
        <v>264</v>
      </c>
      <c r="H11328" t="s">
        <v>14</v>
      </c>
    </row>
    <row r="11329" spans="1:10" hidden="1" x14ac:dyDescent="0.25">
      <c r="A11329" t="s">
        <v>15024</v>
      </c>
      <c r="B11329" s="1" t="str">
        <f>HYPERLINK("https://asmlis.vasa.lt/Dashboard/Served?ServiceDateFrom=2025-11-24&amp;ServiceDateTo=2025-11-24&amp;DumpsterInvNr=13-L-108258", "13-L-108258")</f>
        <v>13-L-108258</v>
      </c>
      <c r="C11329">
        <v>0.24</v>
      </c>
      <c r="D11329" t="s">
        <v>15020</v>
      </c>
      <c r="E11329" t="s">
        <v>11</v>
      </c>
      <c r="G11329" t="s">
        <v>430</v>
      </c>
      <c r="H11329" t="s">
        <v>432</v>
      </c>
    </row>
    <row r="11330" spans="1:10" hidden="1" x14ac:dyDescent="0.25">
      <c r="A11330" t="s">
        <v>15025</v>
      </c>
      <c r="B11330" s="1" t="str">
        <f>HYPERLINK("https://asmlis.vasa.lt/Dashboard/Served?ServiceDateFrom=2025-11-24&amp;ServiceDateTo=2025-11-24&amp;DumpsterInvNr=13-L-144034", "13-L-144034")</f>
        <v>13-L-144034</v>
      </c>
      <c r="C11330">
        <v>1.1000000000000001</v>
      </c>
      <c r="D11330" t="s">
        <v>15000</v>
      </c>
      <c r="E11330" t="s">
        <v>11</v>
      </c>
      <c r="G11330" t="s">
        <v>430</v>
      </c>
      <c r="H11330" t="s">
        <v>432</v>
      </c>
    </row>
    <row r="11331" spans="1:10" hidden="1" x14ac:dyDescent="0.25">
      <c r="A11331" t="s">
        <v>15026</v>
      </c>
      <c r="B11331" s="1" t="str">
        <f>HYPERLINK("https://asmlis.vasa.lt/Dashboard/Served?ServiceDateFrom=2025-11-24&amp;ServiceDateTo=2025-11-24&amp;DumpsterInvNr=13-P-102393", "13-P-102393")</f>
        <v>13-P-102393</v>
      </c>
      <c r="C11331">
        <v>5</v>
      </c>
      <c r="D11331" t="s">
        <v>15027</v>
      </c>
      <c r="E11331" t="s">
        <v>11</v>
      </c>
      <c r="F11331" t="s">
        <v>13</v>
      </c>
      <c r="G11331" t="s">
        <v>1917</v>
      </c>
      <c r="H11331" t="s">
        <v>432</v>
      </c>
    </row>
    <row r="11332" spans="1:10" x14ac:dyDescent="0.25">
      <c r="A11332" t="s">
        <v>15028</v>
      </c>
      <c r="B11332" s="1" t="str">
        <f>HYPERLINK("https://asmlis.vasa.lt/Dashboard/Served?ServiceDateFrom=2025-11-24&amp;ServiceDateTo=2025-11-24&amp;DumpsterInvNr=13-P-101184", "13-P-101184")</f>
        <v>13-P-101184</v>
      </c>
      <c r="C11332">
        <v>0.24</v>
      </c>
      <c r="D11332" t="s">
        <v>14993</v>
      </c>
      <c r="E11332" t="s">
        <v>11</v>
      </c>
      <c r="F11332" t="s">
        <v>2556</v>
      </c>
      <c r="G11332" t="s">
        <v>1917</v>
      </c>
      <c r="H11332" t="s">
        <v>432</v>
      </c>
      <c r="J11332" t="s">
        <v>17511</v>
      </c>
    </row>
    <row r="11333" spans="1:10" hidden="1" x14ac:dyDescent="0.25">
      <c r="A11333" t="s">
        <v>15030</v>
      </c>
      <c r="B11333" s="1" t="str">
        <f>HYPERLINK("https://asmlis.vasa.lt/Dashboard/Served?ServiceDateFrom=2025-11-24&amp;ServiceDateTo=2025-11-24&amp;DumpsterInvNr=13-S-500850", "13-S-500850")</f>
        <v>13-S-500850</v>
      </c>
      <c r="C11333">
        <v>0.12</v>
      </c>
      <c r="D11333" t="s">
        <v>15020</v>
      </c>
      <c r="E11333" t="s">
        <v>11</v>
      </c>
      <c r="F11333" t="s">
        <v>1209</v>
      </c>
      <c r="G11333" t="s">
        <v>2178</v>
      </c>
      <c r="H11333" t="s">
        <v>432</v>
      </c>
    </row>
    <row r="11334" spans="1:10" hidden="1" x14ac:dyDescent="0.25">
      <c r="A11334" t="s">
        <v>15031</v>
      </c>
      <c r="B11334" s="1" t="str">
        <f>HYPERLINK("https://asmlis.vasa.lt/Dashboard/Served?ServiceDateFrom=2025-11-24&amp;ServiceDateTo=2025-11-24&amp;DumpsterInvNr=13-L-203519", "13-L-203519")</f>
        <v>13-L-203519</v>
      </c>
      <c r="C11334">
        <v>0.24</v>
      </c>
      <c r="D11334" t="s">
        <v>15032</v>
      </c>
      <c r="E11334" t="s">
        <v>11</v>
      </c>
      <c r="F11334" t="s">
        <v>13</v>
      </c>
      <c r="G11334" t="s">
        <v>936</v>
      </c>
      <c r="H11334" t="s">
        <v>938</v>
      </c>
    </row>
    <row r="11335" spans="1:10" hidden="1" x14ac:dyDescent="0.25">
      <c r="A11335" t="s">
        <v>15031</v>
      </c>
      <c r="B11335" s="1" t="str">
        <f>HYPERLINK("https://asmlis.vasa.lt/Dashboard/Served?ServiceDateFrom=2025-11-24&amp;ServiceDateTo=2025-11-24&amp;DumpsterInvNr=13-P-211717", "13-P-211717")</f>
        <v>13-P-211717</v>
      </c>
      <c r="C11335">
        <v>0.24</v>
      </c>
      <c r="D11335" t="s">
        <v>14104</v>
      </c>
      <c r="E11335" t="s">
        <v>11</v>
      </c>
      <c r="G11335" t="s">
        <v>234</v>
      </c>
      <c r="H11335" t="s">
        <v>14</v>
      </c>
    </row>
    <row r="11336" spans="1:10" hidden="1" x14ac:dyDescent="0.25">
      <c r="A11336" t="s">
        <v>15033</v>
      </c>
      <c r="B11336" s="1" t="str">
        <f>HYPERLINK("https://asmlis.vasa.lt/Dashboard/Served?ServiceDateFrom=2025-11-24&amp;ServiceDateTo=2025-11-24&amp;DumpsterInvNr=13-P-211807", "13-P-211807")</f>
        <v>13-P-211807</v>
      </c>
      <c r="C11336">
        <v>0.24</v>
      </c>
      <c r="D11336" t="s">
        <v>14106</v>
      </c>
      <c r="E11336" t="s">
        <v>11</v>
      </c>
      <c r="F11336" t="s">
        <v>1209</v>
      </c>
      <c r="G11336" t="s">
        <v>234</v>
      </c>
      <c r="H11336" t="s">
        <v>14</v>
      </c>
    </row>
    <row r="11337" spans="1:10" x14ac:dyDescent="0.25">
      <c r="A11337" t="s">
        <v>15033</v>
      </c>
      <c r="B11337" s="1" t="str">
        <f>HYPERLINK("https://asmlis.vasa.lt/Dashboard/Served?ServiceDateFrom=2025-11-24&amp;ServiceDateTo=2025-11-24&amp;DumpsterInvNr=13-P-101161", "13-P-101161")</f>
        <v>13-P-101161</v>
      </c>
      <c r="C11337">
        <v>0.12</v>
      </c>
      <c r="D11337" t="s">
        <v>14993</v>
      </c>
      <c r="E11337" t="s">
        <v>11</v>
      </c>
      <c r="F11337" t="s">
        <v>2556</v>
      </c>
      <c r="G11337" t="s">
        <v>1917</v>
      </c>
      <c r="H11337" t="s">
        <v>432</v>
      </c>
      <c r="J11337" t="s">
        <v>17511</v>
      </c>
    </row>
    <row r="11338" spans="1:10" hidden="1" x14ac:dyDescent="0.25">
      <c r="A11338" t="s">
        <v>15034</v>
      </c>
      <c r="B11338" s="1" t="str">
        <f>HYPERLINK("https://asmlis.vasa.lt/Dashboard/Served?ServiceDateFrom=2025-11-24&amp;ServiceDateTo=2025-11-24&amp;DumpsterInvNr=13-L-423097", "13-L-423097")</f>
        <v>13-L-423097</v>
      </c>
      <c r="C11338">
        <v>5</v>
      </c>
      <c r="D11338" t="s">
        <v>15035</v>
      </c>
      <c r="E11338" t="s">
        <v>11</v>
      </c>
      <c r="G11338" t="s">
        <v>74</v>
      </c>
      <c r="H11338" t="s">
        <v>14</v>
      </c>
    </row>
    <row r="11339" spans="1:10" hidden="1" x14ac:dyDescent="0.25">
      <c r="A11339" t="s">
        <v>15036</v>
      </c>
      <c r="B11339" s="1" t="str">
        <f>HYPERLINK("https://asmlis.vasa.lt/Dashboard/Served?ServiceDateFrom=2025-11-24&amp;ServiceDateTo=2025-11-24&amp;DumpsterInvNr=13-P-502758", "13-P-502758")</f>
        <v>13-P-502758</v>
      </c>
      <c r="C11339">
        <v>0.24</v>
      </c>
      <c r="D11339" t="s">
        <v>15037</v>
      </c>
      <c r="E11339" t="s">
        <v>11</v>
      </c>
      <c r="G11339" t="s">
        <v>2178</v>
      </c>
      <c r="H11339" t="s">
        <v>432</v>
      </c>
    </row>
    <row r="11340" spans="1:10" x14ac:dyDescent="0.25">
      <c r="A11340" t="s">
        <v>15038</v>
      </c>
      <c r="B11340" s="1" t="str">
        <f>HYPERLINK("https://asmlis.vasa.lt/Dashboard/Served?ServiceDateFrom=2025-11-24&amp;ServiceDateTo=2025-11-24&amp;DumpsterInvNr=13-L-140210", "13-L-140210")</f>
        <v>13-L-140210</v>
      </c>
      <c r="C11340">
        <v>0.12</v>
      </c>
      <c r="D11340" t="s">
        <v>14993</v>
      </c>
      <c r="E11340" t="s">
        <v>11</v>
      </c>
      <c r="F11340" t="s">
        <v>2556</v>
      </c>
      <c r="G11340" t="s">
        <v>1912</v>
      </c>
      <c r="H11340" t="s">
        <v>432</v>
      </c>
      <c r="J11340" t="s">
        <v>17511</v>
      </c>
    </row>
    <row r="11341" spans="1:10" hidden="1" x14ac:dyDescent="0.25">
      <c r="A11341" t="s">
        <v>15038</v>
      </c>
      <c r="B11341" s="1" t="str">
        <f>HYPERLINK("https://asmlis.vasa.lt/Dashboard/Served?ServiceDateFrom=2025-11-24&amp;ServiceDateTo=2025-11-24&amp;DumpsterInvNr=13-P-304039", "13-P-304039")</f>
        <v>13-P-304039</v>
      </c>
      <c r="C11341">
        <v>5</v>
      </c>
      <c r="D11341" t="s">
        <v>6033</v>
      </c>
      <c r="E11341" t="s">
        <v>11</v>
      </c>
      <c r="G11341" t="s">
        <v>412</v>
      </c>
      <c r="H11341" t="s">
        <v>14</v>
      </c>
    </row>
    <row r="11342" spans="1:10" hidden="1" x14ac:dyDescent="0.25">
      <c r="A11342" t="s">
        <v>15039</v>
      </c>
      <c r="B11342" s="1" t="str">
        <f>HYPERLINK("https://asmlis.vasa.lt/Dashboard/Served?ServiceDateFrom=2025-11-24&amp;ServiceDateTo=2025-11-24&amp;DumpsterInvNr=13-S-503166", "13-S-503166")</f>
        <v>13-S-503166</v>
      </c>
      <c r="C11342">
        <v>0.12</v>
      </c>
      <c r="D11342" t="s">
        <v>15037</v>
      </c>
      <c r="E11342" t="s">
        <v>11</v>
      </c>
      <c r="F11342" t="s">
        <v>1209</v>
      </c>
      <c r="G11342" t="s">
        <v>2178</v>
      </c>
      <c r="H11342" t="s">
        <v>432</v>
      </c>
    </row>
    <row r="11343" spans="1:10" hidden="1" x14ac:dyDescent="0.25">
      <c r="A11343" t="s">
        <v>15040</v>
      </c>
      <c r="B11343" s="1" t="str">
        <f>HYPERLINK("https://asmlis.vasa.lt/Dashboard/Served?ServiceDateFrom=2025-11-24&amp;ServiceDateTo=2025-11-24&amp;DumpsterInvNr=13-L-149344", "13-L-149344")</f>
        <v>13-L-149344</v>
      </c>
      <c r="C11343">
        <v>0.24</v>
      </c>
      <c r="D11343" t="s">
        <v>15041</v>
      </c>
      <c r="E11343" t="s">
        <v>12</v>
      </c>
      <c r="F11343" t="s">
        <v>13</v>
      </c>
      <c r="H11343" t="s">
        <v>432</v>
      </c>
    </row>
    <row r="11344" spans="1:10" hidden="1" x14ac:dyDescent="0.25">
      <c r="A11344" t="s">
        <v>15042</v>
      </c>
      <c r="B11344" s="1" t="str">
        <f>HYPERLINK("https://asmlis.vasa.lt/Dashboard/Served?ServiceDateFrom=2025-11-24&amp;ServiceDateTo=2025-11-24&amp;DumpsterInvNr=13-L-123360", "13-L-123360")</f>
        <v>13-L-123360</v>
      </c>
      <c r="C11344">
        <v>0.24</v>
      </c>
      <c r="D11344" t="s">
        <v>15037</v>
      </c>
      <c r="E11344" t="s">
        <v>11</v>
      </c>
      <c r="F11344" t="s">
        <v>1209</v>
      </c>
      <c r="G11344" t="s">
        <v>430</v>
      </c>
      <c r="H11344" t="s">
        <v>432</v>
      </c>
    </row>
    <row r="11345" spans="1:10" hidden="1" x14ac:dyDescent="0.25">
      <c r="A11345" t="s">
        <v>15043</v>
      </c>
      <c r="B11345" s="1" t="str">
        <f>HYPERLINK("https://asmlis.vasa.lt/Dashboard/Served?ServiceDateFrom=2025-11-24&amp;ServiceDateTo=2025-11-24&amp;DumpsterInvNr=13-L-146187", "13-L-146187")</f>
        <v>13-L-146187</v>
      </c>
      <c r="C11345">
        <v>0.24</v>
      </c>
      <c r="D11345" t="s">
        <v>15044</v>
      </c>
      <c r="E11345" t="s">
        <v>11</v>
      </c>
      <c r="G11345" t="s">
        <v>1912</v>
      </c>
      <c r="H11345" t="s">
        <v>432</v>
      </c>
    </row>
    <row r="11346" spans="1:10" hidden="1" x14ac:dyDescent="0.25">
      <c r="A11346" t="s">
        <v>15043</v>
      </c>
      <c r="B11346" s="1" t="str">
        <f>HYPERLINK("https://asmlis.vasa.lt/Dashboard/Served?ServiceDateFrom=2025-11-24&amp;ServiceDateTo=2025-11-24&amp;DumpsterInvNr=13-S-505489", "13-S-505489")</f>
        <v>13-S-505489</v>
      </c>
      <c r="C11346">
        <v>0.12</v>
      </c>
      <c r="D11346" t="s">
        <v>15037</v>
      </c>
      <c r="E11346" t="s">
        <v>11</v>
      </c>
      <c r="F11346" t="s">
        <v>1209</v>
      </c>
      <c r="G11346" t="s">
        <v>2178</v>
      </c>
      <c r="H11346" t="s">
        <v>432</v>
      </c>
    </row>
    <row r="11347" spans="1:10" hidden="1" x14ac:dyDescent="0.25">
      <c r="A11347" t="s">
        <v>15047</v>
      </c>
      <c r="B11347" s="1" t="str">
        <f>HYPERLINK("https://asmlis.vasa.lt/Dashboard/Served?ServiceDateFrom=2025-11-24&amp;ServiceDateTo=2025-11-24&amp;DumpsterInvNr=13-P-302333", "13-P-302333")</f>
        <v>13-P-302333</v>
      </c>
      <c r="C11347">
        <v>2.5</v>
      </c>
      <c r="D11347" t="s">
        <v>15048</v>
      </c>
      <c r="E11347" t="s">
        <v>11</v>
      </c>
      <c r="G11347" t="s">
        <v>412</v>
      </c>
      <c r="H11347" t="s">
        <v>14</v>
      </c>
    </row>
    <row r="11348" spans="1:10" hidden="1" x14ac:dyDescent="0.25">
      <c r="A11348" t="s">
        <v>15049</v>
      </c>
      <c r="B11348" s="1" t="str">
        <f>HYPERLINK("https://asmlis.vasa.lt/Dashboard/Served?ServiceDateFrom=2025-11-24&amp;ServiceDateTo=2025-11-24&amp;DumpsterInvNr=13-L-224226", "13-L-224226")</f>
        <v>13-L-224226</v>
      </c>
      <c r="C11348">
        <v>5</v>
      </c>
      <c r="D11348" t="s">
        <v>15050</v>
      </c>
      <c r="E11348" t="s">
        <v>11</v>
      </c>
      <c r="G11348" t="s">
        <v>936</v>
      </c>
      <c r="H11348" t="s">
        <v>938</v>
      </c>
    </row>
    <row r="11349" spans="1:10" x14ac:dyDescent="0.25">
      <c r="A11349" t="s">
        <v>15049</v>
      </c>
      <c r="B11349" s="1" t="str">
        <f>HYPERLINK("https://asmlis.vasa.lt/Dashboard/Served?ServiceDateFrom=2025-11-24&amp;ServiceDateTo=2025-11-24&amp;DumpsterInvNr=13-P-103539", "13-P-103539")</f>
        <v>13-P-103539</v>
      </c>
      <c r="C11349">
        <v>0.24</v>
      </c>
      <c r="D11349" t="s">
        <v>15051</v>
      </c>
      <c r="E11349" t="s">
        <v>11</v>
      </c>
      <c r="F11349" t="s">
        <v>2556</v>
      </c>
      <c r="G11349" t="s">
        <v>1917</v>
      </c>
      <c r="H11349" t="s">
        <v>432</v>
      </c>
      <c r="J11349" t="s">
        <v>17511</v>
      </c>
    </row>
    <row r="11350" spans="1:10" hidden="1" x14ac:dyDescent="0.25">
      <c r="A11350" t="s">
        <v>14741</v>
      </c>
      <c r="B11350" s="1" t="str">
        <f>HYPERLINK("https://asmlis.vasa.lt/Dashboard/Served?ServiceDateFrom=2025-11-24&amp;ServiceDateTo=2025-11-24&amp;DumpsterInvNr=13-L-140968", "13-L-140968")</f>
        <v>13-L-140968</v>
      </c>
      <c r="C11350">
        <v>1.1000000000000001</v>
      </c>
      <c r="D11350" t="s">
        <v>15052</v>
      </c>
      <c r="E11350" t="s">
        <v>11</v>
      </c>
      <c r="G11350" t="s">
        <v>1912</v>
      </c>
      <c r="H11350" t="s">
        <v>432</v>
      </c>
    </row>
    <row r="11351" spans="1:10" x14ac:dyDescent="0.25">
      <c r="A11351" t="s">
        <v>14920</v>
      </c>
      <c r="B11351" s="1" t="str">
        <f>HYPERLINK("https://asmlis.vasa.lt/Dashboard/Served?ServiceDateFrom=2025-11-24&amp;ServiceDateTo=2025-11-24&amp;DumpsterInvNr=13-S-103053", "13-S-103053")</f>
        <v>13-S-103053</v>
      </c>
      <c r="C11351">
        <v>0.12</v>
      </c>
      <c r="D11351" t="s">
        <v>15051</v>
      </c>
      <c r="E11351" t="s">
        <v>11</v>
      </c>
      <c r="F11351" t="s">
        <v>2556</v>
      </c>
      <c r="G11351" t="s">
        <v>1917</v>
      </c>
      <c r="H11351" t="s">
        <v>432</v>
      </c>
      <c r="J11351" t="s">
        <v>17511</v>
      </c>
    </row>
    <row r="11352" spans="1:10" hidden="1" x14ac:dyDescent="0.25">
      <c r="A11352" t="s">
        <v>14732</v>
      </c>
      <c r="B11352" s="1" t="str">
        <f>HYPERLINK("https://asmlis.vasa.lt/Dashboard/Served?ServiceDateFrom=2025-11-24&amp;ServiceDateTo=2025-11-24&amp;DumpsterInvNr=13-P-203771", "13-P-203771")</f>
        <v>13-P-203771</v>
      </c>
      <c r="C11352">
        <v>0.24</v>
      </c>
      <c r="D11352" t="s">
        <v>15053</v>
      </c>
      <c r="E11352" t="s">
        <v>11</v>
      </c>
      <c r="G11352" t="s">
        <v>234</v>
      </c>
      <c r="H11352" t="s">
        <v>14</v>
      </c>
    </row>
    <row r="11353" spans="1:10" hidden="1" x14ac:dyDescent="0.25">
      <c r="A11353" t="s">
        <v>14735</v>
      </c>
      <c r="B11353" s="1" t="str">
        <f>HYPERLINK("https://asmlis.vasa.lt/Dashboard/Served?ServiceDateFrom=2025-11-24&amp;ServiceDateTo=2025-11-24&amp;DumpsterInvNr=13-P-205363", "13-P-205363")</f>
        <v>13-P-205363</v>
      </c>
      <c r="C11353">
        <v>0.24</v>
      </c>
      <c r="D11353" t="s">
        <v>14117</v>
      </c>
      <c r="E11353" t="s">
        <v>11</v>
      </c>
      <c r="F11353" t="s">
        <v>1209</v>
      </c>
      <c r="G11353" t="s">
        <v>234</v>
      </c>
      <c r="H11353" t="s">
        <v>14</v>
      </c>
    </row>
    <row r="11354" spans="1:10" hidden="1" x14ac:dyDescent="0.25">
      <c r="A11354" t="s">
        <v>14737</v>
      </c>
      <c r="B11354" s="1" t="str">
        <f>HYPERLINK("https://asmlis.vasa.lt/Dashboard/Served?ServiceDateFrom=2025-11-24&amp;ServiceDateTo=2025-11-24&amp;DumpsterInvNr=13-S-504992", "13-S-504992")</f>
        <v>13-S-504992</v>
      </c>
      <c r="C11354">
        <v>0.12</v>
      </c>
      <c r="D11354" t="s">
        <v>15054</v>
      </c>
      <c r="E11354" t="s">
        <v>11</v>
      </c>
      <c r="F11354" t="s">
        <v>1209</v>
      </c>
      <c r="G11354" t="s">
        <v>2178</v>
      </c>
      <c r="H11354" t="s">
        <v>432</v>
      </c>
    </row>
    <row r="11355" spans="1:10" hidden="1" x14ac:dyDescent="0.25">
      <c r="A11355" t="s">
        <v>14751</v>
      </c>
      <c r="B11355" s="1" t="str">
        <f>HYPERLINK("https://asmlis.vasa.lt/Dashboard/Served?ServiceDateFrom=2025-11-24&amp;ServiceDateTo=2025-11-24&amp;DumpsterInvNr=13-P-502757", "13-P-502757")</f>
        <v>13-P-502757</v>
      </c>
      <c r="C11355">
        <v>0.12</v>
      </c>
      <c r="D11355" t="s">
        <v>15054</v>
      </c>
      <c r="E11355" t="s">
        <v>11</v>
      </c>
      <c r="F11355" t="s">
        <v>1209</v>
      </c>
      <c r="G11355" t="s">
        <v>2178</v>
      </c>
      <c r="H11355" t="s">
        <v>432</v>
      </c>
    </row>
    <row r="11356" spans="1:10" hidden="1" x14ac:dyDescent="0.25">
      <c r="A11356" t="s">
        <v>15045</v>
      </c>
      <c r="B11356" s="1" t="str">
        <f>HYPERLINK("https://asmlis.vasa.lt/Dashboard/Served?ServiceDateFrom=2025-11-24&amp;ServiceDateTo=2025-11-24&amp;DumpsterInvNr=13-P-211073", "13-P-211073")</f>
        <v>13-P-211073</v>
      </c>
      <c r="C11356">
        <v>0.24</v>
      </c>
      <c r="D11356" t="s">
        <v>15056</v>
      </c>
      <c r="E11356" t="s">
        <v>11</v>
      </c>
      <c r="F11356" t="s">
        <v>1209</v>
      </c>
      <c r="G11356" t="s">
        <v>234</v>
      </c>
      <c r="H11356" t="s">
        <v>14</v>
      </c>
    </row>
    <row r="11357" spans="1:10" hidden="1" x14ac:dyDescent="0.25">
      <c r="A11357" t="s">
        <v>14760</v>
      </c>
      <c r="B11357" s="1" t="str">
        <f>HYPERLINK("https://asmlis.vasa.lt/Dashboard/Served?ServiceDateFrom=2025-11-24&amp;ServiceDateTo=2025-11-24&amp;DumpsterInvNr=13-P-401243", "13-P-401243")</f>
        <v>13-P-401243</v>
      </c>
      <c r="C11357">
        <v>5</v>
      </c>
      <c r="D11357" t="s">
        <v>5202</v>
      </c>
      <c r="E11357" t="s">
        <v>11</v>
      </c>
      <c r="F11357" t="s">
        <v>13</v>
      </c>
      <c r="G11357" t="s">
        <v>264</v>
      </c>
      <c r="H11357" t="s">
        <v>14</v>
      </c>
    </row>
    <row r="11358" spans="1:10" hidden="1" x14ac:dyDescent="0.25">
      <c r="A11358" t="s">
        <v>14760</v>
      </c>
      <c r="B11358" s="1" t="str">
        <f>HYPERLINK("https://asmlis.vasa.lt/Dashboard/Served?ServiceDateFrom=2025-11-24&amp;ServiceDateTo=2025-11-24&amp;DumpsterInvNr=13-P-500503", "13-P-500503")</f>
        <v>13-P-500503</v>
      </c>
      <c r="C11358">
        <v>5</v>
      </c>
      <c r="D11358" t="s">
        <v>15057</v>
      </c>
      <c r="E11358" t="s">
        <v>11</v>
      </c>
      <c r="F11358" t="s">
        <v>13</v>
      </c>
      <c r="G11358" t="s">
        <v>2178</v>
      </c>
      <c r="H11358" t="s">
        <v>432</v>
      </c>
    </row>
    <row r="11359" spans="1:10" hidden="1" x14ac:dyDescent="0.25">
      <c r="A11359" t="s">
        <v>14820</v>
      </c>
      <c r="B11359" s="1" t="str">
        <f>HYPERLINK("https://asmlis.vasa.lt/Dashboard/Served?ServiceDateFrom=2025-11-24&amp;ServiceDateTo=2025-11-24&amp;DumpsterInvNr=13-P-210621", "13-P-210621")</f>
        <v>13-P-210621</v>
      </c>
      <c r="C11359">
        <v>0.24</v>
      </c>
      <c r="D11359" t="s">
        <v>15058</v>
      </c>
      <c r="E11359" t="s">
        <v>11</v>
      </c>
      <c r="F11359" t="s">
        <v>1209</v>
      </c>
      <c r="G11359" t="s">
        <v>234</v>
      </c>
      <c r="H11359" t="s">
        <v>14</v>
      </c>
    </row>
    <row r="11360" spans="1:10" hidden="1" x14ac:dyDescent="0.25">
      <c r="A11360" t="s">
        <v>14820</v>
      </c>
      <c r="B11360" s="1" t="str">
        <f>HYPERLINK("https://asmlis.vasa.lt/Dashboard/Served?ServiceDateFrom=2025-11-24&amp;ServiceDateTo=2025-11-24&amp;DumpsterInvNr=13-P-502756", "13-P-502756")</f>
        <v>13-P-502756</v>
      </c>
      <c r="C11360">
        <v>0.12</v>
      </c>
      <c r="D11360" t="s">
        <v>15060</v>
      </c>
      <c r="E11360" t="s">
        <v>11</v>
      </c>
      <c r="F11360" t="s">
        <v>1209</v>
      </c>
      <c r="G11360" t="s">
        <v>2178</v>
      </c>
      <c r="H11360" t="s">
        <v>432</v>
      </c>
    </row>
    <row r="11361" spans="1:10" hidden="1" x14ac:dyDescent="0.25">
      <c r="A11361" t="s">
        <v>15061</v>
      </c>
      <c r="B11361" s="1" t="str">
        <f>HYPERLINK("https://asmlis.vasa.lt/Dashboard/Served?ServiceDateFrom=2025-11-24&amp;ServiceDateTo=2025-11-24&amp;DumpsterInvNr=13-L-109823", "13-L-109823")</f>
        <v>13-L-109823</v>
      </c>
      <c r="C11361">
        <v>0.24</v>
      </c>
      <c r="D11361" t="s">
        <v>15060</v>
      </c>
      <c r="E11361" t="s">
        <v>11</v>
      </c>
      <c r="F11361" t="s">
        <v>1209</v>
      </c>
      <c r="G11361" t="s">
        <v>430</v>
      </c>
      <c r="H11361" t="s">
        <v>432</v>
      </c>
    </row>
    <row r="11362" spans="1:10" hidden="1" x14ac:dyDescent="0.25">
      <c r="A11362" t="s">
        <v>14746</v>
      </c>
      <c r="B11362" s="1" t="str">
        <f>HYPERLINK("https://asmlis.vasa.lt/Dashboard/Served?ServiceDateFrom=2025-11-24&amp;ServiceDateTo=2025-11-24&amp;DumpsterInvNr=13-S-206608", "13-S-206608")</f>
        <v>13-S-206608</v>
      </c>
      <c r="C11362">
        <v>0.12</v>
      </c>
      <c r="D11362" t="s">
        <v>14124</v>
      </c>
      <c r="E11362" t="s">
        <v>11</v>
      </c>
      <c r="F11362" t="s">
        <v>1209</v>
      </c>
      <c r="G11362" t="s">
        <v>234</v>
      </c>
      <c r="H11362" t="s">
        <v>14</v>
      </c>
    </row>
    <row r="11363" spans="1:10" hidden="1" x14ac:dyDescent="0.25">
      <c r="A11363" t="s">
        <v>14890</v>
      </c>
      <c r="B11363" s="1" t="str">
        <f>HYPERLINK("https://asmlis.vasa.lt/Dashboard/Served?ServiceDateFrom=2025-11-24&amp;ServiceDateTo=2025-11-24&amp;DumpsterInvNr=13-P-208631", "13-P-208631")</f>
        <v>13-P-208631</v>
      </c>
      <c r="C11363">
        <v>0.24</v>
      </c>
      <c r="D11363" t="s">
        <v>14138</v>
      </c>
      <c r="E11363" t="s">
        <v>11</v>
      </c>
      <c r="F11363" t="s">
        <v>1209</v>
      </c>
      <c r="G11363" t="s">
        <v>234</v>
      </c>
      <c r="H11363" t="s">
        <v>14</v>
      </c>
    </row>
    <row r="11364" spans="1:10" x14ac:dyDescent="0.25">
      <c r="A11364" t="s">
        <v>14968</v>
      </c>
      <c r="B11364" s="1" t="str">
        <f>HYPERLINK("https://asmlis.vasa.lt/Dashboard/Served?ServiceDateFrom=2025-11-24&amp;ServiceDateTo=2025-11-24&amp;DumpsterInvNr=13-P-104094", "13-P-104094")</f>
        <v>13-P-104094</v>
      </c>
      <c r="C11364">
        <v>0.24</v>
      </c>
      <c r="D11364" t="s">
        <v>15064</v>
      </c>
      <c r="E11364" t="s">
        <v>11</v>
      </c>
      <c r="F11364" t="s">
        <v>2556</v>
      </c>
      <c r="G11364" t="s">
        <v>1917</v>
      </c>
      <c r="H11364" t="s">
        <v>432</v>
      </c>
      <c r="J11364" t="s">
        <v>17511</v>
      </c>
    </row>
    <row r="11365" spans="1:10" hidden="1" x14ac:dyDescent="0.25">
      <c r="A11365" t="s">
        <v>15065</v>
      </c>
      <c r="B11365" s="1" t="str">
        <f>HYPERLINK("https://asmlis.vasa.lt/Dashboard/Served?ServiceDateFrom=2025-11-24&amp;ServiceDateTo=2025-11-24&amp;DumpsterInvNr=13-P-206970", "13-P-206970")</f>
        <v>13-P-206970</v>
      </c>
      <c r="C11365">
        <v>0.24</v>
      </c>
      <c r="D11365" t="s">
        <v>14141</v>
      </c>
      <c r="E11365" t="s">
        <v>11</v>
      </c>
      <c r="F11365" t="s">
        <v>1209</v>
      </c>
      <c r="G11365" t="s">
        <v>234</v>
      </c>
      <c r="H11365" t="s">
        <v>14</v>
      </c>
    </row>
    <row r="11366" spans="1:10" hidden="1" x14ac:dyDescent="0.25">
      <c r="A11366" t="s">
        <v>15067</v>
      </c>
      <c r="B11366" s="1" t="str">
        <f>HYPERLINK("https://asmlis.vasa.lt/Dashboard/Served?ServiceDateFrom=2025-11-24&amp;ServiceDateTo=2025-11-24&amp;DumpsterInvNr=13-L-114247", "13-L-114247")</f>
        <v>13-L-114247</v>
      </c>
      <c r="C11366">
        <v>0.12</v>
      </c>
      <c r="D11366" t="s">
        <v>15054</v>
      </c>
      <c r="E11366" t="s">
        <v>11</v>
      </c>
      <c r="F11366" t="s">
        <v>1209</v>
      </c>
      <c r="G11366" t="s">
        <v>430</v>
      </c>
      <c r="H11366" t="s">
        <v>432</v>
      </c>
    </row>
    <row r="11367" spans="1:10" hidden="1" x14ac:dyDescent="0.25">
      <c r="A11367" t="s">
        <v>15068</v>
      </c>
      <c r="B11367" s="1" t="str">
        <f>HYPERLINK("https://asmlis.vasa.lt/Dashboard/Served?ServiceDateFrom=2025-11-24&amp;ServiceDateTo=2025-11-24&amp;DumpsterInvNr=13-P-210640", "13-P-210640")</f>
        <v>13-P-210640</v>
      </c>
      <c r="C11367">
        <v>0.24</v>
      </c>
      <c r="D11367" t="s">
        <v>14134</v>
      </c>
      <c r="E11367" t="s">
        <v>11</v>
      </c>
      <c r="F11367" t="s">
        <v>1209</v>
      </c>
      <c r="G11367" t="s">
        <v>234</v>
      </c>
      <c r="H11367" t="s">
        <v>14</v>
      </c>
    </row>
    <row r="11368" spans="1:10" x14ac:dyDescent="0.25">
      <c r="A11368" t="s">
        <v>15069</v>
      </c>
      <c r="B11368" s="1" t="str">
        <f>HYPERLINK("https://asmlis.vasa.lt/Dashboard/Served?ServiceDateFrom=2025-11-24&amp;ServiceDateTo=2025-11-24&amp;DumpsterInvNr=13-L-133360", "13-L-133360")</f>
        <v>13-L-133360</v>
      </c>
      <c r="C11368">
        <v>0.12</v>
      </c>
      <c r="D11368" t="s">
        <v>15064</v>
      </c>
      <c r="E11368" t="s">
        <v>11</v>
      </c>
      <c r="F11368" t="s">
        <v>2556</v>
      </c>
      <c r="G11368" t="s">
        <v>1912</v>
      </c>
      <c r="H11368" t="s">
        <v>432</v>
      </c>
      <c r="J11368" t="s">
        <v>17511</v>
      </c>
    </row>
    <row r="11369" spans="1:10" hidden="1" x14ac:dyDescent="0.25">
      <c r="A11369" t="s">
        <v>15070</v>
      </c>
      <c r="B11369" s="1" t="str">
        <f>HYPERLINK("https://asmlis.vasa.lt/Dashboard/Served?ServiceDateFrom=2025-11-24&amp;ServiceDateTo=2025-11-24&amp;DumpsterInvNr=13-S-504991", "13-S-504991")</f>
        <v>13-S-504991</v>
      </c>
      <c r="C11369">
        <v>0.12</v>
      </c>
      <c r="D11369" t="s">
        <v>15060</v>
      </c>
      <c r="E11369" t="s">
        <v>11</v>
      </c>
      <c r="F11369" t="s">
        <v>1209</v>
      </c>
      <c r="G11369" t="s">
        <v>2178</v>
      </c>
      <c r="H11369" t="s">
        <v>432</v>
      </c>
    </row>
    <row r="11370" spans="1:10" hidden="1" x14ac:dyDescent="0.25">
      <c r="A11370" t="s">
        <v>15072</v>
      </c>
      <c r="B11370" s="1" t="str">
        <f>HYPERLINK("https://asmlis.vasa.lt/Dashboard/Served?ServiceDateFrom=2025-11-24&amp;ServiceDateTo=2025-11-24&amp;DumpsterInvNr=13-P-211074", "13-P-211074")</f>
        <v>13-P-211074</v>
      </c>
      <c r="C11370">
        <v>0.24</v>
      </c>
      <c r="D11370" t="s">
        <v>14112</v>
      </c>
      <c r="E11370" t="s">
        <v>11</v>
      </c>
      <c r="F11370" t="s">
        <v>1209</v>
      </c>
      <c r="G11370" t="s">
        <v>234</v>
      </c>
      <c r="H11370" t="s">
        <v>14</v>
      </c>
    </row>
    <row r="11371" spans="1:10" hidden="1" x14ac:dyDescent="0.25">
      <c r="A11371" t="s">
        <v>15072</v>
      </c>
      <c r="B11371" s="1" t="str">
        <f>HYPERLINK("https://asmlis.vasa.lt/Dashboard/Served?ServiceDateFrom=2025-11-24&amp;ServiceDateTo=2025-11-24&amp;DumpsterInvNr=13-P-210667", "13-P-210667")</f>
        <v>13-P-210667</v>
      </c>
      <c r="C11371">
        <v>0.24</v>
      </c>
      <c r="D11371" t="s">
        <v>14124</v>
      </c>
      <c r="E11371" t="s">
        <v>11</v>
      </c>
      <c r="F11371" t="s">
        <v>1209</v>
      </c>
      <c r="G11371" t="s">
        <v>234</v>
      </c>
      <c r="H11371" t="s">
        <v>14</v>
      </c>
    </row>
    <row r="11372" spans="1:10" x14ac:dyDescent="0.25">
      <c r="A11372" t="s">
        <v>15073</v>
      </c>
      <c r="B11372" s="1" t="str">
        <f>HYPERLINK("https://asmlis.vasa.lt/Dashboard/Served?ServiceDateFrom=2025-11-24&amp;ServiceDateTo=2025-11-24&amp;DumpsterInvNr=13-S-102412", "13-S-102412")</f>
        <v>13-S-102412</v>
      </c>
      <c r="C11372">
        <v>0.12</v>
      </c>
      <c r="D11372" t="s">
        <v>15074</v>
      </c>
      <c r="E11372" t="s">
        <v>11</v>
      </c>
      <c r="F11372" t="s">
        <v>2556</v>
      </c>
      <c r="G11372" t="s">
        <v>1917</v>
      </c>
      <c r="H11372" t="s">
        <v>432</v>
      </c>
      <c r="J11372" t="s">
        <v>17511</v>
      </c>
    </row>
    <row r="11373" spans="1:10" hidden="1" x14ac:dyDescent="0.25">
      <c r="A11373" t="s">
        <v>15076</v>
      </c>
      <c r="B11373" s="1" t="str">
        <f>HYPERLINK("https://asmlis.vasa.lt/Dashboard/Served?ServiceDateFrom=2025-11-24&amp;ServiceDateTo=2025-11-24&amp;DumpsterInvNr=13-P-400575", "13-P-400575")</f>
        <v>13-P-400575</v>
      </c>
      <c r="C11373">
        <v>5</v>
      </c>
      <c r="D11373" t="s">
        <v>13718</v>
      </c>
      <c r="E11373" t="s">
        <v>11</v>
      </c>
      <c r="F11373" t="s">
        <v>13</v>
      </c>
      <c r="G11373" t="s">
        <v>264</v>
      </c>
      <c r="H11373" t="s">
        <v>14</v>
      </c>
    </row>
    <row r="11374" spans="1:10" x14ac:dyDescent="0.25">
      <c r="A11374" t="s">
        <v>15059</v>
      </c>
      <c r="B11374" s="1" t="str">
        <f>HYPERLINK("https://asmlis.vasa.lt/Dashboard/Served?ServiceDateFrom=2025-11-24&amp;ServiceDateTo=2025-11-24&amp;DumpsterInvNr=13-P-116246", "13-P-116246")</f>
        <v>13-P-116246</v>
      </c>
      <c r="C11374">
        <v>0.24</v>
      </c>
      <c r="D11374" t="s">
        <v>15074</v>
      </c>
      <c r="E11374" t="s">
        <v>11</v>
      </c>
      <c r="F11374" t="s">
        <v>2556</v>
      </c>
      <c r="G11374" t="s">
        <v>1917</v>
      </c>
      <c r="H11374" t="s">
        <v>432</v>
      </c>
      <c r="J11374" t="s">
        <v>17511</v>
      </c>
    </row>
    <row r="11375" spans="1:10" hidden="1" x14ac:dyDescent="0.25">
      <c r="A11375" t="s">
        <v>15063</v>
      </c>
      <c r="B11375" s="1" t="str">
        <f>HYPERLINK("https://asmlis.vasa.lt/Dashboard/Served?ServiceDateFrom=2025-11-24&amp;ServiceDateTo=2025-11-24&amp;DumpsterInvNr=13-L-408629", "13-L-408629")</f>
        <v>13-L-408629</v>
      </c>
      <c r="C11375">
        <v>5</v>
      </c>
      <c r="D11375" t="s">
        <v>7224</v>
      </c>
      <c r="E11375" t="s">
        <v>11</v>
      </c>
      <c r="F11375" t="s">
        <v>13</v>
      </c>
      <c r="G11375" t="s">
        <v>74</v>
      </c>
      <c r="H11375" t="s">
        <v>14</v>
      </c>
    </row>
    <row r="11376" spans="1:10" hidden="1" x14ac:dyDescent="0.25">
      <c r="A11376" t="s">
        <v>15066</v>
      </c>
      <c r="B11376" s="1" t="str">
        <f>HYPERLINK("https://asmlis.vasa.lt/Dashboard/Served?ServiceDateFrom=2025-11-24&amp;ServiceDateTo=2025-11-24&amp;DumpsterInvNr=13-L-109824", "13-L-109824")</f>
        <v>13-L-109824</v>
      </c>
      <c r="C11376">
        <v>0.12</v>
      </c>
      <c r="D11376" t="s">
        <v>15077</v>
      </c>
      <c r="E11376" t="s">
        <v>11</v>
      </c>
      <c r="G11376" t="s">
        <v>430</v>
      </c>
      <c r="H11376" t="s">
        <v>432</v>
      </c>
    </row>
    <row r="11377" spans="1:10" hidden="1" x14ac:dyDescent="0.25">
      <c r="A11377" t="s">
        <v>15066</v>
      </c>
      <c r="B11377" s="1" t="str">
        <f>HYPERLINK("https://asmlis.vasa.lt/Dashboard/Served?ServiceDateFrom=2025-11-24&amp;ServiceDateTo=2025-11-24&amp;DumpsterInvNr=13-L-303897", "13-L-303897")</f>
        <v>13-L-303897</v>
      </c>
      <c r="C11377">
        <v>1.1000000000000001</v>
      </c>
      <c r="D11377" t="s">
        <v>15078</v>
      </c>
      <c r="E11377" t="s">
        <v>11</v>
      </c>
      <c r="G11377" t="s">
        <v>9</v>
      </c>
      <c r="H11377" t="s">
        <v>14</v>
      </c>
    </row>
    <row r="11378" spans="1:10" hidden="1" x14ac:dyDescent="0.25">
      <c r="A11378" t="s">
        <v>15066</v>
      </c>
      <c r="B11378" s="1" t="str">
        <f>HYPERLINK("https://asmlis.vasa.lt/Dashboard/Served?ServiceDateFrom=2025-11-24&amp;ServiceDateTo=2025-11-24&amp;DumpsterInvNr=13-P-502755", "13-P-502755")</f>
        <v>13-P-502755</v>
      </c>
      <c r="C11378">
        <v>0.12</v>
      </c>
      <c r="D11378" t="s">
        <v>15077</v>
      </c>
      <c r="E11378" t="s">
        <v>11</v>
      </c>
      <c r="G11378" t="s">
        <v>2178</v>
      </c>
      <c r="H11378" t="s">
        <v>432</v>
      </c>
    </row>
    <row r="11379" spans="1:10" hidden="1" x14ac:dyDescent="0.25">
      <c r="A11379" t="s">
        <v>15079</v>
      </c>
      <c r="B11379" s="1" t="str">
        <f>HYPERLINK("https://asmlis.vasa.lt/Dashboard/Served?ServiceDateFrom=2025-11-24&amp;ServiceDateTo=2025-11-24&amp;DumpsterInvNr=13-S-207341", "13-S-207341")</f>
        <v>13-S-207341</v>
      </c>
      <c r="C11379">
        <v>0.12</v>
      </c>
      <c r="D11379" t="s">
        <v>14156</v>
      </c>
      <c r="E11379" t="s">
        <v>11</v>
      </c>
      <c r="G11379" t="s">
        <v>234</v>
      </c>
      <c r="H11379" t="s">
        <v>14</v>
      </c>
    </row>
    <row r="11380" spans="1:10" x14ac:dyDescent="0.25">
      <c r="A11380" t="s">
        <v>15081</v>
      </c>
      <c r="B11380" s="1" t="str">
        <f>HYPERLINK("https://asmlis.vasa.lt/Dashboard/Served?ServiceDateFrom=2025-11-24&amp;ServiceDateTo=2025-11-24&amp;DumpsterInvNr=13-L-134389", "13-L-134389")</f>
        <v>13-L-134389</v>
      </c>
      <c r="C11380">
        <v>0.12</v>
      </c>
      <c r="D11380" t="s">
        <v>15051</v>
      </c>
      <c r="E11380" t="s">
        <v>11</v>
      </c>
      <c r="F11380" t="s">
        <v>2556</v>
      </c>
      <c r="G11380" t="s">
        <v>1912</v>
      </c>
      <c r="H11380" t="s">
        <v>432</v>
      </c>
      <c r="J11380" t="s">
        <v>17511</v>
      </c>
    </row>
    <row r="11381" spans="1:10" hidden="1" x14ac:dyDescent="0.25">
      <c r="A11381" t="s">
        <v>15081</v>
      </c>
      <c r="B11381" s="1" t="str">
        <f>HYPERLINK("https://asmlis.vasa.lt/Dashboard/Served?ServiceDateFrom=2025-11-24&amp;ServiceDateTo=2025-11-24&amp;DumpsterInvNr=13-P-401272", "13-P-401272")</f>
        <v>13-P-401272</v>
      </c>
      <c r="C11381">
        <v>5</v>
      </c>
      <c r="D11381" t="s">
        <v>5244</v>
      </c>
      <c r="E11381" t="s">
        <v>11</v>
      </c>
      <c r="F11381" t="s">
        <v>13</v>
      </c>
      <c r="G11381" t="s">
        <v>264</v>
      </c>
      <c r="H11381" t="s">
        <v>14</v>
      </c>
    </row>
    <row r="11382" spans="1:10" hidden="1" x14ac:dyDescent="0.25">
      <c r="A11382" t="s">
        <v>15082</v>
      </c>
      <c r="B11382" s="1" t="str">
        <f>HYPERLINK("https://asmlis.vasa.lt/Dashboard/Served?ServiceDateFrom=2025-11-24&amp;ServiceDateTo=2025-11-24&amp;DumpsterInvNr=13-P-401163", "13-P-401163")</f>
        <v>13-P-401163</v>
      </c>
      <c r="C11382">
        <v>5</v>
      </c>
      <c r="D11382" t="s">
        <v>5244</v>
      </c>
      <c r="E11382" t="s">
        <v>11</v>
      </c>
      <c r="F11382" t="s">
        <v>13</v>
      </c>
      <c r="G11382" t="s">
        <v>264</v>
      </c>
      <c r="H11382" t="s">
        <v>14</v>
      </c>
    </row>
    <row r="11383" spans="1:10" x14ac:dyDescent="0.25">
      <c r="A11383" t="s">
        <v>15083</v>
      </c>
      <c r="B11383" s="1" t="str">
        <f>HYPERLINK("https://asmlis.vasa.lt/Dashboard/Served?ServiceDateFrom=2025-11-24&amp;ServiceDateTo=2025-11-24&amp;DumpsterInvNr=13-S-112221", "13-S-112221")</f>
        <v>13-S-112221</v>
      </c>
      <c r="C11383">
        <v>0.12</v>
      </c>
      <c r="D11383" t="s">
        <v>15064</v>
      </c>
      <c r="E11383" t="s">
        <v>11</v>
      </c>
      <c r="F11383" t="s">
        <v>2556</v>
      </c>
      <c r="G11383" t="s">
        <v>1917</v>
      </c>
      <c r="H11383" t="s">
        <v>432</v>
      </c>
      <c r="J11383" t="s">
        <v>17511</v>
      </c>
    </row>
    <row r="11384" spans="1:10" hidden="1" x14ac:dyDescent="0.25">
      <c r="A11384" t="s">
        <v>15084</v>
      </c>
      <c r="B11384" s="1" t="str">
        <f>HYPERLINK("https://asmlis.vasa.lt/Dashboard/Served?ServiceDateFrom=2025-11-24&amp;ServiceDateTo=2025-11-24&amp;DumpsterInvNr=13-L-220442", "13-L-220442")</f>
        <v>13-L-220442</v>
      </c>
      <c r="C11384">
        <v>1.1000000000000001</v>
      </c>
      <c r="D11384" t="s">
        <v>15085</v>
      </c>
      <c r="E11384" t="s">
        <v>11</v>
      </c>
      <c r="F11384" t="s">
        <v>1209</v>
      </c>
      <c r="G11384" t="s">
        <v>936</v>
      </c>
      <c r="H11384" t="s">
        <v>938</v>
      </c>
    </row>
    <row r="11385" spans="1:10" hidden="1" x14ac:dyDescent="0.25">
      <c r="A11385" t="s">
        <v>15087</v>
      </c>
      <c r="B11385" s="1" t="str">
        <f>HYPERLINK("https://asmlis.vasa.lt/Dashboard/Served?ServiceDateFrom=2025-11-24&amp;ServiceDateTo=2025-11-24&amp;DumpsterInvNr=13-L-123171", "13-L-123171")</f>
        <v>13-L-123171</v>
      </c>
      <c r="C11385">
        <v>0.77</v>
      </c>
      <c r="D11385" t="s">
        <v>15088</v>
      </c>
      <c r="E11385" t="s">
        <v>11</v>
      </c>
      <c r="G11385" t="s">
        <v>1912</v>
      </c>
      <c r="H11385" t="s">
        <v>432</v>
      </c>
    </row>
    <row r="11386" spans="1:10" hidden="1" x14ac:dyDescent="0.25">
      <c r="A11386" t="s">
        <v>15089</v>
      </c>
      <c r="B11386" s="1" t="str">
        <f>HYPERLINK("https://asmlis.vasa.lt/Dashboard/Served?ServiceDateFrom=2025-11-24&amp;ServiceDateTo=2025-11-24&amp;DumpsterInvNr=13-L-214345", "13-L-214345")</f>
        <v>13-L-214345</v>
      </c>
      <c r="C11386">
        <v>1.1000000000000001</v>
      </c>
      <c r="D11386" t="s">
        <v>15090</v>
      </c>
      <c r="E11386" t="s">
        <v>11</v>
      </c>
      <c r="F11386" t="s">
        <v>1209</v>
      </c>
      <c r="G11386" t="s">
        <v>936</v>
      </c>
      <c r="H11386" t="s">
        <v>938</v>
      </c>
    </row>
    <row r="11387" spans="1:10" hidden="1" x14ac:dyDescent="0.25">
      <c r="A11387" t="s">
        <v>15091</v>
      </c>
      <c r="B11387" s="1" t="str">
        <f>HYPERLINK("https://asmlis.vasa.lt/Dashboard/Served?ServiceDateFrom=2025-11-24&amp;ServiceDateTo=2025-11-24&amp;DumpsterInvNr=13-P-205179", "13-P-205179")</f>
        <v>13-P-205179</v>
      </c>
      <c r="C11387">
        <v>0.24</v>
      </c>
      <c r="D11387" t="s">
        <v>14156</v>
      </c>
      <c r="E11387" t="s">
        <v>11</v>
      </c>
      <c r="G11387" t="s">
        <v>234</v>
      </c>
      <c r="H11387" t="s">
        <v>14</v>
      </c>
    </row>
    <row r="11388" spans="1:10" x14ac:dyDescent="0.25">
      <c r="A11388" t="s">
        <v>15092</v>
      </c>
      <c r="B11388" s="1" t="str">
        <f>HYPERLINK("https://asmlis.vasa.lt/Dashboard/Served?ServiceDateFrom=2025-11-24&amp;ServiceDateTo=2025-11-24&amp;DumpsterInvNr=13-L-102674", "13-L-102674")</f>
        <v>13-L-102674</v>
      </c>
      <c r="C11388">
        <v>0.12</v>
      </c>
      <c r="D11388" t="s">
        <v>15074</v>
      </c>
      <c r="E11388" t="s">
        <v>11</v>
      </c>
      <c r="F11388" t="s">
        <v>2556</v>
      </c>
      <c r="G11388" t="s">
        <v>1912</v>
      </c>
      <c r="H11388" t="s">
        <v>432</v>
      </c>
      <c r="J11388" t="s">
        <v>17511</v>
      </c>
    </row>
    <row r="11389" spans="1:10" hidden="1" x14ac:dyDescent="0.25">
      <c r="A11389" t="s">
        <v>15092</v>
      </c>
      <c r="B11389" s="1" t="str">
        <f>HYPERLINK("https://asmlis.vasa.lt/Dashboard/Served?ServiceDateFrom=2025-11-24&amp;ServiceDateTo=2025-11-24&amp;DumpsterInvNr=13-P-506953", "13-P-506953")</f>
        <v>13-P-506953</v>
      </c>
      <c r="C11389">
        <v>0.24</v>
      </c>
      <c r="D11389" t="s">
        <v>15093</v>
      </c>
      <c r="E11389" t="s">
        <v>11</v>
      </c>
      <c r="G11389" t="s">
        <v>2178</v>
      </c>
      <c r="H11389" t="s">
        <v>432</v>
      </c>
    </row>
    <row r="11390" spans="1:10" hidden="1" x14ac:dyDescent="0.25">
      <c r="A11390" t="s">
        <v>15092</v>
      </c>
      <c r="B11390" s="1" t="str">
        <f>HYPERLINK("https://asmlis.vasa.lt/Dashboard/Served?ServiceDateFrom=2025-11-24&amp;ServiceDateTo=2025-11-24&amp;DumpsterInvNr=13-L-135705", "13-L-135705")</f>
        <v>13-L-135705</v>
      </c>
      <c r="C11390">
        <v>0.24</v>
      </c>
      <c r="D11390" t="s">
        <v>15093</v>
      </c>
      <c r="E11390" t="s">
        <v>11</v>
      </c>
      <c r="G11390" t="s">
        <v>430</v>
      </c>
      <c r="H11390" t="s">
        <v>432</v>
      </c>
    </row>
    <row r="11391" spans="1:10" hidden="1" x14ac:dyDescent="0.25">
      <c r="A11391" t="s">
        <v>15095</v>
      </c>
      <c r="B11391" s="1" t="str">
        <f>HYPERLINK("https://asmlis.vasa.lt/Dashboard/Served?ServiceDateFrom=2025-11-24&amp;ServiceDateTo=2025-11-24&amp;DumpsterInvNr=13-L-123170", "13-L-123170")</f>
        <v>13-L-123170</v>
      </c>
      <c r="C11391">
        <v>0.77</v>
      </c>
      <c r="D11391" t="s">
        <v>15088</v>
      </c>
      <c r="E11391" t="s">
        <v>11</v>
      </c>
      <c r="G11391" t="s">
        <v>1912</v>
      </c>
      <c r="H11391" t="s">
        <v>432</v>
      </c>
    </row>
    <row r="11392" spans="1:10" hidden="1" x14ac:dyDescent="0.25">
      <c r="A11392" t="s">
        <v>15097</v>
      </c>
      <c r="B11392" s="1" t="str">
        <f>HYPERLINK("https://asmlis.vasa.lt/Dashboard/Served?ServiceDateFrom=2025-11-24&amp;ServiceDateTo=2025-11-24&amp;DumpsterInvNr=13-S-207392", "13-S-207392")</f>
        <v>13-S-207392</v>
      </c>
      <c r="C11392">
        <v>3</v>
      </c>
      <c r="D11392" t="s">
        <v>15098</v>
      </c>
      <c r="E11392" t="s">
        <v>11</v>
      </c>
      <c r="G11392" t="s">
        <v>234</v>
      </c>
      <c r="H11392" t="s">
        <v>14</v>
      </c>
    </row>
    <row r="11393" spans="1:10" hidden="1" x14ac:dyDescent="0.25">
      <c r="A11393" t="s">
        <v>15099</v>
      </c>
      <c r="B11393" s="1" t="str">
        <f>HYPERLINK("https://asmlis.vasa.lt/Dashboard/Served?ServiceDateFrom=2025-11-24&amp;ServiceDateTo=2025-11-24&amp;DumpsterInvNr=13-P-211846", "13-P-211846")</f>
        <v>13-P-211846</v>
      </c>
      <c r="C11393">
        <v>0.24</v>
      </c>
      <c r="D11393" t="s">
        <v>14150</v>
      </c>
      <c r="E11393" t="s">
        <v>11</v>
      </c>
      <c r="F11393" t="s">
        <v>1209</v>
      </c>
      <c r="G11393" t="s">
        <v>234</v>
      </c>
      <c r="H11393" t="s">
        <v>14</v>
      </c>
    </row>
    <row r="11394" spans="1:10" hidden="1" x14ac:dyDescent="0.25">
      <c r="A11394" t="s">
        <v>15100</v>
      </c>
      <c r="B11394" s="1" t="str">
        <f>HYPERLINK("https://asmlis.vasa.lt/Dashboard/Served?ServiceDateFrom=2025-11-24&amp;ServiceDateTo=2025-11-24&amp;DumpsterInvNr=13-P-111218", "13-P-111218")</f>
        <v>13-P-111218</v>
      </c>
      <c r="C11394">
        <v>1.1000000000000001</v>
      </c>
      <c r="D11394" t="s">
        <v>15101</v>
      </c>
      <c r="E11394" t="s">
        <v>11</v>
      </c>
      <c r="G11394" t="s">
        <v>1917</v>
      </c>
      <c r="H11394" t="s">
        <v>432</v>
      </c>
    </row>
    <row r="11395" spans="1:10" hidden="1" x14ac:dyDescent="0.25">
      <c r="A11395" t="s">
        <v>15102</v>
      </c>
      <c r="B11395" s="1" t="str">
        <f>HYPERLINK("https://asmlis.vasa.lt/Dashboard/Served?ServiceDateFrom=2025-11-24&amp;ServiceDateTo=2025-11-24&amp;DumpsterInvNr=13-L-303898", "13-L-303898")</f>
        <v>13-L-303898</v>
      </c>
      <c r="C11395">
        <v>1.1000000000000001</v>
      </c>
      <c r="D11395" t="s">
        <v>15078</v>
      </c>
      <c r="E11395" t="s">
        <v>11</v>
      </c>
      <c r="G11395" t="s">
        <v>9</v>
      </c>
      <c r="H11395" t="s">
        <v>14</v>
      </c>
    </row>
    <row r="11396" spans="1:10" hidden="1" x14ac:dyDescent="0.25">
      <c r="A11396" t="s">
        <v>14837</v>
      </c>
      <c r="B11396" s="1" t="str">
        <f>HYPERLINK("https://asmlis.vasa.lt/Dashboard/Served?ServiceDateFrom=2025-11-24&amp;ServiceDateTo=2025-11-24&amp;DumpsterInvNr=13-L-144107", "13-L-144107")</f>
        <v>13-L-144107</v>
      </c>
      <c r="C11396">
        <v>0.12</v>
      </c>
      <c r="D11396" t="s">
        <v>15103</v>
      </c>
      <c r="E11396" t="s">
        <v>11</v>
      </c>
      <c r="G11396" t="s">
        <v>430</v>
      </c>
      <c r="H11396" t="s">
        <v>432</v>
      </c>
    </row>
    <row r="11397" spans="1:10" hidden="1" x14ac:dyDescent="0.25">
      <c r="A11397" t="s">
        <v>15104</v>
      </c>
      <c r="B11397" s="1" t="str">
        <f>HYPERLINK("https://asmlis.vasa.lt/Dashboard/Served?ServiceDateFrom=2025-11-24&amp;ServiceDateTo=2025-11-24&amp;DumpsterInvNr=13-P-204322", "13-P-204322")</f>
        <v>13-P-204322</v>
      </c>
      <c r="C11397">
        <v>0.24</v>
      </c>
      <c r="D11397" t="s">
        <v>14206</v>
      </c>
      <c r="E11397" t="s">
        <v>11</v>
      </c>
      <c r="G11397" t="s">
        <v>234</v>
      </c>
      <c r="H11397" t="s">
        <v>14</v>
      </c>
    </row>
    <row r="11398" spans="1:10" hidden="1" x14ac:dyDescent="0.25">
      <c r="A11398" t="s">
        <v>15105</v>
      </c>
      <c r="B11398" s="1" t="str">
        <f>HYPERLINK("https://asmlis.vasa.lt/Dashboard/Served?ServiceDateFrom=2025-11-24&amp;ServiceDateTo=2025-11-24&amp;DumpsterInvNr=13-P-502754", "13-P-502754")</f>
        <v>13-P-502754</v>
      </c>
      <c r="C11398">
        <v>0.24</v>
      </c>
      <c r="D11398" t="s">
        <v>15103</v>
      </c>
      <c r="E11398" t="s">
        <v>11</v>
      </c>
      <c r="G11398" t="s">
        <v>2178</v>
      </c>
      <c r="H11398" t="s">
        <v>432</v>
      </c>
    </row>
    <row r="11399" spans="1:10" hidden="1" x14ac:dyDescent="0.25">
      <c r="A11399" t="s">
        <v>15106</v>
      </c>
      <c r="B11399" s="1" t="str">
        <f>HYPERLINK("https://asmlis.vasa.lt/Dashboard/Served?ServiceDateFrom=2025-11-24&amp;ServiceDateTo=2025-11-24&amp;DumpsterInvNr=13-P-211025", "13-P-211025")</f>
        <v>13-P-211025</v>
      </c>
      <c r="C11399">
        <v>0.24</v>
      </c>
      <c r="D11399" t="s">
        <v>14198</v>
      </c>
      <c r="E11399" t="s">
        <v>11</v>
      </c>
      <c r="F11399" t="s">
        <v>1209</v>
      </c>
      <c r="G11399" t="s">
        <v>234</v>
      </c>
      <c r="H11399" t="s">
        <v>14</v>
      </c>
    </row>
    <row r="11400" spans="1:10" hidden="1" x14ac:dyDescent="0.25">
      <c r="A11400" t="s">
        <v>15107</v>
      </c>
      <c r="B11400" s="1" t="str">
        <f>HYPERLINK("https://asmlis.vasa.lt/Dashboard/Served?ServiceDateFrom=2025-11-24&amp;ServiceDateTo=2025-11-24&amp;DumpsterInvNr=13-P-211676", "13-P-211676")</f>
        <v>13-P-211676</v>
      </c>
      <c r="C11400">
        <v>0.24</v>
      </c>
      <c r="D11400" t="s">
        <v>14192</v>
      </c>
      <c r="E11400" t="s">
        <v>11</v>
      </c>
      <c r="F11400" t="s">
        <v>1209</v>
      </c>
      <c r="G11400" t="s">
        <v>234</v>
      </c>
      <c r="H11400" t="s">
        <v>14</v>
      </c>
    </row>
    <row r="11401" spans="1:10" hidden="1" x14ac:dyDescent="0.25">
      <c r="A11401" t="s">
        <v>15108</v>
      </c>
      <c r="B11401" s="1" t="str">
        <f>HYPERLINK("https://asmlis.vasa.lt/Dashboard/Served?ServiceDateFrom=2025-11-24&amp;ServiceDateTo=2025-11-24&amp;DumpsterInvNr=13-P-208751", "13-P-208751")</f>
        <v>13-P-208751</v>
      </c>
      <c r="C11401">
        <v>0.24</v>
      </c>
      <c r="D11401" t="s">
        <v>15109</v>
      </c>
      <c r="E11401" t="s">
        <v>11</v>
      </c>
      <c r="F11401" t="s">
        <v>1209</v>
      </c>
      <c r="G11401" t="s">
        <v>234</v>
      </c>
      <c r="H11401" t="s">
        <v>14</v>
      </c>
    </row>
    <row r="11402" spans="1:10" hidden="1" x14ac:dyDescent="0.25">
      <c r="A11402" t="s">
        <v>15110</v>
      </c>
      <c r="B11402" s="1" t="str">
        <f>HYPERLINK("https://asmlis.vasa.lt/Dashboard/Served?ServiceDateFrom=2025-11-24&amp;ServiceDateTo=2025-11-24&amp;DumpsterInvNr=13-P-210817", "13-P-210817")</f>
        <v>13-P-210817</v>
      </c>
      <c r="C11402">
        <v>0.24</v>
      </c>
      <c r="D11402" t="s">
        <v>14194</v>
      </c>
      <c r="E11402" t="s">
        <v>11</v>
      </c>
      <c r="F11402" t="s">
        <v>1209</v>
      </c>
      <c r="G11402" t="s">
        <v>234</v>
      </c>
      <c r="H11402" t="s">
        <v>14</v>
      </c>
    </row>
    <row r="11403" spans="1:10" hidden="1" x14ac:dyDescent="0.25">
      <c r="A11403" t="s">
        <v>15111</v>
      </c>
      <c r="B11403" s="1" t="str">
        <f>HYPERLINK("https://asmlis.vasa.lt/Dashboard/Served?ServiceDateFrom=2025-11-24&amp;ServiceDateTo=2025-11-24&amp;DumpsterInvNr=13-S-205706", "13-S-205706")</f>
        <v>13-S-205706</v>
      </c>
      <c r="C11403">
        <v>0.12</v>
      </c>
      <c r="D11403" t="s">
        <v>14194</v>
      </c>
      <c r="E11403" t="s">
        <v>11</v>
      </c>
      <c r="F11403" t="s">
        <v>1209</v>
      </c>
      <c r="G11403" t="s">
        <v>234</v>
      </c>
      <c r="H11403" t="s">
        <v>14</v>
      </c>
    </row>
    <row r="11404" spans="1:10" hidden="1" x14ac:dyDescent="0.25">
      <c r="A11404" t="s">
        <v>15112</v>
      </c>
      <c r="B11404" s="1" t="str">
        <f>HYPERLINK("https://asmlis.vasa.lt/Dashboard/Served?ServiceDateFrom=2025-11-24&amp;ServiceDateTo=2025-11-24&amp;DumpsterInvNr=13-L-120421", "13-L-120421")</f>
        <v>13-L-120421</v>
      </c>
      <c r="C11404">
        <v>0.12</v>
      </c>
      <c r="D11404" t="s">
        <v>15113</v>
      </c>
      <c r="E11404" t="s">
        <v>11</v>
      </c>
      <c r="F11404" t="s">
        <v>1209</v>
      </c>
      <c r="G11404" t="s">
        <v>1912</v>
      </c>
      <c r="H11404" t="s">
        <v>432</v>
      </c>
    </row>
    <row r="11405" spans="1:10" hidden="1" x14ac:dyDescent="0.25">
      <c r="A11405" t="s">
        <v>15112</v>
      </c>
      <c r="B11405" s="1" t="str">
        <f>HYPERLINK("https://asmlis.vasa.lt/Dashboard/Served?ServiceDateFrom=2025-11-24&amp;ServiceDateTo=2025-11-24&amp;DumpsterInvNr=13-S-102411", "13-S-102411")</f>
        <v>13-S-102411</v>
      </c>
      <c r="C11405">
        <v>0.12</v>
      </c>
      <c r="D11405" t="s">
        <v>15113</v>
      </c>
      <c r="E11405" t="s">
        <v>11</v>
      </c>
      <c r="F11405" t="s">
        <v>1209</v>
      </c>
      <c r="G11405" t="s">
        <v>1917</v>
      </c>
      <c r="H11405" t="s">
        <v>432</v>
      </c>
    </row>
    <row r="11406" spans="1:10" hidden="1" x14ac:dyDescent="0.25">
      <c r="A11406" t="s">
        <v>14909</v>
      </c>
      <c r="B11406" s="1" t="str">
        <f>HYPERLINK("https://asmlis.vasa.lt/Dashboard/Served?ServiceDateFrom=2025-11-24&amp;ServiceDateTo=2025-11-24&amp;DumpsterInvNr=13-P-101158", "13-P-101158")</f>
        <v>13-P-101158</v>
      </c>
      <c r="C11406">
        <v>0.12</v>
      </c>
      <c r="D11406" t="s">
        <v>15113</v>
      </c>
      <c r="E11406" t="s">
        <v>11</v>
      </c>
      <c r="F11406" t="s">
        <v>1209</v>
      </c>
      <c r="G11406" t="s">
        <v>1917</v>
      </c>
      <c r="H11406" t="s">
        <v>432</v>
      </c>
    </row>
    <row r="11407" spans="1:10" x14ac:dyDescent="0.25">
      <c r="A11407" t="s">
        <v>14949</v>
      </c>
      <c r="B11407" s="1" t="str">
        <f>HYPERLINK("https://asmlis.vasa.lt/Dashboard/Served?ServiceDateFrom=2025-11-24&amp;ServiceDateTo=2025-11-24&amp;DumpsterInvNr=13-P-102237", "13-P-102237")</f>
        <v>13-P-102237</v>
      </c>
      <c r="C11407">
        <v>4</v>
      </c>
      <c r="D11407" t="s">
        <v>15116</v>
      </c>
      <c r="E11407" t="s">
        <v>11</v>
      </c>
      <c r="F11407" t="s">
        <v>12664</v>
      </c>
      <c r="G11407" t="s">
        <v>1917</v>
      </c>
      <c r="H11407" t="s">
        <v>432</v>
      </c>
      <c r="J11407" t="s">
        <v>17511</v>
      </c>
    </row>
    <row r="11408" spans="1:10" hidden="1" x14ac:dyDescent="0.25">
      <c r="A11408" t="s">
        <v>14686</v>
      </c>
      <c r="B11408" s="1" t="str">
        <f>HYPERLINK("https://asmlis.vasa.lt/Dashboard/Served?ServiceDateFrom=2025-11-24&amp;ServiceDateTo=2025-11-24&amp;DumpsterInvNr=13-L-128908", "13-L-128908")</f>
        <v>13-L-128908</v>
      </c>
      <c r="C11408">
        <v>0.24</v>
      </c>
      <c r="D11408" t="s">
        <v>15117</v>
      </c>
      <c r="E11408" t="s">
        <v>11</v>
      </c>
      <c r="G11408" t="s">
        <v>430</v>
      </c>
      <c r="H11408" t="s">
        <v>432</v>
      </c>
    </row>
    <row r="11409" spans="1:10" hidden="1" x14ac:dyDescent="0.25">
      <c r="A11409" t="s">
        <v>14686</v>
      </c>
      <c r="B11409" s="1" t="str">
        <f>HYPERLINK("https://asmlis.vasa.lt/Dashboard/Served?ServiceDateFrom=2025-11-24&amp;ServiceDateTo=2025-11-24&amp;DumpsterInvNr=13-P-502753", "13-P-502753")</f>
        <v>13-P-502753</v>
      </c>
      <c r="C11409">
        <v>0.12</v>
      </c>
      <c r="D11409" t="s">
        <v>15117</v>
      </c>
      <c r="E11409" t="s">
        <v>11</v>
      </c>
      <c r="G11409" t="s">
        <v>2178</v>
      </c>
      <c r="H11409" t="s">
        <v>432</v>
      </c>
    </row>
    <row r="11410" spans="1:10" hidden="1" x14ac:dyDescent="0.25">
      <c r="A11410" t="s">
        <v>14691</v>
      </c>
      <c r="B11410" s="1" t="str">
        <f>HYPERLINK("https://asmlis.vasa.lt/Dashboard/Served?ServiceDateFrom=2025-11-24&amp;ServiceDateTo=2025-11-24&amp;DumpsterInvNr=13-L-143382", "13-L-143382")</f>
        <v>13-L-143382</v>
      </c>
      <c r="C11410">
        <v>5</v>
      </c>
      <c r="D11410" t="s">
        <v>15118</v>
      </c>
      <c r="E11410" t="s">
        <v>11</v>
      </c>
      <c r="F11410" t="s">
        <v>13</v>
      </c>
      <c r="G11410" t="s">
        <v>430</v>
      </c>
      <c r="H11410" t="s">
        <v>432</v>
      </c>
    </row>
    <row r="11411" spans="1:10" hidden="1" x14ac:dyDescent="0.25">
      <c r="A11411" t="s">
        <v>15119</v>
      </c>
      <c r="B11411" s="1" t="str">
        <f>HYPERLINK("https://asmlis.vasa.lt/Dashboard/Served?ServiceDateFrom=2025-11-24&amp;ServiceDateTo=2025-11-24&amp;DumpsterInvNr=13-P-500504", "13-P-500504")</f>
        <v>13-P-500504</v>
      </c>
      <c r="C11411">
        <v>5</v>
      </c>
      <c r="D11411" t="s">
        <v>15120</v>
      </c>
      <c r="E11411" t="s">
        <v>11</v>
      </c>
      <c r="F11411" t="s">
        <v>13</v>
      </c>
      <c r="G11411" t="s">
        <v>2178</v>
      </c>
      <c r="H11411" t="s">
        <v>432</v>
      </c>
    </row>
    <row r="11412" spans="1:10" hidden="1" x14ac:dyDescent="0.25">
      <c r="A11412" t="s">
        <v>14695</v>
      </c>
      <c r="B11412" s="1" t="str">
        <f>HYPERLINK("https://asmlis.vasa.lt/Dashboard/Served?ServiceDateFrom=2025-11-24&amp;ServiceDateTo=2025-11-24&amp;DumpsterInvNr=13-L-223126", "13-L-223126")</f>
        <v>13-L-223126</v>
      </c>
      <c r="C11412">
        <v>5</v>
      </c>
      <c r="D11412" t="s">
        <v>9209</v>
      </c>
      <c r="E11412" t="s">
        <v>11</v>
      </c>
      <c r="G11412" t="s">
        <v>936</v>
      </c>
      <c r="H11412" t="s">
        <v>938</v>
      </c>
    </row>
    <row r="11413" spans="1:10" x14ac:dyDescent="0.25">
      <c r="A11413" t="s">
        <v>15121</v>
      </c>
      <c r="B11413" s="1" t="str">
        <f>HYPERLINK("https://asmlis.vasa.lt/Dashboard/Served?ServiceDateFrom=2025-11-24&amp;ServiceDateTo=2025-11-24&amp;DumpsterInvNr=13-P-115739", "13-P-115739")</f>
        <v>13-P-115739</v>
      </c>
      <c r="C11413">
        <v>1.3</v>
      </c>
      <c r="D11413" t="s">
        <v>14451</v>
      </c>
      <c r="E11413" t="s">
        <v>11</v>
      </c>
      <c r="F11413" t="s">
        <v>12664</v>
      </c>
      <c r="G11413" t="s">
        <v>1917</v>
      </c>
      <c r="H11413" t="s">
        <v>432</v>
      </c>
      <c r="J11413" t="s">
        <v>17511</v>
      </c>
    </row>
    <row r="11414" spans="1:10" hidden="1" x14ac:dyDescent="0.25">
      <c r="A11414" t="s">
        <v>15122</v>
      </c>
      <c r="B11414" s="1" t="str">
        <f>HYPERLINK("https://asmlis.vasa.lt/Dashboard/Served?ServiceDateFrom=2025-11-24&amp;ServiceDateTo=2025-11-24&amp;DumpsterInvNr=13-L-316505", "13-L-316505")</f>
        <v>13-L-316505</v>
      </c>
      <c r="C11414">
        <v>5</v>
      </c>
      <c r="D11414" t="s">
        <v>15123</v>
      </c>
      <c r="E11414" t="s">
        <v>11</v>
      </c>
      <c r="G11414" t="s">
        <v>9</v>
      </c>
      <c r="H11414" t="s">
        <v>14</v>
      </c>
    </row>
    <row r="11415" spans="1:10" hidden="1" x14ac:dyDescent="0.25">
      <c r="A11415" t="s">
        <v>15124</v>
      </c>
      <c r="B11415" s="1" t="str">
        <f>HYPERLINK("https://asmlis.vasa.lt/Dashboard/Served?ServiceDateFrom=2025-11-24&amp;ServiceDateTo=2025-11-24&amp;DumpsterInvNr=13-P-205383", "13-P-205383")</f>
        <v>13-P-205383</v>
      </c>
      <c r="C11415">
        <v>0.24</v>
      </c>
      <c r="D11415" t="s">
        <v>14240</v>
      </c>
      <c r="E11415" t="s">
        <v>11</v>
      </c>
      <c r="G11415" t="s">
        <v>234</v>
      </c>
      <c r="H11415" t="s">
        <v>14</v>
      </c>
    </row>
    <row r="11416" spans="1:10" hidden="1" x14ac:dyDescent="0.25">
      <c r="A11416" t="s">
        <v>15126</v>
      </c>
      <c r="B11416" s="1" t="str">
        <f>HYPERLINK("https://asmlis.vasa.lt/Dashboard/Served?ServiceDateFrom=2025-11-24&amp;ServiceDateTo=2025-11-24&amp;DumpsterInvNr=13-P-400566", "13-P-400566")</f>
        <v>13-P-400566</v>
      </c>
      <c r="C11416">
        <v>5</v>
      </c>
      <c r="D11416" t="s">
        <v>5077</v>
      </c>
      <c r="E11416" t="s">
        <v>11</v>
      </c>
      <c r="G11416" t="s">
        <v>264</v>
      </c>
      <c r="H11416" t="s">
        <v>14</v>
      </c>
    </row>
    <row r="11417" spans="1:10" hidden="1" x14ac:dyDescent="0.25">
      <c r="A11417" t="s">
        <v>15127</v>
      </c>
      <c r="B11417" s="1" t="str">
        <f>HYPERLINK("https://asmlis.vasa.lt/Dashboard/Served?ServiceDateFrom=2025-11-24&amp;ServiceDateTo=2025-11-24&amp;DumpsterInvNr=13-L-217895", "13-L-217895")</f>
        <v>13-L-217895</v>
      </c>
      <c r="C11417">
        <v>0.24</v>
      </c>
      <c r="D11417" t="s">
        <v>15128</v>
      </c>
      <c r="E11417" t="s">
        <v>11</v>
      </c>
      <c r="G11417" t="s">
        <v>936</v>
      </c>
      <c r="H11417" t="s">
        <v>938</v>
      </c>
    </row>
    <row r="11418" spans="1:10" hidden="1" x14ac:dyDescent="0.25">
      <c r="A11418" t="s">
        <v>15129</v>
      </c>
      <c r="B11418" s="1" t="str">
        <f>HYPERLINK("https://asmlis.vasa.lt/Dashboard/Served?ServiceDateFrom=2025-11-24&amp;ServiceDateTo=2025-11-24&amp;DumpsterInvNr=13-T-000241", "13-T-000241")</f>
        <v>13-T-000241</v>
      </c>
      <c r="C11418">
        <v>2.5</v>
      </c>
      <c r="D11418" t="s">
        <v>14974</v>
      </c>
      <c r="E11418" t="s">
        <v>11</v>
      </c>
      <c r="F11418" t="s">
        <v>13</v>
      </c>
      <c r="G11418" t="s">
        <v>1899</v>
      </c>
      <c r="H11418" t="s">
        <v>432</v>
      </c>
    </row>
    <row r="11419" spans="1:10" hidden="1" x14ac:dyDescent="0.25">
      <c r="A11419" t="s">
        <v>15130</v>
      </c>
      <c r="B11419" s="1" t="str">
        <f>HYPERLINK("https://asmlis.vasa.lt/Dashboard/Served?ServiceDateFrom=2025-11-24&amp;ServiceDateTo=2025-11-24&amp;DumpsterInvNr=13-L-120420", "13-L-120420")</f>
        <v>13-L-120420</v>
      </c>
      <c r="C11419">
        <v>0.12</v>
      </c>
      <c r="D11419" t="s">
        <v>15131</v>
      </c>
      <c r="E11419" t="s">
        <v>11</v>
      </c>
      <c r="G11419" t="s">
        <v>1912</v>
      </c>
      <c r="H11419" t="s">
        <v>432</v>
      </c>
    </row>
    <row r="11420" spans="1:10" hidden="1" x14ac:dyDescent="0.25">
      <c r="A11420" t="s">
        <v>15130</v>
      </c>
      <c r="B11420" s="1" t="str">
        <f>HYPERLINK("https://asmlis.vasa.lt/Dashboard/Served?ServiceDateFrom=2025-11-24&amp;ServiceDateTo=2025-11-24&amp;DumpsterInvNr=13-P-109924", "13-P-109924")</f>
        <v>13-P-109924</v>
      </c>
      <c r="C11420">
        <v>0.12</v>
      </c>
      <c r="D11420" t="s">
        <v>15131</v>
      </c>
      <c r="E11420" t="s">
        <v>11</v>
      </c>
      <c r="G11420" t="s">
        <v>1917</v>
      </c>
      <c r="H11420" t="s">
        <v>432</v>
      </c>
    </row>
    <row r="11421" spans="1:10" hidden="1" x14ac:dyDescent="0.25">
      <c r="A11421" t="s">
        <v>14721</v>
      </c>
      <c r="B11421" s="1" t="str">
        <f>HYPERLINK("https://asmlis.vasa.lt/Dashboard/Served?ServiceDateFrom=2025-11-24&amp;ServiceDateTo=2025-11-24&amp;DumpsterInvNr=13-L-108763", "13-L-108763")</f>
        <v>13-L-108763</v>
      </c>
      <c r="C11421">
        <v>0.24</v>
      </c>
      <c r="D11421" t="s">
        <v>15132</v>
      </c>
      <c r="E11421" t="s">
        <v>11</v>
      </c>
      <c r="G11421" t="s">
        <v>430</v>
      </c>
      <c r="H11421" t="s">
        <v>432</v>
      </c>
    </row>
    <row r="11422" spans="1:10" hidden="1" x14ac:dyDescent="0.25">
      <c r="A11422" t="s">
        <v>14721</v>
      </c>
      <c r="B11422" s="1" t="str">
        <f>HYPERLINK("https://asmlis.vasa.lt/Dashboard/Served?ServiceDateFrom=2025-11-24&amp;ServiceDateTo=2025-11-24&amp;DumpsterInvNr=13-P-506937", "13-P-506937")</f>
        <v>13-P-506937</v>
      </c>
      <c r="C11422">
        <v>0.24</v>
      </c>
      <c r="D11422" t="s">
        <v>15132</v>
      </c>
      <c r="E11422" t="s">
        <v>11</v>
      </c>
      <c r="G11422" t="s">
        <v>2178</v>
      </c>
      <c r="H11422" t="s">
        <v>432</v>
      </c>
    </row>
    <row r="11423" spans="1:10" hidden="1" x14ac:dyDescent="0.25">
      <c r="A11423" t="s">
        <v>14721</v>
      </c>
      <c r="B11423" s="1" t="str">
        <f>HYPERLINK("https://asmlis.vasa.lt/Dashboard/Served?ServiceDateFrom=2025-11-24&amp;ServiceDateTo=2025-11-24&amp;DumpsterInvNr=13-P-213050", "13-P-213050")</f>
        <v>13-P-213050</v>
      </c>
      <c r="C11423">
        <v>1.1000000000000001</v>
      </c>
      <c r="D11423" t="s">
        <v>15134</v>
      </c>
      <c r="E11423" t="s">
        <v>11</v>
      </c>
      <c r="F11423" t="s">
        <v>13</v>
      </c>
      <c r="G11423" t="s">
        <v>234</v>
      </c>
      <c r="H11423" t="s">
        <v>14</v>
      </c>
    </row>
    <row r="11424" spans="1:10" hidden="1" x14ac:dyDescent="0.25">
      <c r="A11424" t="s">
        <v>14728</v>
      </c>
      <c r="B11424" s="1" t="str">
        <f>HYPERLINK("https://asmlis.vasa.lt/Dashboard/Served?ServiceDateFrom=2025-11-24&amp;ServiceDateTo=2025-11-24&amp;DumpsterInvNr=13-P-204563", "13-P-204563")</f>
        <v>13-P-204563</v>
      </c>
      <c r="C11424">
        <v>0.24</v>
      </c>
      <c r="D11424" t="s">
        <v>14230</v>
      </c>
      <c r="E11424" t="s">
        <v>11</v>
      </c>
      <c r="G11424" t="s">
        <v>234</v>
      </c>
      <c r="H11424" t="s">
        <v>14</v>
      </c>
    </row>
    <row r="11425" spans="1:8" hidden="1" x14ac:dyDescent="0.25">
      <c r="A11425" t="s">
        <v>15135</v>
      </c>
      <c r="B11425" s="1" t="str">
        <f>HYPERLINK("https://asmlis.vasa.lt/Dashboard/Served?ServiceDateFrom=2025-11-24&amp;ServiceDateTo=2025-11-24&amp;DumpsterInvNr=13-P-300742", "13-P-300742")</f>
        <v>13-P-300742</v>
      </c>
      <c r="C11425">
        <v>5</v>
      </c>
      <c r="D11425" t="s">
        <v>6326</v>
      </c>
      <c r="E11425" t="s">
        <v>11</v>
      </c>
      <c r="G11425" t="s">
        <v>412</v>
      </c>
      <c r="H11425" t="s">
        <v>14</v>
      </c>
    </row>
    <row r="11426" spans="1:8" hidden="1" x14ac:dyDescent="0.25">
      <c r="A11426" t="s">
        <v>15135</v>
      </c>
      <c r="B11426" s="1" t="str">
        <f>HYPERLINK("https://asmlis.vasa.lt/Dashboard/Served?ServiceDateFrom=2025-11-24&amp;ServiceDateTo=2025-11-24&amp;DumpsterInvNr=13-T-000242", "13-T-000242")</f>
        <v>13-T-000242</v>
      </c>
      <c r="C11426">
        <v>2.5</v>
      </c>
      <c r="D11426" t="s">
        <v>14974</v>
      </c>
      <c r="E11426" t="s">
        <v>11</v>
      </c>
      <c r="F11426" t="s">
        <v>13</v>
      </c>
      <c r="G11426" t="s">
        <v>1899</v>
      </c>
      <c r="H11426" t="s">
        <v>432</v>
      </c>
    </row>
    <row r="11427" spans="1:8" hidden="1" x14ac:dyDescent="0.25">
      <c r="A11427" t="s">
        <v>14744</v>
      </c>
      <c r="B11427" s="1" t="str">
        <f>HYPERLINK("https://asmlis.vasa.lt/Dashboard/Served?ServiceDateFrom=2025-11-24&amp;ServiceDateTo=2025-11-24&amp;DumpsterInvNr=13-L-316021", "13-L-316021")</f>
        <v>13-L-316021</v>
      </c>
      <c r="C11427">
        <v>0.66</v>
      </c>
      <c r="D11427" t="s">
        <v>15136</v>
      </c>
      <c r="E11427" t="s">
        <v>11</v>
      </c>
      <c r="G11427" t="s">
        <v>9</v>
      </c>
      <c r="H11427" t="s">
        <v>14</v>
      </c>
    </row>
    <row r="11428" spans="1:8" hidden="1" x14ac:dyDescent="0.25">
      <c r="A11428" t="s">
        <v>15137</v>
      </c>
      <c r="B11428" s="1" t="str">
        <f>HYPERLINK("https://asmlis.vasa.lt/Dashboard/Served?ServiceDateFrom=2025-11-24&amp;ServiceDateTo=2025-11-24&amp;DumpsterInvNr=13-P-101042", "13-P-101042")</f>
        <v>13-P-101042</v>
      </c>
      <c r="C11428">
        <v>0.12</v>
      </c>
      <c r="D11428" t="s">
        <v>15138</v>
      </c>
      <c r="E11428" t="s">
        <v>11</v>
      </c>
      <c r="F11428" t="s">
        <v>1209</v>
      </c>
      <c r="G11428" t="s">
        <v>1917</v>
      </c>
      <c r="H11428" t="s">
        <v>432</v>
      </c>
    </row>
    <row r="11429" spans="1:8" hidden="1" x14ac:dyDescent="0.25">
      <c r="A11429" t="s">
        <v>15139</v>
      </c>
      <c r="B11429" s="1" t="str">
        <f>HYPERLINK("https://asmlis.vasa.lt/Dashboard/Served?ServiceDateFrom=2025-11-24&amp;ServiceDateTo=2025-11-24&amp;DumpsterInvNr=13-S-106540", "13-S-106540")</f>
        <v>13-S-106540</v>
      </c>
      <c r="C11429">
        <v>0.12</v>
      </c>
      <c r="D11429" t="s">
        <v>15138</v>
      </c>
      <c r="E11429" t="s">
        <v>11</v>
      </c>
      <c r="F11429" t="s">
        <v>1209</v>
      </c>
      <c r="G11429" t="s">
        <v>1917</v>
      </c>
      <c r="H11429" t="s">
        <v>432</v>
      </c>
    </row>
    <row r="11430" spans="1:8" hidden="1" x14ac:dyDescent="0.25">
      <c r="A11430" t="s">
        <v>15140</v>
      </c>
      <c r="B11430" s="1" t="str">
        <f>HYPERLINK("https://asmlis.vasa.lt/Dashboard/Served?ServiceDateFrom=2025-11-24&amp;ServiceDateTo=2025-11-24&amp;DumpsterInvNr=13-P-204250", "13-P-204250")</f>
        <v>13-P-204250</v>
      </c>
      <c r="C11430">
        <v>0.24</v>
      </c>
      <c r="D11430" t="s">
        <v>14224</v>
      </c>
      <c r="E11430" t="s">
        <v>11</v>
      </c>
      <c r="G11430" t="s">
        <v>234</v>
      </c>
      <c r="H11430" t="s">
        <v>14</v>
      </c>
    </row>
    <row r="11431" spans="1:8" hidden="1" x14ac:dyDescent="0.25">
      <c r="A11431" t="s">
        <v>14764</v>
      </c>
      <c r="B11431" s="1" t="str">
        <f>HYPERLINK("https://asmlis.vasa.lt/Dashboard/Served?ServiceDateFrom=2025-11-24&amp;ServiceDateTo=2025-11-24&amp;DumpsterInvNr=13-L-210541", "13-L-210541")</f>
        <v>13-L-210541</v>
      </c>
      <c r="C11431">
        <v>0.24</v>
      </c>
      <c r="D11431" t="s">
        <v>15141</v>
      </c>
      <c r="E11431" t="s">
        <v>11</v>
      </c>
      <c r="G11431" t="s">
        <v>936</v>
      </c>
      <c r="H11431" t="s">
        <v>938</v>
      </c>
    </row>
    <row r="11432" spans="1:8" hidden="1" x14ac:dyDescent="0.25">
      <c r="A11432" t="s">
        <v>15142</v>
      </c>
      <c r="B11432" s="1" t="str">
        <f>HYPERLINK("https://asmlis.vasa.lt/Dashboard/Served?ServiceDateFrom=2025-11-24&amp;ServiceDateTo=2025-11-24&amp;DumpsterInvNr=13-P-205347", "13-P-205347")</f>
        <v>13-P-205347</v>
      </c>
      <c r="C11432">
        <v>0.24</v>
      </c>
      <c r="D11432" t="s">
        <v>14235</v>
      </c>
      <c r="E11432" t="s">
        <v>11</v>
      </c>
      <c r="F11432" t="s">
        <v>1209</v>
      </c>
      <c r="G11432" t="s">
        <v>234</v>
      </c>
      <c r="H11432" t="s">
        <v>14</v>
      </c>
    </row>
    <row r="11433" spans="1:8" hidden="1" x14ac:dyDescent="0.25">
      <c r="A11433" t="s">
        <v>14772</v>
      </c>
      <c r="B11433" s="1" t="str">
        <f>HYPERLINK("https://asmlis.vasa.lt/Dashboard/Served?ServiceDateFrom=2025-11-24&amp;ServiceDateTo=2025-11-24&amp;DumpsterInvNr=13-P-211824", "13-P-211824")</f>
        <v>13-P-211824</v>
      </c>
      <c r="C11433">
        <v>0.24</v>
      </c>
      <c r="D11433" t="s">
        <v>14244</v>
      </c>
      <c r="E11433" t="s">
        <v>11</v>
      </c>
      <c r="F11433" t="s">
        <v>1209</v>
      </c>
      <c r="G11433" t="s">
        <v>234</v>
      </c>
      <c r="H11433" t="s">
        <v>14</v>
      </c>
    </row>
    <row r="11434" spans="1:8" hidden="1" x14ac:dyDescent="0.25">
      <c r="A11434" t="s">
        <v>14778</v>
      </c>
      <c r="B11434" s="1" t="str">
        <f>HYPERLINK("https://asmlis.vasa.lt/Dashboard/Served?ServiceDateFrom=2025-11-24&amp;ServiceDateTo=2025-11-24&amp;DumpsterInvNr=13-P-208789", "13-P-208789")</f>
        <v>13-P-208789</v>
      </c>
      <c r="C11434">
        <v>0.24</v>
      </c>
      <c r="D11434" t="s">
        <v>15145</v>
      </c>
      <c r="E11434" t="s">
        <v>11</v>
      </c>
      <c r="F11434" t="s">
        <v>1209</v>
      </c>
      <c r="G11434" t="s">
        <v>234</v>
      </c>
      <c r="H11434" t="s">
        <v>14</v>
      </c>
    </row>
    <row r="11435" spans="1:8" hidden="1" x14ac:dyDescent="0.25">
      <c r="A11435" t="s">
        <v>14888</v>
      </c>
      <c r="B11435" s="1" t="str">
        <f>HYPERLINK("https://asmlis.vasa.lt/Dashboard/Served?ServiceDateFrom=2025-11-24&amp;ServiceDateTo=2025-11-24&amp;DumpsterInvNr=13-L-317093", "13-L-317093")</f>
        <v>13-L-317093</v>
      </c>
      <c r="C11435">
        <v>0.77</v>
      </c>
      <c r="D11435" t="s">
        <v>15136</v>
      </c>
      <c r="E11435" t="s">
        <v>11</v>
      </c>
      <c r="G11435" t="s">
        <v>9</v>
      </c>
      <c r="H11435" t="s">
        <v>14</v>
      </c>
    </row>
    <row r="11436" spans="1:8" hidden="1" x14ac:dyDescent="0.25">
      <c r="A11436" t="s">
        <v>15146</v>
      </c>
      <c r="B11436" s="1" t="str">
        <f>HYPERLINK("https://asmlis.vasa.lt/Dashboard/Served?ServiceDateFrom=2025-11-24&amp;ServiceDateTo=2025-11-24&amp;DumpsterInvNr=13-P-211930", "13-P-211930")</f>
        <v>13-P-211930</v>
      </c>
      <c r="C11436">
        <v>0.24</v>
      </c>
      <c r="D11436" t="s">
        <v>14249</v>
      </c>
      <c r="E11436" t="s">
        <v>11</v>
      </c>
      <c r="F11436" t="s">
        <v>1209</v>
      </c>
      <c r="G11436" t="s">
        <v>234</v>
      </c>
      <c r="H11436" t="s">
        <v>14</v>
      </c>
    </row>
    <row r="11437" spans="1:8" hidden="1" x14ac:dyDescent="0.25">
      <c r="A11437" t="s">
        <v>15146</v>
      </c>
      <c r="B11437" s="1" t="str">
        <f>HYPERLINK("https://asmlis.vasa.lt/Dashboard/Served?ServiceDateFrom=2025-11-24&amp;ServiceDateTo=2025-11-24&amp;DumpsterInvNr=13-P-211825", "13-P-211825")</f>
        <v>13-P-211825</v>
      </c>
      <c r="C11437">
        <v>0.24</v>
      </c>
      <c r="D11437" t="s">
        <v>15147</v>
      </c>
      <c r="E11437" t="s">
        <v>11</v>
      </c>
      <c r="F11437" t="s">
        <v>1209</v>
      </c>
      <c r="G11437" t="s">
        <v>234</v>
      </c>
      <c r="H11437" t="s">
        <v>14</v>
      </c>
    </row>
    <row r="11438" spans="1:8" hidden="1" x14ac:dyDescent="0.25">
      <c r="A11438" t="s">
        <v>15148</v>
      </c>
      <c r="B11438" s="1" t="str">
        <f>HYPERLINK("https://asmlis.vasa.lt/Dashboard/Served?ServiceDateFrom=2025-11-24&amp;ServiceDateTo=2025-11-24&amp;DumpsterInvNr=13-L-123389", "13-L-123389")</f>
        <v>13-L-123389</v>
      </c>
      <c r="C11438">
        <v>0.12</v>
      </c>
      <c r="D11438" t="s">
        <v>15149</v>
      </c>
      <c r="E11438" t="s">
        <v>11</v>
      </c>
      <c r="G11438" t="s">
        <v>430</v>
      </c>
      <c r="H11438" t="s">
        <v>432</v>
      </c>
    </row>
    <row r="11439" spans="1:8" hidden="1" x14ac:dyDescent="0.25">
      <c r="A11439" t="s">
        <v>15148</v>
      </c>
      <c r="B11439" s="1" t="str">
        <f>HYPERLINK("https://asmlis.vasa.lt/Dashboard/Served?ServiceDateFrom=2025-11-24&amp;ServiceDateTo=2025-11-24&amp;DumpsterInvNr=13-L-308507", "13-L-308507")</f>
        <v>13-L-308507</v>
      </c>
      <c r="C11439">
        <v>1.1000000000000001</v>
      </c>
      <c r="D11439" t="s">
        <v>15150</v>
      </c>
      <c r="E11439" t="s">
        <v>11</v>
      </c>
      <c r="G11439" t="s">
        <v>9</v>
      </c>
      <c r="H11439" t="s">
        <v>14</v>
      </c>
    </row>
    <row r="11440" spans="1:8" hidden="1" x14ac:dyDescent="0.25">
      <c r="A11440" t="s">
        <v>15148</v>
      </c>
      <c r="B11440" s="1" t="str">
        <f>HYPERLINK("https://asmlis.vasa.lt/Dashboard/Served?ServiceDateFrom=2025-11-24&amp;ServiceDateTo=2025-11-24&amp;DumpsterInvNr=13-P-204227", "13-P-204227")</f>
        <v>13-P-204227</v>
      </c>
      <c r="C11440">
        <v>0.24</v>
      </c>
      <c r="D11440" t="s">
        <v>14227</v>
      </c>
      <c r="E11440" t="s">
        <v>11</v>
      </c>
      <c r="F11440" t="s">
        <v>1209</v>
      </c>
      <c r="G11440" t="s">
        <v>234</v>
      </c>
      <c r="H11440" t="s">
        <v>14</v>
      </c>
    </row>
    <row r="11441" spans="1:10" hidden="1" x14ac:dyDescent="0.25">
      <c r="A11441" t="s">
        <v>14954</v>
      </c>
      <c r="B11441" s="1" t="str">
        <f>HYPERLINK("https://asmlis.vasa.lt/Dashboard/Served?ServiceDateFrom=2025-11-24&amp;ServiceDateTo=2025-11-24&amp;DumpsterInvNr=13-L-306437", "13-L-306437")</f>
        <v>13-L-306437</v>
      </c>
      <c r="C11441">
        <v>1.1000000000000001</v>
      </c>
      <c r="D11441" t="s">
        <v>15151</v>
      </c>
      <c r="E11441" t="s">
        <v>11</v>
      </c>
      <c r="G11441" t="s">
        <v>9</v>
      </c>
      <c r="H11441" t="s">
        <v>14</v>
      </c>
    </row>
    <row r="11442" spans="1:10" x14ac:dyDescent="0.25">
      <c r="A11442" t="s">
        <v>14800</v>
      </c>
      <c r="B11442" s="1" t="str">
        <f>HYPERLINK("https://asmlis.vasa.lt/Dashboard/Served?ServiceDateFrom=2025-11-24&amp;ServiceDateTo=2025-11-24&amp;DumpsterInvNr=13-P-102394", "13-P-102394")</f>
        <v>13-P-102394</v>
      </c>
      <c r="C11442">
        <v>5</v>
      </c>
      <c r="D11442" t="s">
        <v>15152</v>
      </c>
      <c r="E11442" t="s">
        <v>11</v>
      </c>
      <c r="F11442" t="s">
        <v>12664</v>
      </c>
      <c r="G11442" t="s">
        <v>1917</v>
      </c>
      <c r="H11442" t="s">
        <v>432</v>
      </c>
      <c r="J11442" t="s">
        <v>17511</v>
      </c>
    </row>
    <row r="11443" spans="1:10" hidden="1" x14ac:dyDescent="0.25">
      <c r="A11443" t="s">
        <v>14978</v>
      </c>
      <c r="B11443" s="1" t="str">
        <f>HYPERLINK("https://asmlis.vasa.lt/Dashboard/Served?ServiceDateFrom=2025-11-24&amp;ServiceDateTo=2025-11-24&amp;DumpsterInvNr=13-S-504492", "13-S-504492")</f>
        <v>13-S-504492</v>
      </c>
      <c r="C11443">
        <v>0.12</v>
      </c>
      <c r="D11443" t="s">
        <v>15149</v>
      </c>
      <c r="E11443" t="s">
        <v>11</v>
      </c>
      <c r="F11443" t="s">
        <v>1209</v>
      </c>
      <c r="G11443" t="s">
        <v>2178</v>
      </c>
      <c r="H11443" t="s">
        <v>432</v>
      </c>
    </row>
    <row r="11444" spans="1:10" hidden="1" x14ac:dyDescent="0.25">
      <c r="A11444" t="s">
        <v>14978</v>
      </c>
      <c r="B11444" s="1" t="str">
        <f>HYPERLINK("https://asmlis.vasa.lt/Dashboard/Served?ServiceDateFrom=2025-11-24&amp;ServiceDateTo=2025-11-24&amp;DumpsterInvNr=13-L-146374", "13-L-146374")</f>
        <v>13-L-146374</v>
      </c>
      <c r="C11444">
        <v>5</v>
      </c>
      <c r="D11444" t="s">
        <v>15153</v>
      </c>
      <c r="E11444" t="s">
        <v>11</v>
      </c>
      <c r="F11444" t="s">
        <v>13</v>
      </c>
      <c r="G11444" t="s">
        <v>1912</v>
      </c>
      <c r="H11444" t="s">
        <v>432</v>
      </c>
    </row>
    <row r="11445" spans="1:10" x14ac:dyDescent="0.25">
      <c r="A11445" t="s">
        <v>14980</v>
      </c>
      <c r="B11445" s="1" t="str">
        <f>HYPERLINK("https://asmlis.vasa.lt/Dashboard/Served?ServiceDateFrom=2025-11-24&amp;ServiceDateTo=2025-11-24&amp;DumpsterInvNr=13-L-310084", "13-L-310084")</f>
        <v>13-L-310084</v>
      </c>
      <c r="C11445">
        <v>0.24</v>
      </c>
      <c r="D11445" t="s">
        <v>15154</v>
      </c>
      <c r="E11445" t="s">
        <v>11</v>
      </c>
      <c r="F11445" t="s">
        <v>1215</v>
      </c>
      <c r="G11445" t="s">
        <v>9</v>
      </c>
      <c r="H11445" t="s">
        <v>14</v>
      </c>
      <c r="J11445" t="s">
        <v>17511</v>
      </c>
    </row>
    <row r="11446" spans="1:10" hidden="1" x14ac:dyDescent="0.25">
      <c r="A11446" t="s">
        <v>14983</v>
      </c>
      <c r="B11446" s="1" t="str">
        <f>HYPERLINK("https://asmlis.vasa.lt/Dashboard/Served?ServiceDateFrom=2025-11-24&amp;ServiceDateTo=2025-11-24&amp;DumpsterInvNr=13-P-501930", "13-P-501930")</f>
        <v>13-P-501930</v>
      </c>
      <c r="C11446">
        <v>0.12</v>
      </c>
      <c r="D11446" t="s">
        <v>15149</v>
      </c>
      <c r="E11446" t="s">
        <v>11</v>
      </c>
      <c r="F11446" t="s">
        <v>1209</v>
      </c>
      <c r="G11446" t="s">
        <v>2178</v>
      </c>
      <c r="H11446" t="s">
        <v>432</v>
      </c>
    </row>
    <row r="11447" spans="1:10" hidden="1" x14ac:dyDescent="0.25">
      <c r="A11447" t="s">
        <v>15156</v>
      </c>
      <c r="B11447" s="1" t="str">
        <f>HYPERLINK("https://asmlis.vasa.lt/Dashboard/Served?ServiceDateFrom=2025-11-24&amp;ServiceDateTo=2025-11-24&amp;DumpsterInvNr=13-P-208139", "13-P-208139")</f>
        <v>13-P-208139</v>
      </c>
      <c r="C11447">
        <v>0.24</v>
      </c>
      <c r="D11447" t="s">
        <v>15157</v>
      </c>
      <c r="E11447" t="s">
        <v>11</v>
      </c>
      <c r="G11447" t="s">
        <v>234</v>
      </c>
      <c r="H11447" t="s">
        <v>14</v>
      </c>
    </row>
    <row r="11448" spans="1:10" hidden="1" x14ac:dyDescent="0.25">
      <c r="A11448" t="s">
        <v>15046</v>
      </c>
      <c r="B11448" s="1" t="str">
        <f>HYPERLINK("https://asmlis.vasa.lt/Dashboard/Served?ServiceDateFrom=2025-11-24&amp;ServiceDateTo=2025-11-24&amp;DumpsterInvNr=13-L-206719", "13-L-206719")</f>
        <v>13-L-206719</v>
      </c>
      <c r="C11448">
        <v>0.12</v>
      </c>
      <c r="D11448" t="s">
        <v>15158</v>
      </c>
      <c r="E11448" t="s">
        <v>11</v>
      </c>
      <c r="G11448" t="s">
        <v>936</v>
      </c>
      <c r="H11448" t="s">
        <v>938</v>
      </c>
    </row>
    <row r="11449" spans="1:10" x14ac:dyDescent="0.25">
      <c r="A11449" t="s">
        <v>14826</v>
      </c>
      <c r="B11449" s="1" t="str">
        <f>HYPERLINK("https://asmlis.vasa.lt/Dashboard/Served?ServiceDateFrom=2025-11-24&amp;ServiceDateTo=2025-11-24&amp;DumpsterInvNr=13-L-304638", "13-L-304638")</f>
        <v>13-L-304638</v>
      </c>
      <c r="C11449">
        <v>0.24</v>
      </c>
      <c r="D11449" t="s">
        <v>15159</v>
      </c>
      <c r="E11449" t="s">
        <v>11</v>
      </c>
      <c r="F11449" t="s">
        <v>1215</v>
      </c>
      <c r="G11449" t="s">
        <v>9</v>
      </c>
      <c r="H11449" t="s">
        <v>14</v>
      </c>
      <c r="J11449" t="s">
        <v>17511</v>
      </c>
    </row>
    <row r="11450" spans="1:10" hidden="1" x14ac:dyDescent="0.25">
      <c r="A11450" t="s">
        <v>14826</v>
      </c>
      <c r="B11450" s="1" t="str">
        <f>HYPERLINK("https://asmlis.vasa.lt/Dashboard/Served?ServiceDateFrom=2025-11-24&amp;ServiceDateTo=2025-11-24&amp;DumpsterInvNr=13-L-424290", "13-L-424290")</f>
        <v>13-L-424290</v>
      </c>
      <c r="C11450">
        <v>5</v>
      </c>
      <c r="D11450" t="s">
        <v>7461</v>
      </c>
      <c r="E11450" t="s">
        <v>11</v>
      </c>
      <c r="F11450" t="s">
        <v>13</v>
      </c>
      <c r="G11450" t="s">
        <v>74</v>
      </c>
      <c r="H11450" t="s">
        <v>14</v>
      </c>
    </row>
    <row r="11451" spans="1:10" hidden="1" x14ac:dyDescent="0.25">
      <c r="A11451" t="s">
        <v>15161</v>
      </c>
      <c r="B11451" s="1" t="str">
        <f>HYPERLINK("https://asmlis.vasa.lt/Dashboard/Served?ServiceDateFrom=2025-11-24&amp;ServiceDateTo=2025-11-24&amp;DumpsterInvNr=13-L-114582", "13-L-114582")</f>
        <v>13-L-114582</v>
      </c>
      <c r="C11451">
        <v>0.24</v>
      </c>
      <c r="D11451" t="s">
        <v>15162</v>
      </c>
      <c r="E11451" t="s">
        <v>11</v>
      </c>
      <c r="G11451" t="s">
        <v>430</v>
      </c>
      <c r="H11451" t="s">
        <v>432</v>
      </c>
    </row>
    <row r="11452" spans="1:10" hidden="1" x14ac:dyDescent="0.25">
      <c r="A11452" t="s">
        <v>15163</v>
      </c>
      <c r="B11452" s="1" t="str">
        <f>HYPERLINK("https://asmlis.vasa.lt/Dashboard/Served?ServiceDateFrom=2025-11-24&amp;ServiceDateTo=2025-11-24&amp;DumpsterInvNr=13-P-204270", "13-P-204270")</f>
        <v>13-P-204270</v>
      </c>
      <c r="C11452">
        <v>0.24</v>
      </c>
      <c r="D11452" t="s">
        <v>14264</v>
      </c>
      <c r="E11452" t="s">
        <v>11</v>
      </c>
      <c r="G11452" t="s">
        <v>234</v>
      </c>
      <c r="H11452" t="s">
        <v>14</v>
      </c>
    </row>
    <row r="11453" spans="1:10" hidden="1" x14ac:dyDescent="0.25">
      <c r="A11453" t="s">
        <v>15164</v>
      </c>
      <c r="B11453" s="1" t="str">
        <f>HYPERLINK("https://asmlis.vasa.lt/Dashboard/Served?ServiceDateFrom=2025-11-24&amp;ServiceDateTo=2025-11-24&amp;DumpsterInvNr=13-P-211678", "13-P-211678")</f>
        <v>13-P-211678</v>
      </c>
      <c r="C11453">
        <v>0.24</v>
      </c>
      <c r="D11453" t="s">
        <v>15165</v>
      </c>
      <c r="E11453" t="s">
        <v>11</v>
      </c>
      <c r="F11453" t="s">
        <v>1209</v>
      </c>
      <c r="G11453" t="s">
        <v>234</v>
      </c>
      <c r="H11453" t="s">
        <v>14</v>
      </c>
    </row>
    <row r="11454" spans="1:10" hidden="1" x14ac:dyDescent="0.25">
      <c r="A11454" t="s">
        <v>15164</v>
      </c>
      <c r="B11454" s="1" t="str">
        <f>HYPERLINK("https://asmlis.vasa.lt/Dashboard/Served?ServiceDateFrom=2025-11-24&amp;ServiceDateTo=2025-11-24&amp;DumpsterInvNr=13-P-506797", "13-P-506797")</f>
        <v>13-P-506797</v>
      </c>
      <c r="C11454">
        <v>0.24</v>
      </c>
      <c r="D11454" t="s">
        <v>15166</v>
      </c>
      <c r="E11454" t="s">
        <v>11</v>
      </c>
      <c r="F11454" t="s">
        <v>1209</v>
      </c>
      <c r="G11454" t="s">
        <v>2178</v>
      </c>
      <c r="H11454" t="s">
        <v>432</v>
      </c>
    </row>
    <row r="11455" spans="1:10" hidden="1" x14ac:dyDescent="0.25">
      <c r="A11455" t="s">
        <v>15167</v>
      </c>
      <c r="B11455" s="1" t="str">
        <f>HYPERLINK("https://asmlis.vasa.lt/Dashboard/Served?ServiceDateFrom=2025-11-24&amp;ServiceDateTo=2025-11-24&amp;DumpsterInvNr=13-S-504618", "13-S-504618")</f>
        <v>13-S-504618</v>
      </c>
      <c r="C11455">
        <v>0.12</v>
      </c>
      <c r="D11455" t="s">
        <v>15166</v>
      </c>
      <c r="E11455" t="s">
        <v>11</v>
      </c>
      <c r="F11455" t="s">
        <v>1209</v>
      </c>
      <c r="G11455" t="s">
        <v>2178</v>
      </c>
      <c r="H11455" t="s">
        <v>432</v>
      </c>
    </row>
    <row r="11456" spans="1:10" hidden="1" x14ac:dyDescent="0.25">
      <c r="A11456" t="s">
        <v>15002</v>
      </c>
      <c r="B11456" s="1" t="str">
        <f>HYPERLINK("https://asmlis.vasa.lt/Dashboard/Served?ServiceDateFrom=2025-11-24&amp;ServiceDateTo=2025-11-24&amp;DumpsterInvNr=13-S-504887", "13-S-504887")</f>
        <v>13-S-504887</v>
      </c>
      <c r="C11456">
        <v>0.12</v>
      </c>
      <c r="D11456" t="s">
        <v>15168</v>
      </c>
      <c r="E11456" t="s">
        <v>11</v>
      </c>
      <c r="F11456" t="s">
        <v>1209</v>
      </c>
      <c r="G11456" t="s">
        <v>2178</v>
      </c>
      <c r="H11456" t="s">
        <v>432</v>
      </c>
    </row>
    <row r="11457" spans="1:10" hidden="1" x14ac:dyDescent="0.25">
      <c r="A11457" t="s">
        <v>15169</v>
      </c>
      <c r="B11457" s="1" t="str">
        <f>HYPERLINK("https://asmlis.vasa.lt/Dashboard/Served?ServiceDateFrom=2025-11-24&amp;ServiceDateTo=2025-11-24&amp;DumpsterInvNr=13-P-413749", "13-P-413749")</f>
        <v>13-P-413749</v>
      </c>
      <c r="C11457">
        <v>2.5</v>
      </c>
      <c r="D11457" t="s">
        <v>12759</v>
      </c>
      <c r="E11457" t="s">
        <v>11</v>
      </c>
      <c r="F11457" t="s">
        <v>13</v>
      </c>
      <c r="G11457" t="s">
        <v>264</v>
      </c>
      <c r="H11457" t="s">
        <v>14</v>
      </c>
    </row>
    <row r="11458" spans="1:10" hidden="1" x14ac:dyDescent="0.25">
      <c r="A11458" t="s">
        <v>15170</v>
      </c>
      <c r="B11458" s="1" t="str">
        <f>HYPERLINK("https://asmlis.vasa.lt/Dashboard/Served?ServiceDateFrom=2025-11-24&amp;ServiceDateTo=2025-11-24&amp;DumpsterInvNr=13-L-145068", "13-L-145068")</f>
        <v>13-L-145068</v>
      </c>
      <c r="C11458">
        <v>0.12</v>
      </c>
      <c r="D11458" t="s">
        <v>15166</v>
      </c>
      <c r="E11458" t="s">
        <v>11</v>
      </c>
      <c r="F11458" t="s">
        <v>1209</v>
      </c>
      <c r="G11458" t="s">
        <v>430</v>
      </c>
      <c r="H11458" t="s">
        <v>432</v>
      </c>
    </row>
    <row r="11459" spans="1:10" hidden="1" x14ac:dyDescent="0.25">
      <c r="A11459" t="s">
        <v>15013</v>
      </c>
      <c r="B11459" s="1" t="str">
        <f>HYPERLINK("https://asmlis.vasa.lt/Dashboard/Served?ServiceDateFrom=2025-11-24&amp;ServiceDateTo=2025-11-24&amp;DumpsterInvNr=13-L-318665", "13-L-318665")</f>
        <v>13-L-318665</v>
      </c>
      <c r="C11459">
        <v>1.1000000000000001</v>
      </c>
      <c r="D11459" t="s">
        <v>15151</v>
      </c>
      <c r="E11459" t="s">
        <v>11</v>
      </c>
      <c r="G11459" t="s">
        <v>9</v>
      </c>
      <c r="H11459" t="s">
        <v>14</v>
      </c>
    </row>
    <row r="11460" spans="1:10" hidden="1" x14ac:dyDescent="0.25">
      <c r="A11460" t="s">
        <v>15172</v>
      </c>
      <c r="B11460" s="1" t="str">
        <f>HYPERLINK("https://asmlis.vasa.lt/Dashboard/Served?ServiceDateFrom=2025-11-24&amp;ServiceDateTo=2025-11-24&amp;DumpsterInvNr=13-P-211043", "13-P-211043")</f>
        <v>13-P-211043</v>
      </c>
      <c r="C11460">
        <v>0.24</v>
      </c>
      <c r="D11460" t="s">
        <v>14276</v>
      </c>
      <c r="E11460" t="s">
        <v>11</v>
      </c>
      <c r="F11460" t="s">
        <v>1209</v>
      </c>
      <c r="G11460" t="s">
        <v>234</v>
      </c>
      <c r="H11460" t="s">
        <v>14</v>
      </c>
    </row>
    <row r="11461" spans="1:10" hidden="1" x14ac:dyDescent="0.25">
      <c r="A11461" t="s">
        <v>15029</v>
      </c>
      <c r="B11461" s="1" t="str">
        <f>HYPERLINK("https://asmlis.vasa.lt/Dashboard/Served?ServiceDateFrom=2025-11-24&amp;ServiceDateTo=2025-11-24&amp;DumpsterInvNr=13-P-302078", "13-P-302078")</f>
        <v>13-P-302078</v>
      </c>
      <c r="C11461">
        <v>3</v>
      </c>
      <c r="D11461" t="s">
        <v>15173</v>
      </c>
      <c r="E11461" t="s">
        <v>11</v>
      </c>
      <c r="F11461" t="s">
        <v>13</v>
      </c>
      <c r="G11461" t="s">
        <v>412</v>
      </c>
      <c r="H11461" t="s">
        <v>14</v>
      </c>
    </row>
    <row r="11462" spans="1:10" hidden="1" x14ac:dyDescent="0.25">
      <c r="A11462" t="s">
        <v>15174</v>
      </c>
      <c r="B11462" s="1" t="str">
        <f>HYPERLINK("https://asmlis.vasa.lt/Dashboard/Served?ServiceDateFrom=2025-11-24&amp;ServiceDateTo=2025-11-24&amp;DumpsterInvNr=13-S-504493", "13-S-504493")</f>
        <v>13-S-504493</v>
      </c>
      <c r="C11462">
        <v>0.12</v>
      </c>
      <c r="D11462" t="s">
        <v>15162</v>
      </c>
      <c r="E11462" t="s">
        <v>11</v>
      </c>
      <c r="F11462" t="s">
        <v>1209</v>
      </c>
      <c r="G11462" t="s">
        <v>2178</v>
      </c>
      <c r="H11462" t="s">
        <v>432</v>
      </c>
    </row>
    <row r="11463" spans="1:10" hidden="1" x14ac:dyDescent="0.25">
      <c r="A11463" t="s">
        <v>15175</v>
      </c>
      <c r="B11463" s="1" t="str">
        <f>HYPERLINK("https://asmlis.vasa.lt/Dashboard/Served?ServiceDateFrom=2025-11-24&amp;ServiceDateTo=2025-11-24&amp;DumpsterInvNr=13-P-211719", "13-P-211719")</f>
        <v>13-P-211719</v>
      </c>
      <c r="C11463">
        <v>0.24</v>
      </c>
      <c r="D11463" t="s">
        <v>14279</v>
      </c>
      <c r="E11463" t="s">
        <v>11</v>
      </c>
      <c r="F11463" t="s">
        <v>1209</v>
      </c>
      <c r="G11463" t="s">
        <v>234</v>
      </c>
      <c r="H11463" t="s">
        <v>14</v>
      </c>
    </row>
    <row r="11464" spans="1:10" hidden="1" x14ac:dyDescent="0.25">
      <c r="A11464" t="s">
        <v>15176</v>
      </c>
      <c r="B11464" s="1" t="str">
        <f>HYPERLINK("https://asmlis.vasa.lt/Dashboard/Served?ServiceDateFrom=2025-11-24&amp;ServiceDateTo=2025-11-24&amp;DumpsterInvNr=13-L-123391", "13-L-123391")</f>
        <v>13-L-123391</v>
      </c>
      <c r="C11464">
        <v>0.24</v>
      </c>
      <c r="D11464" t="s">
        <v>15168</v>
      </c>
      <c r="E11464" t="s">
        <v>11</v>
      </c>
      <c r="F11464" t="s">
        <v>1209</v>
      </c>
      <c r="G11464" t="s">
        <v>430</v>
      </c>
      <c r="H11464" t="s">
        <v>432</v>
      </c>
    </row>
    <row r="11465" spans="1:10" hidden="1" x14ac:dyDescent="0.25">
      <c r="A11465" t="s">
        <v>15177</v>
      </c>
      <c r="B11465" s="1" t="str">
        <f>HYPERLINK("https://asmlis.vasa.lt/Dashboard/Served?ServiceDateFrom=2025-11-24&amp;ServiceDateTo=2025-11-24&amp;DumpsterInvNr=13-P-502585", "13-P-502585")</f>
        <v>13-P-502585</v>
      </c>
      <c r="C11465">
        <v>0.24</v>
      </c>
      <c r="D11465" t="s">
        <v>15168</v>
      </c>
      <c r="E11465" t="s">
        <v>11</v>
      </c>
      <c r="F11465" t="s">
        <v>1209</v>
      </c>
      <c r="G11465" t="s">
        <v>2178</v>
      </c>
      <c r="H11465" t="s">
        <v>432</v>
      </c>
    </row>
    <row r="11466" spans="1:10" hidden="1" x14ac:dyDescent="0.25">
      <c r="A11466" t="s">
        <v>15178</v>
      </c>
      <c r="B11466" s="1" t="str">
        <f>HYPERLINK("https://asmlis.vasa.lt/Dashboard/Served?ServiceDateFrom=2025-11-24&amp;ServiceDateTo=2025-11-24&amp;DumpsterInvNr=13-P-501929", "13-P-501929")</f>
        <v>13-P-501929</v>
      </c>
      <c r="C11466">
        <v>0.24</v>
      </c>
      <c r="D11466" t="s">
        <v>15162</v>
      </c>
      <c r="E11466" t="s">
        <v>11</v>
      </c>
      <c r="F11466" t="s">
        <v>1209</v>
      </c>
      <c r="G11466" t="s">
        <v>2178</v>
      </c>
      <c r="H11466" t="s">
        <v>432</v>
      </c>
    </row>
    <row r="11467" spans="1:10" hidden="1" x14ac:dyDescent="0.25">
      <c r="A11467" t="s">
        <v>15179</v>
      </c>
      <c r="B11467" s="1" t="str">
        <f>HYPERLINK("https://asmlis.vasa.lt/Dashboard/Served?ServiceDateFrom=2025-11-24&amp;ServiceDateTo=2025-11-24&amp;DumpsterInvNr=13-P-103546", "13-P-103546")</f>
        <v>13-P-103546</v>
      </c>
      <c r="C11467">
        <v>0.24</v>
      </c>
      <c r="D11467" t="s">
        <v>15180</v>
      </c>
      <c r="E11467" t="s">
        <v>11</v>
      </c>
      <c r="G11467" t="s">
        <v>1917</v>
      </c>
      <c r="H11467" t="s">
        <v>432</v>
      </c>
    </row>
    <row r="11468" spans="1:10" hidden="1" x14ac:dyDescent="0.25">
      <c r="A11468" t="s">
        <v>15181</v>
      </c>
      <c r="B11468" s="1" t="str">
        <f>HYPERLINK("https://asmlis.vasa.lt/Dashboard/Served?ServiceDateFrom=2025-11-24&amp;ServiceDateTo=2025-11-24&amp;DumpsterInvNr=13-L-315850", "13-L-315850")</f>
        <v>13-L-315850</v>
      </c>
      <c r="C11468">
        <v>1.1000000000000001</v>
      </c>
      <c r="D11468" t="s">
        <v>7463</v>
      </c>
      <c r="E11468" t="s">
        <v>11</v>
      </c>
      <c r="F11468" t="s">
        <v>13</v>
      </c>
      <c r="G11468" t="s">
        <v>9</v>
      </c>
      <c r="H11468" t="s">
        <v>14</v>
      </c>
    </row>
    <row r="11469" spans="1:10" hidden="1" x14ac:dyDescent="0.25">
      <c r="A11469" t="s">
        <v>15182</v>
      </c>
      <c r="B11469" s="1" t="str">
        <f>HYPERLINK("https://asmlis.vasa.lt/Dashboard/Served?ServiceDateFrom=2025-11-24&amp;ServiceDateTo=2025-11-24&amp;DumpsterInvNr=13-L-209620", "13-L-209620")</f>
        <v>13-L-209620</v>
      </c>
      <c r="C11469">
        <v>0.24</v>
      </c>
      <c r="D11469" t="s">
        <v>15183</v>
      </c>
      <c r="E11469" t="s">
        <v>11</v>
      </c>
      <c r="F11469" t="s">
        <v>1209</v>
      </c>
      <c r="G11469" t="s">
        <v>936</v>
      </c>
      <c r="H11469" t="s">
        <v>938</v>
      </c>
    </row>
    <row r="11470" spans="1:10" x14ac:dyDescent="0.25">
      <c r="A11470" t="s">
        <v>15075</v>
      </c>
      <c r="B11470" s="1" t="str">
        <f>HYPERLINK("https://asmlis.vasa.lt/Dashboard/Served?ServiceDateFrom=2025-11-24&amp;ServiceDateTo=2025-11-24&amp;DumpsterInvNr=13-L-302617", "13-L-302617")</f>
        <v>13-L-302617</v>
      </c>
      <c r="C11470">
        <v>0.24</v>
      </c>
      <c r="D11470" t="s">
        <v>15184</v>
      </c>
      <c r="E11470" t="s">
        <v>11</v>
      </c>
      <c r="F11470" t="s">
        <v>1215</v>
      </c>
      <c r="G11470" t="s">
        <v>9</v>
      </c>
      <c r="H11470" t="s">
        <v>14</v>
      </c>
      <c r="J11470" t="s">
        <v>17511</v>
      </c>
    </row>
    <row r="11471" spans="1:10" hidden="1" x14ac:dyDescent="0.25">
      <c r="A11471" t="s">
        <v>15185</v>
      </c>
      <c r="B11471" s="1" t="str">
        <f>HYPERLINK("https://asmlis.vasa.lt/Dashboard/Served?ServiceDateFrom=2025-11-24&amp;ServiceDateTo=2025-11-24&amp;DumpsterInvNr=13-L-223074", "13-L-223074")</f>
        <v>13-L-223074</v>
      </c>
      <c r="C11471">
        <v>5</v>
      </c>
      <c r="D11471" t="s">
        <v>15186</v>
      </c>
      <c r="E11471" t="s">
        <v>11</v>
      </c>
      <c r="G11471" t="s">
        <v>936</v>
      </c>
      <c r="H11471" t="s">
        <v>938</v>
      </c>
    </row>
    <row r="11472" spans="1:10" hidden="1" x14ac:dyDescent="0.25">
      <c r="A11472" t="s">
        <v>15187</v>
      </c>
      <c r="B11472" s="1" t="str">
        <f>HYPERLINK("https://asmlis.vasa.lt/Dashboard/Served?ServiceDateFrom=2025-11-24&amp;ServiceDateTo=2025-11-24&amp;DumpsterInvNr=13-L-142492", "13-L-142492")</f>
        <v>13-L-142492</v>
      </c>
      <c r="C11472">
        <v>0.24</v>
      </c>
      <c r="D11472" t="s">
        <v>15180</v>
      </c>
      <c r="E11472" t="s">
        <v>11</v>
      </c>
      <c r="G11472" t="s">
        <v>1912</v>
      </c>
      <c r="H11472" t="s">
        <v>432</v>
      </c>
    </row>
    <row r="11473" spans="1:10" hidden="1" x14ac:dyDescent="0.25">
      <c r="A11473" t="s">
        <v>15190</v>
      </c>
      <c r="B11473" s="1" t="str">
        <f>HYPERLINK("https://asmlis.vasa.lt/Dashboard/Served?ServiceDateFrom=2025-11-24&amp;ServiceDateTo=2025-11-24&amp;DumpsterInvNr=13-P-211720", "13-P-211720")</f>
        <v>13-P-211720</v>
      </c>
      <c r="C11473">
        <v>0.24</v>
      </c>
      <c r="D11473" t="s">
        <v>15191</v>
      </c>
      <c r="E11473" t="s">
        <v>11</v>
      </c>
      <c r="G11473" t="s">
        <v>234</v>
      </c>
      <c r="H11473" t="s">
        <v>14</v>
      </c>
    </row>
    <row r="11474" spans="1:10" x14ac:dyDescent="0.25">
      <c r="A11474" t="s">
        <v>15192</v>
      </c>
      <c r="B11474" s="1" t="str">
        <f>HYPERLINK("https://asmlis.vasa.lt/Dashboard/Served?ServiceDateFrom=2025-11-24&amp;ServiceDateTo=2025-11-24&amp;DumpsterInvNr=13-L-302618", "13-L-302618")</f>
        <v>13-L-302618</v>
      </c>
      <c r="C11474">
        <v>0.24</v>
      </c>
      <c r="D11474" t="s">
        <v>15193</v>
      </c>
      <c r="E11474" t="s">
        <v>11</v>
      </c>
      <c r="F11474" t="s">
        <v>1215</v>
      </c>
      <c r="G11474" t="s">
        <v>9</v>
      </c>
      <c r="H11474" t="s">
        <v>14</v>
      </c>
      <c r="J11474" t="s">
        <v>17511</v>
      </c>
    </row>
    <row r="11475" spans="1:10" hidden="1" x14ac:dyDescent="0.25">
      <c r="A11475" t="s">
        <v>15194</v>
      </c>
      <c r="B11475" s="1" t="str">
        <f>HYPERLINK("https://asmlis.vasa.lt/Dashboard/Served?ServiceDateFrom=2025-11-24&amp;ServiceDateTo=2025-11-24&amp;DumpsterInvNr=13-L-420921", "13-L-420921")</f>
        <v>13-L-420921</v>
      </c>
      <c r="C11475">
        <v>3</v>
      </c>
      <c r="D11475" t="s">
        <v>6297</v>
      </c>
      <c r="E11475" t="s">
        <v>11</v>
      </c>
      <c r="G11475" t="s">
        <v>74</v>
      </c>
      <c r="H11475" t="s">
        <v>14</v>
      </c>
    </row>
    <row r="11476" spans="1:10" hidden="1" x14ac:dyDescent="0.25">
      <c r="A11476" t="s">
        <v>14222</v>
      </c>
      <c r="B11476" s="1" t="str">
        <f>HYPERLINK("https://asmlis.vasa.lt/Dashboard/Served?ServiceDateFrom=2025-11-24&amp;ServiceDateTo=2025-11-24&amp;DumpsterInvNr=13-L-120419", "13-L-120419")</f>
        <v>13-L-120419</v>
      </c>
      <c r="C11476">
        <v>0.12</v>
      </c>
      <c r="D11476" t="s">
        <v>15195</v>
      </c>
      <c r="E11476" t="s">
        <v>11</v>
      </c>
      <c r="G11476" t="s">
        <v>1912</v>
      </c>
      <c r="H11476" t="s">
        <v>432</v>
      </c>
    </row>
    <row r="11477" spans="1:10" hidden="1" x14ac:dyDescent="0.25">
      <c r="A11477" t="s">
        <v>14222</v>
      </c>
      <c r="B11477" s="1" t="str">
        <f>HYPERLINK("https://asmlis.vasa.lt/Dashboard/Served?ServiceDateFrom=2025-11-24&amp;ServiceDateTo=2025-11-24&amp;DumpsterInvNr=13-P-116467", "13-P-116467")</f>
        <v>13-P-116467</v>
      </c>
      <c r="C11477">
        <v>1.1000000000000001</v>
      </c>
      <c r="D11477" t="s">
        <v>7474</v>
      </c>
      <c r="E11477" t="s">
        <v>11</v>
      </c>
      <c r="G11477" t="s">
        <v>1917</v>
      </c>
      <c r="H11477" t="s">
        <v>432</v>
      </c>
    </row>
    <row r="11478" spans="1:10" hidden="1" x14ac:dyDescent="0.25">
      <c r="A11478" t="s">
        <v>15198</v>
      </c>
      <c r="B11478" s="1" t="str">
        <f>HYPERLINK("https://asmlis.vasa.lt/Dashboard/Served?ServiceDateFrom=2025-11-24&amp;ServiceDateTo=2025-11-24&amp;DumpsterInvNr=13-P-101198", "13-P-101198")</f>
        <v>13-P-101198</v>
      </c>
      <c r="C11478">
        <v>0.12</v>
      </c>
      <c r="D11478" t="s">
        <v>15195</v>
      </c>
      <c r="E11478" t="s">
        <v>11</v>
      </c>
      <c r="G11478" t="s">
        <v>1917</v>
      </c>
      <c r="H11478" t="s">
        <v>432</v>
      </c>
    </row>
    <row r="11479" spans="1:10" hidden="1" x14ac:dyDescent="0.25">
      <c r="A11479" t="s">
        <v>15199</v>
      </c>
      <c r="B11479" s="1" t="str">
        <f>HYPERLINK("https://asmlis.vasa.lt/Dashboard/Served?ServiceDateFrom=2025-11-24&amp;ServiceDateTo=2025-11-24&amp;DumpsterInvNr=13-L-303144", "13-L-303144")</f>
        <v>13-L-303144</v>
      </c>
      <c r="C11479">
        <v>0.66</v>
      </c>
      <c r="D11479" t="s">
        <v>15201</v>
      </c>
      <c r="E11479" t="s">
        <v>11</v>
      </c>
      <c r="G11479" t="s">
        <v>9</v>
      </c>
      <c r="H11479" t="s">
        <v>14</v>
      </c>
    </row>
    <row r="11480" spans="1:10" hidden="1" x14ac:dyDescent="0.25">
      <c r="A11480" t="s">
        <v>15202</v>
      </c>
      <c r="B11480" s="1" t="str">
        <f>HYPERLINK("https://asmlis.vasa.lt/Dashboard/Served?ServiceDateFrom=2025-11-24&amp;ServiceDateTo=2025-11-24&amp;DumpsterInvNr=13-L-203513", "13-L-203513")</f>
        <v>13-L-203513</v>
      </c>
      <c r="C11480">
        <v>0.12</v>
      </c>
      <c r="D11480" t="s">
        <v>15203</v>
      </c>
      <c r="E11480" t="s">
        <v>11</v>
      </c>
      <c r="G11480" t="s">
        <v>936</v>
      </c>
      <c r="H11480" t="s">
        <v>938</v>
      </c>
    </row>
    <row r="11481" spans="1:10" hidden="1" x14ac:dyDescent="0.25">
      <c r="A11481" t="s">
        <v>15202</v>
      </c>
      <c r="B11481" s="1" t="str">
        <f>HYPERLINK("https://asmlis.vasa.lt/Dashboard/Served?ServiceDateFrom=2025-11-24&amp;ServiceDateTo=2025-11-24&amp;DumpsterInvNr=13-P-211670", "13-P-211670")</f>
        <v>13-P-211670</v>
      </c>
      <c r="C11481">
        <v>0.24</v>
      </c>
      <c r="D11481" t="s">
        <v>15204</v>
      </c>
      <c r="E11481" t="s">
        <v>11</v>
      </c>
      <c r="G11481" t="s">
        <v>234</v>
      </c>
      <c r="H11481" t="s">
        <v>14</v>
      </c>
    </row>
    <row r="11482" spans="1:10" hidden="1" x14ac:dyDescent="0.25">
      <c r="A11482" t="s">
        <v>15205</v>
      </c>
      <c r="B11482" s="1" t="str">
        <f>HYPERLINK("https://asmlis.vasa.lt/Dashboard/Served?ServiceDateFrom=2025-11-24&amp;ServiceDateTo=2025-11-24&amp;DumpsterInvNr=13-P-116351", "13-P-116351")</f>
        <v>13-P-116351</v>
      </c>
      <c r="C11482">
        <v>1.1000000000000001</v>
      </c>
      <c r="D11482" t="s">
        <v>7474</v>
      </c>
      <c r="E11482" t="s">
        <v>11</v>
      </c>
      <c r="G11482" t="s">
        <v>1917</v>
      </c>
      <c r="H11482" t="s">
        <v>432</v>
      </c>
    </row>
    <row r="11483" spans="1:10" hidden="1" x14ac:dyDescent="0.25">
      <c r="A11483" t="s">
        <v>15206</v>
      </c>
      <c r="B11483" s="1" t="str">
        <f>HYPERLINK("https://asmlis.vasa.lt/Dashboard/Served?ServiceDateFrom=2025-11-24&amp;ServiceDateTo=2025-11-24&amp;DumpsterInvNr=13-L-128568", "13-L-128568")</f>
        <v>13-L-128568</v>
      </c>
      <c r="C11483">
        <v>0.24</v>
      </c>
      <c r="D11483" t="s">
        <v>15207</v>
      </c>
      <c r="E11483" t="s">
        <v>11</v>
      </c>
      <c r="G11483" t="s">
        <v>430</v>
      </c>
      <c r="H11483" t="s">
        <v>432</v>
      </c>
    </row>
    <row r="11484" spans="1:10" hidden="1" x14ac:dyDescent="0.25">
      <c r="A11484" t="s">
        <v>15209</v>
      </c>
      <c r="B11484" s="1" t="str">
        <f>HYPERLINK("https://asmlis.vasa.lt/Dashboard/Served?ServiceDateFrom=2025-11-24&amp;ServiceDateTo=2025-11-24&amp;DumpsterInvNr=13-P-502583", "13-P-502583")</f>
        <v>13-P-502583</v>
      </c>
      <c r="C11484">
        <v>0.24</v>
      </c>
      <c r="D11484" t="s">
        <v>15207</v>
      </c>
      <c r="E11484" t="s">
        <v>11</v>
      </c>
      <c r="G11484" t="s">
        <v>2178</v>
      </c>
      <c r="H11484" t="s">
        <v>432</v>
      </c>
    </row>
    <row r="11485" spans="1:10" hidden="1" x14ac:dyDescent="0.25">
      <c r="A11485" t="s">
        <v>15211</v>
      </c>
      <c r="B11485" s="1" t="str">
        <f>HYPERLINK("https://asmlis.vasa.lt/Dashboard/Served?ServiceDateFrom=2025-11-24&amp;ServiceDateTo=2025-11-24&amp;DumpsterInvNr=13-P-103465", "13-P-103465")</f>
        <v>13-P-103465</v>
      </c>
      <c r="C11485">
        <v>0.24</v>
      </c>
      <c r="D11485" t="s">
        <v>15212</v>
      </c>
      <c r="E11485" t="s">
        <v>11</v>
      </c>
      <c r="G11485" t="s">
        <v>1917</v>
      </c>
      <c r="H11485" t="s">
        <v>432</v>
      </c>
    </row>
    <row r="11486" spans="1:10" hidden="1" x14ac:dyDescent="0.25">
      <c r="A11486" t="s">
        <v>13745</v>
      </c>
      <c r="B11486" s="1" t="str">
        <f>HYPERLINK("https://asmlis.vasa.lt/Dashboard/Served?ServiceDateFrom=2025-11-24&amp;ServiceDateTo=2025-11-24&amp;DumpsterInvNr=13-L-128386", "13-L-128386")</f>
        <v>13-L-128386</v>
      </c>
      <c r="C11486">
        <v>0.12</v>
      </c>
      <c r="D11486" t="s">
        <v>15212</v>
      </c>
      <c r="E11486" t="s">
        <v>11</v>
      </c>
      <c r="G11486" t="s">
        <v>1912</v>
      </c>
      <c r="H11486" t="s">
        <v>432</v>
      </c>
    </row>
    <row r="11487" spans="1:10" hidden="1" x14ac:dyDescent="0.25">
      <c r="A11487" t="s">
        <v>13885</v>
      </c>
      <c r="B11487" s="1" t="str">
        <f>HYPERLINK("https://asmlis.vasa.lt/Dashboard/Served?ServiceDateFrom=2025-11-24&amp;ServiceDateTo=2025-11-24&amp;DumpsterInvNr=13-P-207353", "13-P-207353")</f>
        <v>13-P-207353</v>
      </c>
      <c r="C11487">
        <v>0.24</v>
      </c>
      <c r="D11487" t="s">
        <v>14916</v>
      </c>
      <c r="E11487" t="s">
        <v>11</v>
      </c>
      <c r="F11487" t="s">
        <v>1209</v>
      </c>
      <c r="G11487" t="s">
        <v>234</v>
      </c>
      <c r="H11487" t="s">
        <v>14</v>
      </c>
    </row>
    <row r="11488" spans="1:10" hidden="1" x14ac:dyDescent="0.25">
      <c r="A11488" t="s">
        <v>14037</v>
      </c>
      <c r="B11488" s="1" t="str">
        <f>HYPERLINK("https://asmlis.vasa.lt/Dashboard/Served?ServiceDateFrom=2025-11-24&amp;ServiceDateTo=2025-11-24&amp;DumpsterInvNr=13-P-506665", "13-P-506665")</f>
        <v>13-P-506665</v>
      </c>
      <c r="C11488">
        <v>0.24</v>
      </c>
      <c r="D11488" t="s">
        <v>15214</v>
      </c>
      <c r="E11488" t="s">
        <v>11</v>
      </c>
      <c r="G11488" t="s">
        <v>2178</v>
      </c>
      <c r="H11488" t="s">
        <v>432</v>
      </c>
    </row>
    <row r="11489" spans="1:8" hidden="1" x14ac:dyDescent="0.25">
      <c r="A11489" t="s">
        <v>15215</v>
      </c>
      <c r="B11489" s="1" t="str">
        <f>HYPERLINK("https://asmlis.vasa.lt/Dashboard/Served?ServiceDateFrom=2025-11-24&amp;ServiceDateTo=2025-11-24&amp;DumpsterInvNr=13-S-211708", "13-S-211708")</f>
        <v>13-S-211708</v>
      </c>
      <c r="C11489">
        <v>0.12</v>
      </c>
      <c r="D11489" t="s">
        <v>15204</v>
      </c>
      <c r="E11489" t="s">
        <v>11</v>
      </c>
      <c r="F11489" t="s">
        <v>1209</v>
      </c>
      <c r="G11489" t="s">
        <v>234</v>
      </c>
      <c r="H11489" t="s">
        <v>14</v>
      </c>
    </row>
    <row r="11490" spans="1:8" hidden="1" x14ac:dyDescent="0.25">
      <c r="A11490" t="s">
        <v>15217</v>
      </c>
      <c r="B11490" s="1" t="str">
        <f>HYPERLINK("https://asmlis.vasa.lt/Dashboard/Served?ServiceDateFrom=2025-11-24&amp;ServiceDateTo=2025-11-24&amp;DumpsterInvNr=13-S-505324", "13-S-505324")</f>
        <v>13-S-505324</v>
      </c>
      <c r="C11490">
        <v>0.12</v>
      </c>
      <c r="D11490" t="s">
        <v>15214</v>
      </c>
      <c r="E11490" t="s">
        <v>11</v>
      </c>
      <c r="G11490" t="s">
        <v>2178</v>
      </c>
      <c r="H11490" t="s">
        <v>432</v>
      </c>
    </row>
    <row r="11491" spans="1:8" hidden="1" x14ac:dyDescent="0.25">
      <c r="A11491" t="s">
        <v>14620</v>
      </c>
      <c r="B11491" s="1" t="str">
        <f>HYPERLINK("https://asmlis.vasa.lt/Dashboard/Served?ServiceDateFrom=2025-11-24&amp;ServiceDateTo=2025-11-24&amp;DumpsterInvNr=13-L-420922", "13-L-420922")</f>
        <v>13-L-420922</v>
      </c>
      <c r="C11491">
        <v>5</v>
      </c>
      <c r="D11491" t="s">
        <v>6297</v>
      </c>
      <c r="E11491" t="s">
        <v>11</v>
      </c>
      <c r="F11491" t="s">
        <v>13</v>
      </c>
      <c r="G11491" t="s">
        <v>74</v>
      </c>
      <c r="H11491" t="s">
        <v>14</v>
      </c>
    </row>
    <row r="11492" spans="1:8" hidden="1" x14ac:dyDescent="0.25">
      <c r="A11492" t="s">
        <v>14620</v>
      </c>
      <c r="B11492" s="1" t="str">
        <f>HYPERLINK("https://asmlis.vasa.lt/Dashboard/Served?ServiceDateFrom=2025-11-24&amp;ServiceDateTo=2025-11-24&amp;DumpsterInvNr=13-P-413860", "13-P-413860")</f>
        <v>13-P-413860</v>
      </c>
      <c r="C11492">
        <v>5</v>
      </c>
      <c r="D11492" t="s">
        <v>12676</v>
      </c>
      <c r="E11492" t="s">
        <v>11</v>
      </c>
      <c r="G11492" t="s">
        <v>264</v>
      </c>
      <c r="H11492" t="s">
        <v>14</v>
      </c>
    </row>
    <row r="11493" spans="1:8" hidden="1" x14ac:dyDescent="0.25">
      <c r="A11493" t="s">
        <v>15219</v>
      </c>
      <c r="B11493" s="1" t="str">
        <f>HYPERLINK("https://asmlis.vasa.lt/Dashboard/Served?ServiceDateFrom=2025-11-24&amp;ServiceDateTo=2025-11-24&amp;DumpsterInvNr=13-P-204295", "13-P-204295")</f>
        <v>13-P-204295</v>
      </c>
      <c r="C11493">
        <v>0.24</v>
      </c>
      <c r="D11493" t="s">
        <v>14899</v>
      </c>
      <c r="E11493" t="s">
        <v>11</v>
      </c>
      <c r="G11493" t="s">
        <v>234</v>
      </c>
      <c r="H11493" t="s">
        <v>14</v>
      </c>
    </row>
    <row r="11494" spans="1:8" hidden="1" x14ac:dyDescent="0.25">
      <c r="A11494" t="s">
        <v>15219</v>
      </c>
      <c r="B11494" s="1" t="str">
        <f>HYPERLINK("https://asmlis.vasa.lt/Dashboard/Served?ServiceDateFrom=2025-11-24&amp;ServiceDateTo=2025-11-24&amp;DumpsterInvNr=13-P-204254", "13-P-204254")</f>
        <v>13-P-204254</v>
      </c>
      <c r="C11494">
        <v>0.12</v>
      </c>
      <c r="D11494" t="s">
        <v>14862</v>
      </c>
      <c r="E11494" t="s">
        <v>11</v>
      </c>
      <c r="G11494" t="s">
        <v>234</v>
      </c>
      <c r="H11494" t="s">
        <v>14</v>
      </c>
    </row>
    <row r="11495" spans="1:8" hidden="1" x14ac:dyDescent="0.25">
      <c r="A11495" t="s">
        <v>15219</v>
      </c>
      <c r="B11495" s="1" t="str">
        <f>HYPERLINK("https://asmlis.vasa.lt/Dashboard/Served?ServiceDateFrom=2025-11-24&amp;ServiceDateTo=2025-11-24&amp;DumpsterInvNr=13-P-203772", "13-P-203772")</f>
        <v>13-P-203772</v>
      </c>
      <c r="C11495">
        <v>0.24</v>
      </c>
      <c r="D11495" t="s">
        <v>14945</v>
      </c>
      <c r="E11495" t="s">
        <v>11</v>
      </c>
      <c r="G11495" t="s">
        <v>234</v>
      </c>
      <c r="H11495" t="s">
        <v>14</v>
      </c>
    </row>
    <row r="11496" spans="1:8" hidden="1" x14ac:dyDescent="0.25">
      <c r="A11496" t="s">
        <v>15219</v>
      </c>
      <c r="B11496" s="1" t="str">
        <f>HYPERLINK("https://asmlis.vasa.lt/Dashboard/Served?ServiceDateFrom=2025-11-24&amp;ServiceDateTo=2025-11-24&amp;DumpsterInvNr=13-P-212599", "13-P-212599")</f>
        <v>13-P-212599</v>
      </c>
      <c r="C11496">
        <v>0.24</v>
      </c>
      <c r="D11496" t="s">
        <v>14855</v>
      </c>
      <c r="E11496" t="s">
        <v>11</v>
      </c>
      <c r="G11496" t="s">
        <v>234</v>
      </c>
      <c r="H11496" t="s">
        <v>14</v>
      </c>
    </row>
    <row r="11497" spans="1:8" hidden="1" x14ac:dyDescent="0.25">
      <c r="A11497" t="s">
        <v>15220</v>
      </c>
      <c r="B11497" s="1" t="str">
        <f>HYPERLINK("https://asmlis.vasa.lt/Dashboard/Served?ServiceDateFrom=2025-11-24&amp;ServiceDateTo=2025-11-24&amp;DumpsterInvNr=13-L-118908", "13-L-118908")</f>
        <v>13-L-118908</v>
      </c>
      <c r="C11497">
        <v>0.24</v>
      </c>
      <c r="D11497" t="s">
        <v>15214</v>
      </c>
      <c r="E11497" t="s">
        <v>11</v>
      </c>
      <c r="G11497" t="s">
        <v>430</v>
      </c>
      <c r="H11497" t="s">
        <v>432</v>
      </c>
    </row>
    <row r="11498" spans="1:8" hidden="1" x14ac:dyDescent="0.25">
      <c r="A11498" t="s">
        <v>15220</v>
      </c>
      <c r="B11498" s="1" t="str">
        <f>HYPERLINK("https://asmlis.vasa.lt/Dashboard/Served?ServiceDateFrom=2025-11-24&amp;ServiceDateTo=2025-11-24&amp;DumpsterInvNr=13-L-317501", "13-L-317501")</f>
        <v>13-L-317501</v>
      </c>
      <c r="C11498">
        <v>0.24</v>
      </c>
      <c r="D11498" t="s">
        <v>15222</v>
      </c>
      <c r="E11498" t="s">
        <v>11</v>
      </c>
      <c r="F11498" t="s">
        <v>712</v>
      </c>
      <c r="G11498" t="s">
        <v>9</v>
      </c>
      <c r="H11498" t="s">
        <v>14</v>
      </c>
    </row>
    <row r="11499" spans="1:8" hidden="1" x14ac:dyDescent="0.25">
      <c r="A11499" t="s">
        <v>15224</v>
      </c>
      <c r="B11499" s="1" t="str">
        <f>HYPERLINK("https://asmlis.vasa.lt/Dashboard/Served?ServiceDateFrom=2025-11-24&amp;ServiceDateTo=2025-11-24&amp;DumpsterInvNr=13-L-136744", "13-L-136744")</f>
        <v>13-L-136744</v>
      </c>
      <c r="C11499">
        <v>5</v>
      </c>
      <c r="D11499" t="s">
        <v>15225</v>
      </c>
      <c r="E11499" t="s">
        <v>11</v>
      </c>
      <c r="F11499" t="s">
        <v>13</v>
      </c>
      <c r="G11499" t="s">
        <v>430</v>
      </c>
      <c r="H11499" t="s">
        <v>432</v>
      </c>
    </row>
    <row r="11500" spans="1:8" hidden="1" x14ac:dyDescent="0.25">
      <c r="A11500" t="s">
        <v>15224</v>
      </c>
      <c r="B11500" s="1" t="str">
        <f>HYPERLINK("https://asmlis.vasa.lt/Dashboard/Served?ServiceDateFrom=2025-11-24&amp;ServiceDateTo=2025-11-24&amp;DumpsterInvNr=13-P-101199", "13-P-101199")</f>
        <v>13-P-101199</v>
      </c>
      <c r="C11500">
        <v>0.24</v>
      </c>
      <c r="D11500" t="s">
        <v>15180</v>
      </c>
      <c r="E11500" t="s">
        <v>11</v>
      </c>
      <c r="G11500" t="s">
        <v>1917</v>
      </c>
      <c r="H11500" t="s">
        <v>432</v>
      </c>
    </row>
    <row r="11501" spans="1:8" hidden="1" x14ac:dyDescent="0.25">
      <c r="A11501" t="s">
        <v>15226</v>
      </c>
      <c r="B11501" s="1" t="str">
        <f>HYPERLINK("https://asmlis.vasa.lt/Dashboard/Served?ServiceDateFrom=2025-11-24&amp;ServiceDateTo=2025-11-24&amp;DumpsterInvNr=13-L-203514", "13-L-203514")</f>
        <v>13-L-203514</v>
      </c>
      <c r="C11501">
        <v>0.24</v>
      </c>
      <c r="D11501" t="s">
        <v>15227</v>
      </c>
      <c r="E11501" t="s">
        <v>11</v>
      </c>
      <c r="G11501" t="s">
        <v>936</v>
      </c>
      <c r="H11501" t="s">
        <v>938</v>
      </c>
    </row>
    <row r="11502" spans="1:8" hidden="1" x14ac:dyDescent="0.25">
      <c r="A11502" t="s">
        <v>15155</v>
      </c>
      <c r="B11502" s="1" t="str">
        <f>HYPERLINK("https://asmlis.vasa.lt/Dashboard/Served?ServiceDateFrom=2025-11-24&amp;ServiceDateTo=2025-11-24&amp;DumpsterInvNr=13-L-318600", "13-L-318600")</f>
        <v>13-L-318600</v>
      </c>
      <c r="C11502">
        <v>1.1000000000000001</v>
      </c>
      <c r="D11502" t="s">
        <v>15228</v>
      </c>
      <c r="E11502" t="s">
        <v>11</v>
      </c>
      <c r="G11502" t="s">
        <v>9</v>
      </c>
      <c r="H11502" t="s">
        <v>14</v>
      </c>
    </row>
    <row r="11503" spans="1:8" hidden="1" x14ac:dyDescent="0.25">
      <c r="A11503" t="s">
        <v>15229</v>
      </c>
      <c r="B11503" s="1" t="str">
        <f>HYPERLINK("https://asmlis.vasa.lt/Dashboard/Served?ServiceDateFrom=2025-11-24&amp;ServiceDateTo=2025-11-24&amp;DumpsterInvNr=13-L-123108", "13-L-123108")</f>
        <v>13-L-123108</v>
      </c>
      <c r="C11503">
        <v>1.1000000000000001</v>
      </c>
      <c r="D11503" t="s">
        <v>15230</v>
      </c>
      <c r="E11503" t="s">
        <v>11</v>
      </c>
      <c r="G11503" t="s">
        <v>1912</v>
      </c>
      <c r="H11503" t="s">
        <v>432</v>
      </c>
    </row>
    <row r="11504" spans="1:8" hidden="1" x14ac:dyDescent="0.25">
      <c r="A11504" t="s">
        <v>15160</v>
      </c>
      <c r="B11504" s="1" t="str">
        <f>HYPERLINK("https://asmlis.vasa.lt/Dashboard/Served?ServiceDateFrom=2025-11-24&amp;ServiceDateTo=2025-11-24&amp;DumpsterInvNr=13-L-136217", "13-L-136217")</f>
        <v>13-L-136217</v>
      </c>
      <c r="C11504">
        <v>5</v>
      </c>
      <c r="D11504" t="s">
        <v>15231</v>
      </c>
      <c r="E11504" t="s">
        <v>11</v>
      </c>
      <c r="F11504" t="s">
        <v>13</v>
      </c>
      <c r="G11504" t="s">
        <v>1912</v>
      </c>
      <c r="H11504" t="s">
        <v>432</v>
      </c>
    </row>
    <row r="11505" spans="1:8" hidden="1" x14ac:dyDescent="0.25">
      <c r="A11505" t="s">
        <v>15160</v>
      </c>
      <c r="B11505" s="1" t="str">
        <f>HYPERLINK("https://asmlis.vasa.lt/Dashboard/Served?ServiceDateFrom=2025-11-24&amp;ServiceDateTo=2025-11-24&amp;DumpsterInvNr=13-P-502584", "13-P-502584")</f>
        <v>13-P-502584</v>
      </c>
      <c r="C11505">
        <v>0.24</v>
      </c>
      <c r="D11505" t="s">
        <v>15232</v>
      </c>
      <c r="E11505" t="s">
        <v>11</v>
      </c>
      <c r="F11505" t="s">
        <v>1209</v>
      </c>
      <c r="G11505" t="s">
        <v>2178</v>
      </c>
      <c r="H11505" t="s">
        <v>432</v>
      </c>
    </row>
    <row r="11506" spans="1:8" hidden="1" x14ac:dyDescent="0.25">
      <c r="A11506" t="s">
        <v>15160</v>
      </c>
      <c r="B11506" s="1" t="str">
        <f>HYPERLINK("https://asmlis.vasa.lt/Dashboard/Served?ServiceDateFrom=2025-11-24&amp;ServiceDateTo=2025-11-24&amp;DumpsterInvNr=13-S-505192", "13-S-505192")</f>
        <v>13-S-505192</v>
      </c>
      <c r="C11506">
        <v>0.12</v>
      </c>
      <c r="D11506" t="s">
        <v>15207</v>
      </c>
      <c r="E11506" t="s">
        <v>11</v>
      </c>
      <c r="G11506" t="s">
        <v>2178</v>
      </c>
      <c r="H11506" t="s">
        <v>432</v>
      </c>
    </row>
    <row r="11507" spans="1:8" hidden="1" x14ac:dyDescent="0.25">
      <c r="A11507" t="s">
        <v>15235</v>
      </c>
      <c r="B11507" s="1" t="str">
        <f>HYPERLINK("https://asmlis.vasa.lt/Dashboard/Served?ServiceDateFrom=2025-11-24&amp;ServiceDateTo=2025-11-24&amp;DumpsterInvNr=13-L-203515", "13-L-203515")</f>
        <v>13-L-203515</v>
      </c>
      <c r="C11507">
        <v>0.12</v>
      </c>
      <c r="D11507" t="s">
        <v>15236</v>
      </c>
      <c r="E11507" t="s">
        <v>11</v>
      </c>
      <c r="F11507" t="s">
        <v>1209</v>
      </c>
      <c r="G11507" t="s">
        <v>936</v>
      </c>
      <c r="H11507" t="s">
        <v>938</v>
      </c>
    </row>
    <row r="11508" spans="1:8" hidden="1" x14ac:dyDescent="0.25">
      <c r="A11508" t="s">
        <v>15237</v>
      </c>
      <c r="B11508" s="1" t="str">
        <f>HYPERLINK("https://asmlis.vasa.lt/Dashboard/Served?ServiceDateFrom=2025-11-24&amp;ServiceDateTo=2025-11-24&amp;DumpsterInvNr=13-L-135701", "13-L-135701")</f>
        <v>13-L-135701</v>
      </c>
      <c r="C11508">
        <v>0.24</v>
      </c>
      <c r="D11508" t="s">
        <v>15232</v>
      </c>
      <c r="E11508" t="s">
        <v>11</v>
      </c>
      <c r="F11508" t="s">
        <v>1209</v>
      </c>
      <c r="G11508" t="s">
        <v>430</v>
      </c>
      <c r="H11508" t="s">
        <v>432</v>
      </c>
    </row>
    <row r="11509" spans="1:8" hidden="1" x14ac:dyDescent="0.25">
      <c r="A11509" t="s">
        <v>15238</v>
      </c>
      <c r="B11509" s="1" t="str">
        <f>HYPERLINK("https://asmlis.vasa.lt/Dashboard/Served?ServiceDateFrom=2025-11-24&amp;ServiceDateTo=2025-11-24&amp;DumpsterInvNr=13-L-113186", "13-L-113186")</f>
        <v>13-L-113186</v>
      </c>
      <c r="C11509">
        <v>0.24</v>
      </c>
      <c r="D11509" t="s">
        <v>15239</v>
      </c>
      <c r="E11509" t="s">
        <v>11</v>
      </c>
      <c r="G11509" t="s">
        <v>430</v>
      </c>
      <c r="H11509" t="s">
        <v>432</v>
      </c>
    </row>
    <row r="11510" spans="1:8" hidden="1" x14ac:dyDescent="0.25">
      <c r="A11510" t="s">
        <v>15240</v>
      </c>
      <c r="B11510" s="1" t="str">
        <f>HYPERLINK("https://asmlis.vasa.lt/Dashboard/Served?ServiceDateFrom=2025-11-24&amp;ServiceDateTo=2025-11-24&amp;DumpsterInvNr=13-S-211405", "13-S-211405")</f>
        <v>13-S-211405</v>
      </c>
      <c r="C11510">
        <v>1.8</v>
      </c>
      <c r="D11510" t="s">
        <v>15241</v>
      </c>
      <c r="E11510" t="s">
        <v>11</v>
      </c>
      <c r="G11510" t="s">
        <v>234</v>
      </c>
      <c r="H11510" t="s">
        <v>14</v>
      </c>
    </row>
    <row r="11511" spans="1:8" hidden="1" x14ac:dyDescent="0.25">
      <c r="A11511" t="s">
        <v>15242</v>
      </c>
      <c r="B11511" s="1" t="str">
        <f>HYPERLINK("https://asmlis.vasa.lt/Dashboard/Served?ServiceDateFrom=2025-11-24&amp;ServiceDateTo=2025-11-24&amp;DumpsterInvNr=13-P-415884", "13-P-415884")</f>
        <v>13-P-415884</v>
      </c>
      <c r="C11511">
        <v>2.5</v>
      </c>
      <c r="D11511" t="s">
        <v>13601</v>
      </c>
      <c r="E11511" t="s">
        <v>11</v>
      </c>
      <c r="G11511" t="s">
        <v>264</v>
      </c>
      <c r="H11511" t="s">
        <v>14</v>
      </c>
    </row>
    <row r="11512" spans="1:8" hidden="1" x14ac:dyDescent="0.25">
      <c r="A11512" t="s">
        <v>15223</v>
      </c>
      <c r="B11512" s="1" t="str">
        <f>HYPERLINK("https://asmlis.vasa.lt/Dashboard/Served?ServiceDateFrom=2025-11-24&amp;ServiceDateTo=2025-11-24&amp;DumpsterInvNr=13-P-506683", "13-P-506683")</f>
        <v>13-P-506683</v>
      </c>
      <c r="C11512">
        <v>0.24</v>
      </c>
      <c r="D11512" t="s">
        <v>15239</v>
      </c>
      <c r="E11512" t="s">
        <v>11</v>
      </c>
      <c r="G11512" t="s">
        <v>2178</v>
      </c>
      <c r="H11512" t="s">
        <v>432</v>
      </c>
    </row>
    <row r="11513" spans="1:8" hidden="1" x14ac:dyDescent="0.25">
      <c r="A11513" t="s">
        <v>15243</v>
      </c>
      <c r="B11513" s="1" t="str">
        <f>HYPERLINK("https://asmlis.vasa.lt/Dashboard/Served?ServiceDateFrom=2025-11-24&amp;ServiceDateTo=2025-11-24&amp;DumpsterInvNr=13-L-123107", "13-L-123107")</f>
        <v>13-L-123107</v>
      </c>
      <c r="C11513">
        <v>1.1000000000000001</v>
      </c>
      <c r="D11513" t="s">
        <v>15230</v>
      </c>
      <c r="E11513" t="s">
        <v>11</v>
      </c>
      <c r="G11513" t="s">
        <v>1912</v>
      </c>
      <c r="H11513" t="s">
        <v>432</v>
      </c>
    </row>
    <row r="11514" spans="1:8" hidden="1" x14ac:dyDescent="0.25">
      <c r="A11514" t="s">
        <v>15244</v>
      </c>
      <c r="B11514" s="1" t="str">
        <f>HYPERLINK("https://asmlis.vasa.lt/Dashboard/Served?ServiceDateFrom=2025-11-24&amp;ServiceDateTo=2025-11-24&amp;DumpsterInvNr=13-L-143771", "13-L-143771")</f>
        <v>13-L-143771</v>
      </c>
      <c r="C11514">
        <v>1.1000000000000001</v>
      </c>
      <c r="D11514" t="s">
        <v>15245</v>
      </c>
      <c r="E11514" t="s">
        <v>11</v>
      </c>
      <c r="G11514" t="s">
        <v>430</v>
      </c>
      <c r="H11514" t="s">
        <v>432</v>
      </c>
    </row>
    <row r="11515" spans="1:8" hidden="1" x14ac:dyDescent="0.25">
      <c r="A11515" t="s">
        <v>15246</v>
      </c>
      <c r="B11515" s="1" t="str">
        <f>HYPERLINK("https://asmlis.vasa.lt/Dashboard/Served?ServiceDateFrom=2025-11-24&amp;ServiceDateTo=2025-11-24&amp;DumpsterInvNr=13-S-205945", "13-S-205945")</f>
        <v>13-S-205945</v>
      </c>
      <c r="C11515">
        <v>0.12</v>
      </c>
      <c r="D11515" t="s">
        <v>14846</v>
      </c>
      <c r="E11515" t="s">
        <v>11</v>
      </c>
      <c r="F11515" t="s">
        <v>1209</v>
      </c>
      <c r="G11515" t="s">
        <v>234</v>
      </c>
      <c r="H11515" t="s">
        <v>14</v>
      </c>
    </row>
    <row r="11516" spans="1:8" hidden="1" x14ac:dyDescent="0.25">
      <c r="A11516" t="s">
        <v>15247</v>
      </c>
      <c r="B11516" s="1" t="str">
        <f>HYPERLINK("https://asmlis.vasa.lt/Dashboard/Served?ServiceDateFrom=2025-11-24&amp;ServiceDateTo=2025-11-24&amp;DumpsterInvNr=13-L-309529", "13-L-309529")</f>
        <v>13-L-309529</v>
      </c>
      <c r="C11516">
        <v>0.24</v>
      </c>
      <c r="D11516" t="s">
        <v>15248</v>
      </c>
      <c r="E11516" t="s">
        <v>11</v>
      </c>
      <c r="F11516" t="s">
        <v>712</v>
      </c>
      <c r="G11516" t="s">
        <v>9</v>
      </c>
      <c r="H11516" t="s">
        <v>14</v>
      </c>
    </row>
    <row r="11517" spans="1:8" hidden="1" x14ac:dyDescent="0.25">
      <c r="A11517" t="s">
        <v>15249</v>
      </c>
      <c r="B11517" s="1" t="str">
        <f>HYPERLINK("https://asmlis.vasa.lt/Dashboard/Served?ServiceDateFrom=2025-11-24&amp;ServiceDateTo=2025-11-24&amp;DumpsterInvNr=13-L-307043", "13-L-307043")</f>
        <v>13-L-307043</v>
      </c>
      <c r="C11517">
        <v>1.1000000000000001</v>
      </c>
      <c r="D11517" t="s">
        <v>15250</v>
      </c>
      <c r="E11517" t="s">
        <v>11</v>
      </c>
      <c r="F11517" t="s">
        <v>712</v>
      </c>
      <c r="G11517" t="s">
        <v>9</v>
      </c>
      <c r="H11517" t="s">
        <v>14</v>
      </c>
    </row>
    <row r="11518" spans="1:8" hidden="1" x14ac:dyDescent="0.25">
      <c r="A11518" t="s">
        <v>15251</v>
      </c>
      <c r="B11518" s="1" t="str">
        <f>HYPERLINK("https://asmlis.vasa.lt/Dashboard/Served?ServiceDateFrom=2025-11-24&amp;ServiceDateTo=2025-11-24&amp;DumpsterInvNr=13-L-120418", "13-L-120418")</f>
        <v>13-L-120418</v>
      </c>
      <c r="C11518">
        <v>0.12</v>
      </c>
      <c r="D11518" t="s">
        <v>15252</v>
      </c>
      <c r="E11518" t="s">
        <v>11</v>
      </c>
      <c r="G11518" t="s">
        <v>1912</v>
      </c>
      <c r="H11518" t="s">
        <v>432</v>
      </c>
    </row>
    <row r="11519" spans="1:8" hidden="1" x14ac:dyDescent="0.25">
      <c r="A11519" t="s">
        <v>15253</v>
      </c>
      <c r="B11519" s="1" t="str">
        <f>HYPERLINK("https://asmlis.vasa.lt/Dashboard/Served?ServiceDateFrom=2025-11-24&amp;ServiceDateTo=2025-11-24&amp;DumpsterInvNr=13-S-505345", "13-S-505345")</f>
        <v>13-S-505345</v>
      </c>
      <c r="C11519">
        <v>0.12</v>
      </c>
      <c r="D11519" t="s">
        <v>15239</v>
      </c>
      <c r="E11519" t="s">
        <v>11</v>
      </c>
      <c r="F11519" t="s">
        <v>1209</v>
      </c>
      <c r="G11519" t="s">
        <v>2178</v>
      </c>
      <c r="H11519" t="s">
        <v>432</v>
      </c>
    </row>
    <row r="11520" spans="1:8" hidden="1" x14ac:dyDescent="0.25">
      <c r="A11520" t="s">
        <v>15254</v>
      </c>
      <c r="B11520" s="1" t="str">
        <f>HYPERLINK("https://asmlis.vasa.lt/Dashboard/Served?ServiceDateFrom=2025-11-24&amp;ServiceDateTo=2025-11-24&amp;DumpsterInvNr=13-P-101203", "13-P-101203")</f>
        <v>13-P-101203</v>
      </c>
      <c r="C11520">
        <v>0.24</v>
      </c>
      <c r="D11520" t="s">
        <v>15252</v>
      </c>
      <c r="E11520" t="s">
        <v>11</v>
      </c>
      <c r="G11520" t="s">
        <v>1917</v>
      </c>
      <c r="H11520" t="s">
        <v>432</v>
      </c>
    </row>
    <row r="11521" spans="1:8" hidden="1" x14ac:dyDescent="0.25">
      <c r="A11521" t="s">
        <v>15255</v>
      </c>
      <c r="B11521" s="1" t="str">
        <f>HYPERLINK("https://asmlis.vasa.lt/Dashboard/Served?ServiceDateFrom=2025-11-24&amp;ServiceDateTo=2025-11-24&amp;DumpsterInvNr=13-L-210647", "13-L-210647")</f>
        <v>13-L-210647</v>
      </c>
      <c r="C11521">
        <v>0.12</v>
      </c>
      <c r="D11521" t="s">
        <v>15256</v>
      </c>
      <c r="E11521" t="s">
        <v>11</v>
      </c>
      <c r="F11521" t="s">
        <v>1209</v>
      </c>
      <c r="G11521" t="s">
        <v>936</v>
      </c>
      <c r="H11521" t="s">
        <v>938</v>
      </c>
    </row>
    <row r="11522" spans="1:8" hidden="1" x14ac:dyDescent="0.25">
      <c r="A11522" t="s">
        <v>15257</v>
      </c>
      <c r="B11522" s="1" t="str">
        <f>HYPERLINK("https://asmlis.vasa.lt/Dashboard/Served?ServiceDateFrom=2025-11-24&amp;ServiceDateTo=2025-11-24&amp;DumpsterInvNr=13-S-102450", "13-S-102450")</f>
        <v>13-S-102450</v>
      </c>
      <c r="C11522">
        <v>0.12</v>
      </c>
      <c r="D11522" t="s">
        <v>15258</v>
      </c>
      <c r="E11522" t="s">
        <v>11</v>
      </c>
      <c r="G11522" t="s">
        <v>1917</v>
      </c>
      <c r="H11522" t="s">
        <v>432</v>
      </c>
    </row>
    <row r="11523" spans="1:8" hidden="1" x14ac:dyDescent="0.25">
      <c r="A11523" t="s">
        <v>15259</v>
      </c>
      <c r="B11523" s="1" t="str">
        <f>HYPERLINK("https://asmlis.vasa.lt/Dashboard/Served?ServiceDateFrom=2025-11-24&amp;ServiceDateTo=2025-11-24&amp;DumpsterInvNr=13-P-300003", "13-P-300003")</f>
        <v>13-P-300003</v>
      </c>
      <c r="C11523">
        <v>5</v>
      </c>
      <c r="D11523" t="s">
        <v>6512</v>
      </c>
      <c r="E11523" t="s">
        <v>11</v>
      </c>
      <c r="G11523" t="s">
        <v>412</v>
      </c>
      <c r="H11523" t="s">
        <v>14</v>
      </c>
    </row>
    <row r="11524" spans="1:8" hidden="1" x14ac:dyDescent="0.25">
      <c r="A11524" t="s">
        <v>15259</v>
      </c>
      <c r="B11524" s="1" t="str">
        <f>HYPERLINK("https://asmlis.vasa.lt/Dashboard/Served?ServiceDateFrom=2025-11-24&amp;ServiceDateTo=2025-11-24&amp;DumpsterInvNr=13-L-143777", "13-L-143777")</f>
        <v>13-L-143777</v>
      </c>
      <c r="C11524">
        <v>1.1000000000000001</v>
      </c>
      <c r="D11524" t="s">
        <v>15245</v>
      </c>
      <c r="E11524" t="s">
        <v>11</v>
      </c>
      <c r="G11524" t="s">
        <v>430</v>
      </c>
      <c r="H11524" t="s">
        <v>432</v>
      </c>
    </row>
    <row r="11525" spans="1:8" hidden="1" x14ac:dyDescent="0.25">
      <c r="A11525" t="s">
        <v>15260</v>
      </c>
      <c r="B11525" s="1" t="str">
        <f>HYPERLINK("https://asmlis.vasa.lt/Dashboard/Served?ServiceDateFrom=2025-11-24&amp;ServiceDateTo=2025-11-24&amp;DumpsterInvNr=13-L-123106", "13-L-123106")</f>
        <v>13-L-123106</v>
      </c>
      <c r="C11525">
        <v>1.1000000000000001</v>
      </c>
      <c r="D11525" t="s">
        <v>15230</v>
      </c>
      <c r="E11525" t="s">
        <v>11</v>
      </c>
      <c r="G11525" t="s">
        <v>1912</v>
      </c>
      <c r="H11525" t="s">
        <v>432</v>
      </c>
    </row>
    <row r="11526" spans="1:8" hidden="1" x14ac:dyDescent="0.25">
      <c r="A11526" t="s">
        <v>15261</v>
      </c>
      <c r="B11526" s="1" t="str">
        <f>HYPERLINK("https://asmlis.vasa.lt/Dashboard/Served?ServiceDateFrom=2025-11-24&amp;ServiceDateTo=2025-11-24&amp;DumpsterInvNr=13-S-206227", "13-S-206227")</f>
        <v>13-S-206227</v>
      </c>
      <c r="C11526">
        <v>0.12</v>
      </c>
      <c r="D11526" t="s">
        <v>14855</v>
      </c>
      <c r="E11526" t="s">
        <v>11</v>
      </c>
      <c r="F11526" t="s">
        <v>1209</v>
      </c>
      <c r="G11526" t="s">
        <v>234</v>
      </c>
      <c r="H11526" t="s">
        <v>14</v>
      </c>
    </row>
    <row r="11527" spans="1:8" hidden="1" x14ac:dyDescent="0.25">
      <c r="A11527" t="s">
        <v>15262</v>
      </c>
      <c r="B11527" s="1" t="str">
        <f>HYPERLINK("https://asmlis.vasa.lt/Dashboard/Served?ServiceDateFrom=2025-11-24&amp;ServiceDateTo=2025-11-24&amp;DumpsterInvNr=13-L-421834", "13-L-421834")</f>
        <v>13-L-421834</v>
      </c>
      <c r="C11527">
        <v>5</v>
      </c>
      <c r="D11527" t="s">
        <v>7540</v>
      </c>
      <c r="E11527" t="s">
        <v>11</v>
      </c>
      <c r="F11527" t="s">
        <v>13</v>
      </c>
      <c r="G11527" t="s">
        <v>74</v>
      </c>
      <c r="H11527" t="s">
        <v>14</v>
      </c>
    </row>
    <row r="11528" spans="1:8" hidden="1" x14ac:dyDescent="0.25">
      <c r="A11528" t="s">
        <v>15263</v>
      </c>
      <c r="B11528" s="1" t="str">
        <f>HYPERLINK("https://asmlis.vasa.lt/Dashboard/Served?ServiceDateFrom=2025-11-24&amp;ServiceDateTo=2025-11-24&amp;DumpsterInvNr=13-P-500250", "13-P-500250")</f>
        <v>13-P-500250</v>
      </c>
      <c r="C11528">
        <v>2.5</v>
      </c>
      <c r="D11528" t="s">
        <v>15264</v>
      </c>
      <c r="E11528" t="s">
        <v>11</v>
      </c>
      <c r="F11528" t="s">
        <v>13</v>
      </c>
      <c r="G11528" t="s">
        <v>2178</v>
      </c>
      <c r="H11528" t="s">
        <v>432</v>
      </c>
    </row>
    <row r="11529" spans="1:8" hidden="1" x14ac:dyDescent="0.25">
      <c r="A11529" t="s">
        <v>15266</v>
      </c>
      <c r="B11529" s="1" t="str">
        <f>HYPERLINK("https://asmlis.vasa.lt/Dashboard/Served?ServiceDateFrom=2025-11-24&amp;ServiceDateTo=2025-11-24&amp;DumpsterInvNr=13-P-208762", "13-P-208762")</f>
        <v>13-P-208762</v>
      </c>
      <c r="C11529">
        <v>0.24</v>
      </c>
      <c r="D11529" t="s">
        <v>15267</v>
      </c>
      <c r="E11529" t="s">
        <v>11</v>
      </c>
      <c r="F11529" t="s">
        <v>1209</v>
      </c>
      <c r="G11529" t="s">
        <v>234</v>
      </c>
      <c r="H11529" t="s">
        <v>14</v>
      </c>
    </row>
    <row r="11530" spans="1:8" hidden="1" x14ac:dyDescent="0.25">
      <c r="A11530" t="s">
        <v>15268</v>
      </c>
      <c r="B11530" s="1" t="str">
        <f>HYPERLINK("https://asmlis.vasa.lt/Dashboard/Served?ServiceDateFrom=2025-11-24&amp;ServiceDateTo=2025-11-24&amp;DumpsterInvNr=13-P-205280", "13-P-205280")</f>
        <v>13-P-205280</v>
      </c>
      <c r="C11530">
        <v>0.24</v>
      </c>
      <c r="D11530" t="s">
        <v>14846</v>
      </c>
      <c r="E11530" t="s">
        <v>11</v>
      </c>
      <c r="F11530" t="s">
        <v>1209</v>
      </c>
      <c r="G11530" t="s">
        <v>234</v>
      </c>
      <c r="H11530" t="s">
        <v>14</v>
      </c>
    </row>
    <row r="11531" spans="1:8" hidden="1" x14ac:dyDescent="0.25">
      <c r="A11531" t="s">
        <v>15268</v>
      </c>
      <c r="B11531" s="1" t="str">
        <f>HYPERLINK("https://asmlis.vasa.lt/Dashboard/Served?ServiceDateFrom=2025-11-24&amp;ServiceDateTo=2025-11-24&amp;DumpsterInvNr=13-P-205535", "13-P-205535")</f>
        <v>13-P-205535</v>
      </c>
      <c r="C11531">
        <v>0.24</v>
      </c>
      <c r="D11531" t="s">
        <v>14896</v>
      </c>
      <c r="E11531" t="s">
        <v>11</v>
      </c>
      <c r="F11531" t="s">
        <v>1209</v>
      </c>
      <c r="G11531" t="s">
        <v>234</v>
      </c>
      <c r="H11531" t="s">
        <v>14</v>
      </c>
    </row>
    <row r="11532" spans="1:8" hidden="1" x14ac:dyDescent="0.25">
      <c r="A11532" t="s">
        <v>15269</v>
      </c>
      <c r="B11532" s="1" t="str">
        <f>HYPERLINK("https://asmlis.vasa.lt/Dashboard/Served?ServiceDateFrom=2025-11-24&amp;ServiceDateTo=2025-11-24&amp;DumpsterInvNr=13-L-306097", "13-L-306097")</f>
        <v>13-L-306097</v>
      </c>
      <c r="C11532">
        <v>0.77</v>
      </c>
      <c r="D11532" t="s">
        <v>15270</v>
      </c>
      <c r="E11532" t="s">
        <v>11</v>
      </c>
      <c r="G11532" t="s">
        <v>9</v>
      </c>
      <c r="H11532" t="s">
        <v>14</v>
      </c>
    </row>
    <row r="11533" spans="1:8" hidden="1" x14ac:dyDescent="0.25">
      <c r="A11533" t="s">
        <v>15271</v>
      </c>
      <c r="B11533" s="1" t="str">
        <f>HYPERLINK("https://asmlis.vasa.lt/Dashboard/Served?ServiceDateFrom=2025-11-24&amp;ServiceDateTo=2025-11-24&amp;DumpsterInvNr=13-L-302616", "13-L-302616")</f>
        <v>13-L-302616</v>
      </c>
      <c r="C11533">
        <v>0.24</v>
      </c>
      <c r="D11533" t="s">
        <v>15272</v>
      </c>
      <c r="E11533" t="s">
        <v>11</v>
      </c>
      <c r="F11533" t="s">
        <v>712</v>
      </c>
      <c r="G11533" t="s">
        <v>9</v>
      </c>
      <c r="H11533" t="s">
        <v>14</v>
      </c>
    </row>
    <row r="11534" spans="1:8" hidden="1" x14ac:dyDescent="0.25">
      <c r="A11534" t="s">
        <v>15274</v>
      </c>
      <c r="B11534" s="1" t="str">
        <f>HYPERLINK("https://asmlis.vasa.lt/Dashboard/Served?ServiceDateFrom=2025-11-24&amp;ServiceDateTo=2025-11-24&amp;DumpsterInvNr=13-P-304015", "13-P-304015")</f>
        <v>13-P-304015</v>
      </c>
      <c r="C11534">
        <v>5</v>
      </c>
      <c r="D11534" t="s">
        <v>15275</v>
      </c>
      <c r="E11534" t="s">
        <v>11</v>
      </c>
      <c r="G11534" t="s">
        <v>412</v>
      </c>
      <c r="H11534" t="s">
        <v>14</v>
      </c>
    </row>
    <row r="11535" spans="1:8" hidden="1" x14ac:dyDescent="0.25">
      <c r="A11535" t="s">
        <v>15276</v>
      </c>
      <c r="B11535" s="1" t="str">
        <f>HYPERLINK("https://asmlis.vasa.lt/Dashboard/Served?ServiceDateFrom=2025-11-24&amp;ServiceDateTo=2025-11-24&amp;DumpsterInvNr=13-L-203516", "13-L-203516")</f>
        <v>13-L-203516</v>
      </c>
      <c r="C11535">
        <v>0.12</v>
      </c>
      <c r="D11535" t="s">
        <v>15277</v>
      </c>
      <c r="E11535" t="s">
        <v>11</v>
      </c>
      <c r="G11535" t="s">
        <v>936</v>
      </c>
      <c r="H11535" t="s">
        <v>938</v>
      </c>
    </row>
    <row r="11536" spans="1:8" hidden="1" x14ac:dyDescent="0.25">
      <c r="A11536" t="s">
        <v>15276</v>
      </c>
      <c r="B11536" s="1" t="str">
        <f>HYPERLINK("https://asmlis.vasa.lt/Dashboard/Served?ServiceDateFrom=2025-11-24&amp;ServiceDateTo=2025-11-24&amp;DumpsterInvNr=13-L-139857", "13-L-139857")</f>
        <v>13-L-139857</v>
      </c>
      <c r="C11536">
        <v>5</v>
      </c>
      <c r="D11536" t="s">
        <v>15278</v>
      </c>
      <c r="E11536" t="s">
        <v>11</v>
      </c>
      <c r="F11536" t="s">
        <v>13</v>
      </c>
      <c r="G11536" t="s">
        <v>430</v>
      </c>
      <c r="H11536" t="s">
        <v>432</v>
      </c>
    </row>
    <row r="11537" spans="1:8" hidden="1" x14ac:dyDescent="0.25">
      <c r="A11537" t="s">
        <v>15279</v>
      </c>
      <c r="B11537" s="1" t="str">
        <f>HYPERLINK("https://asmlis.vasa.lt/Dashboard/Served?ServiceDateFrom=2025-11-24&amp;ServiceDateTo=2025-11-24&amp;DumpsterInvNr=13-P-413727", "13-P-413727")</f>
        <v>13-P-413727</v>
      </c>
      <c r="C11537">
        <v>5</v>
      </c>
      <c r="D11537" t="s">
        <v>12232</v>
      </c>
      <c r="E11537" t="s">
        <v>11</v>
      </c>
      <c r="F11537" t="s">
        <v>13</v>
      </c>
      <c r="G11537" t="s">
        <v>264</v>
      </c>
      <c r="H11537" t="s">
        <v>14</v>
      </c>
    </row>
    <row r="11538" spans="1:8" hidden="1" x14ac:dyDescent="0.25">
      <c r="A11538" t="s">
        <v>15280</v>
      </c>
      <c r="B11538" s="1" t="str">
        <f>HYPERLINK("https://asmlis.vasa.lt/Dashboard/Served?ServiceDateFrom=2025-11-24&amp;ServiceDateTo=2025-11-24&amp;DumpsterInvNr=13-L-139856", "13-L-139856")</f>
        <v>13-L-139856</v>
      </c>
      <c r="C11538">
        <v>5</v>
      </c>
      <c r="D11538" t="s">
        <v>15278</v>
      </c>
      <c r="E11538" t="s">
        <v>11</v>
      </c>
      <c r="F11538" t="s">
        <v>13</v>
      </c>
      <c r="G11538" t="s">
        <v>430</v>
      </c>
      <c r="H11538" t="s">
        <v>432</v>
      </c>
    </row>
    <row r="11539" spans="1:8" hidden="1" x14ac:dyDescent="0.25">
      <c r="A11539" t="s">
        <v>15280</v>
      </c>
      <c r="B11539" s="1" t="str">
        <f>HYPERLINK("https://asmlis.vasa.lt/Dashboard/Served?ServiceDateFrom=2025-11-24&amp;ServiceDateTo=2025-11-24&amp;DumpsterInvNr=13-L-143775", "13-L-143775")</f>
        <v>13-L-143775</v>
      </c>
      <c r="C11539">
        <v>1.1000000000000001</v>
      </c>
      <c r="D11539" t="s">
        <v>15245</v>
      </c>
      <c r="E11539" t="s">
        <v>11</v>
      </c>
      <c r="G11539" t="s">
        <v>430</v>
      </c>
      <c r="H11539" t="s">
        <v>432</v>
      </c>
    </row>
    <row r="11540" spans="1:8" hidden="1" x14ac:dyDescent="0.25">
      <c r="A11540" t="s">
        <v>15273</v>
      </c>
      <c r="B11540" s="1" t="str">
        <f>HYPERLINK("https://asmlis.vasa.lt/Dashboard/Served?ServiceDateFrom=2025-11-24&amp;ServiceDateTo=2025-11-24&amp;DumpsterInvNr=13-L-302022", "13-L-302022")</f>
        <v>13-L-302022</v>
      </c>
      <c r="C11540">
        <v>0.24</v>
      </c>
      <c r="D11540" t="s">
        <v>15281</v>
      </c>
      <c r="E11540" t="s">
        <v>11</v>
      </c>
      <c r="F11540" t="s">
        <v>712</v>
      </c>
      <c r="G11540" t="s">
        <v>9</v>
      </c>
      <c r="H11540" t="s">
        <v>14</v>
      </c>
    </row>
    <row r="11541" spans="1:8" hidden="1" x14ac:dyDescent="0.25">
      <c r="A11541" t="s">
        <v>15273</v>
      </c>
      <c r="B11541" s="1" t="str">
        <f>HYPERLINK("https://asmlis.vasa.lt/Dashboard/Served?ServiceDateFrom=2025-11-24&amp;ServiceDateTo=2025-11-24&amp;DumpsterInvNr=13-L-120417", "13-L-120417")</f>
        <v>13-L-120417</v>
      </c>
      <c r="C11541">
        <v>0.12</v>
      </c>
      <c r="D11541" t="s">
        <v>15258</v>
      </c>
      <c r="E11541" t="s">
        <v>11</v>
      </c>
      <c r="G11541" t="s">
        <v>1912</v>
      </c>
      <c r="H11541" t="s">
        <v>432</v>
      </c>
    </row>
    <row r="11542" spans="1:8" hidden="1" x14ac:dyDescent="0.25">
      <c r="A11542" t="s">
        <v>15282</v>
      </c>
      <c r="B11542" s="1" t="str">
        <f>HYPERLINK("https://asmlis.vasa.lt/Dashboard/Served?ServiceDateFrom=2025-11-24&amp;ServiceDateTo=2025-11-24&amp;DumpsterInvNr=13-L-422064", "13-L-422064")</f>
        <v>13-L-422064</v>
      </c>
      <c r="C11542">
        <v>5</v>
      </c>
      <c r="D11542" t="s">
        <v>15283</v>
      </c>
      <c r="E11542" t="s">
        <v>11</v>
      </c>
      <c r="G11542" t="s">
        <v>74</v>
      </c>
      <c r="H11542" t="s">
        <v>14</v>
      </c>
    </row>
    <row r="11543" spans="1:8" hidden="1" x14ac:dyDescent="0.25">
      <c r="A11543" t="s">
        <v>15282</v>
      </c>
      <c r="B11543" s="1" t="str">
        <f>HYPERLINK("https://asmlis.vasa.lt/Dashboard/Served?ServiceDateFrom=2025-11-24&amp;ServiceDateTo=2025-11-24&amp;DumpsterInvNr=13-P-101200", "13-P-101200")</f>
        <v>13-P-101200</v>
      </c>
      <c r="C11543">
        <v>0.12</v>
      </c>
      <c r="D11543" t="s">
        <v>15258</v>
      </c>
      <c r="E11543" t="s">
        <v>11</v>
      </c>
      <c r="G11543" t="s">
        <v>1917</v>
      </c>
      <c r="H11543" t="s">
        <v>432</v>
      </c>
    </row>
    <row r="11544" spans="1:8" hidden="1" x14ac:dyDescent="0.25">
      <c r="A11544" t="s">
        <v>15285</v>
      </c>
      <c r="B11544" s="1" t="str">
        <f>HYPERLINK("https://asmlis.vasa.lt/Dashboard/Served?ServiceDateFrom=2025-11-24&amp;ServiceDateTo=2025-11-24&amp;DumpsterInvNr=13-S-507036", "13-S-507036")</f>
        <v>13-S-507036</v>
      </c>
      <c r="C11544">
        <v>0.12</v>
      </c>
      <c r="D11544" t="s">
        <v>15286</v>
      </c>
      <c r="E11544" t="s">
        <v>11</v>
      </c>
      <c r="G11544" t="s">
        <v>2178</v>
      </c>
      <c r="H11544" t="s">
        <v>432</v>
      </c>
    </row>
    <row r="11545" spans="1:8" hidden="1" x14ac:dyDescent="0.25">
      <c r="A11545" t="s">
        <v>15287</v>
      </c>
      <c r="B11545" s="1" t="str">
        <f>HYPERLINK("https://asmlis.vasa.lt/Dashboard/Served?ServiceDateFrom=2025-11-24&amp;ServiceDateTo=2025-11-24&amp;DumpsterInvNr=13-L-143776", "13-L-143776")</f>
        <v>13-L-143776</v>
      </c>
      <c r="C11545">
        <v>1.1000000000000001</v>
      </c>
      <c r="D11545" t="s">
        <v>15245</v>
      </c>
      <c r="E11545" t="s">
        <v>11</v>
      </c>
      <c r="G11545" t="s">
        <v>430</v>
      </c>
      <c r="H11545" t="s">
        <v>432</v>
      </c>
    </row>
    <row r="11546" spans="1:8" hidden="1" x14ac:dyDescent="0.25">
      <c r="A11546" t="s">
        <v>15288</v>
      </c>
      <c r="B11546" s="1" t="str">
        <f>HYPERLINK("https://asmlis.vasa.lt/Dashboard/Served?ServiceDateFrom=2025-11-24&amp;ServiceDateTo=2025-11-24&amp;DumpsterInvNr=13-P-509130", "13-P-509130")</f>
        <v>13-P-509130</v>
      </c>
      <c r="C11546">
        <v>0.24</v>
      </c>
      <c r="D11546" t="s">
        <v>15286</v>
      </c>
      <c r="E11546" t="s">
        <v>11</v>
      </c>
      <c r="G11546" t="s">
        <v>2178</v>
      </c>
      <c r="H11546" t="s">
        <v>432</v>
      </c>
    </row>
    <row r="11547" spans="1:8" hidden="1" x14ac:dyDescent="0.25">
      <c r="A11547" t="s">
        <v>15288</v>
      </c>
      <c r="B11547" s="1" t="str">
        <f>HYPERLINK("https://asmlis.vasa.lt/Dashboard/Served?ServiceDateFrom=2025-11-24&amp;ServiceDateTo=2025-11-24&amp;DumpsterInvNr=13-L-148551", "13-L-148551")</f>
        <v>13-L-148551</v>
      </c>
      <c r="C11547">
        <v>0.24</v>
      </c>
      <c r="D11547" t="s">
        <v>15286</v>
      </c>
      <c r="E11547" t="s">
        <v>11</v>
      </c>
      <c r="G11547" t="s">
        <v>430</v>
      </c>
      <c r="H11547" t="s">
        <v>432</v>
      </c>
    </row>
    <row r="11548" spans="1:8" hidden="1" x14ac:dyDescent="0.25">
      <c r="A11548" t="s">
        <v>15291</v>
      </c>
      <c r="B11548" s="1" t="str">
        <f>HYPERLINK("https://asmlis.vasa.lt/Dashboard/Served?ServiceDateFrom=2025-11-24&amp;ServiceDateTo=2025-11-24&amp;DumpsterInvNr=13-L-225532", "13-L-225532")</f>
        <v>13-L-225532</v>
      </c>
      <c r="C11548">
        <v>5</v>
      </c>
      <c r="D11548" t="s">
        <v>9286</v>
      </c>
      <c r="E11548" t="s">
        <v>11</v>
      </c>
      <c r="G11548" t="s">
        <v>936</v>
      </c>
      <c r="H11548" t="s">
        <v>938</v>
      </c>
    </row>
    <row r="11549" spans="1:8" hidden="1" x14ac:dyDescent="0.25">
      <c r="A11549" t="s">
        <v>15292</v>
      </c>
      <c r="B11549" s="1" t="str">
        <f>HYPERLINK("https://asmlis.vasa.lt/Dashboard/Served?ServiceDateFrom=2025-11-24&amp;ServiceDateTo=2025-11-24&amp;DumpsterInvNr=13-L-316355", "13-L-316355")</f>
        <v>13-L-316355</v>
      </c>
      <c r="C11549">
        <v>1.1000000000000001</v>
      </c>
      <c r="D11549" t="s">
        <v>392</v>
      </c>
      <c r="E11549" t="s">
        <v>11</v>
      </c>
      <c r="F11549" t="s">
        <v>13</v>
      </c>
      <c r="G11549" t="s">
        <v>9</v>
      </c>
      <c r="H11549" t="s">
        <v>14</v>
      </c>
    </row>
    <row r="11550" spans="1:8" hidden="1" x14ac:dyDescent="0.25">
      <c r="A11550" t="s">
        <v>15293</v>
      </c>
      <c r="B11550" s="1" t="str">
        <f>HYPERLINK("https://asmlis.vasa.lt/Dashboard/Served?ServiceDateFrom=2025-11-24&amp;ServiceDateTo=2025-11-24&amp;DumpsterInvNr=13-P-115628", "13-P-115628")</f>
        <v>13-P-115628</v>
      </c>
      <c r="C11550">
        <v>1.1000000000000001</v>
      </c>
      <c r="D11550" t="s">
        <v>15294</v>
      </c>
      <c r="E11550" t="s">
        <v>11</v>
      </c>
      <c r="G11550" t="s">
        <v>1917</v>
      </c>
      <c r="H11550" t="s">
        <v>432</v>
      </c>
    </row>
    <row r="11551" spans="1:8" hidden="1" x14ac:dyDescent="0.25">
      <c r="A11551" t="s">
        <v>15295</v>
      </c>
      <c r="B11551" s="1" t="str">
        <f>HYPERLINK("https://asmlis.vasa.lt/Dashboard/Served?ServiceDateFrom=2025-11-24&amp;ServiceDateTo=2025-11-24&amp;DumpsterInvNr=13-P-413987", "13-P-413987")</f>
        <v>13-P-413987</v>
      </c>
      <c r="C11551">
        <v>3</v>
      </c>
      <c r="D11551" t="s">
        <v>12329</v>
      </c>
      <c r="E11551" t="s">
        <v>11</v>
      </c>
      <c r="F11551" t="s">
        <v>13</v>
      </c>
      <c r="G11551" t="s">
        <v>264</v>
      </c>
      <c r="H11551" t="s">
        <v>14</v>
      </c>
    </row>
    <row r="11552" spans="1:8" hidden="1" x14ac:dyDescent="0.25">
      <c r="A11552" t="s">
        <v>15296</v>
      </c>
      <c r="B11552" s="1" t="str">
        <f>HYPERLINK("https://asmlis.vasa.lt/Dashboard/Served?ServiceDateFrom=2025-11-24&amp;ServiceDateTo=2025-11-24&amp;DumpsterInvNr=13-P-413889", "13-P-413889")</f>
        <v>13-P-413889</v>
      </c>
      <c r="C11552">
        <v>3</v>
      </c>
      <c r="D11552" t="s">
        <v>12329</v>
      </c>
      <c r="E11552" t="s">
        <v>11</v>
      </c>
      <c r="F11552" t="s">
        <v>13</v>
      </c>
      <c r="G11552" t="s">
        <v>264</v>
      </c>
      <c r="H11552" t="s">
        <v>14</v>
      </c>
    </row>
    <row r="11553" spans="1:8" hidden="1" x14ac:dyDescent="0.25">
      <c r="A11553" t="s">
        <v>15297</v>
      </c>
      <c r="B11553" s="1" t="str">
        <f>HYPERLINK("https://asmlis.vasa.lt/Dashboard/Served?ServiceDateFrom=2025-11-24&amp;ServiceDateTo=2025-11-24&amp;DumpsterInvNr=13-P-205254", "13-P-205254")</f>
        <v>13-P-205254</v>
      </c>
      <c r="C11553">
        <v>0.24</v>
      </c>
      <c r="D11553" t="s">
        <v>14787</v>
      </c>
      <c r="E11553" t="s">
        <v>11</v>
      </c>
      <c r="G11553" t="s">
        <v>234</v>
      </c>
      <c r="H11553" t="s">
        <v>14</v>
      </c>
    </row>
    <row r="11554" spans="1:8" hidden="1" x14ac:dyDescent="0.25">
      <c r="A11554" t="s">
        <v>15298</v>
      </c>
      <c r="B11554" s="1" t="str">
        <f>HYPERLINK("https://asmlis.vasa.lt/Dashboard/Served?ServiceDateFrom=2025-11-24&amp;ServiceDateTo=2025-11-24&amp;DumpsterInvNr=13-L-149621", "13-L-149621")</f>
        <v>13-L-149621</v>
      </c>
      <c r="C11554">
        <v>0.12</v>
      </c>
      <c r="D11554" t="s">
        <v>15299</v>
      </c>
      <c r="E11554" t="s">
        <v>11</v>
      </c>
      <c r="G11554" t="s">
        <v>430</v>
      </c>
      <c r="H11554" t="s">
        <v>432</v>
      </c>
    </row>
    <row r="11555" spans="1:8" hidden="1" x14ac:dyDescent="0.25">
      <c r="A11555" t="s">
        <v>15298</v>
      </c>
      <c r="B11555" s="1" t="str">
        <f>HYPERLINK("https://asmlis.vasa.lt/Dashboard/Served?ServiceDateFrom=2025-11-24&amp;ServiceDateTo=2025-11-24&amp;DumpsterInvNr=13-P-502582", "13-P-502582")</f>
        <v>13-P-502582</v>
      </c>
      <c r="C11555">
        <v>0.24</v>
      </c>
      <c r="D11555" t="s">
        <v>15299</v>
      </c>
      <c r="E11555" t="s">
        <v>11</v>
      </c>
      <c r="G11555" t="s">
        <v>2178</v>
      </c>
      <c r="H11555" t="s">
        <v>432</v>
      </c>
    </row>
    <row r="11556" spans="1:8" hidden="1" x14ac:dyDescent="0.25">
      <c r="A11556" t="s">
        <v>15300</v>
      </c>
      <c r="B11556" s="1" t="str">
        <f>HYPERLINK("https://asmlis.vasa.lt/Dashboard/Served?ServiceDateFrom=2025-11-24&amp;ServiceDateTo=2025-11-24&amp;DumpsterInvNr=13-P-412374", "13-P-412374")</f>
        <v>13-P-412374</v>
      </c>
      <c r="C11556">
        <v>2.5</v>
      </c>
      <c r="D11556" t="s">
        <v>13601</v>
      </c>
      <c r="E11556" t="s">
        <v>11</v>
      </c>
      <c r="F11556" t="s">
        <v>13</v>
      </c>
      <c r="G11556" t="s">
        <v>264</v>
      </c>
      <c r="H11556" t="s">
        <v>14</v>
      </c>
    </row>
    <row r="11557" spans="1:8" hidden="1" x14ac:dyDescent="0.25">
      <c r="A11557" t="s">
        <v>15086</v>
      </c>
      <c r="B11557" s="1" t="str">
        <f>HYPERLINK("https://asmlis.vasa.lt/Dashboard/Served?ServiceDateFrom=2025-11-24&amp;ServiceDateTo=2025-11-24&amp;DumpsterInvNr=13-S-211053", "13-S-211053")</f>
        <v>13-S-211053</v>
      </c>
      <c r="C11557">
        <v>0.12</v>
      </c>
      <c r="D11557" t="s">
        <v>14787</v>
      </c>
      <c r="E11557" t="s">
        <v>11</v>
      </c>
      <c r="G11557" t="s">
        <v>234</v>
      </c>
      <c r="H11557" t="s">
        <v>14</v>
      </c>
    </row>
    <row r="11558" spans="1:8" hidden="1" x14ac:dyDescent="0.25">
      <c r="A11558" t="s">
        <v>15301</v>
      </c>
      <c r="B11558" s="1" t="str">
        <f>HYPERLINK("https://asmlis.vasa.lt/Dashboard/Served?ServiceDateFrom=2025-11-24&amp;ServiceDateTo=2025-11-24&amp;DumpsterInvNr=13-L-203517", "13-L-203517")</f>
        <v>13-L-203517</v>
      </c>
      <c r="C11558">
        <v>0.24</v>
      </c>
      <c r="D11558" t="s">
        <v>15302</v>
      </c>
      <c r="E11558" t="s">
        <v>11</v>
      </c>
      <c r="G11558" t="s">
        <v>936</v>
      </c>
      <c r="H11558" t="s">
        <v>938</v>
      </c>
    </row>
    <row r="11559" spans="1:8" hidden="1" x14ac:dyDescent="0.25">
      <c r="A11559" t="s">
        <v>15303</v>
      </c>
      <c r="B11559" s="1" t="str">
        <f>HYPERLINK("https://asmlis.vasa.lt/Dashboard/Served?ServiceDateFrom=2025-11-24&amp;ServiceDateTo=2025-11-24&amp;DumpsterInvNr=13-S-504888", "13-S-504888")</f>
        <v>13-S-504888</v>
      </c>
      <c r="C11559">
        <v>0.12</v>
      </c>
      <c r="D11559" t="s">
        <v>15299</v>
      </c>
      <c r="E11559" t="s">
        <v>11</v>
      </c>
      <c r="F11559" t="s">
        <v>1209</v>
      </c>
      <c r="G11559" t="s">
        <v>2178</v>
      </c>
      <c r="H11559" t="s">
        <v>432</v>
      </c>
    </row>
    <row r="11560" spans="1:8" hidden="1" x14ac:dyDescent="0.25">
      <c r="A11560" t="s">
        <v>15305</v>
      </c>
      <c r="B11560" s="1" t="str">
        <f>HYPERLINK("https://asmlis.vasa.lt/Dashboard/Served?ServiceDateFrom=2025-11-24&amp;ServiceDateTo=2025-11-24&amp;DumpsterInvNr=13-L-219346", "13-L-219346")</f>
        <v>13-L-219346</v>
      </c>
      <c r="C11560">
        <v>0.24</v>
      </c>
      <c r="D11560" t="s">
        <v>15302</v>
      </c>
      <c r="E11560" t="s">
        <v>11</v>
      </c>
      <c r="G11560" t="s">
        <v>936</v>
      </c>
      <c r="H11560" t="s">
        <v>938</v>
      </c>
    </row>
    <row r="11561" spans="1:8" hidden="1" x14ac:dyDescent="0.25">
      <c r="A11561" t="s">
        <v>15305</v>
      </c>
      <c r="B11561" s="1" t="str">
        <f>HYPERLINK("https://asmlis.vasa.lt/Dashboard/Served?ServiceDateFrom=2025-11-24&amp;ServiceDateTo=2025-11-24&amp;DumpsterInvNr=13-P-205314", "13-P-205314")</f>
        <v>13-P-205314</v>
      </c>
      <c r="C11561">
        <v>0.24</v>
      </c>
      <c r="D11561" t="s">
        <v>14770</v>
      </c>
      <c r="E11561" t="s">
        <v>11</v>
      </c>
      <c r="G11561" t="s">
        <v>234</v>
      </c>
      <c r="H11561" t="s">
        <v>14</v>
      </c>
    </row>
    <row r="11562" spans="1:8" hidden="1" x14ac:dyDescent="0.25">
      <c r="A11562" t="s">
        <v>15306</v>
      </c>
      <c r="B11562" s="1" t="str">
        <f>HYPERLINK("https://asmlis.vasa.lt/Dashboard/Served?ServiceDateFrom=2025-11-24&amp;ServiceDateTo=2025-11-24&amp;DumpsterInvNr=13-L-143384", "13-L-143384")</f>
        <v>13-L-143384</v>
      </c>
      <c r="C11562">
        <v>5</v>
      </c>
      <c r="D11562" t="s">
        <v>15307</v>
      </c>
      <c r="E11562" t="s">
        <v>11</v>
      </c>
      <c r="F11562" t="s">
        <v>13</v>
      </c>
      <c r="G11562" t="s">
        <v>430</v>
      </c>
      <c r="H11562" t="s">
        <v>432</v>
      </c>
    </row>
    <row r="11563" spans="1:8" hidden="1" x14ac:dyDescent="0.25">
      <c r="A11563" t="s">
        <v>15306</v>
      </c>
      <c r="B11563" s="1" t="str">
        <f>HYPERLINK("https://asmlis.vasa.lt/Dashboard/Served?ServiceDateFrom=2025-11-24&amp;ServiceDateTo=2025-11-24&amp;DumpsterInvNr=13-S-204905", "13-S-204905")</f>
        <v>13-S-204905</v>
      </c>
      <c r="C11563">
        <v>0.12</v>
      </c>
      <c r="D11563" t="s">
        <v>14770</v>
      </c>
      <c r="E11563" t="s">
        <v>11</v>
      </c>
      <c r="F11563" t="s">
        <v>1209</v>
      </c>
      <c r="G11563" t="s">
        <v>234</v>
      </c>
      <c r="H11563" t="s">
        <v>14</v>
      </c>
    </row>
    <row r="11564" spans="1:8" hidden="1" x14ac:dyDescent="0.25">
      <c r="A11564" t="s">
        <v>15309</v>
      </c>
      <c r="B11564" s="1" t="str">
        <f>HYPERLINK("https://asmlis.vasa.lt/Dashboard/Served?ServiceDateFrom=2025-11-24&amp;ServiceDateTo=2025-11-24&amp;DumpsterInvNr=13-S-103050", "13-S-103050")</f>
        <v>13-S-103050</v>
      </c>
      <c r="C11564">
        <v>0.12</v>
      </c>
      <c r="D11564" t="s">
        <v>15212</v>
      </c>
      <c r="E11564" t="s">
        <v>11</v>
      </c>
      <c r="F11564" t="s">
        <v>1209</v>
      </c>
      <c r="G11564" t="s">
        <v>1917</v>
      </c>
      <c r="H11564" t="s">
        <v>432</v>
      </c>
    </row>
    <row r="11565" spans="1:8" hidden="1" x14ac:dyDescent="0.25">
      <c r="A11565" t="s">
        <v>15310</v>
      </c>
      <c r="B11565" s="1" t="str">
        <f>HYPERLINK("https://asmlis.vasa.lt/Dashboard/Served?ServiceDateFrom=2025-11-24&amp;ServiceDateTo=2025-11-24&amp;DumpsterInvNr=13-L-223019", "13-L-223019")</f>
        <v>13-L-223019</v>
      </c>
      <c r="C11565">
        <v>0.24</v>
      </c>
      <c r="D11565" t="s">
        <v>15311</v>
      </c>
      <c r="E11565" t="s">
        <v>11</v>
      </c>
      <c r="G11565" t="s">
        <v>936</v>
      </c>
      <c r="H11565" t="s">
        <v>938</v>
      </c>
    </row>
    <row r="11566" spans="1:8" hidden="1" x14ac:dyDescent="0.25">
      <c r="A11566" t="s">
        <v>15312</v>
      </c>
      <c r="B11566" s="1" t="str">
        <f>HYPERLINK("https://asmlis.vasa.lt/Dashboard/Served?ServiceDateFrom=2025-11-24&amp;ServiceDateTo=2025-11-24&amp;DumpsterInvNr=13-P-300001", "13-P-300001")</f>
        <v>13-P-300001</v>
      </c>
      <c r="C11566">
        <v>5</v>
      </c>
      <c r="D11566" t="s">
        <v>6600</v>
      </c>
      <c r="E11566" t="s">
        <v>11</v>
      </c>
      <c r="G11566" t="s">
        <v>412</v>
      </c>
      <c r="H11566" t="s">
        <v>14</v>
      </c>
    </row>
    <row r="11567" spans="1:8" hidden="1" x14ac:dyDescent="0.25">
      <c r="A11567" t="s">
        <v>15313</v>
      </c>
      <c r="B11567" s="1" t="str">
        <f>HYPERLINK("https://asmlis.vasa.lt/Dashboard/Served?ServiceDateFrom=2025-11-24&amp;ServiceDateTo=2025-11-24&amp;DumpsterInvNr=13-P-505060", "13-P-505060")</f>
        <v>13-P-505060</v>
      </c>
      <c r="C11567">
        <v>0.12</v>
      </c>
      <c r="D11567" t="s">
        <v>15314</v>
      </c>
      <c r="E11567" t="s">
        <v>11</v>
      </c>
      <c r="G11567" t="s">
        <v>2178</v>
      </c>
      <c r="H11567" t="s">
        <v>432</v>
      </c>
    </row>
    <row r="11568" spans="1:8" hidden="1" x14ac:dyDescent="0.25">
      <c r="A11568" t="s">
        <v>13570</v>
      </c>
      <c r="B11568" s="1" t="str">
        <f>HYPERLINK("https://asmlis.vasa.lt/Dashboard/Served?ServiceDateFrom=2025-11-24&amp;ServiceDateTo=2025-11-24&amp;DumpsterInvNr=13-L-137599", "13-L-137599")</f>
        <v>13-L-137599</v>
      </c>
      <c r="C11568">
        <v>0.24</v>
      </c>
      <c r="D11568" t="s">
        <v>15314</v>
      </c>
      <c r="E11568" t="s">
        <v>11</v>
      </c>
      <c r="G11568" t="s">
        <v>430</v>
      </c>
      <c r="H11568" t="s">
        <v>432</v>
      </c>
    </row>
    <row r="11569" spans="1:10" hidden="1" x14ac:dyDescent="0.25">
      <c r="A11569" t="s">
        <v>13570</v>
      </c>
      <c r="B11569" s="1" t="str">
        <f>HYPERLINK("https://asmlis.vasa.lt/Dashboard/Served?ServiceDateFrom=2025-11-24&amp;ServiceDateTo=2025-11-24&amp;DumpsterInvNr=13-P-502581", "13-P-502581")</f>
        <v>13-P-502581</v>
      </c>
      <c r="C11569">
        <v>0.12</v>
      </c>
      <c r="D11569" t="s">
        <v>15314</v>
      </c>
      <c r="E11569" t="s">
        <v>11</v>
      </c>
      <c r="G11569" t="s">
        <v>2178</v>
      </c>
      <c r="H11569" t="s">
        <v>432</v>
      </c>
    </row>
    <row r="11570" spans="1:10" hidden="1" x14ac:dyDescent="0.25">
      <c r="A11570" t="s">
        <v>13896</v>
      </c>
      <c r="B11570" s="1" t="str">
        <f>HYPERLINK("https://asmlis.vasa.lt/Dashboard/Served?ServiceDateFrom=2025-11-24&amp;ServiceDateTo=2025-11-24&amp;DumpsterInvNr=13-L-314183", "13-L-314183")</f>
        <v>13-L-314183</v>
      </c>
      <c r="C11570">
        <v>5</v>
      </c>
      <c r="D11570" t="s">
        <v>11671</v>
      </c>
      <c r="E11570" t="s">
        <v>11</v>
      </c>
      <c r="G11570" t="s">
        <v>9</v>
      </c>
      <c r="H11570" t="s">
        <v>14</v>
      </c>
    </row>
    <row r="11571" spans="1:10" x14ac:dyDescent="0.25">
      <c r="A11571" t="s">
        <v>13896</v>
      </c>
      <c r="B11571" s="1" t="str">
        <f>HYPERLINK("https://asmlis.vasa.lt/Dashboard/Served?ServiceDateFrom=2025-11-24&amp;ServiceDateTo=2025-11-24&amp;DumpsterInvNr=13-P-109682", "13-P-109682")</f>
        <v>13-P-109682</v>
      </c>
      <c r="C11571">
        <v>3</v>
      </c>
      <c r="D11571" t="s">
        <v>15316</v>
      </c>
      <c r="E11571" t="s">
        <v>11</v>
      </c>
      <c r="F11571" t="s">
        <v>12664</v>
      </c>
      <c r="G11571" t="s">
        <v>1917</v>
      </c>
      <c r="H11571" t="s">
        <v>432</v>
      </c>
      <c r="J11571" t="s">
        <v>17511</v>
      </c>
    </row>
    <row r="11572" spans="1:10" hidden="1" x14ac:dyDescent="0.25">
      <c r="A11572" t="s">
        <v>15317</v>
      </c>
      <c r="B11572" s="1" t="str">
        <f>HYPERLINK("https://asmlis.vasa.lt/Dashboard/Served?ServiceDateFrom=2025-11-24&amp;ServiceDateTo=2025-11-24&amp;DumpsterInvNr=13-L-420172", "13-L-420172")</f>
        <v>13-L-420172</v>
      </c>
      <c r="C11572">
        <v>5</v>
      </c>
      <c r="D11572" t="s">
        <v>15318</v>
      </c>
      <c r="E11572" t="s">
        <v>11</v>
      </c>
      <c r="G11572" t="s">
        <v>74</v>
      </c>
      <c r="H11572" t="s">
        <v>14</v>
      </c>
    </row>
    <row r="11573" spans="1:10" hidden="1" x14ac:dyDescent="0.25">
      <c r="A11573" t="s">
        <v>15317</v>
      </c>
      <c r="B11573" s="1" t="str">
        <f>HYPERLINK("https://asmlis.vasa.lt/Dashboard/Served?ServiceDateFrom=2025-11-24&amp;ServiceDateTo=2025-11-24&amp;DumpsterInvNr=13-P-204423", "13-P-204423")</f>
        <v>13-P-204423</v>
      </c>
      <c r="C11573">
        <v>0.24</v>
      </c>
      <c r="D11573" t="s">
        <v>14727</v>
      </c>
      <c r="E11573" t="s">
        <v>11</v>
      </c>
      <c r="G11573" t="s">
        <v>234</v>
      </c>
      <c r="H11573" t="s">
        <v>14</v>
      </c>
    </row>
    <row r="11574" spans="1:10" hidden="1" x14ac:dyDescent="0.25">
      <c r="A11574" t="s">
        <v>15320</v>
      </c>
      <c r="B11574" s="1" t="str">
        <f>HYPERLINK("https://asmlis.vasa.lt/Dashboard/Served?ServiceDateFrom=2025-11-24&amp;ServiceDateTo=2025-11-24&amp;DumpsterInvNr=13-L-424463", "13-L-424463")</f>
        <v>13-L-424463</v>
      </c>
      <c r="C11574">
        <v>5</v>
      </c>
      <c r="D11574" t="s">
        <v>7592</v>
      </c>
      <c r="E11574" t="s">
        <v>11</v>
      </c>
      <c r="F11574" t="s">
        <v>13</v>
      </c>
      <c r="G11574" t="s">
        <v>74</v>
      </c>
      <c r="H11574" t="s">
        <v>14</v>
      </c>
    </row>
    <row r="11575" spans="1:10" hidden="1" x14ac:dyDescent="0.25">
      <c r="A11575" t="s">
        <v>15321</v>
      </c>
      <c r="B11575" s="1" t="str">
        <f>HYPERLINK("https://asmlis.vasa.lt/Dashboard/Served?ServiceDateFrom=2025-11-24&amp;ServiceDateTo=2025-11-24&amp;DumpsterInvNr=13-L-139686", "13-L-139686")</f>
        <v>13-L-139686</v>
      </c>
      <c r="C11575">
        <v>5</v>
      </c>
      <c r="D11575" t="s">
        <v>15322</v>
      </c>
      <c r="E11575" t="s">
        <v>11</v>
      </c>
      <c r="F11575" t="s">
        <v>13</v>
      </c>
      <c r="G11575" t="s">
        <v>1912</v>
      </c>
      <c r="H11575" t="s">
        <v>432</v>
      </c>
    </row>
    <row r="11576" spans="1:10" hidden="1" x14ac:dyDescent="0.25">
      <c r="A11576" t="s">
        <v>15323</v>
      </c>
      <c r="B11576" s="1" t="str">
        <f>HYPERLINK("https://asmlis.vasa.lt/Dashboard/Served?ServiceDateFrom=2025-11-24&amp;ServiceDateTo=2025-11-24&amp;DumpsterInvNr=13-P-500251", "13-P-500251")</f>
        <v>13-P-500251</v>
      </c>
      <c r="C11576">
        <v>2.5</v>
      </c>
      <c r="D11576" t="s">
        <v>15264</v>
      </c>
      <c r="E11576" t="s">
        <v>11</v>
      </c>
      <c r="F11576" t="s">
        <v>13</v>
      </c>
      <c r="G11576" t="s">
        <v>2178</v>
      </c>
      <c r="H11576" t="s">
        <v>432</v>
      </c>
    </row>
    <row r="11577" spans="1:10" hidden="1" x14ac:dyDescent="0.25">
      <c r="A11577" t="s">
        <v>15324</v>
      </c>
      <c r="B11577" s="1" t="str">
        <f>HYPERLINK("https://asmlis.vasa.lt/Dashboard/Served?ServiceDateFrom=2025-11-24&amp;ServiceDateTo=2025-11-24&amp;DumpsterInvNr=13-P-207942", "13-P-207942")</f>
        <v>13-P-207942</v>
      </c>
      <c r="C11577">
        <v>0.24</v>
      </c>
      <c r="D11577" t="s">
        <v>14719</v>
      </c>
      <c r="E11577" t="s">
        <v>11</v>
      </c>
      <c r="G11577" t="s">
        <v>234</v>
      </c>
      <c r="H11577" t="s">
        <v>14</v>
      </c>
    </row>
    <row r="11578" spans="1:10" hidden="1" x14ac:dyDescent="0.25">
      <c r="A11578" t="s">
        <v>15324</v>
      </c>
      <c r="B11578" s="1" t="str">
        <f>HYPERLINK("https://asmlis.vasa.lt/Dashboard/Served?ServiceDateFrom=2025-11-24&amp;ServiceDateTo=2025-11-24&amp;DumpsterInvNr=13-P-205209", "13-P-205209")</f>
        <v>13-P-205209</v>
      </c>
      <c r="C11578">
        <v>0.24</v>
      </c>
      <c r="D11578" t="s">
        <v>14716</v>
      </c>
      <c r="E11578" t="s">
        <v>11</v>
      </c>
      <c r="G11578" t="s">
        <v>234</v>
      </c>
      <c r="H11578" t="s">
        <v>14</v>
      </c>
    </row>
    <row r="11579" spans="1:10" hidden="1" x14ac:dyDescent="0.25">
      <c r="A11579" t="s">
        <v>15325</v>
      </c>
      <c r="B11579" s="1" t="str">
        <f>HYPERLINK("https://asmlis.vasa.lt/Dashboard/Served?ServiceDateFrom=2025-11-24&amp;ServiceDateTo=2025-11-24&amp;DumpsterInvNr=13-P-212606", "13-P-212606")</f>
        <v>13-P-212606</v>
      </c>
      <c r="C11579">
        <v>1.1000000000000001</v>
      </c>
      <c r="D11579" t="s">
        <v>15326</v>
      </c>
      <c r="E11579" t="s">
        <v>11</v>
      </c>
      <c r="F11579" t="s">
        <v>13</v>
      </c>
      <c r="G11579" t="s">
        <v>234</v>
      </c>
      <c r="H11579" t="s">
        <v>14</v>
      </c>
    </row>
    <row r="11580" spans="1:10" hidden="1" x14ac:dyDescent="0.25">
      <c r="A11580" t="s">
        <v>15327</v>
      </c>
      <c r="B11580" s="1" t="str">
        <f>HYPERLINK("https://asmlis.vasa.lt/Dashboard/Served?ServiceDateFrom=2025-11-24&amp;ServiceDateTo=2025-11-24&amp;DumpsterInvNr=13-L-107720", "13-L-107720")</f>
        <v>13-L-107720</v>
      </c>
      <c r="C11580">
        <v>1.1000000000000001</v>
      </c>
      <c r="D11580" t="s">
        <v>15328</v>
      </c>
      <c r="E11580" t="s">
        <v>11</v>
      </c>
      <c r="G11580" t="s">
        <v>1912</v>
      </c>
      <c r="H11580" t="s">
        <v>432</v>
      </c>
    </row>
    <row r="11581" spans="1:10" hidden="1" x14ac:dyDescent="0.25">
      <c r="A11581" t="s">
        <v>15327</v>
      </c>
      <c r="B11581" s="1" t="str">
        <f>HYPERLINK("https://asmlis.vasa.lt/Dashboard/Served?ServiceDateFrom=2025-11-24&amp;ServiceDateTo=2025-11-24&amp;DumpsterInvNr=13-P-102483", "13-P-102483")</f>
        <v>13-P-102483</v>
      </c>
      <c r="C11581">
        <v>5</v>
      </c>
      <c r="D11581" t="s">
        <v>13948</v>
      </c>
      <c r="E11581" t="s">
        <v>11</v>
      </c>
      <c r="F11581" t="s">
        <v>13</v>
      </c>
      <c r="G11581" t="s">
        <v>1917</v>
      </c>
      <c r="H11581" t="s">
        <v>432</v>
      </c>
    </row>
    <row r="11582" spans="1:10" hidden="1" x14ac:dyDescent="0.25">
      <c r="A11582" t="s">
        <v>15327</v>
      </c>
      <c r="B11582" s="1" t="str">
        <f>HYPERLINK("https://asmlis.vasa.lt/Dashboard/Served?ServiceDateFrom=2025-11-24&amp;ServiceDateTo=2025-11-24&amp;DumpsterInvNr=13-P-205426", "13-P-205426")</f>
        <v>13-P-205426</v>
      </c>
      <c r="C11582">
        <v>0.24</v>
      </c>
      <c r="D11582" t="s">
        <v>14730</v>
      </c>
      <c r="E11582" t="s">
        <v>11</v>
      </c>
      <c r="F11582" t="s">
        <v>1209</v>
      </c>
      <c r="G11582" t="s">
        <v>234</v>
      </c>
      <c r="H11582" t="s">
        <v>14</v>
      </c>
    </row>
    <row r="11583" spans="1:10" hidden="1" x14ac:dyDescent="0.25">
      <c r="A11583" t="s">
        <v>15329</v>
      </c>
      <c r="B11583" s="1" t="str">
        <f>HYPERLINK("https://asmlis.vasa.lt/Dashboard/Served?ServiceDateFrom=2025-11-24&amp;ServiceDateTo=2025-11-24&amp;DumpsterInvNr=13-L-317673", "13-L-317673")</f>
        <v>13-L-317673</v>
      </c>
      <c r="C11583">
        <v>1.1000000000000001</v>
      </c>
      <c r="D11583" t="s">
        <v>15330</v>
      </c>
      <c r="E11583" t="s">
        <v>11</v>
      </c>
      <c r="G11583" t="s">
        <v>9</v>
      </c>
      <c r="H11583" t="s">
        <v>14</v>
      </c>
    </row>
    <row r="11584" spans="1:10" hidden="1" x14ac:dyDescent="0.25">
      <c r="A11584" t="s">
        <v>15331</v>
      </c>
      <c r="B11584" s="1" t="str">
        <f>HYPERLINK("https://asmlis.vasa.lt/Dashboard/Served?ServiceDateFrom=2025-11-24&amp;ServiceDateTo=2025-11-24&amp;DumpsterInvNr=13-P-102482", "13-P-102482")</f>
        <v>13-P-102482</v>
      </c>
      <c r="C11584">
        <v>5</v>
      </c>
      <c r="D11584" t="s">
        <v>13948</v>
      </c>
      <c r="E11584" t="s">
        <v>11</v>
      </c>
      <c r="F11584" t="s">
        <v>13</v>
      </c>
      <c r="G11584" t="s">
        <v>1917</v>
      </c>
      <c r="H11584" t="s">
        <v>432</v>
      </c>
    </row>
    <row r="11585" spans="1:10" hidden="1" x14ac:dyDescent="0.25">
      <c r="A11585" t="s">
        <v>15332</v>
      </c>
      <c r="B11585" s="1" t="str">
        <f>HYPERLINK("https://asmlis.vasa.lt/Dashboard/Served?ServiceDateFrom=2025-11-24&amp;ServiceDateTo=2025-11-24&amp;DumpsterInvNr=13-L-315336", "13-L-315336")</f>
        <v>13-L-315336</v>
      </c>
      <c r="C11585">
        <v>1.1000000000000001</v>
      </c>
      <c r="D11585" t="s">
        <v>15330</v>
      </c>
      <c r="E11585" t="s">
        <v>11</v>
      </c>
      <c r="F11585" t="s">
        <v>13</v>
      </c>
      <c r="G11585" t="s">
        <v>9</v>
      </c>
      <c r="H11585" t="s">
        <v>14</v>
      </c>
    </row>
    <row r="11586" spans="1:10" x14ac:dyDescent="0.25">
      <c r="A11586" t="s">
        <v>15332</v>
      </c>
      <c r="B11586" s="1" t="str">
        <f>HYPERLINK("https://asmlis.vasa.lt/Dashboard/Served?ServiceDateFrom=2025-11-24&amp;ServiceDateTo=2025-11-24&amp;DumpsterInvNr=13-P-115903", "13-P-115903")</f>
        <v>13-P-115903</v>
      </c>
      <c r="C11586">
        <v>1.1000000000000001</v>
      </c>
      <c r="D11586" t="s">
        <v>15334</v>
      </c>
      <c r="E11586" t="s">
        <v>11</v>
      </c>
      <c r="F11586" t="s">
        <v>2491</v>
      </c>
      <c r="G11586" t="s">
        <v>1917</v>
      </c>
      <c r="H11586" t="s">
        <v>432</v>
      </c>
      <c r="J11586" t="s">
        <v>17511</v>
      </c>
    </row>
    <row r="11587" spans="1:10" hidden="1" x14ac:dyDescent="0.25">
      <c r="A11587" t="s">
        <v>15336</v>
      </c>
      <c r="B11587" s="1" t="str">
        <f>HYPERLINK("https://asmlis.vasa.lt/Dashboard/Served?ServiceDateFrom=2025-11-24&amp;ServiceDateTo=2025-11-24&amp;DumpsterInvNr=13-P-509613", "13-P-509613")</f>
        <v>13-P-509613</v>
      </c>
      <c r="C11587">
        <v>5</v>
      </c>
      <c r="D11587" t="s">
        <v>15337</v>
      </c>
      <c r="E11587" t="s">
        <v>11</v>
      </c>
      <c r="F11587" t="s">
        <v>13</v>
      </c>
      <c r="G11587" t="s">
        <v>2178</v>
      </c>
      <c r="H11587" t="s">
        <v>432</v>
      </c>
    </row>
    <row r="11588" spans="1:10" hidden="1" x14ac:dyDescent="0.25">
      <c r="A11588" t="s">
        <v>15335</v>
      </c>
      <c r="B11588" s="1" t="str">
        <f>HYPERLINK("https://asmlis.vasa.lt/Dashboard/Served?ServiceDateFrom=2025-11-24&amp;ServiceDateTo=2025-11-24&amp;DumpsterInvNr=13-P-204218", "13-P-204218")</f>
        <v>13-P-204218</v>
      </c>
      <c r="C11588">
        <v>0.24</v>
      </c>
      <c r="D11588" t="s">
        <v>15338</v>
      </c>
      <c r="E11588" t="s">
        <v>11</v>
      </c>
      <c r="F11588" t="s">
        <v>1209</v>
      </c>
      <c r="G11588" t="s">
        <v>234</v>
      </c>
      <c r="H11588" t="s">
        <v>14</v>
      </c>
    </row>
    <row r="11589" spans="1:10" hidden="1" x14ac:dyDescent="0.25">
      <c r="A11589" t="s">
        <v>13990</v>
      </c>
      <c r="B11589" s="1" t="str">
        <f>HYPERLINK("https://asmlis.vasa.lt/Dashboard/Served?ServiceDateFrom=2025-11-24&amp;ServiceDateTo=2025-11-24&amp;DumpsterInvNr=13-L-107721", "13-L-107721")</f>
        <v>13-L-107721</v>
      </c>
      <c r="C11589">
        <v>1.1000000000000001</v>
      </c>
      <c r="D11589" t="s">
        <v>15328</v>
      </c>
      <c r="E11589" t="s">
        <v>11</v>
      </c>
      <c r="G11589" t="s">
        <v>1912</v>
      </c>
      <c r="H11589" t="s">
        <v>432</v>
      </c>
    </row>
    <row r="11590" spans="1:10" hidden="1" x14ac:dyDescent="0.25">
      <c r="A11590" t="s">
        <v>14238</v>
      </c>
      <c r="B11590" s="1" t="str">
        <f>HYPERLINK("https://asmlis.vasa.lt/Dashboard/Served?ServiceDateFrom=2025-11-24&amp;ServiceDateTo=2025-11-24&amp;DumpsterInvNr=13-L-139636", "13-L-139636")</f>
        <v>13-L-139636</v>
      </c>
      <c r="C11590">
        <v>0.24</v>
      </c>
      <c r="D11590" t="s">
        <v>15339</v>
      </c>
      <c r="E11590" t="s">
        <v>11</v>
      </c>
      <c r="G11590" t="s">
        <v>430</v>
      </c>
      <c r="H11590" t="s">
        <v>432</v>
      </c>
    </row>
    <row r="11591" spans="1:10" hidden="1" x14ac:dyDescent="0.25">
      <c r="A11591" t="s">
        <v>14673</v>
      </c>
      <c r="B11591" s="1" t="str">
        <f>HYPERLINK("https://asmlis.vasa.lt/Dashboard/Served?ServiceDateFrom=2025-11-24&amp;ServiceDateTo=2025-11-24&amp;DumpsterInvNr=13-L-139635", "13-L-139635")</f>
        <v>13-L-139635</v>
      </c>
      <c r="C11591">
        <v>0.24</v>
      </c>
      <c r="D11591" t="s">
        <v>15340</v>
      </c>
      <c r="E11591" t="s">
        <v>11</v>
      </c>
      <c r="G11591" t="s">
        <v>430</v>
      </c>
      <c r="H11591" t="s">
        <v>432</v>
      </c>
    </row>
    <row r="11592" spans="1:10" hidden="1" x14ac:dyDescent="0.25">
      <c r="A11592" t="s">
        <v>14700</v>
      </c>
      <c r="B11592" s="1" t="str">
        <f>HYPERLINK("https://asmlis.vasa.lt/Dashboard/Served?ServiceDateFrom=2025-11-24&amp;ServiceDateTo=2025-11-24&amp;DumpsterInvNr=13-S-102443", "13-S-102443")</f>
        <v>13-S-102443</v>
      </c>
      <c r="C11592">
        <v>0.12</v>
      </c>
      <c r="D11592" t="s">
        <v>15341</v>
      </c>
      <c r="E11592" t="s">
        <v>11</v>
      </c>
      <c r="G11592" t="s">
        <v>1917</v>
      </c>
      <c r="H11592" t="s">
        <v>432</v>
      </c>
    </row>
    <row r="11593" spans="1:10" hidden="1" x14ac:dyDescent="0.25">
      <c r="A11593" t="s">
        <v>14700</v>
      </c>
      <c r="B11593" s="1" t="str">
        <f>HYPERLINK("https://asmlis.vasa.lt/Dashboard/Served?ServiceDateFrom=2025-11-24&amp;ServiceDateTo=2025-11-24&amp;DumpsterInvNr=13-P-204217", "13-P-204217")</f>
        <v>13-P-204217</v>
      </c>
      <c r="C11593">
        <v>0.24</v>
      </c>
      <c r="D11593" t="s">
        <v>14706</v>
      </c>
      <c r="E11593" t="s">
        <v>11</v>
      </c>
      <c r="G11593" t="s">
        <v>234</v>
      </c>
      <c r="H11593" t="s">
        <v>14</v>
      </c>
    </row>
    <row r="11594" spans="1:10" hidden="1" x14ac:dyDescent="0.25">
      <c r="A11594" t="s">
        <v>14700</v>
      </c>
      <c r="B11594" s="1" t="str">
        <f>HYPERLINK("https://asmlis.vasa.lt/Dashboard/Served?ServiceDateFrom=2025-11-24&amp;ServiceDateTo=2025-11-24&amp;DumpsterInvNr=13-S-210110", "13-S-210110")</f>
        <v>13-S-210110</v>
      </c>
      <c r="C11594">
        <v>1.8</v>
      </c>
      <c r="D11594" t="s">
        <v>2019</v>
      </c>
      <c r="E11594" t="s">
        <v>11</v>
      </c>
      <c r="F11594" t="s">
        <v>13</v>
      </c>
      <c r="G11594" t="s">
        <v>234</v>
      </c>
      <c r="H11594" t="s">
        <v>14</v>
      </c>
    </row>
    <row r="11595" spans="1:10" hidden="1" x14ac:dyDescent="0.25">
      <c r="A11595" t="s">
        <v>15125</v>
      </c>
      <c r="B11595" s="1" t="str">
        <f>HYPERLINK("https://asmlis.vasa.lt/Dashboard/Served?ServiceDateFrom=2025-11-24&amp;ServiceDateTo=2025-11-24&amp;DumpsterInvNr=13-L-139143", "13-L-139143")</f>
        <v>13-L-139143</v>
      </c>
      <c r="C11595">
        <v>0.24</v>
      </c>
      <c r="D11595" t="s">
        <v>15342</v>
      </c>
      <c r="E11595" t="s">
        <v>11</v>
      </c>
      <c r="G11595" t="s">
        <v>430</v>
      </c>
      <c r="H11595" t="s">
        <v>432</v>
      </c>
    </row>
    <row r="11596" spans="1:10" hidden="1" x14ac:dyDescent="0.25">
      <c r="A11596" t="s">
        <v>15144</v>
      </c>
      <c r="B11596" s="1" t="str">
        <f>HYPERLINK("https://asmlis.vasa.lt/Dashboard/Served?ServiceDateFrom=2025-11-24&amp;ServiceDateTo=2025-11-24&amp;DumpsterInvNr=13-L-203511", "13-L-203511")</f>
        <v>13-L-203511</v>
      </c>
      <c r="C11596">
        <v>0.24</v>
      </c>
      <c r="D11596" t="s">
        <v>15344</v>
      </c>
      <c r="E11596" t="s">
        <v>11</v>
      </c>
      <c r="G11596" t="s">
        <v>936</v>
      </c>
      <c r="H11596" t="s">
        <v>938</v>
      </c>
    </row>
    <row r="11597" spans="1:10" hidden="1" x14ac:dyDescent="0.25">
      <c r="A11597" t="s">
        <v>15144</v>
      </c>
      <c r="B11597" s="1" t="str">
        <f>HYPERLINK("https://asmlis.vasa.lt/Dashboard/Served?ServiceDateFrom=2025-11-24&amp;ServiceDateTo=2025-11-24&amp;DumpsterInvNr=13-S-205054", "13-S-205054")</f>
        <v>13-S-205054</v>
      </c>
      <c r="C11597">
        <v>0.12</v>
      </c>
      <c r="D11597" t="s">
        <v>14719</v>
      </c>
      <c r="E11597" t="s">
        <v>11</v>
      </c>
      <c r="F11597" t="s">
        <v>1209</v>
      </c>
      <c r="G11597" t="s">
        <v>234</v>
      </c>
      <c r="H11597" t="s">
        <v>14</v>
      </c>
    </row>
    <row r="11598" spans="1:10" hidden="1" x14ac:dyDescent="0.25">
      <c r="A11598" t="s">
        <v>15213</v>
      </c>
      <c r="B11598" s="1" t="str">
        <f>HYPERLINK("https://asmlis.vasa.lt/Dashboard/Served?ServiceDateFrom=2025-11-24&amp;ServiceDateTo=2025-11-24&amp;DumpsterInvNr=13-L-142978", "13-L-142978")</f>
        <v>13-L-142978</v>
      </c>
      <c r="C11598">
        <v>1.1000000000000001</v>
      </c>
      <c r="D11598" t="s">
        <v>15328</v>
      </c>
      <c r="E11598" t="s">
        <v>11</v>
      </c>
      <c r="G11598" t="s">
        <v>1912</v>
      </c>
      <c r="H11598" t="s">
        <v>432</v>
      </c>
    </row>
    <row r="11599" spans="1:10" hidden="1" x14ac:dyDescent="0.25">
      <c r="A11599" t="s">
        <v>15346</v>
      </c>
      <c r="B11599" s="1" t="str">
        <f>HYPERLINK("https://asmlis.vasa.lt/Dashboard/Served?ServiceDateFrom=2025-11-24&amp;ServiceDateTo=2025-11-24&amp;DumpsterInvNr=13-P-101201", "13-P-101201")</f>
        <v>13-P-101201</v>
      </c>
      <c r="C11599">
        <v>0.24</v>
      </c>
      <c r="D11599" t="s">
        <v>15347</v>
      </c>
      <c r="E11599" t="s">
        <v>11</v>
      </c>
      <c r="G11599" t="s">
        <v>1917</v>
      </c>
      <c r="H11599" t="s">
        <v>432</v>
      </c>
    </row>
    <row r="11600" spans="1:10" hidden="1" x14ac:dyDescent="0.25">
      <c r="A11600" t="s">
        <v>15348</v>
      </c>
      <c r="B11600" s="1" t="str">
        <f>HYPERLINK("https://asmlis.vasa.lt/Dashboard/Served?ServiceDateFrom=2025-11-24&amp;ServiceDateTo=2025-11-24&amp;DumpsterInvNr=13-L-133750", "13-L-133750")</f>
        <v>13-L-133750</v>
      </c>
      <c r="C11600">
        <v>0.12</v>
      </c>
      <c r="D11600" t="s">
        <v>15347</v>
      </c>
      <c r="E11600" t="s">
        <v>11</v>
      </c>
      <c r="G11600" t="s">
        <v>1912</v>
      </c>
      <c r="H11600" t="s">
        <v>432</v>
      </c>
    </row>
    <row r="11601" spans="1:8" hidden="1" x14ac:dyDescent="0.25">
      <c r="A11601" t="s">
        <v>15349</v>
      </c>
      <c r="B11601" s="1" t="str">
        <f>HYPERLINK("https://asmlis.vasa.lt/Dashboard/Served?ServiceDateFrom=2025-11-24&amp;ServiceDateTo=2025-11-24&amp;DumpsterInvNr=13-P-304016", "13-P-304016")</f>
        <v>13-P-304016</v>
      </c>
      <c r="C11601">
        <v>5</v>
      </c>
      <c r="D11601" t="s">
        <v>15350</v>
      </c>
      <c r="E11601" t="s">
        <v>11</v>
      </c>
      <c r="F11601" t="s">
        <v>13</v>
      </c>
      <c r="G11601" t="s">
        <v>412</v>
      </c>
      <c r="H11601" t="s">
        <v>14</v>
      </c>
    </row>
    <row r="11602" spans="1:8" hidden="1" x14ac:dyDescent="0.25">
      <c r="A11602" t="s">
        <v>15349</v>
      </c>
      <c r="B11602" s="1" t="str">
        <f>HYPERLINK("https://asmlis.vasa.lt/Dashboard/Served?ServiceDateFrom=2025-11-24&amp;ServiceDateTo=2025-11-24&amp;DumpsterInvNr=13-L-107722", "13-L-107722")</f>
        <v>13-L-107722</v>
      </c>
      <c r="C11602">
        <v>1.1000000000000001</v>
      </c>
      <c r="D11602" t="s">
        <v>15328</v>
      </c>
      <c r="E11602" t="s">
        <v>11</v>
      </c>
      <c r="G11602" t="s">
        <v>1912</v>
      </c>
      <c r="H11602" t="s">
        <v>432</v>
      </c>
    </row>
    <row r="11603" spans="1:8" hidden="1" x14ac:dyDescent="0.25">
      <c r="A11603" t="s">
        <v>15319</v>
      </c>
      <c r="B11603" s="1" t="str">
        <f>HYPERLINK("https://asmlis.vasa.lt/Dashboard/Served?ServiceDateFrom=2025-11-24&amp;ServiceDateTo=2025-11-24&amp;DumpsterInvNr=13-P-204649", "13-P-204649")</f>
        <v>13-P-204649</v>
      </c>
      <c r="C11603">
        <v>0.24</v>
      </c>
      <c r="D11603" t="s">
        <v>14711</v>
      </c>
      <c r="E11603" t="s">
        <v>11</v>
      </c>
      <c r="G11603" t="s">
        <v>234</v>
      </c>
      <c r="H11603" t="s">
        <v>14</v>
      </c>
    </row>
    <row r="11604" spans="1:8" hidden="1" x14ac:dyDescent="0.25">
      <c r="A11604" t="s">
        <v>15351</v>
      </c>
      <c r="B11604" s="1" t="str">
        <f>HYPERLINK("https://asmlis.vasa.lt/Dashboard/Served?ServiceDateFrom=2025-11-24&amp;ServiceDateTo=2025-11-24&amp;DumpsterInvNr=13-L-318458", "13-L-318458")</f>
        <v>13-L-318458</v>
      </c>
      <c r="C11604">
        <v>1.1000000000000001</v>
      </c>
      <c r="D11604" t="s">
        <v>15352</v>
      </c>
      <c r="E11604" t="s">
        <v>11</v>
      </c>
      <c r="G11604" t="s">
        <v>9</v>
      </c>
      <c r="H11604" t="s">
        <v>14</v>
      </c>
    </row>
    <row r="11605" spans="1:8" hidden="1" x14ac:dyDescent="0.25">
      <c r="A11605" t="s">
        <v>15353</v>
      </c>
      <c r="B11605" s="1" t="str">
        <f>HYPERLINK("https://asmlis.vasa.lt/Dashboard/Served?ServiceDateFrom=2025-11-24&amp;ServiceDateTo=2025-11-24&amp;DumpsterInvNr=13-S-204828", "13-S-204828")</f>
        <v>13-S-204828</v>
      </c>
      <c r="C11605">
        <v>0.12</v>
      </c>
      <c r="D11605" t="s">
        <v>14716</v>
      </c>
      <c r="E11605" t="s">
        <v>11</v>
      </c>
      <c r="F11605" t="s">
        <v>1209</v>
      </c>
      <c r="G11605" t="s">
        <v>234</v>
      </c>
      <c r="H11605" t="s">
        <v>14</v>
      </c>
    </row>
    <row r="11606" spans="1:8" hidden="1" x14ac:dyDescent="0.25">
      <c r="A11606" t="s">
        <v>15354</v>
      </c>
      <c r="B11606" s="1" t="str">
        <f>HYPERLINK("https://asmlis.vasa.lt/Dashboard/Served?ServiceDateFrom=2025-11-24&amp;ServiceDateTo=2025-11-24&amp;DumpsterInvNr=13-P-413801", "13-P-413801")</f>
        <v>13-P-413801</v>
      </c>
      <c r="C11606">
        <v>3</v>
      </c>
      <c r="D11606" t="s">
        <v>12457</v>
      </c>
      <c r="E11606" t="s">
        <v>11</v>
      </c>
      <c r="F11606" t="s">
        <v>13</v>
      </c>
      <c r="G11606" t="s">
        <v>264</v>
      </c>
      <c r="H11606" t="s">
        <v>14</v>
      </c>
    </row>
    <row r="11607" spans="1:8" hidden="1" x14ac:dyDescent="0.25">
      <c r="A11607" t="s">
        <v>15356</v>
      </c>
      <c r="B11607" s="1" t="str">
        <f>HYPERLINK("https://asmlis.vasa.lt/Dashboard/Served?ServiceDateFrom=2025-11-24&amp;ServiceDateTo=2025-11-24&amp;DumpsterInvNr=13-L-118392", "13-L-118392")</f>
        <v>13-L-118392</v>
      </c>
      <c r="C11607">
        <v>0.24</v>
      </c>
      <c r="D11607" t="s">
        <v>15341</v>
      </c>
      <c r="E11607" t="s">
        <v>11</v>
      </c>
      <c r="G11607" t="s">
        <v>1912</v>
      </c>
      <c r="H11607" t="s">
        <v>432</v>
      </c>
    </row>
    <row r="11608" spans="1:8" hidden="1" x14ac:dyDescent="0.25">
      <c r="A11608" t="s">
        <v>15356</v>
      </c>
      <c r="B11608" s="1" t="str">
        <f>HYPERLINK("https://asmlis.vasa.lt/Dashboard/Served?ServiceDateFrom=2025-11-24&amp;ServiceDateTo=2025-11-24&amp;DumpsterInvNr=13-L-107723", "13-L-107723")</f>
        <v>13-L-107723</v>
      </c>
      <c r="C11608">
        <v>1.1000000000000001</v>
      </c>
      <c r="D11608" t="s">
        <v>15328</v>
      </c>
      <c r="E11608" t="s">
        <v>11</v>
      </c>
      <c r="G11608" t="s">
        <v>1912</v>
      </c>
      <c r="H11608" t="s">
        <v>432</v>
      </c>
    </row>
    <row r="11609" spans="1:8" hidden="1" x14ac:dyDescent="0.25">
      <c r="A11609" t="s">
        <v>15356</v>
      </c>
      <c r="B11609" s="1" t="str">
        <f>HYPERLINK("https://asmlis.vasa.lt/Dashboard/Served?ServiceDateFrom=2025-11-24&amp;ServiceDateTo=2025-11-24&amp;DumpsterInvNr=13-P-101202", "13-P-101202")</f>
        <v>13-P-101202</v>
      </c>
      <c r="C11609">
        <v>0.12</v>
      </c>
      <c r="D11609" t="s">
        <v>15341</v>
      </c>
      <c r="E11609" t="s">
        <v>11</v>
      </c>
      <c r="G11609" t="s">
        <v>1917</v>
      </c>
      <c r="H11609" t="s">
        <v>432</v>
      </c>
    </row>
    <row r="11610" spans="1:8" hidden="1" x14ac:dyDescent="0.25">
      <c r="A11610" t="s">
        <v>15357</v>
      </c>
      <c r="B11610" s="1" t="str">
        <f>HYPERLINK("https://asmlis.vasa.lt/Dashboard/Served?ServiceDateFrom=2025-11-24&amp;ServiceDateTo=2025-11-24&amp;DumpsterInvNr=13-P-413803", "13-P-413803")</f>
        <v>13-P-413803</v>
      </c>
      <c r="C11610">
        <v>3</v>
      </c>
      <c r="D11610" t="s">
        <v>12457</v>
      </c>
      <c r="E11610" t="s">
        <v>11</v>
      </c>
      <c r="F11610" t="s">
        <v>13</v>
      </c>
      <c r="G11610" t="s">
        <v>264</v>
      </c>
      <c r="H11610" t="s">
        <v>14</v>
      </c>
    </row>
    <row r="11611" spans="1:8" hidden="1" x14ac:dyDescent="0.25">
      <c r="A11611" t="s">
        <v>15358</v>
      </c>
      <c r="B11611" s="1" t="str">
        <f>HYPERLINK("https://asmlis.vasa.lt/Dashboard/Served?ServiceDateFrom=2025-11-24&amp;ServiceDateTo=2025-11-24&amp;DumpsterInvNr=13-S-103078", "13-S-103078")</f>
        <v>13-S-103078</v>
      </c>
      <c r="C11611">
        <v>0.12</v>
      </c>
      <c r="D11611" t="s">
        <v>15347</v>
      </c>
      <c r="E11611" t="s">
        <v>11</v>
      </c>
      <c r="G11611" t="s">
        <v>1917</v>
      </c>
      <c r="H11611" t="s">
        <v>432</v>
      </c>
    </row>
    <row r="11612" spans="1:8" hidden="1" x14ac:dyDescent="0.25">
      <c r="A11612" t="s">
        <v>15360</v>
      </c>
      <c r="B11612" s="1" t="str">
        <f>HYPERLINK("https://asmlis.vasa.lt/Dashboard/Served?ServiceDateFrom=2025-11-24&amp;ServiceDateTo=2025-11-24&amp;DumpsterInvNr=13-L-420208", "13-L-420208")</f>
        <v>13-L-420208</v>
      </c>
      <c r="C11612">
        <v>5</v>
      </c>
      <c r="D11612" t="s">
        <v>6474</v>
      </c>
      <c r="E11612" t="s">
        <v>11</v>
      </c>
      <c r="G11612" t="s">
        <v>74</v>
      </c>
      <c r="H11612" t="s">
        <v>14</v>
      </c>
    </row>
    <row r="11613" spans="1:8" hidden="1" x14ac:dyDescent="0.25">
      <c r="A11613" t="s">
        <v>15361</v>
      </c>
      <c r="B11613" s="1" t="str">
        <f>HYPERLINK("https://asmlis.vasa.lt/Dashboard/Served?ServiceDateFrom=2025-11-24&amp;ServiceDateTo=2025-11-24&amp;DumpsterInvNr=13-L-136743", "13-L-136743")</f>
        <v>13-L-136743</v>
      </c>
      <c r="C11613">
        <v>5</v>
      </c>
      <c r="D11613" t="s">
        <v>15362</v>
      </c>
      <c r="E11613" t="s">
        <v>11</v>
      </c>
      <c r="F11613" t="s">
        <v>13</v>
      </c>
      <c r="G11613" t="s">
        <v>430</v>
      </c>
      <c r="H11613" t="s">
        <v>432</v>
      </c>
    </row>
    <row r="11614" spans="1:8" hidden="1" x14ac:dyDescent="0.25">
      <c r="A11614" t="s">
        <v>15363</v>
      </c>
      <c r="B11614" s="1" t="str">
        <f>HYPERLINK("https://asmlis.vasa.lt/Dashboard/Served?ServiceDateFrom=2025-11-24&amp;ServiceDateTo=2025-11-24&amp;DumpsterInvNr=13-L-314950", "13-L-314950")</f>
        <v>13-L-314950</v>
      </c>
      <c r="C11614">
        <v>1.1000000000000001</v>
      </c>
      <c r="D11614" t="s">
        <v>9975</v>
      </c>
      <c r="E11614" t="s">
        <v>11</v>
      </c>
      <c r="F11614" t="s">
        <v>13</v>
      </c>
      <c r="G11614" t="s">
        <v>9</v>
      </c>
      <c r="H11614" t="s">
        <v>14</v>
      </c>
    </row>
    <row r="11615" spans="1:8" hidden="1" x14ac:dyDescent="0.25">
      <c r="A11615" t="s">
        <v>15364</v>
      </c>
      <c r="B11615" s="1" t="str">
        <f>HYPERLINK("https://asmlis.vasa.lt/Dashboard/Served?ServiceDateFrom=2025-11-24&amp;ServiceDateTo=2025-11-24&amp;DumpsterInvNr=13-P-509081", "13-P-509081")</f>
        <v>13-P-509081</v>
      </c>
      <c r="C11615">
        <v>0.24</v>
      </c>
      <c r="D11615" t="s">
        <v>15365</v>
      </c>
      <c r="E11615" t="s">
        <v>11</v>
      </c>
      <c r="G11615" t="s">
        <v>2178</v>
      </c>
      <c r="H11615" t="s">
        <v>432</v>
      </c>
    </row>
    <row r="11616" spans="1:8" hidden="1" x14ac:dyDescent="0.25">
      <c r="A11616" t="s">
        <v>15366</v>
      </c>
      <c r="B11616" s="1" t="str">
        <f>HYPERLINK("https://asmlis.vasa.lt/Dashboard/Served?ServiceDateFrom=2025-11-24&amp;ServiceDateTo=2025-11-24&amp;DumpsterInvNr=13-P-115053", "13-P-115053")</f>
        <v>13-P-115053</v>
      </c>
      <c r="C11616">
        <v>0.77</v>
      </c>
      <c r="D11616" t="s">
        <v>7700</v>
      </c>
      <c r="E11616" t="s">
        <v>11</v>
      </c>
      <c r="G11616" t="s">
        <v>1917</v>
      </c>
      <c r="H11616" t="s">
        <v>432</v>
      </c>
    </row>
    <row r="11617" spans="1:10" hidden="1" x14ac:dyDescent="0.25">
      <c r="A11617" t="s">
        <v>15367</v>
      </c>
      <c r="B11617" s="1" t="str">
        <f>HYPERLINK("https://asmlis.vasa.lt/Dashboard/Served?ServiceDateFrom=2025-11-24&amp;ServiceDateTo=2025-11-24&amp;DumpsterInvNr=13-L-316591", "13-L-316591")</f>
        <v>13-L-316591</v>
      </c>
      <c r="C11617">
        <v>1.1000000000000001</v>
      </c>
      <c r="D11617" t="s">
        <v>9975</v>
      </c>
      <c r="E11617" t="s">
        <v>11</v>
      </c>
      <c r="F11617" t="s">
        <v>13</v>
      </c>
      <c r="G11617" t="s">
        <v>9</v>
      </c>
      <c r="H11617" t="s">
        <v>14</v>
      </c>
    </row>
    <row r="11618" spans="1:10" hidden="1" x14ac:dyDescent="0.25">
      <c r="A11618" t="s">
        <v>15368</v>
      </c>
      <c r="B11618" s="1" t="str">
        <f>HYPERLINK("https://asmlis.vasa.lt/Dashboard/Served?ServiceDateFrom=2025-11-24&amp;ServiceDateTo=2025-11-24&amp;DumpsterInvNr=13-P-204226", "13-P-204226")</f>
        <v>13-P-204226</v>
      </c>
      <c r="C11618">
        <v>0.24</v>
      </c>
      <c r="D11618" t="s">
        <v>14647</v>
      </c>
      <c r="E11618" t="s">
        <v>11</v>
      </c>
      <c r="G11618" t="s">
        <v>234</v>
      </c>
      <c r="H11618" t="s">
        <v>14</v>
      </c>
    </row>
    <row r="11619" spans="1:10" hidden="1" x14ac:dyDescent="0.25">
      <c r="A11619" t="s">
        <v>15369</v>
      </c>
      <c r="B11619" s="1" t="str">
        <f>HYPERLINK("https://asmlis.vasa.lt/Dashboard/Served?ServiceDateFrom=2025-11-24&amp;ServiceDateTo=2025-11-24&amp;DumpsterInvNr=13-L-228204", "13-L-228204")</f>
        <v>13-L-228204</v>
      </c>
      <c r="C11619">
        <v>5</v>
      </c>
      <c r="D11619" t="s">
        <v>9918</v>
      </c>
      <c r="E11619" t="s">
        <v>11</v>
      </c>
      <c r="F11619" t="s">
        <v>13</v>
      </c>
      <c r="G11619" t="s">
        <v>936</v>
      </c>
      <c r="H11619" t="s">
        <v>938</v>
      </c>
    </row>
    <row r="11620" spans="1:10" hidden="1" x14ac:dyDescent="0.25">
      <c r="A11620" t="s">
        <v>15371</v>
      </c>
      <c r="B11620" s="1" t="str">
        <f>HYPERLINK("https://asmlis.vasa.lt/Dashboard/Served?ServiceDateFrom=2025-11-24&amp;ServiceDateTo=2025-11-24&amp;DumpsterInvNr=13-L-314253", "13-L-314253")</f>
        <v>13-L-314253</v>
      </c>
      <c r="C11620">
        <v>1.1000000000000001</v>
      </c>
      <c r="D11620" t="s">
        <v>2905</v>
      </c>
      <c r="E11620" t="s">
        <v>11</v>
      </c>
      <c r="G11620" t="s">
        <v>9</v>
      </c>
      <c r="H11620" t="s">
        <v>14</v>
      </c>
    </row>
    <row r="11621" spans="1:10" hidden="1" x14ac:dyDescent="0.25">
      <c r="A11621" t="s">
        <v>15372</v>
      </c>
      <c r="B11621" s="1" t="str">
        <f>HYPERLINK("https://asmlis.vasa.lt/Dashboard/Served?ServiceDateFrom=2025-11-24&amp;ServiceDateTo=2025-11-24&amp;DumpsterInvNr=13-L-148305", "13-L-148305")</f>
        <v>13-L-148305</v>
      </c>
      <c r="C11621">
        <v>0.24</v>
      </c>
      <c r="D11621" t="s">
        <v>15373</v>
      </c>
      <c r="E11621" t="s">
        <v>11</v>
      </c>
      <c r="G11621" t="s">
        <v>430</v>
      </c>
      <c r="H11621" t="s">
        <v>432</v>
      </c>
    </row>
    <row r="11622" spans="1:10" hidden="1" x14ac:dyDescent="0.25">
      <c r="A11622" t="s">
        <v>15374</v>
      </c>
      <c r="B11622" s="1" t="str">
        <f>HYPERLINK("https://asmlis.vasa.lt/Dashboard/Served?ServiceDateFrom=2025-11-24&amp;ServiceDateTo=2025-11-24&amp;DumpsterInvNr=13-P-509078", "13-P-509078")</f>
        <v>13-P-509078</v>
      </c>
      <c r="C11622">
        <v>0.24</v>
      </c>
      <c r="D11622" t="s">
        <v>15373</v>
      </c>
      <c r="E11622" t="s">
        <v>11</v>
      </c>
      <c r="G11622" t="s">
        <v>2178</v>
      </c>
      <c r="H11622" t="s">
        <v>432</v>
      </c>
    </row>
    <row r="11623" spans="1:10" hidden="1" x14ac:dyDescent="0.25">
      <c r="A11623" t="s">
        <v>15375</v>
      </c>
      <c r="B11623" s="1" t="str">
        <f>HYPERLINK("https://asmlis.vasa.lt/Dashboard/Served?ServiceDateFrom=2025-11-24&amp;ServiceDateTo=2025-11-24&amp;DumpsterInvNr=13-L-109826", "13-L-109826")</f>
        <v>13-L-109826</v>
      </c>
      <c r="C11623">
        <v>0.24</v>
      </c>
      <c r="D11623" t="s">
        <v>15365</v>
      </c>
      <c r="E11623" t="s">
        <v>11</v>
      </c>
      <c r="F11623" t="s">
        <v>3205</v>
      </c>
      <c r="G11623" t="s">
        <v>430</v>
      </c>
      <c r="H11623" t="s">
        <v>432</v>
      </c>
      <c r="J11623" t="s">
        <v>17521</v>
      </c>
    </row>
    <row r="11624" spans="1:10" hidden="1" x14ac:dyDescent="0.25">
      <c r="A11624" t="s">
        <v>15376</v>
      </c>
      <c r="B11624" s="1" t="str">
        <f>HYPERLINK("https://asmlis.vasa.lt/Dashboard/Served?ServiceDateFrom=2025-11-24&amp;ServiceDateTo=2025-11-24&amp;DumpsterInvNr=13-L-316799", "13-L-316799")</f>
        <v>13-L-316799</v>
      </c>
      <c r="C11624">
        <v>1.1000000000000001</v>
      </c>
      <c r="D11624" t="s">
        <v>2905</v>
      </c>
      <c r="E11624" t="s">
        <v>11</v>
      </c>
      <c r="F11624" t="s">
        <v>13</v>
      </c>
      <c r="G11624" t="s">
        <v>9</v>
      </c>
      <c r="H11624" t="s">
        <v>14</v>
      </c>
    </row>
    <row r="11625" spans="1:10" hidden="1" x14ac:dyDescent="0.25">
      <c r="A11625" t="s">
        <v>15377</v>
      </c>
      <c r="B11625" s="1" t="str">
        <f>HYPERLINK("https://asmlis.vasa.lt/Dashboard/Served?ServiceDateFrom=2025-11-24&amp;ServiceDateTo=2025-11-24&amp;DumpsterInvNr=13-L-132634", "13-L-132634")</f>
        <v>13-L-132634</v>
      </c>
      <c r="C11625">
        <v>0.12</v>
      </c>
      <c r="D11625" t="s">
        <v>15378</v>
      </c>
      <c r="E11625" t="s">
        <v>11</v>
      </c>
      <c r="G11625" t="s">
        <v>1912</v>
      </c>
      <c r="H11625" t="s">
        <v>432</v>
      </c>
    </row>
    <row r="11626" spans="1:10" hidden="1" x14ac:dyDescent="0.25">
      <c r="A11626" t="s">
        <v>15380</v>
      </c>
      <c r="B11626" s="1" t="str">
        <f>HYPERLINK("https://asmlis.vasa.lt/Dashboard/Served?ServiceDateFrom=2025-11-24&amp;ServiceDateTo=2025-11-24&amp;DumpsterInvNr=13-L-136351", "13-L-136351")</f>
        <v>13-L-136351</v>
      </c>
      <c r="C11626">
        <v>5</v>
      </c>
      <c r="D11626" t="s">
        <v>15381</v>
      </c>
      <c r="E11626" t="s">
        <v>11</v>
      </c>
      <c r="F11626" t="s">
        <v>13</v>
      </c>
      <c r="G11626" t="s">
        <v>1912</v>
      </c>
      <c r="H11626" t="s">
        <v>432</v>
      </c>
    </row>
    <row r="11627" spans="1:10" hidden="1" x14ac:dyDescent="0.25">
      <c r="A11627" t="s">
        <v>15380</v>
      </c>
      <c r="B11627" s="1" t="str">
        <f>HYPERLINK("https://asmlis.vasa.lt/Dashboard/Served?ServiceDateFrom=2025-11-24&amp;ServiceDateTo=2025-11-24&amp;DumpsterInvNr=13-P-204209", "13-P-204209")</f>
        <v>13-P-204209</v>
      </c>
      <c r="C11627">
        <v>0.24</v>
      </c>
      <c r="D11627" t="s">
        <v>14628</v>
      </c>
      <c r="E11627" t="s">
        <v>11</v>
      </c>
      <c r="G11627" t="s">
        <v>234</v>
      </c>
      <c r="H11627" t="s">
        <v>14</v>
      </c>
    </row>
    <row r="11628" spans="1:10" hidden="1" x14ac:dyDescent="0.25">
      <c r="A11628" t="s">
        <v>15380</v>
      </c>
      <c r="B11628" s="1" t="str">
        <f>HYPERLINK("https://asmlis.vasa.lt/Dashboard/Served?ServiceDateFrom=2025-11-24&amp;ServiceDateTo=2025-11-24&amp;DumpsterInvNr=13-P-204216", "13-P-204216")</f>
        <v>13-P-204216</v>
      </c>
      <c r="C11628">
        <v>0.24</v>
      </c>
      <c r="D11628" t="s">
        <v>14634</v>
      </c>
      <c r="E11628" t="s">
        <v>11</v>
      </c>
      <c r="G11628" t="s">
        <v>234</v>
      </c>
      <c r="H11628" t="s">
        <v>14</v>
      </c>
    </row>
    <row r="11629" spans="1:10" hidden="1" x14ac:dyDescent="0.25">
      <c r="A11629" t="s">
        <v>15382</v>
      </c>
      <c r="B11629" s="1" t="str">
        <f>HYPERLINK("https://asmlis.vasa.lt/Dashboard/Served?ServiceDateFrom=2025-11-24&amp;ServiceDateTo=2025-11-24&amp;DumpsterInvNr=13-P-103542", "13-P-103542")</f>
        <v>13-P-103542</v>
      </c>
      <c r="C11629">
        <v>0.24</v>
      </c>
      <c r="D11629" t="s">
        <v>15378</v>
      </c>
      <c r="E11629" t="s">
        <v>11</v>
      </c>
      <c r="G11629" t="s">
        <v>1917</v>
      </c>
      <c r="H11629" t="s">
        <v>432</v>
      </c>
    </row>
    <row r="11630" spans="1:10" hidden="1" x14ac:dyDescent="0.25">
      <c r="A11630" t="s">
        <v>15383</v>
      </c>
      <c r="B11630" s="1" t="str">
        <f>HYPERLINK("https://asmlis.vasa.lt/Dashboard/Served?ServiceDateFrom=2025-11-24&amp;ServiceDateTo=2025-11-24&amp;DumpsterInvNr=13-P-300004", "13-P-300004")</f>
        <v>13-P-300004</v>
      </c>
      <c r="C11630">
        <v>5</v>
      </c>
      <c r="D11630" t="s">
        <v>6778</v>
      </c>
      <c r="E11630" t="s">
        <v>11</v>
      </c>
      <c r="G11630" t="s">
        <v>412</v>
      </c>
      <c r="H11630" t="s">
        <v>14</v>
      </c>
    </row>
    <row r="11631" spans="1:10" hidden="1" x14ac:dyDescent="0.25">
      <c r="A11631" t="s">
        <v>15384</v>
      </c>
      <c r="B11631" s="1" t="str">
        <f>HYPERLINK("https://asmlis.vasa.lt/Dashboard/Served?ServiceDateFrom=2025-11-24&amp;ServiceDateTo=2025-11-24&amp;DumpsterInvNr=13-M-208352", "13-M-208352")</f>
        <v>13-M-208352</v>
      </c>
      <c r="C11631">
        <v>0.12</v>
      </c>
      <c r="D11631" t="s">
        <v>15386</v>
      </c>
      <c r="E11631" t="s">
        <v>12</v>
      </c>
      <c r="F11631" t="s">
        <v>13</v>
      </c>
      <c r="H11631" t="s">
        <v>938</v>
      </c>
    </row>
    <row r="11632" spans="1:10" hidden="1" x14ac:dyDescent="0.25">
      <c r="A11632" t="s">
        <v>15387</v>
      </c>
      <c r="B11632" s="1" t="str">
        <f>HYPERLINK("https://asmlis.vasa.lt/Dashboard/Served?ServiceDateFrom=2025-11-24&amp;ServiceDateTo=2025-11-24&amp;DumpsterInvNr=13-L-104373", "13-L-104373")</f>
        <v>13-L-104373</v>
      </c>
      <c r="C11632">
        <v>0.77</v>
      </c>
      <c r="D11632" t="s">
        <v>15388</v>
      </c>
      <c r="E11632" t="s">
        <v>11</v>
      </c>
      <c r="G11632" t="s">
        <v>430</v>
      </c>
      <c r="H11632" t="s">
        <v>432</v>
      </c>
    </row>
    <row r="11633" spans="1:8" hidden="1" x14ac:dyDescent="0.25">
      <c r="A11633" t="s">
        <v>15390</v>
      </c>
      <c r="B11633" s="1" t="str">
        <f>HYPERLINK("https://asmlis.vasa.lt/Dashboard/Served?ServiceDateFrom=2025-11-24&amp;ServiceDateTo=2025-11-24&amp;DumpsterInvNr=13-P-500252", "13-P-500252")</f>
        <v>13-P-500252</v>
      </c>
      <c r="C11633">
        <v>5</v>
      </c>
      <c r="D11633" t="s">
        <v>15391</v>
      </c>
      <c r="E11633" t="s">
        <v>11</v>
      </c>
      <c r="F11633" t="s">
        <v>13</v>
      </c>
      <c r="G11633" t="s">
        <v>2178</v>
      </c>
      <c r="H11633" t="s">
        <v>432</v>
      </c>
    </row>
    <row r="11634" spans="1:8" hidden="1" x14ac:dyDescent="0.25">
      <c r="A11634" t="s">
        <v>15392</v>
      </c>
      <c r="B11634" s="1" t="str">
        <f>HYPERLINK("https://asmlis.vasa.lt/Dashboard/Served?ServiceDateFrom=2025-11-24&amp;ServiceDateTo=2025-11-24&amp;DumpsterInvNr=13-P-115803", "13-P-115803")</f>
        <v>13-P-115803</v>
      </c>
      <c r="C11634">
        <v>1.1000000000000001</v>
      </c>
      <c r="D11634" t="s">
        <v>15393</v>
      </c>
      <c r="E11634" t="s">
        <v>11</v>
      </c>
      <c r="G11634" t="s">
        <v>1917</v>
      </c>
      <c r="H11634" t="s">
        <v>432</v>
      </c>
    </row>
    <row r="11635" spans="1:8" hidden="1" x14ac:dyDescent="0.25">
      <c r="A11635" t="s">
        <v>15394</v>
      </c>
      <c r="B11635" s="1" t="str">
        <f>HYPERLINK("https://asmlis.vasa.lt/Dashboard/Served?ServiceDateFrom=2025-11-24&amp;ServiceDateTo=2025-11-24&amp;DumpsterInvNr=13-L-228471", "13-L-228471")</f>
        <v>13-L-228471</v>
      </c>
      <c r="C11635">
        <v>0.24</v>
      </c>
      <c r="D11635" t="s">
        <v>15386</v>
      </c>
      <c r="E11635" t="s">
        <v>12</v>
      </c>
      <c r="G11635" t="s">
        <v>936</v>
      </c>
      <c r="H11635" t="s">
        <v>938</v>
      </c>
    </row>
    <row r="11636" spans="1:8" hidden="1" x14ac:dyDescent="0.25">
      <c r="A11636" t="s">
        <v>15395</v>
      </c>
      <c r="B11636" s="1" t="str">
        <f>HYPERLINK("https://asmlis.vasa.lt/Dashboard/Served?ServiceDateFrom=2025-11-24&amp;ServiceDateTo=2025-11-24&amp;DumpsterInvNr=13-P-204252", "13-P-204252")</f>
        <v>13-P-204252</v>
      </c>
      <c r="C11636">
        <v>0.24</v>
      </c>
      <c r="D11636" t="s">
        <v>14614</v>
      </c>
      <c r="E11636" t="s">
        <v>11</v>
      </c>
      <c r="G11636" t="s">
        <v>234</v>
      </c>
      <c r="H11636" t="s">
        <v>14</v>
      </c>
    </row>
    <row r="11637" spans="1:8" hidden="1" x14ac:dyDescent="0.25">
      <c r="A11637" t="s">
        <v>15395</v>
      </c>
      <c r="B11637" s="1" t="str">
        <f>HYPERLINK("https://asmlis.vasa.lt/Dashboard/Served?ServiceDateFrom=2025-11-24&amp;ServiceDateTo=2025-11-24&amp;DumpsterInvNr=13-P-401414", "13-P-401414")</f>
        <v>13-P-401414</v>
      </c>
      <c r="C11637">
        <v>1.1000000000000001</v>
      </c>
      <c r="D11637" t="s">
        <v>15397</v>
      </c>
      <c r="E11637" t="s">
        <v>11</v>
      </c>
      <c r="G11637" t="s">
        <v>264</v>
      </c>
      <c r="H11637" t="s">
        <v>14</v>
      </c>
    </row>
    <row r="11638" spans="1:8" hidden="1" x14ac:dyDescent="0.25">
      <c r="A11638" t="s">
        <v>15398</v>
      </c>
      <c r="B11638" s="1" t="str">
        <f>HYPERLINK("https://asmlis.vasa.lt/Dashboard/Served?ServiceDateFrom=2025-11-24&amp;ServiceDateTo=2025-11-24&amp;DumpsterInvNr=13-S-504889", "13-S-504889")</f>
        <v>13-S-504889</v>
      </c>
      <c r="C11638">
        <v>0.12</v>
      </c>
      <c r="D11638" t="s">
        <v>15314</v>
      </c>
      <c r="E11638" t="s">
        <v>11</v>
      </c>
      <c r="F11638" t="s">
        <v>1209</v>
      </c>
      <c r="G11638" t="s">
        <v>2178</v>
      </c>
      <c r="H11638" t="s">
        <v>432</v>
      </c>
    </row>
    <row r="11639" spans="1:8" hidden="1" x14ac:dyDescent="0.25">
      <c r="A11639" t="s">
        <v>15399</v>
      </c>
      <c r="B11639" s="1" t="str">
        <f>HYPERLINK("https://asmlis.vasa.lt/Dashboard/Served?ServiceDateFrom=2025-11-24&amp;ServiceDateTo=2025-11-24&amp;DumpsterInvNr=13-L-420807", "13-L-420807")</f>
        <v>13-L-420807</v>
      </c>
      <c r="C11639">
        <v>5</v>
      </c>
      <c r="D11639" t="s">
        <v>7717</v>
      </c>
      <c r="E11639" t="s">
        <v>11</v>
      </c>
      <c r="F11639" t="s">
        <v>13</v>
      </c>
      <c r="G11639" t="s">
        <v>74</v>
      </c>
      <c r="H11639" t="s">
        <v>14</v>
      </c>
    </row>
    <row r="11640" spans="1:8" hidden="1" x14ac:dyDescent="0.25">
      <c r="A11640" t="s">
        <v>15400</v>
      </c>
      <c r="B11640" s="1" t="str">
        <f>HYPERLINK("https://asmlis.vasa.lt/Dashboard/Served?ServiceDateFrom=2025-11-24&amp;ServiceDateTo=2025-11-24&amp;DumpsterInvNr=13-L-104374", "13-L-104374")</f>
        <v>13-L-104374</v>
      </c>
      <c r="C11640">
        <v>0.77</v>
      </c>
      <c r="D11640" t="s">
        <v>15388</v>
      </c>
      <c r="E11640" t="s">
        <v>11</v>
      </c>
      <c r="G11640" t="s">
        <v>430</v>
      </c>
      <c r="H11640" t="s">
        <v>432</v>
      </c>
    </row>
    <row r="11641" spans="1:8" hidden="1" x14ac:dyDescent="0.25">
      <c r="A11641" t="s">
        <v>15400</v>
      </c>
      <c r="B11641" s="1" t="str">
        <f>HYPERLINK("https://asmlis.vasa.lt/Dashboard/Served?ServiceDateFrom=2025-11-24&amp;ServiceDateTo=2025-11-24&amp;DumpsterInvNr=13-S-507063", "13-S-507063")</f>
        <v>13-S-507063</v>
      </c>
      <c r="C11641">
        <v>0.12</v>
      </c>
      <c r="D11641" t="s">
        <v>15365</v>
      </c>
      <c r="E11641" t="s">
        <v>11</v>
      </c>
      <c r="F11641" t="s">
        <v>1209</v>
      </c>
      <c r="G11641" t="s">
        <v>2178</v>
      </c>
      <c r="H11641" t="s">
        <v>432</v>
      </c>
    </row>
    <row r="11642" spans="1:8" hidden="1" x14ac:dyDescent="0.25">
      <c r="A11642" t="s">
        <v>15401</v>
      </c>
      <c r="B11642" s="1" t="str">
        <f>HYPERLINK("https://asmlis.vasa.lt/Dashboard/Served?ServiceDateFrom=2025-11-24&amp;ServiceDateTo=2025-11-24&amp;DumpsterInvNr=13-L-146672", "13-L-146672")</f>
        <v>13-L-146672</v>
      </c>
      <c r="C11642">
        <v>0.24</v>
      </c>
      <c r="D11642" t="s">
        <v>15402</v>
      </c>
      <c r="E11642" t="s">
        <v>11</v>
      </c>
      <c r="G11642" t="s">
        <v>1912</v>
      </c>
      <c r="H11642" t="s">
        <v>432</v>
      </c>
    </row>
    <row r="11643" spans="1:8" hidden="1" x14ac:dyDescent="0.25">
      <c r="A11643" t="s">
        <v>15404</v>
      </c>
      <c r="B11643" s="1" t="str">
        <f>HYPERLINK("https://asmlis.vasa.lt/Dashboard/Served?ServiceDateFrom=2025-11-24&amp;ServiceDateTo=2025-11-24&amp;DumpsterInvNr=13-L-313952", "13-L-313952")</f>
        <v>13-L-313952</v>
      </c>
      <c r="C11643">
        <v>1.1000000000000001</v>
      </c>
      <c r="D11643" t="s">
        <v>7586</v>
      </c>
      <c r="E11643" t="s">
        <v>11</v>
      </c>
      <c r="G11643" t="s">
        <v>9</v>
      </c>
      <c r="H11643" t="s">
        <v>14</v>
      </c>
    </row>
    <row r="11644" spans="1:8" hidden="1" x14ac:dyDescent="0.25">
      <c r="A11644" t="s">
        <v>15404</v>
      </c>
      <c r="B11644" s="1" t="str">
        <f>HYPERLINK("https://asmlis.vasa.lt/Dashboard/Served?ServiceDateFrom=2025-11-24&amp;ServiceDateTo=2025-11-24&amp;DumpsterInvNr=13-L-146788", "13-L-146788")</f>
        <v>13-L-146788</v>
      </c>
      <c r="C11644">
        <v>0.24</v>
      </c>
      <c r="D11644" t="s">
        <v>15405</v>
      </c>
      <c r="E11644" t="s">
        <v>11</v>
      </c>
      <c r="G11644" t="s">
        <v>1912</v>
      </c>
      <c r="H11644" t="s">
        <v>432</v>
      </c>
    </row>
    <row r="11645" spans="1:8" hidden="1" x14ac:dyDescent="0.25">
      <c r="A11645" t="s">
        <v>15406</v>
      </c>
      <c r="B11645" s="1" t="str">
        <f>HYPERLINK("https://asmlis.vasa.lt/Dashboard/Served?ServiceDateFrom=2025-11-24&amp;ServiceDateTo=2025-11-24&amp;DumpsterInvNr=13-P-115230", "13-P-115230")</f>
        <v>13-P-115230</v>
      </c>
      <c r="C11645">
        <v>0.24</v>
      </c>
      <c r="D11645" t="s">
        <v>15402</v>
      </c>
      <c r="E11645" t="s">
        <v>11</v>
      </c>
      <c r="G11645" t="s">
        <v>1917</v>
      </c>
      <c r="H11645" t="s">
        <v>432</v>
      </c>
    </row>
    <row r="11646" spans="1:8" hidden="1" x14ac:dyDescent="0.25">
      <c r="A11646" t="s">
        <v>15407</v>
      </c>
      <c r="B11646" s="1" t="str">
        <f>HYPERLINK("https://asmlis.vasa.lt/Dashboard/Served?ServiceDateFrom=2025-11-24&amp;ServiceDateTo=2025-11-24&amp;DumpsterInvNr=13-P-413816", "13-P-413816")</f>
        <v>13-P-413816</v>
      </c>
      <c r="C11646">
        <v>5</v>
      </c>
      <c r="D11646" t="s">
        <v>12540</v>
      </c>
      <c r="E11646" t="s">
        <v>11</v>
      </c>
      <c r="F11646" t="s">
        <v>13</v>
      </c>
      <c r="G11646" t="s">
        <v>264</v>
      </c>
      <c r="H11646" t="s">
        <v>14</v>
      </c>
    </row>
    <row r="11647" spans="1:8" hidden="1" x14ac:dyDescent="0.25">
      <c r="A11647" t="s">
        <v>15408</v>
      </c>
      <c r="B11647" s="1" t="str">
        <f>HYPERLINK("https://asmlis.vasa.lt/Dashboard/Served?ServiceDateFrom=2025-11-24&amp;ServiceDateTo=2025-11-24&amp;DumpsterInvNr=13-P-415558", "13-P-415558")</f>
        <v>13-P-415558</v>
      </c>
      <c r="C11647">
        <v>1.1000000000000001</v>
      </c>
      <c r="D11647" t="s">
        <v>15397</v>
      </c>
      <c r="E11647" t="s">
        <v>11</v>
      </c>
      <c r="G11647" t="s">
        <v>264</v>
      </c>
      <c r="H11647" t="s">
        <v>14</v>
      </c>
    </row>
    <row r="11648" spans="1:8" hidden="1" x14ac:dyDescent="0.25">
      <c r="A11648" t="s">
        <v>15409</v>
      </c>
      <c r="B11648" s="1" t="str">
        <f>HYPERLINK("https://asmlis.vasa.lt/Dashboard/Served?ServiceDateFrom=2025-11-24&amp;ServiceDateTo=2025-11-24&amp;DumpsterInvNr=13-P-212592", "13-P-212592")</f>
        <v>13-P-212592</v>
      </c>
      <c r="C11648">
        <v>1.1000000000000001</v>
      </c>
      <c r="D11648" t="s">
        <v>4054</v>
      </c>
      <c r="E11648" t="s">
        <v>11</v>
      </c>
      <c r="G11648" t="s">
        <v>234</v>
      </c>
      <c r="H11648" t="s">
        <v>14</v>
      </c>
    </row>
    <row r="11649" spans="1:8" hidden="1" x14ac:dyDescent="0.25">
      <c r="A11649" t="s">
        <v>15410</v>
      </c>
      <c r="B11649" s="1" t="str">
        <f>HYPERLINK("https://asmlis.vasa.lt/Dashboard/Served?ServiceDateFrom=2025-11-24&amp;ServiceDateTo=2025-11-24&amp;DumpsterInvNr=13-L-136460", "13-L-136460")</f>
        <v>13-L-136460</v>
      </c>
      <c r="C11649">
        <v>0.77</v>
      </c>
      <c r="D11649" t="s">
        <v>15411</v>
      </c>
      <c r="E11649" t="s">
        <v>11</v>
      </c>
      <c r="G11649" t="s">
        <v>1912</v>
      </c>
      <c r="H11649" t="s">
        <v>432</v>
      </c>
    </row>
    <row r="11650" spans="1:8" hidden="1" x14ac:dyDescent="0.25">
      <c r="A11650" t="s">
        <v>15413</v>
      </c>
      <c r="B11650" s="1" t="str">
        <f>HYPERLINK("https://asmlis.vasa.lt/Dashboard/Served?ServiceDateFrom=2025-11-24&amp;ServiceDateTo=2025-11-24&amp;DumpsterInvNr=13-L-418273", "13-L-418273")</f>
        <v>13-L-418273</v>
      </c>
      <c r="C11650">
        <v>5</v>
      </c>
      <c r="D11650" t="s">
        <v>6539</v>
      </c>
      <c r="E11650" t="s">
        <v>11</v>
      </c>
      <c r="G11650" t="s">
        <v>74</v>
      </c>
      <c r="H11650" t="s">
        <v>14</v>
      </c>
    </row>
    <row r="11651" spans="1:8" hidden="1" x14ac:dyDescent="0.25">
      <c r="A11651" t="s">
        <v>15414</v>
      </c>
      <c r="B11651" s="1" t="str">
        <f>HYPERLINK("https://asmlis.vasa.lt/Dashboard/Served?ServiceDateFrom=2025-11-24&amp;ServiceDateTo=2025-11-24&amp;DumpsterInvNr=13-S-207816", "13-S-207816")</f>
        <v>13-S-207816</v>
      </c>
      <c r="C11651">
        <v>3</v>
      </c>
      <c r="D11651" t="s">
        <v>2190</v>
      </c>
      <c r="E11651" t="s">
        <v>11</v>
      </c>
      <c r="G11651" t="s">
        <v>234</v>
      </c>
      <c r="H11651" t="s">
        <v>14</v>
      </c>
    </row>
    <row r="11652" spans="1:8" hidden="1" x14ac:dyDescent="0.25">
      <c r="A11652" t="s">
        <v>15415</v>
      </c>
      <c r="B11652" s="1" t="str">
        <f>HYPERLINK("https://asmlis.vasa.lt/Dashboard/Served?ServiceDateFrom=2025-11-24&amp;ServiceDateTo=2025-11-24&amp;DumpsterInvNr=13-P-204215", "13-P-204215")</f>
        <v>13-P-204215</v>
      </c>
      <c r="C11652">
        <v>0.24</v>
      </c>
      <c r="D11652" t="s">
        <v>14607</v>
      </c>
      <c r="E11652" t="s">
        <v>11</v>
      </c>
      <c r="G11652" t="s">
        <v>234</v>
      </c>
      <c r="H11652" t="s">
        <v>14</v>
      </c>
    </row>
    <row r="11653" spans="1:8" hidden="1" x14ac:dyDescent="0.25">
      <c r="A11653" t="s">
        <v>15416</v>
      </c>
      <c r="B11653" s="1" t="str">
        <f>HYPERLINK("https://asmlis.vasa.lt/Dashboard/Served?ServiceDateFrom=2025-11-24&amp;ServiceDateTo=2025-11-24&amp;DumpsterInvNr=13-P-204249", "13-P-204249")</f>
        <v>13-P-204249</v>
      </c>
      <c r="C11653">
        <v>0.24</v>
      </c>
      <c r="D11653" t="s">
        <v>14597</v>
      </c>
      <c r="E11653" t="s">
        <v>11</v>
      </c>
      <c r="G11653" t="s">
        <v>234</v>
      </c>
      <c r="H11653" t="s">
        <v>14</v>
      </c>
    </row>
    <row r="11654" spans="1:8" hidden="1" x14ac:dyDescent="0.25">
      <c r="A11654" t="s">
        <v>15417</v>
      </c>
      <c r="B11654" s="1" t="str">
        <f>HYPERLINK("https://asmlis.vasa.lt/Dashboard/Served?ServiceDateFrom=2025-11-24&amp;ServiceDateTo=2025-11-24&amp;DumpsterInvNr=13-L-133843", "13-L-133843")</f>
        <v>13-L-133843</v>
      </c>
      <c r="C11654">
        <v>5</v>
      </c>
      <c r="D11654" t="s">
        <v>15418</v>
      </c>
      <c r="E11654" t="s">
        <v>11</v>
      </c>
      <c r="F11654" t="s">
        <v>13</v>
      </c>
      <c r="G11654" t="s">
        <v>430</v>
      </c>
      <c r="H11654" t="s">
        <v>432</v>
      </c>
    </row>
    <row r="11655" spans="1:8" hidden="1" x14ac:dyDescent="0.25">
      <c r="A11655" t="s">
        <v>15419</v>
      </c>
      <c r="B11655" s="1" t="str">
        <f>HYPERLINK("https://asmlis.vasa.lt/Dashboard/Served?ServiceDateFrom=2025-11-24&amp;ServiceDateTo=2025-11-24&amp;DumpsterInvNr=13-L-137934", "13-L-137934")</f>
        <v>13-L-137934</v>
      </c>
      <c r="C11655">
        <v>0.24</v>
      </c>
      <c r="D11655" t="s">
        <v>15420</v>
      </c>
      <c r="E11655" t="s">
        <v>11</v>
      </c>
      <c r="G11655" t="s">
        <v>1912</v>
      </c>
      <c r="H11655" t="s">
        <v>432</v>
      </c>
    </row>
    <row r="11656" spans="1:8" hidden="1" x14ac:dyDescent="0.25">
      <c r="A11656" t="s">
        <v>15421</v>
      </c>
      <c r="B11656" s="1" t="str">
        <f>HYPERLINK("https://asmlis.vasa.lt/Dashboard/Served?ServiceDateFrom=2025-11-24&amp;ServiceDateTo=2025-11-24&amp;DumpsterInvNr=13-S-204815", "13-S-204815")</f>
        <v>13-S-204815</v>
      </c>
      <c r="C11656">
        <v>0.12</v>
      </c>
      <c r="D11656" t="s">
        <v>14597</v>
      </c>
      <c r="E11656" t="s">
        <v>11</v>
      </c>
      <c r="G11656" t="s">
        <v>234</v>
      </c>
      <c r="H11656" t="s">
        <v>14</v>
      </c>
    </row>
    <row r="11657" spans="1:8" hidden="1" x14ac:dyDescent="0.25">
      <c r="A11657" t="s">
        <v>15422</v>
      </c>
      <c r="B11657" s="1" t="str">
        <f>HYPERLINK("https://asmlis.vasa.lt/Dashboard/Served?ServiceDateFrom=2025-11-24&amp;ServiceDateTo=2025-11-24&amp;DumpsterInvNr=13-P-103183", "13-P-103183")</f>
        <v>13-P-103183</v>
      </c>
      <c r="C11657">
        <v>0.24</v>
      </c>
      <c r="D11657" t="s">
        <v>15420</v>
      </c>
      <c r="E11657" t="s">
        <v>11</v>
      </c>
      <c r="G11657" t="s">
        <v>1917</v>
      </c>
      <c r="H11657" t="s">
        <v>432</v>
      </c>
    </row>
    <row r="11658" spans="1:8" hidden="1" x14ac:dyDescent="0.25">
      <c r="A11658" t="s">
        <v>15423</v>
      </c>
      <c r="B11658" s="1" t="str">
        <f>HYPERLINK("https://asmlis.vasa.lt/Dashboard/Served?ServiceDateFrom=2025-11-24&amp;ServiceDateTo=2025-11-24&amp;DumpsterInvNr=13-S-204912", "13-S-204912")</f>
        <v>13-S-204912</v>
      </c>
      <c r="C11658">
        <v>0.12</v>
      </c>
      <c r="D11658" t="s">
        <v>14607</v>
      </c>
      <c r="E11658" t="s">
        <v>11</v>
      </c>
      <c r="F11658" t="s">
        <v>1209</v>
      </c>
      <c r="G11658" t="s">
        <v>234</v>
      </c>
      <c r="H11658" t="s">
        <v>14</v>
      </c>
    </row>
    <row r="11659" spans="1:8" hidden="1" x14ac:dyDescent="0.25">
      <c r="A11659" t="s">
        <v>15424</v>
      </c>
      <c r="B11659" s="1" t="str">
        <f>HYPERLINK("https://asmlis.vasa.lt/Dashboard/Served?ServiceDateFrom=2025-11-24&amp;ServiceDateTo=2025-11-24&amp;DumpsterInvNr=13-L-218603", "13-L-218603")</f>
        <v>13-L-218603</v>
      </c>
      <c r="C11659">
        <v>5</v>
      </c>
      <c r="D11659" t="s">
        <v>15425</v>
      </c>
      <c r="E11659" t="s">
        <v>11</v>
      </c>
      <c r="G11659" t="s">
        <v>936</v>
      </c>
      <c r="H11659" t="s">
        <v>938</v>
      </c>
    </row>
    <row r="11660" spans="1:8" hidden="1" x14ac:dyDescent="0.25">
      <c r="A11660" t="s">
        <v>15426</v>
      </c>
      <c r="B11660" s="1" t="str">
        <f>HYPERLINK("https://asmlis.vasa.lt/Dashboard/Served?ServiceDateFrom=2025-11-24&amp;ServiceDateTo=2025-11-24&amp;DumpsterInvNr=13-P-204208", "13-P-204208")</f>
        <v>13-P-204208</v>
      </c>
      <c r="C11660">
        <v>0.24</v>
      </c>
      <c r="D11660" t="s">
        <v>14597</v>
      </c>
      <c r="E11660" t="s">
        <v>11</v>
      </c>
      <c r="F11660" t="s">
        <v>1209</v>
      </c>
      <c r="G11660" t="s">
        <v>234</v>
      </c>
      <c r="H11660" t="s">
        <v>14</v>
      </c>
    </row>
    <row r="11661" spans="1:8" hidden="1" x14ac:dyDescent="0.25">
      <c r="A11661" t="s">
        <v>15427</v>
      </c>
      <c r="B11661" s="1" t="str">
        <f>HYPERLINK("https://asmlis.vasa.lt/Dashboard/Served?ServiceDateFrom=2025-11-24&amp;ServiceDateTo=2025-11-24&amp;DumpsterInvNr=13-P-306917", "13-P-306917")</f>
        <v>13-P-306917</v>
      </c>
      <c r="C11661">
        <v>2.5</v>
      </c>
      <c r="D11661" t="s">
        <v>15428</v>
      </c>
      <c r="E11661" t="s">
        <v>11</v>
      </c>
      <c r="F11661" t="s">
        <v>13</v>
      </c>
      <c r="G11661" t="s">
        <v>412</v>
      </c>
      <c r="H11661" t="s">
        <v>14</v>
      </c>
    </row>
    <row r="11662" spans="1:8" hidden="1" x14ac:dyDescent="0.25">
      <c r="A11662" t="s">
        <v>15429</v>
      </c>
      <c r="B11662" s="1" t="str">
        <f>HYPERLINK("https://asmlis.vasa.lt/Dashboard/Served?ServiceDateFrom=2025-11-24&amp;ServiceDateTo=2025-11-24&amp;DumpsterInvNr=13-L-318070", "13-L-318070")</f>
        <v>13-L-318070</v>
      </c>
      <c r="C11662">
        <v>5</v>
      </c>
      <c r="D11662" t="s">
        <v>12040</v>
      </c>
      <c r="E11662" t="s">
        <v>11</v>
      </c>
      <c r="F11662" t="s">
        <v>13</v>
      </c>
      <c r="G11662" t="s">
        <v>9</v>
      </c>
      <c r="H11662" t="s">
        <v>14</v>
      </c>
    </row>
    <row r="11663" spans="1:8" hidden="1" x14ac:dyDescent="0.25">
      <c r="A11663" t="s">
        <v>15430</v>
      </c>
      <c r="B11663" s="1" t="str">
        <f>HYPERLINK("https://asmlis.vasa.lt/Dashboard/Served?ServiceDateFrom=2025-11-24&amp;ServiceDateTo=2025-11-24&amp;DumpsterInvNr=13-P-109529", "13-P-109529")</f>
        <v>13-P-109529</v>
      </c>
      <c r="C11663">
        <v>1.1000000000000001</v>
      </c>
      <c r="D11663" t="s">
        <v>15431</v>
      </c>
      <c r="E11663" t="s">
        <v>11</v>
      </c>
      <c r="G11663" t="s">
        <v>1917</v>
      </c>
      <c r="H11663" t="s">
        <v>432</v>
      </c>
    </row>
    <row r="11664" spans="1:8" hidden="1" x14ac:dyDescent="0.25">
      <c r="A11664" t="s">
        <v>15432</v>
      </c>
      <c r="B11664" s="1" t="str">
        <f>HYPERLINK("https://asmlis.vasa.lt/Dashboard/Served?ServiceDateFrom=2025-11-24&amp;ServiceDateTo=2025-11-24&amp;DumpsterInvNr=13-L-301693", "13-L-301693")</f>
        <v>13-L-301693</v>
      </c>
      <c r="C11664">
        <v>0.77</v>
      </c>
      <c r="D11664" t="s">
        <v>15433</v>
      </c>
      <c r="E11664" t="s">
        <v>11</v>
      </c>
      <c r="G11664" t="s">
        <v>9</v>
      </c>
      <c r="H11664" t="s">
        <v>14</v>
      </c>
    </row>
    <row r="11665" spans="1:8" hidden="1" x14ac:dyDescent="0.25">
      <c r="A11665" t="s">
        <v>15432</v>
      </c>
      <c r="B11665" s="1" t="str">
        <f>HYPERLINK("https://asmlis.vasa.lt/Dashboard/Served?ServiceDateFrom=2025-11-24&amp;ServiceDateTo=2025-11-24&amp;DumpsterInvNr=13-S-504987", "13-S-504987")</f>
        <v>13-S-504987</v>
      </c>
      <c r="C11665">
        <v>0.12</v>
      </c>
      <c r="D11665" t="s">
        <v>15434</v>
      </c>
      <c r="E11665" t="s">
        <v>11</v>
      </c>
      <c r="G11665" t="s">
        <v>2178</v>
      </c>
      <c r="H11665" t="s">
        <v>432</v>
      </c>
    </row>
    <row r="11666" spans="1:8" hidden="1" x14ac:dyDescent="0.25">
      <c r="A11666" t="s">
        <v>15435</v>
      </c>
      <c r="B11666" s="1" t="str">
        <f>HYPERLINK("https://asmlis.vasa.lt/Dashboard/Served?ServiceDateFrom=2025-11-24&amp;ServiceDateTo=2025-11-24&amp;DumpsterInvNr=13-P-103545", "13-P-103545")</f>
        <v>13-P-103545</v>
      </c>
      <c r="C11666">
        <v>0.24</v>
      </c>
      <c r="D11666" t="s">
        <v>15436</v>
      </c>
      <c r="E11666" t="s">
        <v>11</v>
      </c>
      <c r="F11666" t="s">
        <v>1209</v>
      </c>
      <c r="G11666" t="s">
        <v>1917</v>
      </c>
      <c r="H11666" t="s">
        <v>432</v>
      </c>
    </row>
    <row r="11667" spans="1:8" hidden="1" x14ac:dyDescent="0.25">
      <c r="A11667" t="s">
        <v>15437</v>
      </c>
      <c r="B11667" s="1" t="str">
        <f>HYPERLINK("https://asmlis.vasa.lt/Dashboard/Served?ServiceDateFrom=2025-11-24&amp;ServiceDateTo=2025-11-24&amp;DumpsterInvNr=13-L-139392", "13-L-139392")</f>
        <v>13-L-139392</v>
      </c>
      <c r="C11667">
        <v>5</v>
      </c>
      <c r="D11667" t="s">
        <v>15438</v>
      </c>
      <c r="E11667" t="s">
        <v>11</v>
      </c>
      <c r="F11667" t="s">
        <v>13</v>
      </c>
      <c r="G11667" t="s">
        <v>1912</v>
      </c>
      <c r="H11667" t="s">
        <v>432</v>
      </c>
    </row>
    <row r="11668" spans="1:8" hidden="1" x14ac:dyDescent="0.25">
      <c r="A11668" t="s">
        <v>15439</v>
      </c>
      <c r="B11668" s="1" t="str">
        <f>HYPERLINK("https://asmlis.vasa.lt/Dashboard/Served?ServiceDateFrom=2025-11-24&amp;ServiceDateTo=2025-11-24&amp;DumpsterInvNr=13-S-103044", "13-S-103044")</f>
        <v>13-S-103044</v>
      </c>
      <c r="C11668">
        <v>0.12</v>
      </c>
      <c r="D11668" t="s">
        <v>15436</v>
      </c>
      <c r="E11668" t="s">
        <v>11</v>
      </c>
      <c r="F11668" t="s">
        <v>1209</v>
      </c>
      <c r="G11668" t="s">
        <v>1917</v>
      </c>
      <c r="H11668" t="s">
        <v>432</v>
      </c>
    </row>
    <row r="11669" spans="1:8" hidden="1" x14ac:dyDescent="0.25">
      <c r="A11669" t="s">
        <v>15440</v>
      </c>
      <c r="B11669" s="1" t="str">
        <f>HYPERLINK("https://asmlis.vasa.lt/Dashboard/Served?ServiceDateFrom=2025-11-24&amp;ServiceDateTo=2025-11-24&amp;DumpsterInvNr=13-L-128387", "13-L-128387")</f>
        <v>13-L-128387</v>
      </c>
      <c r="C11669">
        <v>0.12</v>
      </c>
      <c r="D11669" t="s">
        <v>15436</v>
      </c>
      <c r="E11669" t="s">
        <v>11</v>
      </c>
      <c r="F11669" t="s">
        <v>1209</v>
      </c>
      <c r="G11669" t="s">
        <v>1912</v>
      </c>
      <c r="H11669" t="s">
        <v>432</v>
      </c>
    </row>
    <row r="11670" spans="1:8" hidden="1" x14ac:dyDescent="0.25">
      <c r="A11670" t="s">
        <v>15441</v>
      </c>
      <c r="B11670" s="1" t="str">
        <f>HYPERLINK("https://asmlis.vasa.lt/Dashboard/Served?ServiceDateFrom=2025-11-24&amp;ServiceDateTo=2025-11-24&amp;DumpsterInvNr=13-L-123387", "13-L-123387")</f>
        <v>13-L-123387</v>
      </c>
      <c r="C11670">
        <v>0.24</v>
      </c>
      <c r="D11670" t="s">
        <v>15434</v>
      </c>
      <c r="E11670" t="s">
        <v>11</v>
      </c>
      <c r="G11670" t="s">
        <v>430</v>
      </c>
      <c r="H11670" t="s">
        <v>432</v>
      </c>
    </row>
    <row r="11671" spans="1:8" hidden="1" x14ac:dyDescent="0.25">
      <c r="A11671" t="s">
        <v>15442</v>
      </c>
      <c r="B11671" s="1" t="str">
        <f>HYPERLINK("https://asmlis.vasa.lt/Dashboard/Served?ServiceDateFrom=2025-11-24&amp;ServiceDateTo=2025-11-24&amp;DumpsterInvNr=13-L-123388", "13-L-123388")</f>
        <v>13-L-123388</v>
      </c>
      <c r="C11671">
        <v>0.24</v>
      </c>
      <c r="D11671" t="s">
        <v>15443</v>
      </c>
      <c r="E11671" t="s">
        <v>11</v>
      </c>
      <c r="G11671" t="s">
        <v>430</v>
      </c>
      <c r="H11671" t="s">
        <v>432</v>
      </c>
    </row>
    <row r="11672" spans="1:8" hidden="1" x14ac:dyDescent="0.25">
      <c r="A11672" t="s">
        <v>15442</v>
      </c>
      <c r="B11672" s="1" t="str">
        <f>HYPERLINK("https://asmlis.vasa.lt/Dashboard/Served?ServiceDateFrom=2025-11-24&amp;ServiceDateTo=2025-11-24&amp;DumpsterInvNr=13-P-502752", "13-P-502752")</f>
        <v>13-P-502752</v>
      </c>
      <c r="C11672">
        <v>0.12</v>
      </c>
      <c r="D11672" t="s">
        <v>15443</v>
      </c>
      <c r="E11672" t="s">
        <v>11</v>
      </c>
      <c r="G11672" t="s">
        <v>2178</v>
      </c>
      <c r="H11672" t="s">
        <v>432</v>
      </c>
    </row>
    <row r="11673" spans="1:8" hidden="1" x14ac:dyDescent="0.25">
      <c r="A11673" t="s">
        <v>15444</v>
      </c>
      <c r="B11673" s="1" t="str">
        <f>HYPERLINK("https://asmlis.vasa.lt/Dashboard/Served?ServiceDateFrom=2025-11-24&amp;ServiceDateTo=2025-11-24&amp;DumpsterInvNr=13-P-306739", "13-P-306739")</f>
        <v>13-P-306739</v>
      </c>
      <c r="C11673">
        <v>5</v>
      </c>
      <c r="D11673" t="s">
        <v>6873</v>
      </c>
      <c r="E11673" t="s">
        <v>11</v>
      </c>
      <c r="G11673" t="s">
        <v>412</v>
      </c>
      <c r="H11673" t="s">
        <v>14</v>
      </c>
    </row>
    <row r="11674" spans="1:8" hidden="1" x14ac:dyDescent="0.25">
      <c r="A11674" t="s">
        <v>15445</v>
      </c>
      <c r="B11674" s="1" t="str">
        <f>HYPERLINK("https://asmlis.vasa.lt/Dashboard/Served?ServiceDateFrom=2025-11-24&amp;ServiceDateTo=2025-11-24&amp;DumpsterInvNr=13-P-502751", "13-P-502751")</f>
        <v>13-P-502751</v>
      </c>
      <c r="C11674">
        <v>0.12</v>
      </c>
      <c r="D11674" t="s">
        <v>15434</v>
      </c>
      <c r="E11674" t="s">
        <v>11</v>
      </c>
      <c r="F11674" t="s">
        <v>1209</v>
      </c>
      <c r="G11674" t="s">
        <v>2178</v>
      </c>
      <c r="H11674" t="s">
        <v>432</v>
      </c>
    </row>
    <row r="11675" spans="1:8" hidden="1" x14ac:dyDescent="0.25">
      <c r="A11675" t="s">
        <v>15446</v>
      </c>
      <c r="B11675" s="1" t="str">
        <f>HYPERLINK("https://asmlis.vasa.lt/Dashboard/Served?ServiceDateFrom=2025-11-24&amp;ServiceDateTo=2025-11-24&amp;DumpsterInvNr=13-L-415301", "13-L-415301")</f>
        <v>13-L-415301</v>
      </c>
      <c r="C11675">
        <v>5</v>
      </c>
      <c r="D11675" t="s">
        <v>7468</v>
      </c>
      <c r="E11675" t="s">
        <v>11</v>
      </c>
      <c r="G11675" t="s">
        <v>74</v>
      </c>
      <c r="H11675" t="s">
        <v>14</v>
      </c>
    </row>
    <row r="11676" spans="1:8" hidden="1" x14ac:dyDescent="0.25">
      <c r="A11676" t="s">
        <v>15446</v>
      </c>
      <c r="B11676" s="1" t="str">
        <f>HYPERLINK("https://asmlis.vasa.lt/Dashboard/Served?ServiceDateFrom=2025-11-24&amp;ServiceDateTo=2025-11-24&amp;DumpsterInvNr=13-T-000249", "13-T-000249")</f>
        <v>13-T-000249</v>
      </c>
      <c r="C11676">
        <v>2.5</v>
      </c>
      <c r="D11676" t="s">
        <v>15447</v>
      </c>
      <c r="E11676" t="s">
        <v>11</v>
      </c>
      <c r="F11676" t="s">
        <v>13</v>
      </c>
      <c r="G11676" t="s">
        <v>1899</v>
      </c>
      <c r="H11676" t="s">
        <v>432</v>
      </c>
    </row>
    <row r="11677" spans="1:8" hidden="1" x14ac:dyDescent="0.25">
      <c r="A11677" t="s">
        <v>15448</v>
      </c>
      <c r="B11677" s="1" t="str">
        <f>HYPERLINK("https://asmlis.vasa.lt/Dashboard/Served?ServiceDateFrom=2025-11-24&amp;ServiceDateTo=2025-11-24&amp;DumpsterInvNr=13-P-500249", "13-P-500249")</f>
        <v>13-P-500249</v>
      </c>
      <c r="C11677">
        <v>5</v>
      </c>
      <c r="D11677" t="s">
        <v>15449</v>
      </c>
      <c r="E11677" t="s">
        <v>11</v>
      </c>
      <c r="F11677" t="s">
        <v>13</v>
      </c>
      <c r="G11677" t="s">
        <v>2178</v>
      </c>
      <c r="H11677" t="s">
        <v>432</v>
      </c>
    </row>
    <row r="11678" spans="1:8" hidden="1" x14ac:dyDescent="0.25">
      <c r="A11678" t="s">
        <v>15143</v>
      </c>
      <c r="B11678" s="1" t="str">
        <f>HYPERLINK("https://asmlis.vasa.lt/Dashboard/Served?ServiceDateFrom=2025-11-24&amp;ServiceDateTo=2025-11-24&amp;DumpsterInvNr=13-T-000250", "13-T-000250")</f>
        <v>13-T-000250</v>
      </c>
      <c r="C11678">
        <v>2.5</v>
      </c>
      <c r="D11678" t="s">
        <v>15447</v>
      </c>
      <c r="E11678" t="s">
        <v>11</v>
      </c>
      <c r="F11678" t="s">
        <v>13</v>
      </c>
      <c r="G11678" t="s">
        <v>1899</v>
      </c>
      <c r="H11678" t="s">
        <v>432</v>
      </c>
    </row>
    <row r="11679" spans="1:8" hidden="1" x14ac:dyDescent="0.25">
      <c r="A11679" t="s">
        <v>15450</v>
      </c>
      <c r="B11679" s="1" t="str">
        <f>HYPERLINK("https://asmlis.vasa.lt/Dashboard/Served?ServiceDateFrom=2025-11-24&amp;ServiceDateTo=2025-11-24&amp;DumpsterInvNr=13-S-207602", "13-S-207602")</f>
        <v>13-S-207602</v>
      </c>
      <c r="C11679">
        <v>0.12</v>
      </c>
      <c r="D11679" t="s">
        <v>15344</v>
      </c>
      <c r="E11679" t="s">
        <v>11</v>
      </c>
      <c r="F11679" t="s">
        <v>1209</v>
      </c>
      <c r="G11679" t="s">
        <v>234</v>
      </c>
      <c r="H11679" t="s">
        <v>14</v>
      </c>
    </row>
    <row r="11680" spans="1:8" hidden="1" x14ac:dyDescent="0.25">
      <c r="A11680" t="s">
        <v>15216</v>
      </c>
      <c r="B11680" s="1" t="str">
        <f>HYPERLINK("https://asmlis.vasa.lt/Dashboard/Served?ServiceDateFrom=2025-11-24&amp;ServiceDateTo=2025-11-24&amp;DumpsterInvNr=13-L-145331", "13-L-145331")</f>
        <v>13-L-145331</v>
      </c>
      <c r="C11680">
        <v>5</v>
      </c>
      <c r="D11680" t="s">
        <v>15451</v>
      </c>
      <c r="E11680" t="s">
        <v>11</v>
      </c>
      <c r="F11680" t="s">
        <v>13</v>
      </c>
      <c r="G11680" t="s">
        <v>430</v>
      </c>
      <c r="H11680" t="s">
        <v>432</v>
      </c>
    </row>
    <row r="11681" spans="1:8" hidden="1" x14ac:dyDescent="0.25">
      <c r="A11681" t="s">
        <v>15345</v>
      </c>
      <c r="B11681" s="1" t="str">
        <f>HYPERLINK("https://asmlis.vasa.lt/Dashboard/Served?ServiceDateFrom=2025-11-24&amp;ServiceDateTo=2025-11-24&amp;DumpsterInvNr=13-L-135205", "13-L-135205")</f>
        <v>13-L-135205</v>
      </c>
      <c r="C11681">
        <v>1.1000000000000001</v>
      </c>
      <c r="D11681" t="s">
        <v>15453</v>
      </c>
      <c r="E11681" t="s">
        <v>11</v>
      </c>
      <c r="G11681" t="s">
        <v>1912</v>
      </c>
      <c r="H11681" t="s">
        <v>432</v>
      </c>
    </row>
    <row r="11682" spans="1:8" hidden="1" x14ac:dyDescent="0.25">
      <c r="A11682" t="s">
        <v>15454</v>
      </c>
      <c r="B11682" s="1" t="str">
        <f>HYPERLINK("https://asmlis.vasa.lt/Dashboard/Served?ServiceDateFrom=2025-11-24&amp;ServiceDateTo=2025-11-24&amp;DumpsterInvNr=13-L-123386", "13-L-123386")</f>
        <v>13-L-123386</v>
      </c>
      <c r="C11682">
        <v>0.24</v>
      </c>
      <c r="D11682" t="s">
        <v>15455</v>
      </c>
      <c r="E11682" t="s">
        <v>11</v>
      </c>
      <c r="G11682" t="s">
        <v>430</v>
      </c>
      <c r="H11682" t="s">
        <v>432</v>
      </c>
    </row>
    <row r="11683" spans="1:8" hidden="1" x14ac:dyDescent="0.25">
      <c r="A11683" t="s">
        <v>15454</v>
      </c>
      <c r="B11683" s="1" t="str">
        <f>HYPERLINK("https://asmlis.vasa.lt/Dashboard/Served?ServiceDateFrom=2025-11-24&amp;ServiceDateTo=2025-11-24&amp;DumpsterInvNr=13-P-502750", "13-P-502750")</f>
        <v>13-P-502750</v>
      </c>
      <c r="C11683">
        <v>0.24</v>
      </c>
      <c r="D11683" t="s">
        <v>15455</v>
      </c>
      <c r="E11683" t="s">
        <v>11</v>
      </c>
      <c r="G11683" t="s">
        <v>2178</v>
      </c>
      <c r="H11683" t="s">
        <v>432</v>
      </c>
    </row>
    <row r="11684" spans="1:8" hidden="1" x14ac:dyDescent="0.25">
      <c r="A11684" t="s">
        <v>15456</v>
      </c>
      <c r="B11684" s="1" t="str">
        <f>HYPERLINK("https://asmlis.vasa.lt/Dashboard/Served?ServiceDateFrom=2025-11-24&amp;ServiceDateTo=2025-11-24&amp;DumpsterInvNr=13-L-317672", "13-L-317672")</f>
        <v>13-L-317672</v>
      </c>
      <c r="C11684">
        <v>1.1000000000000001</v>
      </c>
      <c r="D11684" t="s">
        <v>7626</v>
      </c>
      <c r="E11684" t="s">
        <v>11</v>
      </c>
      <c r="G11684" t="s">
        <v>9</v>
      </c>
      <c r="H11684" t="s">
        <v>14</v>
      </c>
    </row>
    <row r="11685" spans="1:8" hidden="1" x14ac:dyDescent="0.25">
      <c r="A11685" t="s">
        <v>15457</v>
      </c>
      <c r="B11685" s="1" t="str">
        <f>HYPERLINK("https://asmlis.vasa.lt/Dashboard/Served?ServiceDateFrom=2025-11-24&amp;ServiceDateTo=2025-11-24&amp;DumpsterInvNr=13-L-426314", "13-L-426314")</f>
        <v>13-L-426314</v>
      </c>
      <c r="C11685">
        <v>5</v>
      </c>
      <c r="D11685" t="s">
        <v>8047</v>
      </c>
      <c r="E11685" t="s">
        <v>11</v>
      </c>
      <c r="F11685" t="s">
        <v>13</v>
      </c>
      <c r="G11685" t="s">
        <v>74</v>
      </c>
      <c r="H11685" t="s">
        <v>14</v>
      </c>
    </row>
    <row r="11686" spans="1:8" hidden="1" x14ac:dyDescent="0.25">
      <c r="A11686" t="s">
        <v>15458</v>
      </c>
      <c r="B11686" s="1" t="str">
        <f>HYPERLINK("https://asmlis.vasa.lt/Dashboard/Served?ServiceDateFrom=2025-11-24&amp;ServiceDateTo=2025-11-24&amp;DumpsterInvNr=13-L-426315", "13-L-426315")</f>
        <v>13-L-426315</v>
      </c>
      <c r="C11686">
        <v>5</v>
      </c>
      <c r="D11686" t="s">
        <v>8047</v>
      </c>
      <c r="E11686" t="s">
        <v>11</v>
      </c>
      <c r="F11686" t="s">
        <v>13</v>
      </c>
      <c r="G11686" t="s">
        <v>74</v>
      </c>
      <c r="H11686" t="s">
        <v>14</v>
      </c>
    </row>
    <row r="11687" spans="1:8" hidden="1" x14ac:dyDescent="0.25">
      <c r="A11687" t="s">
        <v>15459</v>
      </c>
      <c r="B11687" s="1" t="str">
        <f>HYPERLINK("https://asmlis.vasa.lt/Dashboard/Served?ServiceDateFrom=2025-11-24&amp;ServiceDateTo=2025-11-24&amp;DumpsterInvNr=13-L-420219", "13-L-420219")</f>
        <v>13-L-420219</v>
      </c>
      <c r="C11687">
        <v>5</v>
      </c>
      <c r="D11687" t="s">
        <v>7319</v>
      </c>
      <c r="E11687" t="s">
        <v>11</v>
      </c>
      <c r="F11687" t="s">
        <v>13</v>
      </c>
      <c r="G11687" t="s">
        <v>74</v>
      </c>
      <c r="H11687" t="s">
        <v>14</v>
      </c>
    </row>
    <row r="11688" spans="1:8" hidden="1" x14ac:dyDescent="0.25">
      <c r="A11688" t="s">
        <v>15460</v>
      </c>
      <c r="B11688" s="1" t="str">
        <f>HYPERLINK("https://asmlis.vasa.lt/Dashboard/Served?ServiceDateFrom=2025-11-24&amp;ServiceDateTo=2025-11-24&amp;DumpsterInvNr=13-L-315397", "13-L-315397")</f>
        <v>13-L-315397</v>
      </c>
      <c r="C11688">
        <v>1.1000000000000001</v>
      </c>
      <c r="D11688" t="s">
        <v>15461</v>
      </c>
      <c r="E11688" t="s">
        <v>11</v>
      </c>
      <c r="G11688" t="s">
        <v>9</v>
      </c>
      <c r="H11688" t="s">
        <v>14</v>
      </c>
    </row>
    <row r="11689" spans="1:8" hidden="1" x14ac:dyDescent="0.25">
      <c r="A11689" t="s">
        <v>15462</v>
      </c>
      <c r="B11689" s="1" t="str">
        <f>HYPERLINK("https://asmlis.vasa.lt/Dashboard/Served?ServiceDateFrom=2025-11-24&amp;ServiceDateTo=2025-11-24&amp;DumpsterInvNr=13-P-413853", "13-P-413853")</f>
        <v>13-P-413853</v>
      </c>
      <c r="C11689">
        <v>5</v>
      </c>
      <c r="D11689" t="s">
        <v>12067</v>
      </c>
      <c r="E11689" t="s">
        <v>11</v>
      </c>
      <c r="G11689" t="s">
        <v>264</v>
      </c>
      <c r="H11689" t="s">
        <v>14</v>
      </c>
    </row>
    <row r="11690" spans="1:8" hidden="1" x14ac:dyDescent="0.25">
      <c r="A11690" t="s">
        <v>15462</v>
      </c>
      <c r="B11690" s="1" t="str">
        <f>HYPERLINK("https://asmlis.vasa.lt/Dashboard/Served?ServiceDateFrom=2025-11-24&amp;ServiceDateTo=2025-11-24&amp;DumpsterInvNr=13-L-104397", "13-L-104397")</f>
        <v>13-L-104397</v>
      </c>
      <c r="C11690">
        <v>1.1000000000000001</v>
      </c>
      <c r="D11690" t="s">
        <v>15463</v>
      </c>
      <c r="E11690" t="s">
        <v>11</v>
      </c>
      <c r="G11690" t="s">
        <v>430</v>
      </c>
      <c r="H11690" t="s">
        <v>432</v>
      </c>
    </row>
    <row r="11691" spans="1:8" hidden="1" x14ac:dyDescent="0.25">
      <c r="A11691" t="s">
        <v>15464</v>
      </c>
      <c r="B11691" s="1" t="str">
        <f>HYPERLINK("https://asmlis.vasa.lt/Dashboard/Served?ServiceDateFrom=2025-11-24&amp;ServiceDateTo=2025-11-24&amp;DumpsterInvNr=13-L-420221", "13-L-420221")</f>
        <v>13-L-420221</v>
      </c>
      <c r="C11691">
        <v>5</v>
      </c>
      <c r="D11691" t="s">
        <v>7319</v>
      </c>
      <c r="E11691" t="s">
        <v>11</v>
      </c>
      <c r="F11691" t="s">
        <v>13</v>
      </c>
      <c r="G11691" t="s">
        <v>74</v>
      </c>
      <c r="H11691" t="s">
        <v>14</v>
      </c>
    </row>
    <row r="11692" spans="1:8" hidden="1" x14ac:dyDescent="0.25">
      <c r="A11692" t="s">
        <v>15465</v>
      </c>
      <c r="B11692" s="1" t="str">
        <f>HYPERLINK("https://asmlis.vasa.lt/Dashboard/Served?ServiceDateFrom=2025-11-24&amp;ServiceDateTo=2025-11-24&amp;DumpsterInvNr=13-L-420220", "13-L-420220")</f>
        <v>13-L-420220</v>
      </c>
      <c r="C11692">
        <v>5</v>
      </c>
      <c r="D11692" t="s">
        <v>7354</v>
      </c>
      <c r="E11692" t="s">
        <v>11</v>
      </c>
      <c r="F11692" t="s">
        <v>13</v>
      </c>
      <c r="G11692" t="s">
        <v>74</v>
      </c>
      <c r="H11692" t="s">
        <v>14</v>
      </c>
    </row>
    <row r="11693" spans="1:8" hidden="1" x14ac:dyDescent="0.25">
      <c r="A11693" t="s">
        <v>15466</v>
      </c>
      <c r="B11693" s="1" t="str">
        <f>HYPERLINK("https://asmlis.vasa.lt/Dashboard/Served?ServiceDateFrom=2025-11-24&amp;ServiceDateTo=2025-11-24&amp;DumpsterInvNr=13-P-507016", "13-P-507016")</f>
        <v>13-P-507016</v>
      </c>
      <c r="C11693">
        <v>0.24</v>
      </c>
      <c r="D11693" t="s">
        <v>15467</v>
      </c>
      <c r="E11693" t="s">
        <v>11</v>
      </c>
      <c r="G11693" t="s">
        <v>2178</v>
      </c>
      <c r="H11693" t="s">
        <v>432</v>
      </c>
    </row>
    <row r="11694" spans="1:8" hidden="1" x14ac:dyDescent="0.25">
      <c r="A11694" t="s">
        <v>15469</v>
      </c>
      <c r="B11694" s="1" t="str">
        <f>HYPERLINK("https://asmlis.vasa.lt/Dashboard/Served?ServiceDateFrom=2025-11-24&amp;ServiceDateTo=2025-11-24&amp;DumpsterInvNr=13-P-115350", "13-P-115350")</f>
        <v>13-P-115350</v>
      </c>
      <c r="C11694">
        <v>1.1000000000000001</v>
      </c>
      <c r="D11694" t="s">
        <v>8090</v>
      </c>
      <c r="E11694" t="s">
        <v>11</v>
      </c>
      <c r="F11694" t="s">
        <v>13</v>
      </c>
      <c r="G11694" t="s">
        <v>1917</v>
      </c>
      <c r="H11694" t="s">
        <v>432</v>
      </c>
    </row>
    <row r="11695" spans="1:8" hidden="1" x14ac:dyDescent="0.25">
      <c r="A11695" t="s">
        <v>15470</v>
      </c>
      <c r="B11695" s="1" t="str">
        <f>HYPERLINK("https://asmlis.vasa.lt/Dashboard/Served?ServiceDateFrom=2025-11-24&amp;ServiceDateTo=2025-11-24&amp;DumpsterInvNr=13-P-300865", "13-P-300865")</f>
        <v>13-P-300865</v>
      </c>
      <c r="C11695">
        <v>2.5</v>
      </c>
      <c r="D11695" t="s">
        <v>15471</v>
      </c>
      <c r="E11695" t="s">
        <v>11</v>
      </c>
      <c r="G11695" t="s">
        <v>412</v>
      </c>
      <c r="H11695" t="s">
        <v>14</v>
      </c>
    </row>
    <row r="11696" spans="1:8" hidden="1" x14ac:dyDescent="0.25">
      <c r="A11696" t="s">
        <v>15472</v>
      </c>
      <c r="B11696" s="1" t="str">
        <f>HYPERLINK("https://asmlis.vasa.lt/Dashboard/Served?ServiceDateFrom=2025-11-24&amp;ServiceDateTo=2025-11-24&amp;DumpsterInvNr=13-L-104396", "13-L-104396")</f>
        <v>13-L-104396</v>
      </c>
      <c r="C11696">
        <v>1.1000000000000001</v>
      </c>
      <c r="D11696" t="s">
        <v>15463</v>
      </c>
      <c r="E11696" t="s">
        <v>11</v>
      </c>
      <c r="G11696" t="s">
        <v>430</v>
      </c>
      <c r="H11696" t="s">
        <v>432</v>
      </c>
    </row>
    <row r="11697" spans="1:8" hidden="1" x14ac:dyDescent="0.25">
      <c r="A11697" t="s">
        <v>15472</v>
      </c>
      <c r="B11697" s="1" t="str">
        <f>HYPERLINK("https://asmlis.vasa.lt/Dashboard/Served?ServiceDateFrom=2025-11-24&amp;ServiceDateTo=2025-11-24&amp;DumpsterInvNr=13-L-139545", "13-L-139545")</f>
        <v>13-L-139545</v>
      </c>
      <c r="C11697">
        <v>0.24</v>
      </c>
      <c r="D11697" t="s">
        <v>15467</v>
      </c>
      <c r="E11697" t="s">
        <v>11</v>
      </c>
      <c r="F11697" t="s">
        <v>1209</v>
      </c>
      <c r="G11697" t="s">
        <v>430</v>
      </c>
      <c r="H11697" t="s">
        <v>432</v>
      </c>
    </row>
    <row r="11698" spans="1:8" hidden="1" x14ac:dyDescent="0.25">
      <c r="A11698" t="s">
        <v>15474</v>
      </c>
      <c r="B11698" s="1" t="str">
        <f>HYPERLINK("https://asmlis.vasa.lt/Dashboard/Served?ServiceDateFrom=2025-11-24&amp;ServiceDateTo=2025-11-24&amp;DumpsterInvNr=13-L-139236", "13-L-139236")</f>
        <v>13-L-139236</v>
      </c>
      <c r="C11698">
        <v>5</v>
      </c>
      <c r="D11698" t="s">
        <v>15475</v>
      </c>
      <c r="E11698" t="s">
        <v>11</v>
      </c>
      <c r="F11698" t="s">
        <v>13</v>
      </c>
      <c r="G11698" t="s">
        <v>430</v>
      </c>
      <c r="H11698" t="s">
        <v>432</v>
      </c>
    </row>
    <row r="11699" spans="1:8" hidden="1" x14ac:dyDescent="0.25">
      <c r="A11699" t="s">
        <v>15476</v>
      </c>
      <c r="B11699" s="1" t="str">
        <f>HYPERLINK("https://asmlis.vasa.lt/Dashboard/Served?ServiceDateFrom=2025-11-24&amp;ServiceDateTo=2025-11-24&amp;DumpsterInvNr=13-L-203506", "13-L-203506")</f>
        <v>13-L-203506</v>
      </c>
      <c r="C11699">
        <v>0.12</v>
      </c>
      <c r="D11699" t="s">
        <v>15477</v>
      </c>
      <c r="E11699" t="s">
        <v>11</v>
      </c>
      <c r="F11699" t="s">
        <v>1209</v>
      </c>
      <c r="G11699" t="s">
        <v>936</v>
      </c>
      <c r="H11699" t="s">
        <v>938</v>
      </c>
    </row>
    <row r="11700" spans="1:8" hidden="1" x14ac:dyDescent="0.25">
      <c r="A11700" t="s">
        <v>15478</v>
      </c>
      <c r="B11700" s="1" t="str">
        <f>HYPERLINK("https://asmlis.vasa.lt/Dashboard/Served?ServiceDateFrom=2025-11-24&amp;ServiceDateTo=2025-11-24&amp;DumpsterInvNr=13-P-204153", "13-P-204153")</f>
        <v>13-P-204153</v>
      </c>
      <c r="C11700">
        <v>0.24</v>
      </c>
      <c r="D11700" t="s">
        <v>13015</v>
      </c>
      <c r="E11700" t="s">
        <v>11</v>
      </c>
      <c r="G11700" t="s">
        <v>234</v>
      </c>
      <c r="H11700" t="s">
        <v>14</v>
      </c>
    </row>
    <row r="11701" spans="1:8" hidden="1" x14ac:dyDescent="0.25">
      <c r="A11701" t="s">
        <v>15478</v>
      </c>
      <c r="B11701" s="1" t="str">
        <f>HYPERLINK("https://asmlis.vasa.lt/Dashboard/Served?ServiceDateFrom=2025-11-24&amp;ServiceDateTo=2025-11-24&amp;DumpsterInvNr=13-L-137566", "13-L-137566")</f>
        <v>13-L-137566</v>
      </c>
      <c r="C11701">
        <v>1.1000000000000001</v>
      </c>
      <c r="D11701" t="s">
        <v>15479</v>
      </c>
      <c r="E11701" t="s">
        <v>11</v>
      </c>
      <c r="G11701" t="s">
        <v>1912</v>
      </c>
      <c r="H11701" t="s">
        <v>432</v>
      </c>
    </row>
    <row r="11702" spans="1:8" hidden="1" x14ac:dyDescent="0.25">
      <c r="A11702" t="s">
        <v>15480</v>
      </c>
      <c r="B11702" s="1" t="str">
        <f>HYPERLINK("https://asmlis.vasa.lt/Dashboard/Served?ServiceDateFrom=2025-11-24&amp;ServiceDateTo=2025-11-24&amp;DumpsterInvNr=13-P-502012", "13-P-502012")</f>
        <v>13-P-502012</v>
      </c>
      <c r="C11702">
        <v>0.24</v>
      </c>
      <c r="D11702" t="s">
        <v>15481</v>
      </c>
      <c r="E11702" t="s">
        <v>11</v>
      </c>
      <c r="G11702" t="s">
        <v>2178</v>
      </c>
      <c r="H11702" t="s">
        <v>432</v>
      </c>
    </row>
    <row r="11703" spans="1:8" hidden="1" x14ac:dyDescent="0.25">
      <c r="A11703" t="s">
        <v>15482</v>
      </c>
      <c r="B11703" s="1" t="str">
        <f>HYPERLINK("https://asmlis.vasa.lt/Dashboard/Served?ServiceDateFrom=2025-11-24&amp;ServiceDateTo=2025-11-24&amp;DumpsterInvNr=13-S-204914", "13-S-204914")</f>
        <v>13-S-204914</v>
      </c>
      <c r="C11703">
        <v>0.12</v>
      </c>
      <c r="D11703" t="s">
        <v>15483</v>
      </c>
      <c r="E11703" t="s">
        <v>11</v>
      </c>
      <c r="F11703" t="s">
        <v>1209</v>
      </c>
      <c r="G11703" t="s">
        <v>234</v>
      </c>
      <c r="H11703" t="s">
        <v>14</v>
      </c>
    </row>
    <row r="11704" spans="1:8" hidden="1" x14ac:dyDescent="0.25">
      <c r="A11704" t="s">
        <v>15485</v>
      </c>
      <c r="B11704" s="1" t="str">
        <f>HYPERLINK("https://asmlis.vasa.lt/Dashboard/Served?ServiceDateFrom=2025-11-24&amp;ServiceDateTo=2025-11-24&amp;DumpsterInvNr=13-P-204194", "13-P-204194")</f>
        <v>13-P-204194</v>
      </c>
      <c r="C11704">
        <v>0.24</v>
      </c>
      <c r="D11704" t="s">
        <v>15483</v>
      </c>
      <c r="E11704" t="s">
        <v>11</v>
      </c>
      <c r="F11704" t="s">
        <v>1209</v>
      </c>
      <c r="G11704" t="s">
        <v>234</v>
      </c>
      <c r="H11704" t="s">
        <v>14</v>
      </c>
    </row>
    <row r="11705" spans="1:8" hidden="1" x14ac:dyDescent="0.25">
      <c r="A11705" t="s">
        <v>15487</v>
      </c>
      <c r="B11705" s="1" t="str">
        <f>HYPERLINK("https://asmlis.vasa.lt/Dashboard/Served?ServiceDateFrom=2025-11-24&amp;ServiceDateTo=2025-11-24&amp;DumpsterInvNr=13-P-304019", "13-P-304019")</f>
        <v>13-P-304019</v>
      </c>
      <c r="C11705">
        <v>2.5</v>
      </c>
      <c r="D11705" t="s">
        <v>15471</v>
      </c>
      <c r="E11705" t="s">
        <v>11</v>
      </c>
      <c r="G11705" t="s">
        <v>412</v>
      </c>
      <c r="H11705" t="s">
        <v>14</v>
      </c>
    </row>
    <row r="11706" spans="1:8" hidden="1" x14ac:dyDescent="0.25">
      <c r="A11706" t="s">
        <v>15488</v>
      </c>
      <c r="B11706" s="1" t="str">
        <f>HYPERLINK("https://asmlis.vasa.lt/Dashboard/Served?ServiceDateFrom=2025-11-24&amp;ServiceDateTo=2025-11-24&amp;DumpsterInvNr=13-L-221159", "13-L-221159")</f>
        <v>13-L-221159</v>
      </c>
      <c r="C11706">
        <v>0.24</v>
      </c>
      <c r="D11706" t="s">
        <v>15489</v>
      </c>
      <c r="E11706" t="s">
        <v>11</v>
      </c>
      <c r="G11706" t="s">
        <v>936</v>
      </c>
      <c r="H11706" t="s">
        <v>938</v>
      </c>
    </row>
    <row r="11707" spans="1:8" hidden="1" x14ac:dyDescent="0.25">
      <c r="A11707" t="s">
        <v>15490</v>
      </c>
      <c r="B11707" s="1" t="str">
        <f>HYPERLINK("https://asmlis.vasa.lt/Dashboard/Served?ServiceDateFrom=2025-11-24&amp;ServiceDateTo=2025-11-24&amp;DumpsterInvNr=13-L-109827", "13-L-109827")</f>
        <v>13-L-109827</v>
      </c>
      <c r="C11707">
        <v>0.24</v>
      </c>
      <c r="D11707" t="s">
        <v>15481</v>
      </c>
      <c r="E11707" t="s">
        <v>11</v>
      </c>
      <c r="F11707" t="s">
        <v>1209</v>
      </c>
      <c r="G11707" t="s">
        <v>430</v>
      </c>
      <c r="H11707" t="s">
        <v>432</v>
      </c>
    </row>
    <row r="11708" spans="1:8" hidden="1" x14ac:dyDescent="0.25">
      <c r="A11708" t="s">
        <v>15491</v>
      </c>
      <c r="B11708" s="1" t="str">
        <f>HYPERLINK("https://asmlis.vasa.lt/Dashboard/Served?ServiceDateFrom=2025-11-24&amp;ServiceDateTo=2025-11-24&amp;DumpsterInvNr=13-L-223460", "13-L-223460")</f>
        <v>13-L-223460</v>
      </c>
      <c r="C11708">
        <v>1.1000000000000001</v>
      </c>
      <c r="D11708" t="s">
        <v>15492</v>
      </c>
      <c r="E11708" t="s">
        <v>11</v>
      </c>
      <c r="G11708" t="s">
        <v>936</v>
      </c>
      <c r="H11708" t="s">
        <v>938</v>
      </c>
    </row>
    <row r="11709" spans="1:8" hidden="1" x14ac:dyDescent="0.25">
      <c r="A11709" t="s">
        <v>15493</v>
      </c>
      <c r="B11709" s="1" t="str">
        <f>HYPERLINK("https://asmlis.vasa.lt/Dashboard/Served?ServiceDateFrom=2025-11-24&amp;ServiceDateTo=2025-11-24&amp;DumpsterInvNr=13-L-316383", "13-L-316383")</f>
        <v>13-L-316383</v>
      </c>
      <c r="C11709">
        <v>1.1000000000000001</v>
      </c>
      <c r="D11709" t="s">
        <v>15494</v>
      </c>
      <c r="E11709" t="s">
        <v>11</v>
      </c>
      <c r="G11709" t="s">
        <v>9</v>
      </c>
      <c r="H11709" t="s">
        <v>14</v>
      </c>
    </row>
    <row r="11710" spans="1:8" hidden="1" x14ac:dyDescent="0.25">
      <c r="A11710" t="s">
        <v>15495</v>
      </c>
      <c r="B11710" s="1" t="str">
        <f>HYPERLINK("https://asmlis.vasa.lt/Dashboard/Served?ServiceDateFrom=2025-11-24&amp;ServiceDateTo=2025-11-24&amp;DumpsterInvNr=13-P-300007", "13-P-300007")</f>
        <v>13-P-300007</v>
      </c>
      <c r="C11710">
        <v>5</v>
      </c>
      <c r="D11710" t="s">
        <v>6143</v>
      </c>
      <c r="E11710" t="s">
        <v>11</v>
      </c>
      <c r="G11710" t="s">
        <v>412</v>
      </c>
      <c r="H11710" t="s">
        <v>14</v>
      </c>
    </row>
    <row r="11711" spans="1:8" hidden="1" x14ac:dyDescent="0.25">
      <c r="A11711" t="s">
        <v>15495</v>
      </c>
      <c r="B11711" s="1" t="str">
        <f>HYPERLINK("https://asmlis.vasa.lt/Dashboard/Served?ServiceDateFrom=2025-11-24&amp;ServiceDateTo=2025-11-24&amp;DumpsterInvNr=13-P-101227", "13-P-101227")</f>
        <v>13-P-101227</v>
      </c>
      <c r="C11711">
        <v>5</v>
      </c>
      <c r="D11711" t="s">
        <v>14678</v>
      </c>
      <c r="E11711" t="s">
        <v>11</v>
      </c>
      <c r="F11711" t="s">
        <v>13</v>
      </c>
      <c r="G11711" t="s">
        <v>1917</v>
      </c>
      <c r="H11711" t="s">
        <v>432</v>
      </c>
    </row>
    <row r="11712" spans="1:8" hidden="1" x14ac:dyDescent="0.25">
      <c r="A11712" t="s">
        <v>15496</v>
      </c>
      <c r="B11712" s="1" t="str">
        <f>HYPERLINK("https://asmlis.vasa.lt/Dashboard/Served?ServiceDateFrom=2025-11-24&amp;ServiceDateTo=2025-11-24&amp;DumpsterInvNr=13-L-308945", "13-L-308945")</f>
        <v>13-L-308945</v>
      </c>
      <c r="C11712">
        <v>1.1000000000000001</v>
      </c>
      <c r="D11712" t="s">
        <v>15497</v>
      </c>
      <c r="E11712" t="s">
        <v>11</v>
      </c>
      <c r="G11712" t="s">
        <v>9</v>
      </c>
      <c r="H11712" t="s">
        <v>14</v>
      </c>
    </row>
    <row r="11713" spans="1:8" hidden="1" x14ac:dyDescent="0.25">
      <c r="A11713" t="s">
        <v>15496</v>
      </c>
      <c r="B11713" s="1" t="str">
        <f>HYPERLINK("https://asmlis.vasa.lt/Dashboard/Served?ServiceDateFrom=2025-11-24&amp;ServiceDateTo=2025-11-24&amp;DumpsterInvNr=13-L-420153", "13-L-420153")</f>
        <v>13-L-420153</v>
      </c>
      <c r="C11713">
        <v>5</v>
      </c>
      <c r="D11713" t="s">
        <v>15498</v>
      </c>
      <c r="E11713" t="s">
        <v>11</v>
      </c>
      <c r="G11713" t="s">
        <v>74</v>
      </c>
      <c r="H11713" t="s">
        <v>14</v>
      </c>
    </row>
    <row r="11714" spans="1:8" hidden="1" x14ac:dyDescent="0.25">
      <c r="A11714" t="s">
        <v>15499</v>
      </c>
      <c r="B11714" s="1" t="str">
        <f>HYPERLINK("https://asmlis.vasa.lt/Dashboard/Served?ServiceDateFrom=2025-11-24&amp;ServiceDateTo=2025-11-24&amp;DumpsterInvNr=13-P-207960", "13-P-207960")</f>
        <v>13-P-207960</v>
      </c>
      <c r="C11714">
        <v>0.24</v>
      </c>
      <c r="D11714" t="s">
        <v>15500</v>
      </c>
      <c r="E11714" t="s">
        <v>11</v>
      </c>
      <c r="G11714" t="s">
        <v>234</v>
      </c>
      <c r="H11714" t="s">
        <v>14</v>
      </c>
    </row>
    <row r="11715" spans="1:8" hidden="1" x14ac:dyDescent="0.25">
      <c r="A11715" t="s">
        <v>15501</v>
      </c>
      <c r="B11715" s="1" t="str">
        <f>HYPERLINK("https://asmlis.vasa.lt/Dashboard/Served?ServiceDateFrom=2025-11-24&amp;ServiceDateTo=2025-11-24&amp;DumpsterInvNr=13-L-214927", "13-L-214927")</f>
        <v>13-L-214927</v>
      </c>
      <c r="C11715">
        <v>0.12</v>
      </c>
      <c r="D11715" t="s">
        <v>15502</v>
      </c>
      <c r="E11715" t="s">
        <v>11</v>
      </c>
      <c r="G11715" t="s">
        <v>936</v>
      </c>
      <c r="H11715" t="s">
        <v>938</v>
      </c>
    </row>
    <row r="11716" spans="1:8" hidden="1" x14ac:dyDescent="0.25">
      <c r="A11716" t="s">
        <v>15503</v>
      </c>
      <c r="B11716" s="1" t="str">
        <f>HYPERLINK("https://asmlis.vasa.lt/Dashboard/Served?ServiceDateFrom=2025-11-24&amp;ServiceDateTo=2025-11-24&amp;DumpsterInvNr=13-L-113188", "13-L-113188")</f>
        <v>13-L-113188</v>
      </c>
      <c r="C11716">
        <v>0.24</v>
      </c>
      <c r="D11716" t="s">
        <v>15504</v>
      </c>
      <c r="E11716" t="s">
        <v>11</v>
      </c>
      <c r="G11716" t="s">
        <v>430</v>
      </c>
      <c r="H11716" t="s">
        <v>432</v>
      </c>
    </row>
    <row r="11717" spans="1:8" hidden="1" x14ac:dyDescent="0.25">
      <c r="A11717" t="s">
        <v>15505</v>
      </c>
      <c r="B11717" s="1" t="str">
        <f>HYPERLINK("https://asmlis.vasa.lt/Dashboard/Served?ServiceDateFrom=2025-11-24&amp;ServiceDateTo=2025-11-24&amp;DumpsterInvNr=13-P-413787", "13-P-413787")</f>
        <v>13-P-413787</v>
      </c>
      <c r="C11717">
        <v>5</v>
      </c>
      <c r="D11717" t="s">
        <v>12164</v>
      </c>
      <c r="E11717" t="s">
        <v>11</v>
      </c>
      <c r="G11717" t="s">
        <v>264</v>
      </c>
      <c r="H11717" t="s">
        <v>14</v>
      </c>
    </row>
    <row r="11718" spans="1:8" hidden="1" x14ac:dyDescent="0.25">
      <c r="A11718" t="s">
        <v>15505</v>
      </c>
      <c r="B11718" s="1" t="str">
        <f>HYPERLINK("https://asmlis.vasa.lt/Dashboard/Served?ServiceDateFrom=2025-11-24&amp;ServiceDateTo=2025-11-24&amp;DumpsterInvNr=13-P-502748", "13-P-502748")</f>
        <v>13-P-502748</v>
      </c>
      <c r="C11718">
        <v>0.24</v>
      </c>
      <c r="D11718" t="s">
        <v>15504</v>
      </c>
      <c r="E11718" t="s">
        <v>11</v>
      </c>
      <c r="G11718" t="s">
        <v>2178</v>
      </c>
      <c r="H11718" t="s">
        <v>432</v>
      </c>
    </row>
    <row r="11719" spans="1:8" hidden="1" x14ac:dyDescent="0.25">
      <c r="A11719" t="s">
        <v>15507</v>
      </c>
      <c r="B11719" s="1" t="str">
        <f>HYPERLINK("https://asmlis.vasa.lt/Dashboard/Served?ServiceDateFrom=2025-11-24&amp;ServiceDateTo=2025-11-24&amp;DumpsterInvNr=13-L-148930", "13-L-148930")</f>
        <v>13-L-148930</v>
      </c>
      <c r="C11719">
        <v>0.24</v>
      </c>
      <c r="D11719" t="s">
        <v>15508</v>
      </c>
      <c r="E11719" t="s">
        <v>11</v>
      </c>
      <c r="F11719" t="s">
        <v>1209</v>
      </c>
      <c r="G11719" t="s">
        <v>1912</v>
      </c>
      <c r="H11719" t="s">
        <v>432</v>
      </c>
    </row>
    <row r="11720" spans="1:8" hidden="1" x14ac:dyDescent="0.25">
      <c r="A11720" t="s">
        <v>15509</v>
      </c>
      <c r="B11720" s="1" t="str">
        <f>HYPERLINK("https://asmlis.vasa.lt/Dashboard/Served?ServiceDateFrom=2025-11-24&amp;ServiceDateTo=2025-11-24&amp;DumpsterInvNr=13-P-115827", "13-P-115827")</f>
        <v>13-P-115827</v>
      </c>
      <c r="C11720">
        <v>1.1000000000000001</v>
      </c>
      <c r="D11720" t="s">
        <v>7867</v>
      </c>
      <c r="E11720" t="s">
        <v>11</v>
      </c>
      <c r="G11720" t="s">
        <v>1917</v>
      </c>
      <c r="H11720" t="s">
        <v>432</v>
      </c>
    </row>
    <row r="11721" spans="1:8" hidden="1" x14ac:dyDescent="0.25">
      <c r="A11721" t="s">
        <v>15510</v>
      </c>
      <c r="B11721" s="1" t="str">
        <f>HYPERLINK("https://asmlis.vasa.lt/Dashboard/Served?ServiceDateFrom=2025-11-24&amp;ServiceDateTo=2025-11-24&amp;DumpsterInvNr=13-L-316253", "13-L-316253")</f>
        <v>13-L-316253</v>
      </c>
      <c r="C11721">
        <v>1.1000000000000001</v>
      </c>
      <c r="D11721" t="s">
        <v>15494</v>
      </c>
      <c r="E11721" t="s">
        <v>11</v>
      </c>
      <c r="G11721" t="s">
        <v>9</v>
      </c>
      <c r="H11721" t="s">
        <v>14</v>
      </c>
    </row>
    <row r="11722" spans="1:8" hidden="1" x14ac:dyDescent="0.25">
      <c r="A11722" t="s">
        <v>15511</v>
      </c>
      <c r="B11722" s="1" t="str">
        <f>HYPERLINK("https://asmlis.vasa.lt/Dashboard/Served?ServiceDateFrom=2025-11-24&amp;ServiceDateTo=2025-11-24&amp;DumpsterInvNr=13-L-420273", "13-L-420273")</f>
        <v>13-L-420273</v>
      </c>
      <c r="C11722">
        <v>5</v>
      </c>
      <c r="D11722" t="s">
        <v>8133</v>
      </c>
      <c r="E11722" t="s">
        <v>11</v>
      </c>
      <c r="F11722" t="s">
        <v>13</v>
      </c>
      <c r="G11722" t="s">
        <v>74</v>
      </c>
      <c r="H11722" t="s">
        <v>14</v>
      </c>
    </row>
    <row r="11723" spans="1:8" hidden="1" x14ac:dyDescent="0.25">
      <c r="A11723" t="s">
        <v>15512</v>
      </c>
      <c r="B11723" s="1" t="str">
        <f>HYPERLINK("https://asmlis.vasa.lt/Dashboard/Served?ServiceDateFrom=2025-11-24&amp;ServiceDateTo=2025-11-24&amp;DumpsterInvNr=13-L-421908", "13-L-421908")</f>
        <v>13-L-421908</v>
      </c>
      <c r="C11723">
        <v>5</v>
      </c>
      <c r="D11723" t="s">
        <v>15513</v>
      </c>
      <c r="E11723" t="s">
        <v>11</v>
      </c>
      <c r="F11723" t="s">
        <v>13</v>
      </c>
      <c r="G11723" t="s">
        <v>74</v>
      </c>
      <c r="H11723" t="s">
        <v>14</v>
      </c>
    </row>
    <row r="11724" spans="1:8" hidden="1" x14ac:dyDescent="0.25">
      <c r="A11724" t="s">
        <v>15514</v>
      </c>
      <c r="B11724" s="1" t="str">
        <f>HYPERLINK("https://asmlis.vasa.lt/Dashboard/Served?ServiceDateFrom=2025-11-24&amp;ServiceDateTo=2025-11-24&amp;DumpsterInvNr=13-L-145826", "13-L-145826")</f>
        <v>13-L-145826</v>
      </c>
      <c r="C11724">
        <v>0.24</v>
      </c>
      <c r="D11724" t="s">
        <v>15515</v>
      </c>
      <c r="E11724" t="s">
        <v>11</v>
      </c>
      <c r="G11724" t="s">
        <v>430</v>
      </c>
      <c r="H11724" t="s">
        <v>432</v>
      </c>
    </row>
    <row r="11725" spans="1:8" hidden="1" x14ac:dyDescent="0.25">
      <c r="A11725" t="s">
        <v>15516</v>
      </c>
      <c r="B11725" s="1" t="str">
        <f>HYPERLINK("https://asmlis.vasa.lt/Dashboard/Served?ServiceDateFrom=2025-11-24&amp;ServiceDateTo=2025-11-24&amp;DumpsterInvNr=13-L-317181", "13-L-317181")</f>
        <v>13-L-317181</v>
      </c>
      <c r="C11725">
        <v>1.1000000000000001</v>
      </c>
      <c r="D11725" t="s">
        <v>15494</v>
      </c>
      <c r="E11725" t="s">
        <v>11</v>
      </c>
      <c r="G11725" t="s">
        <v>9</v>
      </c>
      <c r="H11725" t="s">
        <v>14</v>
      </c>
    </row>
    <row r="11726" spans="1:8" hidden="1" x14ac:dyDescent="0.25">
      <c r="A11726" t="s">
        <v>15517</v>
      </c>
      <c r="B11726" s="1" t="str">
        <f>HYPERLINK("https://asmlis.vasa.lt/Dashboard/Served?ServiceDateFrom=2025-11-24&amp;ServiceDateTo=2025-11-24&amp;DumpsterInvNr=13-P-506945", "13-P-506945")</f>
        <v>13-P-506945</v>
      </c>
      <c r="C11726">
        <v>0.24</v>
      </c>
      <c r="D11726" t="s">
        <v>15515</v>
      </c>
      <c r="E11726" t="s">
        <v>11</v>
      </c>
      <c r="G11726" t="s">
        <v>2178</v>
      </c>
      <c r="H11726" t="s">
        <v>432</v>
      </c>
    </row>
    <row r="11727" spans="1:8" hidden="1" x14ac:dyDescent="0.25">
      <c r="A11727" t="s">
        <v>15519</v>
      </c>
      <c r="B11727" s="1" t="str">
        <f>HYPERLINK("https://asmlis.vasa.lt/Dashboard/Served?ServiceDateFrom=2025-11-24&amp;ServiceDateTo=2025-11-24&amp;DumpsterInvNr=13-P-208799", "13-P-208799")</f>
        <v>13-P-208799</v>
      </c>
      <c r="C11727">
        <v>0.24</v>
      </c>
      <c r="D11727" t="s">
        <v>15520</v>
      </c>
      <c r="E11727" t="s">
        <v>11</v>
      </c>
      <c r="F11727" t="s">
        <v>1209</v>
      </c>
      <c r="G11727" t="s">
        <v>234</v>
      </c>
      <c r="H11727" t="s">
        <v>14</v>
      </c>
    </row>
    <row r="11728" spans="1:8" hidden="1" x14ac:dyDescent="0.25">
      <c r="A11728" t="s">
        <v>15519</v>
      </c>
      <c r="B11728" s="1" t="str">
        <f>HYPERLINK("https://asmlis.vasa.lt/Dashboard/Served?ServiceDateFrom=2025-11-24&amp;ServiceDateTo=2025-11-24&amp;DumpsterInvNr=13-S-208650", "13-S-208650")</f>
        <v>13-S-208650</v>
      </c>
      <c r="C11728">
        <v>0.12</v>
      </c>
      <c r="D11728" t="s">
        <v>15520</v>
      </c>
      <c r="E11728" t="s">
        <v>11</v>
      </c>
      <c r="F11728" t="s">
        <v>1209</v>
      </c>
      <c r="G11728" t="s">
        <v>234</v>
      </c>
      <c r="H11728" t="s">
        <v>14</v>
      </c>
    </row>
    <row r="11729" spans="1:10" hidden="1" x14ac:dyDescent="0.25">
      <c r="A11729" t="s">
        <v>15522</v>
      </c>
      <c r="B11729" s="1" t="str">
        <f>HYPERLINK("https://asmlis.vasa.lt/Dashboard/Served?ServiceDateFrom=2025-11-24&amp;ServiceDateTo=2025-11-24&amp;DumpsterInvNr=13-L-216258", "13-L-216258")</f>
        <v>13-L-216258</v>
      </c>
      <c r="C11729">
        <v>1.1000000000000001</v>
      </c>
      <c r="D11729" t="s">
        <v>15492</v>
      </c>
      <c r="E11729" t="s">
        <v>11</v>
      </c>
      <c r="G11729" t="s">
        <v>936</v>
      </c>
      <c r="H11729" t="s">
        <v>938</v>
      </c>
    </row>
    <row r="11730" spans="1:10" x14ac:dyDescent="0.25">
      <c r="A11730" t="s">
        <v>15523</v>
      </c>
      <c r="B11730" s="1" t="str">
        <f>HYPERLINK("https://asmlis.vasa.lt/Dashboard/Served?ServiceDateFrom=2025-11-24&amp;ServiceDateTo=2025-11-24&amp;DumpsterInvNr=13-L-120409", "13-L-120409")</f>
        <v>13-L-120409</v>
      </c>
      <c r="C11730">
        <v>0.12</v>
      </c>
      <c r="D11730" t="s">
        <v>15524</v>
      </c>
      <c r="E11730" t="s">
        <v>11</v>
      </c>
      <c r="F11730" t="s">
        <v>2556</v>
      </c>
      <c r="G11730" t="s">
        <v>1912</v>
      </c>
      <c r="H11730" t="s">
        <v>432</v>
      </c>
      <c r="J11730" t="s">
        <v>17511</v>
      </c>
    </row>
    <row r="11731" spans="1:10" hidden="1" x14ac:dyDescent="0.25">
      <c r="A11731" t="s">
        <v>15525</v>
      </c>
      <c r="B11731" s="1" t="str">
        <f>HYPERLINK("https://asmlis.vasa.lt/Dashboard/Served?ServiceDateFrom=2025-11-24&amp;ServiceDateTo=2025-11-24&amp;DumpsterInvNr=13-P-500246", "13-P-500246")</f>
        <v>13-P-500246</v>
      </c>
      <c r="C11731">
        <v>5</v>
      </c>
      <c r="D11731" t="s">
        <v>8210</v>
      </c>
      <c r="E11731" t="s">
        <v>11</v>
      </c>
      <c r="F11731" t="s">
        <v>13</v>
      </c>
      <c r="G11731" t="s">
        <v>2178</v>
      </c>
      <c r="H11731" t="s">
        <v>432</v>
      </c>
    </row>
    <row r="11732" spans="1:10" x14ac:dyDescent="0.25">
      <c r="A11732" t="s">
        <v>15526</v>
      </c>
      <c r="B11732" s="1" t="str">
        <f>HYPERLINK("https://asmlis.vasa.lt/Dashboard/Served?ServiceDateFrom=2025-11-24&amp;ServiceDateTo=2025-11-24&amp;DumpsterInvNr=13-P-101196", "13-P-101196")</f>
        <v>13-P-101196</v>
      </c>
      <c r="C11732">
        <v>0.12</v>
      </c>
      <c r="D11732" t="s">
        <v>15524</v>
      </c>
      <c r="E11732" t="s">
        <v>11</v>
      </c>
      <c r="F11732" t="s">
        <v>2556</v>
      </c>
      <c r="G11732" t="s">
        <v>1917</v>
      </c>
      <c r="H11732" t="s">
        <v>432</v>
      </c>
      <c r="J11732" t="s">
        <v>17511</v>
      </c>
    </row>
    <row r="11733" spans="1:10" x14ac:dyDescent="0.25">
      <c r="A11733" t="s">
        <v>15527</v>
      </c>
      <c r="B11733" s="1" t="str">
        <f>HYPERLINK("https://asmlis.vasa.lt/Dashboard/Served?ServiceDateFrom=2025-11-24&amp;ServiceDateTo=2025-11-24&amp;DumpsterInvNr=13-S-102436", "13-S-102436")</f>
        <v>13-S-102436</v>
      </c>
      <c r="C11733">
        <v>0.12</v>
      </c>
      <c r="D11733" t="s">
        <v>15528</v>
      </c>
      <c r="E11733" t="s">
        <v>11</v>
      </c>
      <c r="F11733" t="s">
        <v>2556</v>
      </c>
      <c r="G11733" t="s">
        <v>1917</v>
      </c>
      <c r="H11733" t="s">
        <v>432</v>
      </c>
      <c r="J11733" t="s">
        <v>17511</v>
      </c>
    </row>
    <row r="11734" spans="1:10" hidden="1" x14ac:dyDescent="0.25">
      <c r="A11734" t="s">
        <v>15527</v>
      </c>
      <c r="B11734" s="1" t="str">
        <f>HYPERLINK("https://asmlis.vasa.lt/Dashboard/Served?ServiceDateFrom=2025-11-24&amp;ServiceDateTo=2025-11-24&amp;DumpsterInvNr=13-L-138839", "13-L-138839")</f>
        <v>13-L-138839</v>
      </c>
      <c r="C11734">
        <v>5</v>
      </c>
      <c r="D11734" t="s">
        <v>15529</v>
      </c>
      <c r="E11734" t="s">
        <v>11</v>
      </c>
      <c r="F11734" t="s">
        <v>13</v>
      </c>
      <c r="G11734" t="s">
        <v>430</v>
      </c>
      <c r="H11734" t="s">
        <v>432</v>
      </c>
    </row>
    <row r="11735" spans="1:10" hidden="1" x14ac:dyDescent="0.25">
      <c r="A11735" t="s">
        <v>15096</v>
      </c>
      <c r="B11735" s="1" t="str">
        <f>HYPERLINK("https://asmlis.vasa.lt/Dashboard/Served?ServiceDateFrom=2025-11-24&amp;ServiceDateTo=2025-11-24&amp;DumpsterInvNr=13-S-207954", "13-S-207954")</f>
        <v>13-S-207954</v>
      </c>
      <c r="C11735">
        <v>0.12</v>
      </c>
      <c r="D11735" t="s">
        <v>15530</v>
      </c>
      <c r="E11735" t="s">
        <v>11</v>
      </c>
      <c r="G11735" t="s">
        <v>234</v>
      </c>
      <c r="H11735" t="s">
        <v>14</v>
      </c>
    </row>
    <row r="11736" spans="1:10" hidden="1" x14ac:dyDescent="0.25">
      <c r="A11736" t="s">
        <v>15096</v>
      </c>
      <c r="B11736" s="1" t="str">
        <f>HYPERLINK("https://asmlis.vasa.lt/Dashboard/Served?ServiceDateFrom=2025-11-24&amp;ServiceDateTo=2025-11-24&amp;DumpsterInvNr=13-P-211596", "13-P-211596")</f>
        <v>13-P-211596</v>
      </c>
      <c r="C11736">
        <v>0.24</v>
      </c>
      <c r="D11736" t="s">
        <v>15531</v>
      </c>
      <c r="E11736" t="s">
        <v>11</v>
      </c>
      <c r="G11736" t="s">
        <v>234</v>
      </c>
      <c r="H11736" t="s">
        <v>14</v>
      </c>
    </row>
    <row r="11737" spans="1:10" hidden="1" x14ac:dyDescent="0.25">
      <c r="A11737" t="s">
        <v>15265</v>
      </c>
      <c r="B11737" s="1" t="str">
        <f>HYPERLINK("https://asmlis.vasa.lt/Dashboard/Served?ServiceDateFrom=2025-11-24&amp;ServiceDateTo=2025-11-24&amp;DumpsterInvNr=13-L-208718", "13-L-208718")</f>
        <v>13-L-208718</v>
      </c>
      <c r="C11737">
        <v>0.12</v>
      </c>
      <c r="D11737" t="s">
        <v>15532</v>
      </c>
      <c r="E11737" t="s">
        <v>11</v>
      </c>
      <c r="G11737" t="s">
        <v>936</v>
      </c>
      <c r="H11737" t="s">
        <v>938</v>
      </c>
    </row>
    <row r="11738" spans="1:10" hidden="1" x14ac:dyDescent="0.25">
      <c r="A11738" t="s">
        <v>15265</v>
      </c>
      <c r="B11738" s="1" t="str">
        <f>HYPERLINK("https://asmlis.vasa.lt/Dashboard/Served?ServiceDateFrom=2025-11-24&amp;ServiceDateTo=2025-11-24&amp;DumpsterInvNr=13-L-223303", "13-L-223303")</f>
        <v>13-L-223303</v>
      </c>
      <c r="C11738">
        <v>0.24</v>
      </c>
      <c r="D11738" t="s">
        <v>15533</v>
      </c>
      <c r="E11738" t="s">
        <v>11</v>
      </c>
      <c r="G11738" t="s">
        <v>936</v>
      </c>
      <c r="H11738" t="s">
        <v>938</v>
      </c>
    </row>
    <row r="11739" spans="1:10" hidden="1" x14ac:dyDescent="0.25">
      <c r="A11739" t="s">
        <v>15534</v>
      </c>
      <c r="B11739" s="1" t="str">
        <f>HYPERLINK("https://asmlis.vasa.lt/Dashboard/Served?ServiceDateFrom=2025-11-24&amp;ServiceDateTo=2025-11-24&amp;DumpsterInvNr=13-P-211623", "13-P-211623")</f>
        <v>13-P-211623</v>
      </c>
      <c r="C11739">
        <v>0.24</v>
      </c>
      <c r="D11739" t="s">
        <v>15530</v>
      </c>
      <c r="E11739" t="s">
        <v>11</v>
      </c>
      <c r="G11739" t="s">
        <v>234</v>
      </c>
      <c r="H11739" t="s">
        <v>14</v>
      </c>
    </row>
    <row r="11740" spans="1:10" x14ac:dyDescent="0.25">
      <c r="A11740" t="s">
        <v>15535</v>
      </c>
      <c r="B11740" s="1" t="str">
        <f>HYPERLINK("https://asmlis.vasa.lt/Dashboard/Served?ServiceDateFrom=2025-11-24&amp;ServiceDateTo=2025-11-24&amp;DumpsterInvNr=13-L-120410", "13-L-120410")</f>
        <v>13-L-120410</v>
      </c>
      <c r="C11740">
        <v>0.12</v>
      </c>
      <c r="D11740" t="s">
        <v>15524</v>
      </c>
      <c r="E11740" t="s">
        <v>11</v>
      </c>
      <c r="F11740" t="s">
        <v>2556</v>
      </c>
      <c r="G11740" t="s">
        <v>1912</v>
      </c>
      <c r="H11740" t="s">
        <v>432</v>
      </c>
      <c r="J11740" t="s">
        <v>17511</v>
      </c>
    </row>
    <row r="11741" spans="1:10" hidden="1" x14ac:dyDescent="0.25">
      <c r="A11741" t="s">
        <v>15055</v>
      </c>
      <c r="B11741" s="1" t="str">
        <f>HYPERLINK("https://asmlis.vasa.lt/Dashboard/Served?ServiceDateFrom=2025-11-24&amp;ServiceDateTo=2025-11-24&amp;DumpsterInvNr=13-L-316045", "13-L-316045")</f>
        <v>13-L-316045</v>
      </c>
      <c r="C11741">
        <v>1.1000000000000001</v>
      </c>
      <c r="D11741" t="s">
        <v>15494</v>
      </c>
      <c r="E11741" t="s">
        <v>11</v>
      </c>
      <c r="G11741" t="s">
        <v>9</v>
      </c>
      <c r="H11741" t="s">
        <v>14</v>
      </c>
    </row>
    <row r="11742" spans="1:10" hidden="1" x14ac:dyDescent="0.25">
      <c r="A11742" t="s">
        <v>15055</v>
      </c>
      <c r="B11742" s="1" t="str">
        <f>HYPERLINK("https://asmlis.vasa.lt/Dashboard/Served?ServiceDateFrom=2025-11-24&amp;ServiceDateTo=2025-11-24&amp;DumpsterInvNr=13-L-211134", "13-L-211134")</f>
        <v>13-L-211134</v>
      </c>
      <c r="C11742">
        <v>0.24</v>
      </c>
      <c r="D11742" t="s">
        <v>15536</v>
      </c>
      <c r="E11742" t="s">
        <v>11</v>
      </c>
      <c r="F11742" t="s">
        <v>1209</v>
      </c>
      <c r="G11742" t="s">
        <v>936</v>
      </c>
      <c r="H11742" t="s">
        <v>938</v>
      </c>
    </row>
    <row r="11743" spans="1:10" hidden="1" x14ac:dyDescent="0.25">
      <c r="A11743" t="s">
        <v>15062</v>
      </c>
      <c r="B11743" s="1" t="str">
        <f>HYPERLINK("https://asmlis.vasa.lt/Dashboard/Served?ServiceDateFrom=2025-11-24&amp;ServiceDateTo=2025-11-24&amp;DumpsterInvNr=13-L-227658", "13-L-227658")</f>
        <v>13-L-227658</v>
      </c>
      <c r="C11743">
        <v>5</v>
      </c>
      <c r="D11743" t="s">
        <v>9098</v>
      </c>
      <c r="E11743" t="s">
        <v>11</v>
      </c>
      <c r="G11743" t="s">
        <v>936</v>
      </c>
      <c r="H11743" t="s">
        <v>938</v>
      </c>
    </row>
    <row r="11744" spans="1:10" x14ac:dyDescent="0.25">
      <c r="A11744" t="s">
        <v>15412</v>
      </c>
      <c r="B11744" s="1" t="str">
        <f>HYPERLINK("https://asmlis.vasa.lt/Dashboard/Served?ServiceDateFrom=2025-11-24&amp;ServiceDateTo=2025-11-24&amp;DumpsterInvNr=13-L-120412", "13-L-120412")</f>
        <v>13-L-120412</v>
      </c>
      <c r="C11744">
        <v>0.12</v>
      </c>
      <c r="D11744" t="s">
        <v>15528</v>
      </c>
      <c r="E11744" t="s">
        <v>11</v>
      </c>
      <c r="F11744" t="s">
        <v>2556</v>
      </c>
      <c r="G11744" t="s">
        <v>1912</v>
      </c>
      <c r="H11744" t="s">
        <v>432</v>
      </c>
      <c r="J11744" t="s">
        <v>17511</v>
      </c>
    </row>
    <row r="11745" spans="1:10" hidden="1" x14ac:dyDescent="0.25">
      <c r="A11745" t="s">
        <v>15412</v>
      </c>
      <c r="B11745" s="1" t="str">
        <f>HYPERLINK("https://asmlis.vasa.lt/Dashboard/Served?ServiceDateFrom=2025-11-24&amp;ServiceDateTo=2025-11-24&amp;DumpsterInvNr=13-L-109829", "13-L-109829")</f>
        <v>13-L-109829</v>
      </c>
      <c r="C11745">
        <v>0.12</v>
      </c>
      <c r="D11745" t="s">
        <v>15537</v>
      </c>
      <c r="E11745" t="s">
        <v>11</v>
      </c>
      <c r="G11745" t="s">
        <v>430</v>
      </c>
      <c r="H11745" t="s">
        <v>432</v>
      </c>
    </row>
    <row r="11746" spans="1:10" hidden="1" x14ac:dyDescent="0.25">
      <c r="A11746" t="s">
        <v>15071</v>
      </c>
      <c r="B11746" s="1" t="str">
        <f>HYPERLINK("https://asmlis.vasa.lt/Dashboard/Served?ServiceDateFrom=2025-11-24&amp;ServiceDateTo=2025-11-24&amp;DumpsterInvNr=13-L-213547", "13-L-213547")</f>
        <v>13-L-213547</v>
      </c>
      <c r="C11746">
        <v>0.24</v>
      </c>
      <c r="D11746" t="s">
        <v>15538</v>
      </c>
      <c r="E11746" t="s">
        <v>11</v>
      </c>
      <c r="F11746" t="s">
        <v>1209</v>
      </c>
      <c r="G11746" t="s">
        <v>936</v>
      </c>
      <c r="H11746" t="s">
        <v>938</v>
      </c>
    </row>
    <row r="11747" spans="1:10" hidden="1" x14ac:dyDescent="0.25">
      <c r="A11747" t="s">
        <v>15094</v>
      </c>
      <c r="B11747" s="1" t="str">
        <f>HYPERLINK("https://asmlis.vasa.lt/Dashboard/Served?ServiceDateFrom=2025-11-24&amp;ServiceDateTo=2025-11-24&amp;DumpsterInvNr=13-L-109828", "13-L-109828")</f>
        <v>13-L-109828</v>
      </c>
      <c r="C11747">
        <v>0.24</v>
      </c>
      <c r="D11747" t="s">
        <v>15539</v>
      </c>
      <c r="E11747" t="s">
        <v>11</v>
      </c>
      <c r="G11747" t="s">
        <v>430</v>
      </c>
      <c r="H11747" t="s">
        <v>432</v>
      </c>
    </row>
    <row r="11748" spans="1:10" hidden="1" x14ac:dyDescent="0.25">
      <c r="A11748" t="s">
        <v>15094</v>
      </c>
      <c r="B11748" s="1" t="str">
        <f>HYPERLINK("https://asmlis.vasa.lt/Dashboard/Served?ServiceDateFrom=2025-11-24&amp;ServiceDateTo=2025-11-24&amp;DumpsterInvNr=13-P-502747", "13-P-502747")</f>
        <v>13-P-502747</v>
      </c>
      <c r="C11748">
        <v>0.12</v>
      </c>
      <c r="D11748" t="s">
        <v>15539</v>
      </c>
      <c r="E11748" t="s">
        <v>11</v>
      </c>
      <c r="G11748" t="s">
        <v>2178</v>
      </c>
      <c r="H11748" t="s">
        <v>432</v>
      </c>
    </row>
    <row r="11749" spans="1:10" x14ac:dyDescent="0.25">
      <c r="A11749" t="s">
        <v>15133</v>
      </c>
      <c r="B11749" s="1" t="str">
        <f>HYPERLINK("https://asmlis.vasa.lt/Dashboard/Served?ServiceDateFrom=2025-11-24&amp;ServiceDateTo=2025-11-24&amp;DumpsterInvNr=13-L-120408", "13-L-120408")</f>
        <v>13-L-120408</v>
      </c>
      <c r="C11749">
        <v>0.12</v>
      </c>
      <c r="D11749" t="s">
        <v>15541</v>
      </c>
      <c r="E11749" t="s">
        <v>11</v>
      </c>
      <c r="F11749" t="s">
        <v>2556</v>
      </c>
      <c r="G11749" t="s">
        <v>1912</v>
      </c>
      <c r="H11749" t="s">
        <v>432</v>
      </c>
      <c r="J11749" t="s">
        <v>17511</v>
      </c>
    </row>
    <row r="11750" spans="1:10" x14ac:dyDescent="0.25">
      <c r="A11750" t="s">
        <v>15542</v>
      </c>
      <c r="B11750" s="1" t="str">
        <f>HYPERLINK("https://asmlis.vasa.lt/Dashboard/Served?ServiceDateFrom=2025-11-24&amp;ServiceDateTo=2025-11-24&amp;DumpsterInvNr=13-S-102437", "13-S-102437")</f>
        <v>13-S-102437</v>
      </c>
      <c r="C11750">
        <v>0.12</v>
      </c>
      <c r="D11750" t="s">
        <v>15524</v>
      </c>
      <c r="E11750" t="s">
        <v>11</v>
      </c>
      <c r="F11750" t="s">
        <v>2556</v>
      </c>
      <c r="G11750" t="s">
        <v>1917</v>
      </c>
      <c r="H11750" t="s">
        <v>432</v>
      </c>
      <c r="J11750" t="s">
        <v>17511</v>
      </c>
    </row>
    <row r="11751" spans="1:10" hidden="1" x14ac:dyDescent="0.25">
      <c r="A11751" t="s">
        <v>15171</v>
      </c>
      <c r="B11751" s="1" t="str">
        <f>HYPERLINK("https://asmlis.vasa.lt/Dashboard/Served?ServiceDateFrom=2025-11-24&amp;ServiceDateTo=2025-11-24&amp;DumpsterInvNr=13-P-502746", "13-P-502746")</f>
        <v>13-P-502746</v>
      </c>
      <c r="C11751">
        <v>0.24</v>
      </c>
      <c r="D11751" t="s">
        <v>15537</v>
      </c>
      <c r="E11751" t="s">
        <v>11</v>
      </c>
      <c r="G11751" t="s">
        <v>2178</v>
      </c>
      <c r="H11751" t="s">
        <v>432</v>
      </c>
    </row>
    <row r="11752" spans="1:10" x14ac:dyDescent="0.25">
      <c r="A11752" t="s">
        <v>15544</v>
      </c>
      <c r="B11752" s="1" t="str">
        <f>HYPERLINK("https://asmlis.vasa.lt/Dashboard/Served?ServiceDateFrom=2025-11-24&amp;ServiceDateTo=2025-11-24&amp;DumpsterInvNr=13-P-104053", "13-P-104053")</f>
        <v>13-P-104053</v>
      </c>
      <c r="C11752">
        <v>0.24</v>
      </c>
      <c r="D11752" t="s">
        <v>15541</v>
      </c>
      <c r="E11752" t="s">
        <v>11</v>
      </c>
      <c r="F11752" t="s">
        <v>2556</v>
      </c>
      <c r="G11752" t="s">
        <v>1917</v>
      </c>
      <c r="H11752" t="s">
        <v>432</v>
      </c>
      <c r="J11752" t="s">
        <v>17511</v>
      </c>
    </row>
    <row r="11753" spans="1:10" hidden="1" x14ac:dyDescent="0.25">
      <c r="A11753" t="s">
        <v>15546</v>
      </c>
      <c r="B11753" s="1" t="str">
        <f>HYPERLINK("https://asmlis.vasa.lt/Dashboard/Served?ServiceDateFrom=2025-11-24&amp;ServiceDateTo=2025-11-24&amp;DumpsterInvNr=13-L-423996", "13-L-423996")</f>
        <v>13-L-423996</v>
      </c>
      <c r="C11753">
        <v>5</v>
      </c>
      <c r="D11753" t="s">
        <v>6786</v>
      </c>
      <c r="E11753" t="s">
        <v>11</v>
      </c>
      <c r="F11753" t="s">
        <v>13</v>
      </c>
      <c r="G11753" t="s">
        <v>74</v>
      </c>
      <c r="H11753" t="s">
        <v>14</v>
      </c>
    </row>
    <row r="11754" spans="1:10" x14ac:dyDescent="0.25">
      <c r="A11754" t="s">
        <v>15548</v>
      </c>
      <c r="B11754" s="1" t="str">
        <f>HYPERLINK("https://asmlis.vasa.lt/Dashboard/Served?ServiceDateFrom=2025-11-24&amp;ServiceDateTo=2025-11-24&amp;DumpsterInvNr=13-P-101197", "13-P-101197")</f>
        <v>13-P-101197</v>
      </c>
      <c r="C11754">
        <v>0.12</v>
      </c>
      <c r="D11754" t="s">
        <v>15528</v>
      </c>
      <c r="E11754" t="s">
        <v>11</v>
      </c>
      <c r="F11754" t="s">
        <v>2556</v>
      </c>
      <c r="G11754" t="s">
        <v>1917</v>
      </c>
      <c r="H11754" t="s">
        <v>432</v>
      </c>
      <c r="J11754" t="s">
        <v>17511</v>
      </c>
    </row>
    <row r="11755" spans="1:10" x14ac:dyDescent="0.25">
      <c r="A11755" t="s">
        <v>15549</v>
      </c>
      <c r="B11755" s="1" t="str">
        <f>HYPERLINK("https://asmlis.vasa.lt/Dashboard/Served?ServiceDateFrom=2025-11-24&amp;ServiceDateTo=2025-11-24&amp;DumpsterInvNr=13-S-102438", "13-S-102438")</f>
        <v>13-S-102438</v>
      </c>
      <c r="C11755">
        <v>0.12</v>
      </c>
      <c r="D11755" t="s">
        <v>15541</v>
      </c>
      <c r="E11755" t="s">
        <v>11</v>
      </c>
      <c r="F11755" t="s">
        <v>2556</v>
      </c>
      <c r="G11755" t="s">
        <v>1917</v>
      </c>
      <c r="H11755" t="s">
        <v>432</v>
      </c>
      <c r="J11755" t="s">
        <v>17511</v>
      </c>
    </row>
    <row r="11756" spans="1:10" hidden="1" x14ac:dyDescent="0.25">
      <c r="A11756" t="s">
        <v>15551</v>
      </c>
      <c r="B11756" s="1" t="str">
        <f>HYPERLINK("https://asmlis.vasa.lt/Dashboard/Served?ServiceDateFrom=2025-11-24&amp;ServiceDateTo=2025-11-24&amp;DumpsterInvNr=13-L-418942", "13-L-418942")</f>
        <v>13-L-418942</v>
      </c>
      <c r="C11756">
        <v>5</v>
      </c>
      <c r="D11756" t="s">
        <v>6642</v>
      </c>
      <c r="E11756" t="s">
        <v>11</v>
      </c>
      <c r="F11756" t="s">
        <v>13</v>
      </c>
      <c r="G11756" t="s">
        <v>74</v>
      </c>
      <c r="H11756" t="s">
        <v>14</v>
      </c>
    </row>
    <row r="11757" spans="1:10" hidden="1" x14ac:dyDescent="0.25">
      <c r="A11757" t="s">
        <v>15551</v>
      </c>
      <c r="B11757" s="1" t="str">
        <f>HYPERLINK("https://asmlis.vasa.lt/Dashboard/Served?ServiceDateFrom=2025-11-24&amp;ServiceDateTo=2025-11-24&amp;DumpsterInvNr=13-L-219154", "13-L-219154")</f>
        <v>13-L-219154</v>
      </c>
      <c r="C11757">
        <v>0.12</v>
      </c>
      <c r="D11757" t="s">
        <v>15552</v>
      </c>
      <c r="E11757" t="s">
        <v>11</v>
      </c>
      <c r="F11757" t="s">
        <v>13</v>
      </c>
      <c r="G11757" t="s">
        <v>936</v>
      </c>
      <c r="H11757" t="s">
        <v>938</v>
      </c>
    </row>
    <row r="11758" spans="1:10" hidden="1" x14ac:dyDescent="0.25">
      <c r="A11758" t="s">
        <v>15553</v>
      </c>
      <c r="B11758" s="1" t="str">
        <f>HYPERLINK("https://asmlis.vasa.lt/Dashboard/Served?ServiceDateFrom=2025-11-24&amp;ServiceDateTo=2025-11-24&amp;DumpsterInvNr=13-L-313434", "13-L-313434")</f>
        <v>13-L-313434</v>
      </c>
      <c r="C11758">
        <v>1.1000000000000001</v>
      </c>
      <c r="D11758" t="s">
        <v>15554</v>
      </c>
      <c r="E11758" t="s">
        <v>11</v>
      </c>
      <c r="G11758" t="s">
        <v>9</v>
      </c>
      <c r="H11758" t="s">
        <v>14</v>
      </c>
    </row>
    <row r="11759" spans="1:10" hidden="1" x14ac:dyDescent="0.25">
      <c r="A11759" t="s">
        <v>15555</v>
      </c>
      <c r="B11759" s="1" t="str">
        <f>HYPERLINK("https://asmlis.vasa.lt/Dashboard/Served?ServiceDateFrom=2025-11-24&amp;ServiceDateTo=2025-11-24&amp;DumpsterInvNr=13-P-102471", "13-P-102471")</f>
        <v>13-P-102471</v>
      </c>
      <c r="C11759">
        <v>5</v>
      </c>
      <c r="D11759" t="s">
        <v>15556</v>
      </c>
      <c r="E11759" t="s">
        <v>11</v>
      </c>
      <c r="F11759" t="s">
        <v>13</v>
      </c>
      <c r="G11759" t="s">
        <v>1917</v>
      </c>
      <c r="H11759" t="s">
        <v>432</v>
      </c>
    </row>
    <row r="11760" spans="1:10" hidden="1" x14ac:dyDescent="0.25">
      <c r="A11760" t="s">
        <v>15545</v>
      </c>
      <c r="B11760" s="1" t="str">
        <f>HYPERLINK("https://asmlis.vasa.lt/Dashboard/Served?ServiceDateFrom=2025-11-24&amp;ServiceDateTo=2025-11-24&amp;DumpsterInvNr=13-P-116093", "13-P-116093")</f>
        <v>13-P-116093</v>
      </c>
      <c r="C11760">
        <v>1.1000000000000001</v>
      </c>
      <c r="D11760" t="s">
        <v>15557</v>
      </c>
      <c r="E11760" t="s">
        <v>12</v>
      </c>
      <c r="F11760" t="s">
        <v>13</v>
      </c>
      <c r="H11760" t="s">
        <v>432</v>
      </c>
    </row>
    <row r="11761" spans="1:10" x14ac:dyDescent="0.25">
      <c r="A11761" t="s">
        <v>15558</v>
      </c>
      <c r="B11761" s="1" t="str">
        <f>HYPERLINK("https://asmlis.vasa.lt/Dashboard/Served?ServiceDateFrom=2025-11-24&amp;ServiceDateTo=2025-11-24&amp;DumpsterInvNr=13-P-101193", "13-P-101193")</f>
        <v>13-P-101193</v>
      </c>
      <c r="C11761">
        <v>0.24</v>
      </c>
      <c r="D11761" t="s">
        <v>15559</v>
      </c>
      <c r="E11761" t="s">
        <v>11</v>
      </c>
      <c r="F11761" t="s">
        <v>2556</v>
      </c>
      <c r="G11761" t="s">
        <v>1917</v>
      </c>
      <c r="H11761" t="s">
        <v>432</v>
      </c>
      <c r="J11761" t="s">
        <v>17511</v>
      </c>
    </row>
    <row r="11762" spans="1:10" hidden="1" x14ac:dyDescent="0.25">
      <c r="A11762" t="s">
        <v>15560</v>
      </c>
      <c r="B11762" s="1" t="str">
        <f>HYPERLINK("https://asmlis.vasa.lt/Dashboard/Served?ServiceDateFrom=2025-11-24&amp;ServiceDateTo=2025-11-24&amp;DumpsterInvNr=13-L-228432", "13-L-228432")</f>
        <v>13-L-228432</v>
      </c>
      <c r="C11762">
        <v>1.1000000000000001</v>
      </c>
      <c r="D11762" t="s">
        <v>15492</v>
      </c>
      <c r="E11762" t="s">
        <v>11</v>
      </c>
      <c r="G11762" t="s">
        <v>936</v>
      </c>
      <c r="H11762" t="s">
        <v>938</v>
      </c>
    </row>
    <row r="11763" spans="1:10" hidden="1" x14ac:dyDescent="0.25">
      <c r="A11763" t="s">
        <v>15560</v>
      </c>
      <c r="B11763" s="1" t="str">
        <f>HYPERLINK("https://asmlis.vasa.lt/Dashboard/Served?ServiceDateFrom=2025-11-24&amp;ServiceDateTo=2025-11-24&amp;DumpsterInvNr=13-P-116094", "13-P-116094")</f>
        <v>13-P-116094</v>
      </c>
      <c r="C11763">
        <v>1.1000000000000001</v>
      </c>
      <c r="D11763" t="s">
        <v>15557</v>
      </c>
      <c r="E11763" t="s">
        <v>12</v>
      </c>
      <c r="F11763" t="s">
        <v>13</v>
      </c>
      <c r="H11763" t="s">
        <v>432</v>
      </c>
    </row>
    <row r="11764" spans="1:10" hidden="1" x14ac:dyDescent="0.25">
      <c r="A11764" t="s">
        <v>15561</v>
      </c>
      <c r="B11764" s="1" t="str">
        <f>HYPERLINK("https://asmlis.vasa.lt/Dashboard/Served?ServiceDateFrom=2025-11-24&amp;ServiceDateTo=2025-11-24&amp;DumpsterInvNr=13-L-105543", "13-L-105543")</f>
        <v>13-L-105543</v>
      </c>
      <c r="C11764">
        <v>1.1000000000000001</v>
      </c>
      <c r="D11764" t="s">
        <v>15562</v>
      </c>
      <c r="E11764" t="s">
        <v>11</v>
      </c>
      <c r="G11764" t="s">
        <v>430</v>
      </c>
      <c r="H11764" t="s">
        <v>432</v>
      </c>
    </row>
    <row r="11765" spans="1:10" hidden="1" x14ac:dyDescent="0.25">
      <c r="A11765" t="s">
        <v>15308</v>
      </c>
      <c r="B11765" s="1" t="str">
        <f>HYPERLINK("https://asmlis.vasa.lt/Dashboard/Served?ServiceDateFrom=2025-11-24&amp;ServiceDateTo=2025-11-24&amp;DumpsterInvNr=13-P-413765", "13-P-413765")</f>
        <v>13-P-413765</v>
      </c>
      <c r="C11765">
        <v>5</v>
      </c>
      <c r="D11765" t="s">
        <v>11889</v>
      </c>
      <c r="E11765" t="s">
        <v>11</v>
      </c>
      <c r="G11765" t="s">
        <v>264</v>
      </c>
      <c r="H11765" t="s">
        <v>14</v>
      </c>
    </row>
    <row r="11766" spans="1:10" hidden="1" x14ac:dyDescent="0.25">
      <c r="A11766" t="s">
        <v>15452</v>
      </c>
      <c r="B11766" s="1" t="str">
        <f>HYPERLINK("https://asmlis.vasa.lt/Dashboard/Served?ServiceDateFrom=2025-11-24&amp;ServiceDateTo=2025-11-24&amp;DumpsterInvNr=13-P-401218", "13-P-401218")</f>
        <v>13-P-401218</v>
      </c>
      <c r="C11766">
        <v>1.1000000000000001</v>
      </c>
      <c r="D11766" t="s">
        <v>15563</v>
      </c>
      <c r="E11766" t="s">
        <v>11</v>
      </c>
      <c r="G11766" t="s">
        <v>264</v>
      </c>
      <c r="H11766" t="s">
        <v>14</v>
      </c>
    </row>
    <row r="11767" spans="1:10" hidden="1" x14ac:dyDescent="0.25">
      <c r="A11767" t="s">
        <v>15452</v>
      </c>
      <c r="B11767" s="1" t="str">
        <f>HYPERLINK("https://asmlis.vasa.lt/Dashboard/Served?ServiceDateFrom=2025-11-24&amp;ServiceDateTo=2025-11-24&amp;DumpsterInvNr=13-P-116092", "13-P-116092")</f>
        <v>13-P-116092</v>
      </c>
      <c r="C11767">
        <v>1.1000000000000001</v>
      </c>
      <c r="D11767" t="s">
        <v>15557</v>
      </c>
      <c r="E11767" t="s">
        <v>12</v>
      </c>
      <c r="F11767" t="s">
        <v>13</v>
      </c>
      <c r="H11767" t="s">
        <v>432</v>
      </c>
    </row>
    <row r="11768" spans="1:10" x14ac:dyDescent="0.25">
      <c r="A11768" t="s">
        <v>15564</v>
      </c>
      <c r="B11768" s="1" t="str">
        <f>HYPERLINK("https://asmlis.vasa.lt/Dashboard/Served?ServiceDateFrom=2025-11-24&amp;ServiceDateTo=2025-11-24&amp;DumpsterInvNr=13-P-101205", "13-P-101205")</f>
        <v>13-P-101205</v>
      </c>
      <c r="C11768">
        <v>0.24</v>
      </c>
      <c r="D11768" t="s">
        <v>15541</v>
      </c>
      <c r="E11768" t="s">
        <v>11</v>
      </c>
      <c r="F11768" t="s">
        <v>2556</v>
      </c>
      <c r="G11768" t="s">
        <v>1917</v>
      </c>
      <c r="H11768" t="s">
        <v>432</v>
      </c>
      <c r="J11768" t="s">
        <v>17511</v>
      </c>
    </row>
    <row r="11769" spans="1:10" hidden="1" x14ac:dyDescent="0.25">
      <c r="A11769" t="s">
        <v>15565</v>
      </c>
      <c r="B11769" s="1" t="str">
        <f>HYPERLINK("https://asmlis.vasa.lt/Dashboard/Served?ServiceDateFrom=2025-11-24&amp;ServiceDateTo=2025-11-24&amp;DumpsterInvNr=13-P-509501", "13-P-509501")</f>
        <v>13-P-509501</v>
      </c>
      <c r="C11769">
        <v>0.24</v>
      </c>
      <c r="D11769" t="s">
        <v>15566</v>
      </c>
      <c r="E11769" t="s">
        <v>11</v>
      </c>
      <c r="G11769" t="s">
        <v>2178</v>
      </c>
      <c r="H11769" t="s">
        <v>432</v>
      </c>
    </row>
    <row r="11770" spans="1:10" hidden="1" x14ac:dyDescent="0.25">
      <c r="A11770" t="s">
        <v>15567</v>
      </c>
      <c r="B11770" s="1" t="str">
        <f>HYPERLINK("https://asmlis.vasa.lt/Dashboard/Served?ServiceDateFrom=2025-11-24&amp;ServiceDateTo=2025-11-24&amp;DumpsterInvNr=13-L-109830", "13-L-109830")</f>
        <v>13-L-109830</v>
      </c>
      <c r="C11770">
        <v>0.12</v>
      </c>
      <c r="D11770" t="s">
        <v>15566</v>
      </c>
      <c r="E11770" t="s">
        <v>11</v>
      </c>
      <c r="G11770" t="s">
        <v>430</v>
      </c>
      <c r="H11770" t="s">
        <v>432</v>
      </c>
    </row>
    <row r="11771" spans="1:10" hidden="1" x14ac:dyDescent="0.25">
      <c r="A11771" t="s">
        <v>15568</v>
      </c>
      <c r="B11771" s="1" t="str">
        <f>HYPERLINK("https://asmlis.vasa.lt/Dashboard/Served?ServiceDateFrom=2025-11-24&amp;ServiceDateTo=2025-11-24&amp;DumpsterInvNr=13-L-129335", "13-L-129335")</f>
        <v>13-L-129335</v>
      </c>
      <c r="C11771">
        <v>1.1000000000000001</v>
      </c>
      <c r="D11771" t="s">
        <v>15569</v>
      </c>
      <c r="E11771" t="s">
        <v>11</v>
      </c>
      <c r="G11771" t="s">
        <v>1912</v>
      </c>
      <c r="H11771" t="s">
        <v>432</v>
      </c>
    </row>
    <row r="11772" spans="1:10" hidden="1" x14ac:dyDescent="0.25">
      <c r="A11772" t="s">
        <v>15550</v>
      </c>
      <c r="B11772" s="1" t="str">
        <f>HYPERLINK("https://asmlis.vasa.lt/Dashboard/Served?ServiceDateFrom=2025-11-24&amp;ServiceDateTo=2025-11-24&amp;DumpsterInvNr=13-L-139911", "13-L-139911")</f>
        <v>13-L-139911</v>
      </c>
      <c r="C11772">
        <v>5</v>
      </c>
      <c r="D11772" t="s">
        <v>14310</v>
      </c>
      <c r="E11772" t="s">
        <v>11</v>
      </c>
      <c r="F11772" t="s">
        <v>13</v>
      </c>
      <c r="G11772" t="s">
        <v>1912</v>
      </c>
      <c r="H11772" t="s">
        <v>432</v>
      </c>
    </row>
    <row r="11773" spans="1:10" hidden="1" x14ac:dyDescent="0.25">
      <c r="A11773" t="s">
        <v>15550</v>
      </c>
      <c r="B11773" s="1" t="str">
        <f>HYPERLINK("https://asmlis.vasa.lt/Dashboard/Served?ServiceDateFrom=2025-11-24&amp;ServiceDateTo=2025-11-24&amp;DumpsterInvNr=13-P-101204", "13-P-101204")</f>
        <v>13-P-101204</v>
      </c>
      <c r="C11773">
        <v>0.12</v>
      </c>
      <c r="D11773" t="s">
        <v>15541</v>
      </c>
      <c r="E11773" t="s">
        <v>11</v>
      </c>
      <c r="F11773" t="s">
        <v>1209</v>
      </c>
      <c r="G11773" t="s">
        <v>1917</v>
      </c>
      <c r="H11773" t="s">
        <v>432</v>
      </c>
    </row>
    <row r="11774" spans="1:10" hidden="1" x14ac:dyDescent="0.25">
      <c r="A11774" t="s">
        <v>15571</v>
      </c>
      <c r="B11774" s="1" t="str">
        <f>HYPERLINK("https://asmlis.vasa.lt/Dashboard/Served?ServiceDateFrom=2025-11-24&amp;ServiceDateTo=2025-11-24&amp;DumpsterInvNr=13-P-115360", "13-P-115360")</f>
        <v>13-P-115360</v>
      </c>
      <c r="C11774">
        <v>1.1000000000000001</v>
      </c>
      <c r="D11774" t="s">
        <v>7897</v>
      </c>
      <c r="E11774" t="s">
        <v>11</v>
      </c>
      <c r="G11774" t="s">
        <v>1917</v>
      </c>
      <c r="H11774" t="s">
        <v>432</v>
      </c>
    </row>
    <row r="11775" spans="1:10" hidden="1" x14ac:dyDescent="0.25">
      <c r="A11775" t="s">
        <v>15572</v>
      </c>
      <c r="B11775" s="1" t="str">
        <f>HYPERLINK("https://asmlis.vasa.lt/Dashboard/Served?ServiceDateFrom=2025-11-24&amp;ServiceDateTo=2025-11-24&amp;DumpsterInvNr=13-L-228419", "13-L-228419")</f>
        <v>13-L-228419</v>
      </c>
      <c r="C11775">
        <v>1.1000000000000001</v>
      </c>
      <c r="D11775" t="s">
        <v>15492</v>
      </c>
      <c r="E11775" t="s">
        <v>11</v>
      </c>
      <c r="G11775" t="s">
        <v>936</v>
      </c>
      <c r="H11775" t="s">
        <v>938</v>
      </c>
    </row>
    <row r="11776" spans="1:10" x14ac:dyDescent="0.25">
      <c r="A11776" t="s">
        <v>15573</v>
      </c>
      <c r="B11776" s="1" t="str">
        <f>HYPERLINK("https://asmlis.vasa.lt/Dashboard/Served?ServiceDateFrom=2025-11-24&amp;ServiceDateTo=2025-11-24&amp;DumpsterInvNr=13-P-101194", "13-P-101194")</f>
        <v>13-P-101194</v>
      </c>
      <c r="C11776">
        <v>0.12</v>
      </c>
      <c r="D11776" t="s">
        <v>15574</v>
      </c>
      <c r="E11776" t="s">
        <v>11</v>
      </c>
      <c r="F11776" t="s">
        <v>2556</v>
      </c>
      <c r="G11776" t="s">
        <v>1917</v>
      </c>
      <c r="H11776" t="s">
        <v>432</v>
      </c>
      <c r="J11776" t="s">
        <v>17511</v>
      </c>
    </row>
    <row r="11777" spans="1:10" hidden="1" x14ac:dyDescent="0.25">
      <c r="A11777" t="s">
        <v>15575</v>
      </c>
      <c r="B11777" s="1" t="str">
        <f>HYPERLINK("https://asmlis.vasa.lt/Dashboard/Served?ServiceDateFrom=2025-11-24&amp;ServiceDateTo=2025-11-24&amp;DumpsterInvNr=13-L-303071", "13-L-303071")</f>
        <v>13-L-303071</v>
      </c>
      <c r="C11777">
        <v>1.1000000000000001</v>
      </c>
      <c r="D11777" t="s">
        <v>15576</v>
      </c>
      <c r="E11777" t="s">
        <v>11</v>
      </c>
      <c r="G11777" t="s">
        <v>9</v>
      </c>
      <c r="H11777" t="s">
        <v>14</v>
      </c>
    </row>
    <row r="11778" spans="1:10" x14ac:dyDescent="0.25">
      <c r="A11778" t="s">
        <v>15577</v>
      </c>
      <c r="B11778" s="1" t="str">
        <f>HYPERLINK("https://asmlis.vasa.lt/Dashboard/Served?ServiceDateFrom=2025-11-24&amp;ServiceDateTo=2025-11-24&amp;DumpsterInvNr=13-S-102441", "13-S-102441")</f>
        <v>13-S-102441</v>
      </c>
      <c r="C11778">
        <v>0.12</v>
      </c>
      <c r="D11778" t="s">
        <v>15574</v>
      </c>
      <c r="E11778" t="s">
        <v>11</v>
      </c>
      <c r="F11778" t="s">
        <v>2556</v>
      </c>
      <c r="G11778" t="s">
        <v>1917</v>
      </c>
      <c r="H11778" t="s">
        <v>432</v>
      </c>
      <c r="J11778" t="s">
        <v>17511</v>
      </c>
    </row>
    <row r="11779" spans="1:10" hidden="1" x14ac:dyDescent="0.25">
      <c r="A11779" t="s">
        <v>14344</v>
      </c>
      <c r="B11779" s="1" t="str">
        <f>HYPERLINK("https://asmlis.vasa.lt/Dashboard/Served?ServiceDateFrom=2025-11-24&amp;ServiceDateTo=2025-11-24&amp;DumpsterInvNr=13-P-302356", "13-P-302356")</f>
        <v>13-P-302356</v>
      </c>
      <c r="C11779">
        <v>5</v>
      </c>
      <c r="D11779" t="s">
        <v>14510</v>
      </c>
      <c r="E11779" t="s">
        <v>11</v>
      </c>
      <c r="F11779" t="s">
        <v>13</v>
      </c>
      <c r="G11779" t="s">
        <v>412</v>
      </c>
      <c r="H11779" t="s">
        <v>14</v>
      </c>
    </row>
    <row r="11780" spans="1:10" hidden="1" x14ac:dyDescent="0.25">
      <c r="A11780" t="s">
        <v>14462</v>
      </c>
      <c r="B11780" s="1" t="str">
        <f>HYPERLINK("https://asmlis.vasa.lt/Dashboard/Served?ServiceDateFrom=2025-11-24&amp;ServiceDateTo=2025-11-24&amp;DumpsterInvNr=13-P-204327", "13-P-204327")</f>
        <v>13-P-204327</v>
      </c>
      <c r="C11780">
        <v>0.24</v>
      </c>
      <c r="D11780" t="s">
        <v>15580</v>
      </c>
      <c r="E11780" t="s">
        <v>11</v>
      </c>
      <c r="F11780" t="s">
        <v>1209</v>
      </c>
      <c r="G11780" t="s">
        <v>234</v>
      </c>
      <c r="H11780" t="s">
        <v>14</v>
      </c>
    </row>
    <row r="11781" spans="1:10" hidden="1" x14ac:dyDescent="0.25">
      <c r="A11781" t="s">
        <v>14487</v>
      </c>
      <c r="B11781" s="1" t="str">
        <f>HYPERLINK("https://asmlis.vasa.lt/Dashboard/Served?ServiceDateFrom=2025-11-24&amp;ServiceDateTo=2025-11-24&amp;DumpsterInvNr=13-L-421193", "13-L-421193")</f>
        <v>13-L-421193</v>
      </c>
      <c r="C11781">
        <v>5</v>
      </c>
      <c r="D11781" t="s">
        <v>8259</v>
      </c>
      <c r="E11781" t="s">
        <v>11</v>
      </c>
      <c r="F11781" t="s">
        <v>13</v>
      </c>
      <c r="G11781" t="s">
        <v>74</v>
      </c>
      <c r="H11781" t="s">
        <v>14</v>
      </c>
    </row>
    <row r="11782" spans="1:10" hidden="1" x14ac:dyDescent="0.25">
      <c r="A11782" t="s">
        <v>14487</v>
      </c>
      <c r="B11782" s="1" t="str">
        <f>HYPERLINK("https://asmlis.vasa.lt/Dashboard/Served?ServiceDateFrom=2025-11-24&amp;ServiceDateTo=2025-11-24&amp;DumpsterInvNr=13-P-302285", "13-P-302285")</f>
        <v>13-P-302285</v>
      </c>
      <c r="C11782">
        <v>5</v>
      </c>
      <c r="D11782" t="s">
        <v>6944</v>
      </c>
      <c r="E11782" t="s">
        <v>11</v>
      </c>
      <c r="G11782" t="s">
        <v>412</v>
      </c>
      <c r="H11782" t="s">
        <v>14</v>
      </c>
    </row>
    <row r="11783" spans="1:10" x14ac:dyDescent="0.25">
      <c r="A11783" t="s">
        <v>15581</v>
      </c>
      <c r="B11783" s="1" t="str">
        <f>HYPERLINK("https://asmlis.vasa.lt/Dashboard/Served?ServiceDateFrom=2025-11-24&amp;ServiceDateTo=2025-11-24&amp;DumpsterInvNr=13-L-134705", "13-L-134705")</f>
        <v>13-L-134705</v>
      </c>
      <c r="C11783">
        <v>0.12</v>
      </c>
      <c r="D11783" t="s">
        <v>15541</v>
      </c>
      <c r="E11783" t="s">
        <v>11</v>
      </c>
      <c r="F11783" t="s">
        <v>2556</v>
      </c>
      <c r="G11783" t="s">
        <v>1912</v>
      </c>
      <c r="H11783" t="s">
        <v>432</v>
      </c>
      <c r="J11783" t="s">
        <v>17511</v>
      </c>
    </row>
    <row r="11784" spans="1:10" hidden="1" x14ac:dyDescent="0.25">
      <c r="A11784" t="s">
        <v>15581</v>
      </c>
      <c r="B11784" s="1" t="str">
        <f>HYPERLINK("https://asmlis.vasa.lt/Dashboard/Served?ServiceDateFrom=2025-11-24&amp;ServiceDateTo=2025-11-24&amp;DumpsterInvNr=13-L-109831", "13-L-109831")</f>
        <v>13-L-109831</v>
      </c>
      <c r="C11784">
        <v>0.12</v>
      </c>
      <c r="D11784" t="s">
        <v>15582</v>
      </c>
      <c r="E11784" t="s">
        <v>11</v>
      </c>
      <c r="G11784" t="s">
        <v>430</v>
      </c>
      <c r="H11784" t="s">
        <v>432</v>
      </c>
    </row>
    <row r="11785" spans="1:10" hidden="1" x14ac:dyDescent="0.25">
      <c r="A11785" t="s">
        <v>15581</v>
      </c>
      <c r="B11785" s="1" t="str">
        <f>HYPERLINK("https://asmlis.vasa.lt/Dashboard/Served?ServiceDateFrom=2025-11-24&amp;ServiceDateTo=2025-11-24&amp;DumpsterInvNr=13-P-509104", "13-P-509104")</f>
        <v>13-P-509104</v>
      </c>
      <c r="C11785">
        <v>0.24</v>
      </c>
      <c r="D11785" t="s">
        <v>15582</v>
      </c>
      <c r="E11785" t="s">
        <v>11</v>
      </c>
      <c r="G11785" t="s">
        <v>2178</v>
      </c>
      <c r="H11785" t="s">
        <v>432</v>
      </c>
    </row>
    <row r="11786" spans="1:10" x14ac:dyDescent="0.25">
      <c r="A11786" t="s">
        <v>15585</v>
      </c>
      <c r="B11786" s="1" t="str">
        <f>HYPERLINK("https://asmlis.vasa.lt/Dashboard/Served?ServiceDateFrom=2025-11-24&amp;ServiceDateTo=2025-11-24&amp;DumpsterInvNr=13-P-101195", "13-P-101195")</f>
        <v>13-P-101195</v>
      </c>
      <c r="C11786">
        <v>0.12</v>
      </c>
      <c r="D11786" t="s">
        <v>15574</v>
      </c>
      <c r="E11786" t="s">
        <v>11</v>
      </c>
      <c r="F11786" t="s">
        <v>2556</v>
      </c>
      <c r="G11786" t="s">
        <v>1917</v>
      </c>
      <c r="H11786" t="s">
        <v>432</v>
      </c>
      <c r="J11786" t="s">
        <v>17511</v>
      </c>
    </row>
    <row r="11787" spans="1:10" hidden="1" x14ac:dyDescent="0.25">
      <c r="A11787" t="s">
        <v>14294</v>
      </c>
      <c r="B11787" s="1" t="str">
        <f>HYPERLINK("https://asmlis.vasa.lt/Dashboard/Served?ServiceDateFrom=2025-11-24&amp;ServiceDateTo=2025-11-24&amp;DumpsterInvNr=13-L-318215", "13-L-318215")</f>
        <v>13-L-318215</v>
      </c>
      <c r="C11787">
        <v>1.1000000000000001</v>
      </c>
      <c r="D11787" t="s">
        <v>15576</v>
      </c>
      <c r="E11787" t="s">
        <v>11</v>
      </c>
      <c r="F11787" t="s">
        <v>13</v>
      </c>
      <c r="G11787" t="s">
        <v>9</v>
      </c>
      <c r="H11787" t="s">
        <v>14</v>
      </c>
    </row>
    <row r="11788" spans="1:10" hidden="1" x14ac:dyDescent="0.25">
      <c r="A11788" t="s">
        <v>15200</v>
      </c>
      <c r="B11788" s="1" t="str">
        <f>HYPERLINK("https://asmlis.vasa.lt/Dashboard/Served?ServiceDateFrom=2025-11-24&amp;ServiceDateTo=2025-11-24&amp;DumpsterInvNr=13-L-318707", "13-L-318707")</f>
        <v>13-L-318707</v>
      </c>
      <c r="C11788">
        <v>0.24</v>
      </c>
      <c r="D11788" t="s">
        <v>15586</v>
      </c>
      <c r="E11788" t="s">
        <v>11</v>
      </c>
      <c r="F11788" t="s">
        <v>1209</v>
      </c>
      <c r="G11788" t="s">
        <v>9</v>
      </c>
      <c r="H11788" t="s">
        <v>14</v>
      </c>
    </row>
    <row r="11789" spans="1:10" x14ac:dyDescent="0.25">
      <c r="A11789" t="s">
        <v>15578</v>
      </c>
      <c r="B11789" s="1" t="str">
        <f>HYPERLINK("https://asmlis.vasa.lt/Dashboard/Served?ServiceDateFrom=2025-11-24&amp;ServiceDateTo=2025-11-24&amp;DumpsterInvNr=13-P-105350", "13-P-105350")</f>
        <v>13-P-105350</v>
      </c>
      <c r="C11789">
        <v>0.12</v>
      </c>
      <c r="D11789" t="s">
        <v>15574</v>
      </c>
      <c r="E11789" t="s">
        <v>11</v>
      </c>
      <c r="F11789" t="s">
        <v>2556</v>
      </c>
      <c r="G11789" t="s">
        <v>1917</v>
      </c>
      <c r="H11789" t="s">
        <v>432</v>
      </c>
      <c r="J11789" t="s">
        <v>17511</v>
      </c>
    </row>
    <row r="11790" spans="1:10" x14ac:dyDescent="0.25">
      <c r="A11790" t="s">
        <v>15197</v>
      </c>
      <c r="B11790" s="1" t="str">
        <f>HYPERLINK("https://asmlis.vasa.lt/Dashboard/Served?ServiceDateFrom=2025-11-24&amp;ServiceDateTo=2025-11-24&amp;DumpsterInvNr=13-S-103021", "13-S-103021")</f>
        <v>13-S-103021</v>
      </c>
      <c r="C11790">
        <v>0.12</v>
      </c>
      <c r="D11790" t="s">
        <v>15587</v>
      </c>
      <c r="E11790" t="s">
        <v>11</v>
      </c>
      <c r="F11790" t="s">
        <v>2556</v>
      </c>
      <c r="G11790" t="s">
        <v>1917</v>
      </c>
      <c r="H11790" t="s">
        <v>432</v>
      </c>
      <c r="J11790" t="s">
        <v>17511</v>
      </c>
    </row>
    <row r="11791" spans="1:10" hidden="1" x14ac:dyDescent="0.25">
      <c r="A11791" t="s">
        <v>15197</v>
      </c>
      <c r="B11791" s="1" t="str">
        <f>HYPERLINK("https://asmlis.vasa.lt/Dashboard/Served?ServiceDateFrom=2025-11-24&amp;ServiceDateTo=2025-11-24&amp;DumpsterInvNr=13-P-209565", "13-P-209565")</f>
        <v>13-P-209565</v>
      </c>
      <c r="C11791">
        <v>0.24</v>
      </c>
      <c r="D11791" t="s">
        <v>15588</v>
      </c>
      <c r="E11791" t="s">
        <v>11</v>
      </c>
      <c r="F11791" t="s">
        <v>1209</v>
      </c>
      <c r="G11791" t="s">
        <v>234</v>
      </c>
      <c r="H11791" t="s">
        <v>14</v>
      </c>
    </row>
    <row r="11792" spans="1:10" hidden="1" x14ac:dyDescent="0.25">
      <c r="A11792" t="s">
        <v>15208</v>
      </c>
      <c r="B11792" s="1" t="str">
        <f>HYPERLINK("https://asmlis.vasa.lt/Dashboard/Served?ServiceDateFrom=2025-11-24&amp;ServiceDateTo=2025-11-24&amp;DumpsterInvNr=13-P-102473", "13-P-102473")</f>
        <v>13-P-102473</v>
      </c>
      <c r="C11792">
        <v>5</v>
      </c>
      <c r="D11792" t="s">
        <v>15438</v>
      </c>
      <c r="E11792" t="s">
        <v>11</v>
      </c>
      <c r="F11792" t="s">
        <v>13</v>
      </c>
      <c r="G11792" t="s">
        <v>1917</v>
      </c>
      <c r="H11792" t="s">
        <v>432</v>
      </c>
    </row>
    <row r="11793" spans="1:10" hidden="1" x14ac:dyDescent="0.25">
      <c r="A11793" t="s">
        <v>15210</v>
      </c>
      <c r="B11793" s="1" t="str">
        <f>HYPERLINK("https://asmlis.vasa.lt/Dashboard/Served?ServiceDateFrom=2025-11-24&amp;ServiceDateTo=2025-11-24&amp;DumpsterInvNr=13-L-222146", "13-L-222146")</f>
        <v>13-L-222146</v>
      </c>
      <c r="C11793">
        <v>1.1000000000000001</v>
      </c>
      <c r="D11793" t="s">
        <v>15492</v>
      </c>
      <c r="E11793" t="s">
        <v>11</v>
      </c>
      <c r="G11793" t="s">
        <v>936</v>
      </c>
      <c r="H11793" t="s">
        <v>938</v>
      </c>
    </row>
    <row r="11794" spans="1:10" hidden="1" x14ac:dyDescent="0.25">
      <c r="A11794" t="s">
        <v>15218</v>
      </c>
      <c r="B11794" s="1" t="str">
        <f>HYPERLINK("https://asmlis.vasa.lt/Dashboard/Served?ServiceDateFrom=2025-11-24&amp;ServiceDateTo=2025-11-24&amp;DumpsterInvNr=13-P-102474", "13-P-102474")</f>
        <v>13-P-102474</v>
      </c>
      <c r="C11794">
        <v>5</v>
      </c>
      <c r="D11794" t="s">
        <v>15381</v>
      </c>
      <c r="E11794" t="s">
        <v>11</v>
      </c>
      <c r="F11794" t="s">
        <v>13</v>
      </c>
      <c r="G11794" t="s">
        <v>1917</v>
      </c>
      <c r="H11794" t="s">
        <v>432</v>
      </c>
    </row>
    <row r="11795" spans="1:10" x14ac:dyDescent="0.25">
      <c r="A11795" t="s">
        <v>15221</v>
      </c>
      <c r="B11795" s="1" t="str">
        <f>HYPERLINK("https://asmlis.vasa.lt/Dashboard/Served?ServiceDateFrom=2025-11-24&amp;ServiceDateTo=2025-11-24&amp;DumpsterInvNr=13-P-103547", "13-P-103547")</f>
        <v>13-P-103547</v>
      </c>
      <c r="C11795">
        <v>0.24</v>
      </c>
      <c r="D11795" t="s">
        <v>15587</v>
      </c>
      <c r="E11795" t="s">
        <v>11</v>
      </c>
      <c r="F11795" t="s">
        <v>2556</v>
      </c>
      <c r="G11795" t="s">
        <v>1917</v>
      </c>
      <c r="H11795" t="s">
        <v>432</v>
      </c>
      <c r="J11795" t="s">
        <v>17511</v>
      </c>
    </row>
    <row r="11796" spans="1:10" hidden="1" x14ac:dyDescent="0.25">
      <c r="A11796" t="s">
        <v>15234</v>
      </c>
      <c r="B11796" s="1" t="str">
        <f>HYPERLINK("https://asmlis.vasa.lt/Dashboard/Served?ServiceDateFrom=2025-11-24&amp;ServiceDateTo=2025-11-24&amp;DumpsterInvNr=13-L-134782", "13-L-134782")</f>
        <v>13-L-134782</v>
      </c>
      <c r="C11796">
        <v>5</v>
      </c>
      <c r="D11796" t="s">
        <v>15589</v>
      </c>
      <c r="E11796" t="s">
        <v>11</v>
      </c>
      <c r="F11796" t="s">
        <v>13</v>
      </c>
      <c r="G11796" t="s">
        <v>430</v>
      </c>
      <c r="H11796" t="s">
        <v>432</v>
      </c>
    </row>
    <row r="11797" spans="1:10" hidden="1" x14ac:dyDescent="0.25">
      <c r="A11797" t="s">
        <v>15233</v>
      </c>
      <c r="B11797" s="1" t="str">
        <f>HYPERLINK("https://asmlis.vasa.lt/Dashboard/Served?ServiceDateFrom=2025-11-24&amp;ServiceDateTo=2025-11-24&amp;DumpsterInvNr=13-P-501751", "13-P-501751")</f>
        <v>13-P-501751</v>
      </c>
      <c r="C11797">
        <v>5</v>
      </c>
      <c r="D11797" t="s">
        <v>15590</v>
      </c>
      <c r="E11797" t="s">
        <v>11</v>
      </c>
      <c r="F11797" t="s">
        <v>13</v>
      </c>
      <c r="G11797" t="s">
        <v>2178</v>
      </c>
      <c r="H11797" t="s">
        <v>432</v>
      </c>
    </row>
    <row r="11798" spans="1:10" x14ac:dyDescent="0.25">
      <c r="A11798" t="s">
        <v>15289</v>
      </c>
      <c r="B11798" s="1" t="str">
        <f>HYPERLINK("https://asmlis.vasa.lt/Dashboard/Served?ServiceDateFrom=2025-11-24&amp;ServiceDateTo=2025-11-24&amp;DumpsterInvNr=13-L-120413", "13-L-120413")</f>
        <v>13-L-120413</v>
      </c>
      <c r="C11798">
        <v>0.12</v>
      </c>
      <c r="D11798" t="s">
        <v>15592</v>
      </c>
      <c r="E11798" t="s">
        <v>11</v>
      </c>
      <c r="F11798" t="s">
        <v>2556</v>
      </c>
      <c r="G11798" t="s">
        <v>1912</v>
      </c>
      <c r="H11798" t="s">
        <v>432</v>
      </c>
      <c r="J11798" t="s">
        <v>17511</v>
      </c>
    </row>
    <row r="11799" spans="1:10" hidden="1" x14ac:dyDescent="0.25">
      <c r="A11799" t="s">
        <v>15593</v>
      </c>
      <c r="B11799" s="1" t="str">
        <f>HYPERLINK("https://asmlis.vasa.lt/Dashboard/Served?ServiceDateFrom=2025-11-24&amp;ServiceDateTo=2025-11-24&amp;DumpsterInvNr=13-P-506915", "13-P-506915")</f>
        <v>13-P-506915</v>
      </c>
      <c r="C11799">
        <v>0.24</v>
      </c>
      <c r="D11799" t="s">
        <v>15594</v>
      </c>
      <c r="E11799" t="s">
        <v>11</v>
      </c>
      <c r="G11799" t="s">
        <v>2178</v>
      </c>
      <c r="H11799" t="s">
        <v>432</v>
      </c>
    </row>
    <row r="11800" spans="1:10" x14ac:dyDescent="0.25">
      <c r="A11800" t="s">
        <v>15595</v>
      </c>
      <c r="B11800" s="1" t="str">
        <f>HYPERLINK("https://asmlis.vasa.lt/Dashboard/Served?ServiceDateFrom=2025-11-24&amp;ServiceDateTo=2025-11-24&amp;DumpsterInvNr=13-L-115058", "13-L-115058")</f>
        <v>13-L-115058</v>
      </c>
      <c r="C11800">
        <v>0.24</v>
      </c>
      <c r="D11800" t="s">
        <v>15559</v>
      </c>
      <c r="E11800" t="s">
        <v>11</v>
      </c>
      <c r="F11800" t="s">
        <v>2556</v>
      </c>
      <c r="G11800" t="s">
        <v>1912</v>
      </c>
      <c r="H11800" t="s">
        <v>432</v>
      </c>
      <c r="J11800" t="s">
        <v>17511</v>
      </c>
    </row>
    <row r="11801" spans="1:10" hidden="1" x14ac:dyDescent="0.25">
      <c r="A11801" t="s">
        <v>15596</v>
      </c>
      <c r="B11801" s="1" t="str">
        <f>HYPERLINK("https://asmlis.vasa.lt/Dashboard/Served?ServiceDateFrom=2025-11-24&amp;ServiceDateTo=2025-11-24&amp;DumpsterInvNr=13-L-225345", "13-L-225345")</f>
        <v>13-L-225345</v>
      </c>
      <c r="C11801">
        <v>0.24</v>
      </c>
      <c r="D11801" t="s">
        <v>15531</v>
      </c>
      <c r="E11801" t="s">
        <v>11</v>
      </c>
      <c r="G11801" t="s">
        <v>936</v>
      </c>
      <c r="H11801" t="s">
        <v>938</v>
      </c>
    </row>
    <row r="11802" spans="1:10" x14ac:dyDescent="0.25">
      <c r="A11802" t="s">
        <v>15597</v>
      </c>
      <c r="B11802" s="1" t="str">
        <f>HYPERLINK("https://asmlis.vasa.lt/Dashboard/Served?ServiceDateFrom=2025-11-24&amp;ServiceDateTo=2025-11-24&amp;DumpsterInvNr=13-S-102442", "13-S-102442")</f>
        <v>13-S-102442</v>
      </c>
      <c r="C11802">
        <v>0.12</v>
      </c>
      <c r="D11802" t="s">
        <v>15559</v>
      </c>
      <c r="E11802" t="s">
        <v>11</v>
      </c>
      <c r="F11802" t="s">
        <v>2556</v>
      </c>
      <c r="G11802" t="s">
        <v>1917</v>
      </c>
      <c r="H11802" t="s">
        <v>432</v>
      </c>
      <c r="J11802" t="s">
        <v>17511</v>
      </c>
    </row>
    <row r="11803" spans="1:10" hidden="1" x14ac:dyDescent="0.25">
      <c r="A11803" t="s">
        <v>15598</v>
      </c>
      <c r="B11803" s="1" t="str">
        <f>HYPERLINK("https://asmlis.vasa.lt/Dashboard/Served?ServiceDateFrom=2025-11-24&amp;ServiceDateTo=2025-11-24&amp;DumpsterInvNr=13-L-318802", "13-L-318802")</f>
        <v>13-L-318802</v>
      </c>
      <c r="C11803">
        <v>1.1000000000000001</v>
      </c>
      <c r="D11803" t="s">
        <v>15599</v>
      </c>
      <c r="E11803" t="s">
        <v>11</v>
      </c>
      <c r="G11803" t="s">
        <v>9</v>
      </c>
      <c r="H11803" t="s">
        <v>14</v>
      </c>
    </row>
    <row r="11804" spans="1:10" hidden="1" x14ac:dyDescent="0.25">
      <c r="A11804" t="s">
        <v>15600</v>
      </c>
      <c r="B11804" s="1" t="str">
        <f>HYPERLINK("https://asmlis.vasa.lt/Dashboard/Served?ServiceDateFrom=2025-11-24&amp;ServiceDateTo=2025-11-24&amp;DumpsterInvNr=13-L-143485", "13-L-143485")</f>
        <v>13-L-143485</v>
      </c>
      <c r="C11804">
        <v>5</v>
      </c>
      <c r="D11804" t="s">
        <v>15601</v>
      </c>
      <c r="E11804" t="s">
        <v>11</v>
      </c>
      <c r="F11804" t="s">
        <v>13</v>
      </c>
      <c r="G11804" t="s">
        <v>430</v>
      </c>
      <c r="H11804" t="s">
        <v>432</v>
      </c>
    </row>
    <row r="11805" spans="1:10" x14ac:dyDescent="0.25">
      <c r="A11805" t="s">
        <v>15290</v>
      </c>
      <c r="B11805" s="1" t="str">
        <f>HYPERLINK("https://asmlis.vasa.lt/Dashboard/Served?ServiceDateFrom=2025-11-24&amp;ServiceDateTo=2025-11-24&amp;DumpsterInvNr=13-L-133693", "13-L-133693")</f>
        <v>13-L-133693</v>
      </c>
      <c r="C11805">
        <v>0.12</v>
      </c>
      <c r="D11805" t="s">
        <v>15574</v>
      </c>
      <c r="E11805" t="s">
        <v>11</v>
      </c>
      <c r="F11805" t="s">
        <v>2556</v>
      </c>
      <c r="G11805" t="s">
        <v>1912</v>
      </c>
      <c r="H11805" t="s">
        <v>432</v>
      </c>
      <c r="J11805" t="s">
        <v>17511</v>
      </c>
    </row>
    <row r="11806" spans="1:10" hidden="1" x14ac:dyDescent="0.25">
      <c r="A11806" t="s">
        <v>15602</v>
      </c>
      <c r="B11806" s="1" t="str">
        <f>HYPERLINK("https://asmlis.vasa.lt/Dashboard/Served?ServiceDateFrom=2025-11-24&amp;ServiceDateTo=2025-11-24&amp;DumpsterInvNr=13-P-212980", "13-P-212980")</f>
        <v>13-P-212980</v>
      </c>
      <c r="C11806">
        <v>1.1000000000000001</v>
      </c>
      <c r="D11806" t="s">
        <v>15603</v>
      </c>
      <c r="E11806" t="s">
        <v>11</v>
      </c>
      <c r="G11806" t="s">
        <v>234</v>
      </c>
      <c r="H11806" t="s">
        <v>14</v>
      </c>
    </row>
    <row r="11807" spans="1:10" hidden="1" x14ac:dyDescent="0.25">
      <c r="A11807" t="s">
        <v>15604</v>
      </c>
      <c r="B11807" s="1" t="str">
        <f>HYPERLINK("https://asmlis.vasa.lt/Dashboard/Served?ServiceDateFrom=2025-11-24&amp;ServiceDateTo=2025-11-24&amp;DumpsterInvNr=13-L-214920", "13-L-214920")</f>
        <v>13-L-214920</v>
      </c>
      <c r="C11807">
        <v>0.12</v>
      </c>
      <c r="D11807" t="s">
        <v>15530</v>
      </c>
      <c r="E11807" t="s">
        <v>11</v>
      </c>
      <c r="G11807" t="s">
        <v>936</v>
      </c>
      <c r="H11807" t="s">
        <v>938</v>
      </c>
    </row>
    <row r="11808" spans="1:10" hidden="1" x14ac:dyDescent="0.25">
      <c r="A11808" t="s">
        <v>15604</v>
      </c>
      <c r="B11808" s="1" t="str">
        <f>HYPERLINK("https://asmlis.vasa.lt/Dashboard/Served?ServiceDateFrom=2025-11-24&amp;ServiceDateTo=2025-11-24&amp;DumpsterInvNr=13-L-420905", "13-L-420905")</f>
        <v>13-L-420905</v>
      </c>
      <c r="C11808">
        <v>5</v>
      </c>
      <c r="D11808" t="s">
        <v>7591</v>
      </c>
      <c r="E11808" t="s">
        <v>11</v>
      </c>
      <c r="G11808" t="s">
        <v>74</v>
      </c>
      <c r="H11808" t="s">
        <v>14</v>
      </c>
    </row>
    <row r="11809" spans="1:10" hidden="1" x14ac:dyDescent="0.25">
      <c r="A11809" t="s">
        <v>15604</v>
      </c>
      <c r="B11809" s="1" t="str">
        <f>HYPERLINK("https://asmlis.vasa.lt/Dashboard/Served?ServiceDateFrom=2025-11-24&amp;ServiceDateTo=2025-11-24&amp;DumpsterInvNr=13-L-110934", "13-L-110934")</f>
        <v>13-L-110934</v>
      </c>
      <c r="C11809">
        <v>0.24</v>
      </c>
      <c r="D11809" t="s">
        <v>15605</v>
      </c>
      <c r="E11809" t="s">
        <v>11</v>
      </c>
      <c r="G11809" t="s">
        <v>430</v>
      </c>
      <c r="H11809" t="s">
        <v>432</v>
      </c>
    </row>
    <row r="11810" spans="1:10" hidden="1" x14ac:dyDescent="0.25">
      <c r="A11810" t="s">
        <v>15604</v>
      </c>
      <c r="B11810" s="1" t="str">
        <f>HYPERLINK("https://asmlis.vasa.lt/Dashboard/Served?ServiceDateFrom=2025-11-24&amp;ServiceDateTo=2025-11-24&amp;DumpsterInvNr=13-P-502742", "13-P-502742")</f>
        <v>13-P-502742</v>
      </c>
      <c r="C11810">
        <v>0.24</v>
      </c>
      <c r="D11810" t="s">
        <v>15606</v>
      </c>
      <c r="E11810" t="s">
        <v>11</v>
      </c>
      <c r="G11810" t="s">
        <v>2178</v>
      </c>
      <c r="H11810" t="s">
        <v>432</v>
      </c>
    </row>
    <row r="11811" spans="1:10" hidden="1" x14ac:dyDescent="0.25">
      <c r="A11811" t="s">
        <v>15304</v>
      </c>
      <c r="B11811" s="1" t="str">
        <f>HYPERLINK("https://asmlis.vasa.lt/Dashboard/Served?ServiceDateFrom=2025-11-24&amp;ServiceDateTo=2025-11-24&amp;DumpsterInvNr=13-L-148451", "13-L-148451")</f>
        <v>13-L-148451</v>
      </c>
      <c r="C11811">
        <v>1.1000000000000001</v>
      </c>
      <c r="D11811" t="s">
        <v>15607</v>
      </c>
      <c r="E11811" t="s">
        <v>11</v>
      </c>
      <c r="G11811" t="s">
        <v>1912</v>
      </c>
      <c r="H11811" t="s">
        <v>432</v>
      </c>
    </row>
    <row r="11812" spans="1:10" x14ac:dyDescent="0.25">
      <c r="A11812" t="s">
        <v>15315</v>
      </c>
      <c r="B11812" s="1" t="str">
        <f>HYPERLINK("https://asmlis.vasa.lt/Dashboard/Served?ServiceDateFrom=2025-11-24&amp;ServiceDateTo=2025-11-24&amp;DumpsterInvNr=13-L-120411", "13-L-120411")</f>
        <v>13-L-120411</v>
      </c>
      <c r="C11812">
        <v>0.12</v>
      </c>
      <c r="D11812" t="s">
        <v>15587</v>
      </c>
      <c r="E11812" t="s">
        <v>11</v>
      </c>
      <c r="F11812" t="s">
        <v>2556</v>
      </c>
      <c r="G11812" t="s">
        <v>1912</v>
      </c>
      <c r="H11812" t="s">
        <v>432</v>
      </c>
      <c r="J11812" t="s">
        <v>17511</v>
      </c>
    </row>
    <row r="11813" spans="1:10" hidden="1" x14ac:dyDescent="0.25">
      <c r="A11813" t="s">
        <v>15343</v>
      </c>
      <c r="B11813" s="1" t="str">
        <f>HYPERLINK("https://asmlis.vasa.lt/Dashboard/Served?ServiceDateFrom=2025-11-24&amp;ServiceDateTo=2025-11-24&amp;DumpsterInvNr=13-L-135704", "13-L-135704")</f>
        <v>13-L-135704</v>
      </c>
      <c r="C11813">
        <v>0.12</v>
      </c>
      <c r="D11813" t="s">
        <v>15606</v>
      </c>
      <c r="E11813" t="s">
        <v>11</v>
      </c>
      <c r="G11813" t="s">
        <v>430</v>
      </c>
      <c r="H11813" t="s">
        <v>432</v>
      </c>
    </row>
    <row r="11814" spans="1:10" x14ac:dyDescent="0.25">
      <c r="A11814" t="s">
        <v>15608</v>
      </c>
      <c r="B11814" s="1" t="str">
        <f>HYPERLINK("https://asmlis.vasa.lt/Dashboard/Served?ServiceDateFrom=2025-11-24&amp;ServiceDateTo=2025-11-24&amp;DumpsterInvNr=13-L-120414", "13-L-120414")</f>
        <v>13-L-120414</v>
      </c>
      <c r="C11814">
        <v>0.12</v>
      </c>
      <c r="D11814" t="s">
        <v>15609</v>
      </c>
      <c r="E11814" t="s">
        <v>11</v>
      </c>
      <c r="F11814" t="s">
        <v>2556</v>
      </c>
      <c r="G11814" t="s">
        <v>1912</v>
      </c>
      <c r="H11814" t="s">
        <v>432</v>
      </c>
      <c r="J11814" t="s">
        <v>17511</v>
      </c>
    </row>
    <row r="11815" spans="1:10" x14ac:dyDescent="0.25">
      <c r="A11815" t="s">
        <v>15610</v>
      </c>
      <c r="B11815" s="1" t="str">
        <f>HYPERLINK("https://asmlis.vasa.lt/Dashboard/Served?ServiceDateFrom=2025-11-24&amp;ServiceDateTo=2025-11-24&amp;DumpsterInvNr=13-P-103195", "13-P-103195")</f>
        <v>13-P-103195</v>
      </c>
      <c r="C11815">
        <v>0.24</v>
      </c>
      <c r="D11815" t="s">
        <v>15609</v>
      </c>
      <c r="E11815" t="s">
        <v>11</v>
      </c>
      <c r="F11815" t="s">
        <v>2556</v>
      </c>
      <c r="G11815" t="s">
        <v>1917</v>
      </c>
      <c r="H11815" t="s">
        <v>432</v>
      </c>
      <c r="J11815" t="s">
        <v>17511</v>
      </c>
    </row>
    <row r="11816" spans="1:10" x14ac:dyDescent="0.25">
      <c r="A11816" t="s">
        <v>15468</v>
      </c>
      <c r="B11816" s="1" t="str">
        <f>HYPERLINK("https://asmlis.vasa.lt/Dashboard/Served?ServiceDateFrom=2025-11-24&amp;ServiceDateTo=2025-11-24&amp;DumpsterInvNr=13-S-103022", "13-S-103022")</f>
        <v>13-S-103022</v>
      </c>
      <c r="C11816">
        <v>0.12</v>
      </c>
      <c r="D11816" t="s">
        <v>15609</v>
      </c>
      <c r="E11816" t="s">
        <v>11</v>
      </c>
      <c r="F11816" t="s">
        <v>2556</v>
      </c>
      <c r="G11816" t="s">
        <v>1917</v>
      </c>
      <c r="H11816" t="s">
        <v>432</v>
      </c>
      <c r="J11816" t="s">
        <v>17511</v>
      </c>
    </row>
    <row r="11817" spans="1:10" hidden="1" x14ac:dyDescent="0.25">
      <c r="A11817" t="s">
        <v>15468</v>
      </c>
      <c r="B11817" s="1" t="str">
        <f>HYPERLINK("https://asmlis.vasa.lt/Dashboard/Served?ServiceDateFrom=2025-11-24&amp;ServiceDateTo=2025-11-24&amp;DumpsterInvNr=13-P-502743", "13-P-502743")</f>
        <v>13-P-502743</v>
      </c>
      <c r="C11817">
        <v>0.24</v>
      </c>
      <c r="D11817" t="s">
        <v>15611</v>
      </c>
      <c r="E11817" t="s">
        <v>11</v>
      </c>
      <c r="G11817" t="s">
        <v>2178</v>
      </c>
      <c r="H11817" t="s">
        <v>432</v>
      </c>
    </row>
    <row r="11818" spans="1:10" hidden="1" x14ac:dyDescent="0.25">
      <c r="A11818" t="s">
        <v>15473</v>
      </c>
      <c r="B11818" s="1" t="str">
        <f>HYPERLINK("https://asmlis.vasa.lt/Dashboard/Served?ServiceDateFrom=2025-11-24&amp;ServiceDateTo=2025-11-24&amp;DumpsterInvNr=13-L-136018", "13-L-136018")</f>
        <v>13-L-136018</v>
      </c>
      <c r="C11818">
        <v>0.24</v>
      </c>
      <c r="D11818" t="s">
        <v>15611</v>
      </c>
      <c r="E11818" t="s">
        <v>11</v>
      </c>
      <c r="G11818" t="s">
        <v>430</v>
      </c>
      <c r="H11818" t="s">
        <v>432</v>
      </c>
    </row>
    <row r="11819" spans="1:10" hidden="1" x14ac:dyDescent="0.25">
      <c r="A11819" t="s">
        <v>15473</v>
      </c>
      <c r="B11819" s="1" t="str">
        <f>HYPERLINK("https://asmlis.vasa.lt/Dashboard/Served?ServiceDateFrom=2025-11-24&amp;ServiceDateTo=2025-11-24&amp;DumpsterInvNr=13-P-506936", "13-P-506936")</f>
        <v>13-P-506936</v>
      </c>
      <c r="C11819">
        <v>0.24</v>
      </c>
      <c r="D11819" t="s">
        <v>15605</v>
      </c>
      <c r="E11819" t="s">
        <v>11</v>
      </c>
      <c r="G11819" t="s">
        <v>2178</v>
      </c>
      <c r="H11819" t="s">
        <v>432</v>
      </c>
    </row>
    <row r="11820" spans="1:10" hidden="1" x14ac:dyDescent="0.25">
      <c r="A11820" t="s">
        <v>15506</v>
      </c>
      <c r="B11820" s="1" t="str">
        <f>HYPERLINK("https://asmlis.vasa.lt/Dashboard/Served?ServiceDateFrom=2025-11-24&amp;ServiceDateTo=2025-11-24&amp;DumpsterInvNr=13-L-317362", "13-L-317362")</f>
        <v>13-L-317362</v>
      </c>
      <c r="C11820">
        <v>1.1000000000000001</v>
      </c>
      <c r="D11820" t="s">
        <v>15599</v>
      </c>
      <c r="E11820" t="s">
        <v>11</v>
      </c>
      <c r="G11820" t="s">
        <v>9</v>
      </c>
      <c r="H11820" t="s">
        <v>14</v>
      </c>
    </row>
    <row r="11821" spans="1:10" hidden="1" x14ac:dyDescent="0.25">
      <c r="A11821" t="s">
        <v>15518</v>
      </c>
      <c r="B11821" s="1" t="str">
        <f>HYPERLINK("https://asmlis.vasa.lt/Dashboard/Served?ServiceDateFrom=2025-11-24&amp;ServiceDateTo=2025-11-24&amp;DumpsterInvNr=13-S-114358", "13-S-114358")</f>
        <v>13-S-114358</v>
      </c>
      <c r="C11821">
        <v>0.12</v>
      </c>
      <c r="D11821" t="s">
        <v>15402</v>
      </c>
      <c r="E11821" t="s">
        <v>11</v>
      </c>
      <c r="F11821" t="s">
        <v>1209</v>
      </c>
      <c r="G11821" t="s">
        <v>1917</v>
      </c>
      <c r="H11821" t="s">
        <v>432</v>
      </c>
    </row>
    <row r="11822" spans="1:10" hidden="1" x14ac:dyDescent="0.25">
      <c r="A11822" t="s">
        <v>15389</v>
      </c>
      <c r="B11822" s="1" t="str">
        <f>HYPERLINK("https://asmlis.vasa.lt/Dashboard/Served?ServiceDateFrom=2025-11-24&amp;ServiceDateTo=2025-11-24&amp;DumpsterInvNr=13-P-413728", "13-P-413728")</f>
        <v>13-P-413728</v>
      </c>
      <c r="C11822">
        <v>5</v>
      </c>
      <c r="D11822" t="s">
        <v>11798</v>
      </c>
      <c r="E11822" t="s">
        <v>11</v>
      </c>
      <c r="G11822" t="s">
        <v>264</v>
      </c>
      <c r="H11822" t="s">
        <v>14</v>
      </c>
    </row>
    <row r="11823" spans="1:10" hidden="1" x14ac:dyDescent="0.25">
      <c r="A11823" t="s">
        <v>15614</v>
      </c>
      <c r="B11823" s="1" t="str">
        <f>HYPERLINK("https://asmlis.vasa.lt/Dashboard/Served?ServiceDateFrom=2025-11-24&amp;ServiceDateTo=2025-11-24&amp;DumpsterInvNr=13-L-110933", "13-L-110933")</f>
        <v>13-L-110933</v>
      </c>
      <c r="C11823">
        <v>0.24</v>
      </c>
      <c r="D11823" t="s">
        <v>15594</v>
      </c>
      <c r="E11823" t="s">
        <v>11</v>
      </c>
      <c r="F11823" t="s">
        <v>1209</v>
      </c>
      <c r="G11823" t="s">
        <v>430</v>
      </c>
      <c r="H11823" t="s">
        <v>432</v>
      </c>
    </row>
    <row r="11824" spans="1:10" hidden="1" x14ac:dyDescent="0.25">
      <c r="A11824" t="s">
        <v>15615</v>
      </c>
      <c r="B11824" s="1" t="str">
        <f>HYPERLINK("https://asmlis.vasa.lt/Dashboard/Served?ServiceDateFrom=2025-11-24&amp;ServiceDateTo=2025-11-24&amp;DumpsterInvNr=13-L-220461", "13-L-220461")</f>
        <v>13-L-220461</v>
      </c>
      <c r="C11824">
        <v>0.77</v>
      </c>
      <c r="D11824" t="s">
        <v>15492</v>
      </c>
      <c r="E11824" t="s">
        <v>11</v>
      </c>
      <c r="G11824" t="s">
        <v>936</v>
      </c>
      <c r="H11824" t="s">
        <v>938</v>
      </c>
    </row>
    <row r="11825" spans="1:8" hidden="1" x14ac:dyDescent="0.25">
      <c r="A11825" t="s">
        <v>14873</v>
      </c>
      <c r="B11825" s="1" t="str">
        <f>HYPERLINK("https://asmlis.vasa.lt/Dashboard/Served?ServiceDateFrom=2025-11-24&amp;ServiceDateTo=2025-11-24&amp;DumpsterInvNr=13-L-420118", "13-L-420118")</f>
        <v>13-L-420118</v>
      </c>
      <c r="C11825">
        <v>5</v>
      </c>
      <c r="D11825" t="s">
        <v>15616</v>
      </c>
      <c r="E11825" t="s">
        <v>11</v>
      </c>
      <c r="F11825" t="s">
        <v>13</v>
      </c>
      <c r="G11825" t="s">
        <v>74</v>
      </c>
      <c r="H11825" t="s">
        <v>14</v>
      </c>
    </row>
    <row r="11826" spans="1:8" hidden="1" x14ac:dyDescent="0.25">
      <c r="A11826" t="s">
        <v>15617</v>
      </c>
      <c r="B11826" s="1" t="str">
        <f>HYPERLINK("https://asmlis.vasa.lt/Dashboard/Served?ServiceDateFrom=2025-11-24&amp;ServiceDateTo=2025-11-24&amp;DumpsterInvNr=13-L-215720", "13-L-215720")</f>
        <v>13-L-215720</v>
      </c>
      <c r="C11826">
        <v>1.1000000000000001</v>
      </c>
      <c r="D11826" t="s">
        <v>15492</v>
      </c>
      <c r="E11826" t="s">
        <v>11</v>
      </c>
      <c r="G11826" t="s">
        <v>936</v>
      </c>
      <c r="H11826" t="s">
        <v>938</v>
      </c>
    </row>
    <row r="11827" spans="1:8" hidden="1" x14ac:dyDescent="0.25">
      <c r="A11827" t="s">
        <v>15618</v>
      </c>
      <c r="B11827" s="1" t="str">
        <f>HYPERLINK("https://asmlis.vasa.lt/Dashboard/Served?ServiceDateFrom=2025-11-24&amp;ServiceDateTo=2025-11-24&amp;DumpsterInvNr=13-P-302332", "13-P-302332")</f>
        <v>13-P-302332</v>
      </c>
      <c r="C11827">
        <v>5</v>
      </c>
      <c r="D11827" t="s">
        <v>594</v>
      </c>
      <c r="E11827" t="s">
        <v>11</v>
      </c>
      <c r="F11827" t="s">
        <v>13</v>
      </c>
      <c r="G11827" t="s">
        <v>412</v>
      </c>
      <c r="H11827" t="s">
        <v>14</v>
      </c>
    </row>
    <row r="11828" spans="1:8" hidden="1" x14ac:dyDescent="0.25">
      <c r="A11828" t="s">
        <v>15619</v>
      </c>
      <c r="B11828" s="1" t="str">
        <f>HYPERLINK("https://asmlis.vasa.lt/Dashboard/Served?ServiceDateFrom=2025-11-24&amp;ServiceDateTo=2025-11-24&amp;DumpsterInvNr=13-P-302335", "13-P-302335")</f>
        <v>13-P-302335</v>
      </c>
      <c r="C11828">
        <v>1.3</v>
      </c>
      <c r="D11828" t="s">
        <v>594</v>
      </c>
      <c r="E11828" t="s">
        <v>11</v>
      </c>
      <c r="F11828" t="s">
        <v>13</v>
      </c>
      <c r="G11828" t="s">
        <v>412</v>
      </c>
      <c r="H11828" t="s">
        <v>14</v>
      </c>
    </row>
    <row r="11829" spans="1:8" hidden="1" x14ac:dyDescent="0.25">
      <c r="A11829" t="s">
        <v>14662</v>
      </c>
      <c r="B11829" s="1" t="str">
        <f>HYPERLINK("https://asmlis.vasa.lt/Dashboard/Served?ServiceDateFrom=2025-11-24&amp;ServiceDateTo=2025-11-24&amp;DumpsterInvNr=13-L-318803", "13-L-318803")</f>
        <v>13-L-318803</v>
      </c>
      <c r="C11829">
        <v>1.1000000000000001</v>
      </c>
      <c r="D11829" t="s">
        <v>15599</v>
      </c>
      <c r="E11829" t="s">
        <v>11</v>
      </c>
      <c r="G11829" t="s">
        <v>9</v>
      </c>
      <c r="H11829" t="s">
        <v>14</v>
      </c>
    </row>
    <row r="11830" spans="1:8" hidden="1" x14ac:dyDescent="0.25">
      <c r="A11830" t="s">
        <v>15620</v>
      </c>
      <c r="B11830" s="1" t="str">
        <f>HYPERLINK("https://asmlis.vasa.lt/Dashboard/Served?ServiceDateFrom=2025-11-24&amp;ServiceDateTo=2025-11-24&amp;DumpsterInvNr=13-L-423223", "13-L-423223")</f>
        <v>13-L-423223</v>
      </c>
      <c r="C11830">
        <v>5</v>
      </c>
      <c r="D11830" t="s">
        <v>7634</v>
      </c>
      <c r="E11830" t="s">
        <v>11</v>
      </c>
      <c r="F11830" t="s">
        <v>13</v>
      </c>
      <c r="G11830" t="s">
        <v>74</v>
      </c>
      <c r="H11830" t="s">
        <v>14</v>
      </c>
    </row>
    <row r="11831" spans="1:8" hidden="1" x14ac:dyDescent="0.25">
      <c r="A11831" t="s">
        <v>15621</v>
      </c>
      <c r="B11831" s="1" t="str">
        <f>HYPERLINK("https://asmlis.vasa.lt/Dashboard/Served?ServiceDateFrom=2025-11-24&amp;ServiceDateTo=2025-11-24&amp;DumpsterInvNr=13-P-204152", "13-P-204152")</f>
        <v>13-P-204152</v>
      </c>
      <c r="C11831">
        <v>0.24</v>
      </c>
      <c r="D11831" t="s">
        <v>15622</v>
      </c>
      <c r="E11831" t="s">
        <v>11</v>
      </c>
      <c r="G11831" t="s">
        <v>234</v>
      </c>
      <c r="H11831" t="s">
        <v>14</v>
      </c>
    </row>
    <row r="11832" spans="1:8" hidden="1" x14ac:dyDescent="0.25">
      <c r="A11832" t="s">
        <v>15623</v>
      </c>
      <c r="B11832" s="1" t="str">
        <f>HYPERLINK("https://asmlis.vasa.lt/Dashboard/Served?ServiceDateFrom=2025-11-24&amp;ServiceDateTo=2025-11-24&amp;DumpsterInvNr=13-P-500379", "13-P-500379")</f>
        <v>13-P-500379</v>
      </c>
      <c r="C11832">
        <v>5</v>
      </c>
      <c r="D11832" t="s">
        <v>4398</v>
      </c>
      <c r="E11832" t="s">
        <v>11</v>
      </c>
      <c r="F11832" t="s">
        <v>13</v>
      </c>
      <c r="G11832" t="s">
        <v>2178</v>
      </c>
      <c r="H11832" t="s">
        <v>432</v>
      </c>
    </row>
    <row r="11833" spans="1:8" hidden="1" x14ac:dyDescent="0.25">
      <c r="A11833" t="s">
        <v>15624</v>
      </c>
      <c r="B11833" s="1" t="str">
        <f>HYPERLINK("https://asmlis.vasa.lt/Dashboard/Served?ServiceDateFrom=2025-11-24&amp;ServiceDateTo=2025-11-24&amp;DumpsterInvNr=13-P-502741", "13-P-502741")</f>
        <v>13-P-502741</v>
      </c>
      <c r="C11833">
        <v>0.12</v>
      </c>
      <c r="D11833" t="s">
        <v>15625</v>
      </c>
      <c r="E11833" t="s">
        <v>11</v>
      </c>
      <c r="G11833" t="s">
        <v>2178</v>
      </c>
      <c r="H11833" t="s">
        <v>432</v>
      </c>
    </row>
    <row r="11834" spans="1:8" hidden="1" x14ac:dyDescent="0.25">
      <c r="A11834" t="s">
        <v>15626</v>
      </c>
      <c r="B11834" s="1" t="str">
        <f>HYPERLINK("https://asmlis.vasa.lt/Dashboard/Served?ServiceDateFrom=2025-11-24&amp;ServiceDateTo=2025-11-24&amp;DumpsterInvNr=13-P-500380", "13-P-500380")</f>
        <v>13-P-500380</v>
      </c>
      <c r="C11834">
        <v>5</v>
      </c>
      <c r="D11834" t="s">
        <v>11511</v>
      </c>
      <c r="E11834" t="s">
        <v>11</v>
      </c>
      <c r="F11834" t="s">
        <v>13</v>
      </c>
      <c r="G11834" t="s">
        <v>2178</v>
      </c>
      <c r="H11834" t="s">
        <v>432</v>
      </c>
    </row>
    <row r="11835" spans="1:8" hidden="1" x14ac:dyDescent="0.25">
      <c r="A11835" t="s">
        <v>15627</v>
      </c>
      <c r="B11835" s="1" t="str">
        <f>HYPERLINK("https://asmlis.vasa.lt/Dashboard/Served?ServiceDateFrom=2025-11-24&amp;ServiceDateTo=2025-11-24&amp;DumpsterInvNr=13-L-136740", "13-L-136740")</f>
        <v>13-L-136740</v>
      </c>
      <c r="C11835">
        <v>5</v>
      </c>
      <c r="D11835" t="s">
        <v>15628</v>
      </c>
      <c r="E11835" t="s">
        <v>11</v>
      </c>
      <c r="F11835" t="s">
        <v>13</v>
      </c>
      <c r="G11835" t="s">
        <v>430</v>
      </c>
      <c r="H11835" t="s">
        <v>432</v>
      </c>
    </row>
    <row r="11836" spans="1:8" hidden="1" x14ac:dyDescent="0.25">
      <c r="A11836" t="s">
        <v>15629</v>
      </c>
      <c r="B11836" s="1" t="str">
        <f>HYPERLINK("https://asmlis.vasa.lt/Dashboard/Served?ServiceDateFrom=2025-11-24&amp;ServiceDateTo=2025-11-24&amp;DumpsterInvNr=13-L-109832", "13-L-109832")</f>
        <v>13-L-109832</v>
      </c>
      <c r="C11836">
        <v>0.12</v>
      </c>
      <c r="D11836" t="s">
        <v>15625</v>
      </c>
      <c r="E11836" t="s">
        <v>11</v>
      </c>
      <c r="F11836" t="s">
        <v>1209</v>
      </c>
      <c r="G11836" t="s">
        <v>430</v>
      </c>
      <c r="H11836" t="s">
        <v>432</v>
      </c>
    </row>
    <row r="11837" spans="1:8" hidden="1" x14ac:dyDescent="0.25">
      <c r="A11837" t="s">
        <v>15630</v>
      </c>
      <c r="B11837" s="1" t="str">
        <f>HYPERLINK("https://asmlis.vasa.lt/Dashboard/Served?ServiceDateFrom=2025-11-24&amp;ServiceDateTo=2025-11-24&amp;DumpsterInvNr=13-L-319621", "13-L-319621")</f>
        <v>13-L-319621</v>
      </c>
      <c r="C11837">
        <v>1.1000000000000001</v>
      </c>
      <c r="D11837" t="s">
        <v>15631</v>
      </c>
      <c r="E11837" t="s">
        <v>11</v>
      </c>
      <c r="G11837" t="s">
        <v>9</v>
      </c>
      <c r="H11837" t="s">
        <v>14</v>
      </c>
    </row>
    <row r="11838" spans="1:8" hidden="1" x14ac:dyDescent="0.25">
      <c r="A11838" t="s">
        <v>15632</v>
      </c>
      <c r="B11838" s="1" t="str">
        <f>HYPERLINK("https://asmlis.vasa.lt/Dashboard/Served?ServiceDateFrom=2025-11-24&amp;ServiceDateTo=2025-11-24&amp;DumpsterInvNr=13-L-421565", "13-L-421565")</f>
        <v>13-L-421565</v>
      </c>
      <c r="C11838">
        <v>5</v>
      </c>
      <c r="D11838" t="s">
        <v>8311</v>
      </c>
      <c r="E11838" t="s">
        <v>11</v>
      </c>
      <c r="F11838" t="s">
        <v>13</v>
      </c>
      <c r="G11838" t="s">
        <v>74</v>
      </c>
      <c r="H11838" t="s">
        <v>14</v>
      </c>
    </row>
    <row r="11839" spans="1:8" hidden="1" x14ac:dyDescent="0.25">
      <c r="A11839" t="s">
        <v>15632</v>
      </c>
      <c r="B11839" s="1" t="str">
        <f>HYPERLINK("https://asmlis.vasa.lt/Dashboard/Served?ServiceDateFrom=2025-11-24&amp;ServiceDateTo=2025-11-24&amp;DumpsterInvNr=13-L-216169", "13-L-216169")</f>
        <v>13-L-216169</v>
      </c>
      <c r="C11839">
        <v>0.24</v>
      </c>
      <c r="D11839" t="s">
        <v>15483</v>
      </c>
      <c r="E11839" t="s">
        <v>11</v>
      </c>
      <c r="G11839" t="s">
        <v>936</v>
      </c>
      <c r="H11839" t="s">
        <v>938</v>
      </c>
    </row>
    <row r="11840" spans="1:8" hidden="1" x14ac:dyDescent="0.25">
      <c r="A11840" t="s">
        <v>15633</v>
      </c>
      <c r="B11840" s="1" t="str">
        <f>HYPERLINK("https://asmlis.vasa.lt/Dashboard/Served?ServiceDateFrom=2025-11-24&amp;ServiceDateTo=2025-11-24&amp;DumpsterInvNr=13-L-425329", "13-L-425329")</f>
        <v>13-L-425329</v>
      </c>
      <c r="C11840">
        <v>5</v>
      </c>
      <c r="D11840" t="s">
        <v>8311</v>
      </c>
      <c r="E11840" t="s">
        <v>11</v>
      </c>
      <c r="F11840" t="s">
        <v>13</v>
      </c>
      <c r="G11840" t="s">
        <v>74</v>
      </c>
      <c r="H11840" t="s">
        <v>14</v>
      </c>
    </row>
    <row r="11841" spans="1:8" hidden="1" x14ac:dyDescent="0.25">
      <c r="A11841" t="s">
        <v>15634</v>
      </c>
      <c r="B11841" s="1" t="str">
        <f>HYPERLINK("https://asmlis.vasa.lt/Dashboard/Served?ServiceDateFrom=2025-11-24&amp;ServiceDateTo=2025-11-24&amp;DumpsterInvNr=13-L-139023", "13-L-139023")</f>
        <v>13-L-139023</v>
      </c>
      <c r="C11841">
        <v>5</v>
      </c>
      <c r="D11841" t="s">
        <v>14404</v>
      </c>
      <c r="E11841" t="s">
        <v>11</v>
      </c>
      <c r="F11841" t="s">
        <v>13</v>
      </c>
      <c r="G11841" t="s">
        <v>1912</v>
      </c>
      <c r="H11841" t="s">
        <v>432</v>
      </c>
    </row>
    <row r="11842" spans="1:8" hidden="1" x14ac:dyDescent="0.25">
      <c r="A11842" t="s">
        <v>15635</v>
      </c>
      <c r="B11842" s="1" t="str">
        <f>HYPERLINK("https://asmlis.vasa.lt/Dashboard/Served?ServiceDateFrom=2025-11-24&amp;ServiceDateTo=2025-11-24&amp;DumpsterInvNr=13-P-206410", "13-P-206410")</f>
        <v>13-P-206410</v>
      </c>
      <c r="C11842">
        <v>0.24</v>
      </c>
      <c r="D11842" t="s">
        <v>15533</v>
      </c>
      <c r="E11842" t="s">
        <v>11</v>
      </c>
      <c r="G11842" t="s">
        <v>234</v>
      </c>
      <c r="H11842" t="s">
        <v>14</v>
      </c>
    </row>
    <row r="11843" spans="1:8" hidden="1" x14ac:dyDescent="0.25">
      <c r="A11843" t="s">
        <v>15636</v>
      </c>
      <c r="B11843" s="1" t="str">
        <f>HYPERLINK("https://asmlis.vasa.lt/Dashboard/Served?ServiceDateFrom=2025-11-24&amp;ServiceDateTo=2025-11-24&amp;DumpsterInvNr=13-L-224645", "13-L-224645")</f>
        <v>13-L-224645</v>
      </c>
      <c r="C11843">
        <v>0.12</v>
      </c>
      <c r="D11843" t="s">
        <v>13015</v>
      </c>
      <c r="E11843" t="s">
        <v>11</v>
      </c>
      <c r="G11843" t="s">
        <v>936</v>
      </c>
      <c r="H11843" t="s">
        <v>938</v>
      </c>
    </row>
    <row r="11844" spans="1:8" hidden="1" x14ac:dyDescent="0.25">
      <c r="A11844" t="s">
        <v>15637</v>
      </c>
      <c r="B11844" s="1" t="str">
        <f>HYPERLINK("https://asmlis.vasa.lt/Dashboard/Served?ServiceDateFrom=2025-11-24&amp;ServiceDateTo=2025-11-24&amp;DumpsterInvNr=13-L-315345", "13-L-315345")</f>
        <v>13-L-315345</v>
      </c>
      <c r="C11844">
        <v>1.1000000000000001</v>
      </c>
      <c r="D11844" t="s">
        <v>15494</v>
      </c>
      <c r="E11844" t="s">
        <v>11</v>
      </c>
      <c r="F11844" t="s">
        <v>13</v>
      </c>
      <c r="G11844" t="s">
        <v>9</v>
      </c>
      <c r="H11844" t="s">
        <v>14</v>
      </c>
    </row>
    <row r="11845" spans="1:8" hidden="1" x14ac:dyDescent="0.25">
      <c r="A11845" t="s">
        <v>15114</v>
      </c>
      <c r="B11845" s="1" t="str">
        <f>HYPERLINK("https://asmlis.vasa.lt/Dashboard/Served?ServiceDateFrom=2025-11-24&amp;ServiceDateTo=2025-11-24&amp;DumpsterInvNr=13-L-316044", "13-L-316044")</f>
        <v>13-L-316044</v>
      </c>
      <c r="C11845">
        <v>1.1000000000000001</v>
      </c>
      <c r="D11845" t="s">
        <v>15494</v>
      </c>
      <c r="E11845" t="s">
        <v>11</v>
      </c>
      <c r="F11845" t="s">
        <v>13</v>
      </c>
      <c r="G11845" t="s">
        <v>9</v>
      </c>
      <c r="H11845" t="s">
        <v>14</v>
      </c>
    </row>
    <row r="11846" spans="1:8" hidden="1" x14ac:dyDescent="0.25">
      <c r="A11846" t="s">
        <v>15638</v>
      </c>
      <c r="B11846" s="1" t="str">
        <f>HYPERLINK("https://asmlis.vasa.lt/Dashboard/Served?ServiceDateFrom=2025-11-24&amp;ServiceDateTo=2025-11-24&amp;DumpsterInvNr=13-L-316750", "13-L-316750")</f>
        <v>13-L-316750</v>
      </c>
      <c r="C11846">
        <v>1.1000000000000001</v>
      </c>
      <c r="D11846" t="s">
        <v>15631</v>
      </c>
      <c r="E11846" t="s">
        <v>11</v>
      </c>
      <c r="G11846" t="s">
        <v>9</v>
      </c>
      <c r="H11846" t="s">
        <v>14</v>
      </c>
    </row>
    <row r="11847" spans="1:8" hidden="1" x14ac:dyDescent="0.25">
      <c r="A11847" t="s">
        <v>15115</v>
      </c>
      <c r="B11847" s="1" t="str">
        <f>HYPERLINK("https://asmlis.vasa.lt/Dashboard/Served?ServiceDateFrom=2025-11-24&amp;ServiceDateTo=2025-11-24&amp;DumpsterInvNr=13-L-315376", "13-L-315376")</f>
        <v>13-L-315376</v>
      </c>
      <c r="C11847">
        <v>1.1000000000000001</v>
      </c>
      <c r="D11847" t="s">
        <v>15599</v>
      </c>
      <c r="E11847" t="s">
        <v>11</v>
      </c>
      <c r="G11847" t="s">
        <v>9</v>
      </c>
      <c r="H11847" t="s">
        <v>14</v>
      </c>
    </row>
    <row r="11848" spans="1:8" hidden="1" x14ac:dyDescent="0.25">
      <c r="A11848" t="s">
        <v>15189</v>
      </c>
      <c r="B11848" s="1" t="str">
        <f>HYPERLINK("https://asmlis.vasa.lt/Dashboard/Served?ServiceDateFrom=2025-11-24&amp;ServiceDateTo=2025-11-24&amp;DumpsterInvNr=13-L-134186", "13-L-134186")</f>
        <v>13-L-134186</v>
      </c>
      <c r="C11848">
        <v>0.24</v>
      </c>
      <c r="D11848" t="s">
        <v>15639</v>
      </c>
      <c r="E11848" t="s">
        <v>11</v>
      </c>
      <c r="G11848" t="s">
        <v>1912</v>
      </c>
      <c r="H11848" t="s">
        <v>432</v>
      </c>
    </row>
    <row r="11849" spans="1:8" hidden="1" x14ac:dyDescent="0.25">
      <c r="A11849" t="s">
        <v>15189</v>
      </c>
      <c r="B11849" s="1" t="str">
        <f>HYPERLINK("https://asmlis.vasa.lt/Dashboard/Served?ServiceDateFrom=2025-11-24&amp;ServiceDateTo=2025-11-24&amp;DumpsterInvNr=13-L-115057", "13-L-115057")</f>
        <v>13-L-115057</v>
      </c>
      <c r="C11849">
        <v>0.24</v>
      </c>
      <c r="D11849" t="s">
        <v>15641</v>
      </c>
      <c r="E11849" t="s">
        <v>11</v>
      </c>
      <c r="G11849" t="s">
        <v>1912</v>
      </c>
      <c r="H11849" t="s">
        <v>432</v>
      </c>
    </row>
    <row r="11850" spans="1:8" hidden="1" x14ac:dyDescent="0.25">
      <c r="A11850" t="s">
        <v>15189</v>
      </c>
      <c r="B11850" s="1" t="str">
        <f>HYPERLINK("https://asmlis.vasa.lt/Dashboard/Served?ServiceDateFrom=2025-11-24&amp;ServiceDateTo=2025-11-24&amp;DumpsterInvNr=13-L-115050", "13-L-115050")</f>
        <v>13-L-115050</v>
      </c>
      <c r="C11850">
        <v>0.24</v>
      </c>
      <c r="D11850" t="s">
        <v>15642</v>
      </c>
      <c r="E11850" t="s">
        <v>11</v>
      </c>
      <c r="G11850" t="s">
        <v>1912</v>
      </c>
      <c r="H11850" t="s">
        <v>432</v>
      </c>
    </row>
    <row r="11851" spans="1:8" hidden="1" x14ac:dyDescent="0.25">
      <c r="A11851" t="s">
        <v>15189</v>
      </c>
      <c r="B11851" s="1" t="str">
        <f>HYPERLINK("https://asmlis.vasa.lt/Dashboard/Served?ServiceDateFrom=2025-11-24&amp;ServiceDateTo=2025-11-24&amp;DumpsterInvNr=13-L-140910", "13-L-140910")</f>
        <v>13-L-140910</v>
      </c>
      <c r="C11851">
        <v>0.24</v>
      </c>
      <c r="D11851" t="s">
        <v>15644</v>
      </c>
      <c r="E11851" t="s">
        <v>11</v>
      </c>
      <c r="G11851" t="s">
        <v>1912</v>
      </c>
      <c r="H11851" t="s">
        <v>432</v>
      </c>
    </row>
    <row r="11852" spans="1:8" hidden="1" x14ac:dyDescent="0.25">
      <c r="A11852" t="s">
        <v>15189</v>
      </c>
      <c r="B11852" s="1" t="str">
        <f>HYPERLINK("https://asmlis.vasa.lt/Dashboard/Served?ServiceDateFrom=2025-11-24&amp;ServiceDateTo=2025-11-24&amp;DumpsterInvNr=13-L-137331", "13-L-137331")</f>
        <v>13-L-137331</v>
      </c>
      <c r="C11852">
        <v>0.24</v>
      </c>
      <c r="D11852" t="s">
        <v>15645</v>
      </c>
      <c r="E11852" t="s">
        <v>11</v>
      </c>
      <c r="G11852" t="s">
        <v>1912</v>
      </c>
      <c r="H11852" t="s">
        <v>432</v>
      </c>
    </row>
    <row r="11853" spans="1:8" hidden="1" x14ac:dyDescent="0.25">
      <c r="A11853" t="s">
        <v>15189</v>
      </c>
      <c r="B11853" s="1" t="str">
        <f>HYPERLINK("https://asmlis.vasa.lt/Dashboard/Served?ServiceDateFrom=2025-11-24&amp;ServiceDateTo=2025-11-24&amp;DumpsterInvNr=13-P-101206", "13-P-101206")</f>
        <v>13-P-101206</v>
      </c>
      <c r="C11853">
        <v>0.12</v>
      </c>
      <c r="D11853" t="s">
        <v>15644</v>
      </c>
      <c r="E11853" t="s">
        <v>11</v>
      </c>
      <c r="F11853" t="s">
        <v>1209</v>
      </c>
      <c r="G11853" t="s">
        <v>1917</v>
      </c>
      <c r="H11853" t="s">
        <v>432</v>
      </c>
    </row>
    <row r="11854" spans="1:8" hidden="1" x14ac:dyDescent="0.25">
      <c r="A11854" t="s">
        <v>15189</v>
      </c>
      <c r="B11854" s="1" t="str">
        <f>HYPERLINK("https://asmlis.vasa.lt/Dashboard/Served?ServiceDateFrom=2025-11-24&amp;ServiceDateTo=2025-11-24&amp;DumpsterInvNr=13-P-103543", "13-P-103543")</f>
        <v>13-P-103543</v>
      </c>
      <c r="C11854">
        <v>0.24</v>
      </c>
      <c r="D11854" t="s">
        <v>15641</v>
      </c>
      <c r="E11854" t="s">
        <v>11</v>
      </c>
      <c r="G11854" t="s">
        <v>1917</v>
      </c>
      <c r="H11854" t="s">
        <v>432</v>
      </c>
    </row>
    <row r="11855" spans="1:8" hidden="1" x14ac:dyDescent="0.25">
      <c r="A11855" t="s">
        <v>15189</v>
      </c>
      <c r="B11855" s="1" t="str">
        <f>HYPERLINK("https://asmlis.vasa.lt/Dashboard/Served?ServiceDateFrom=2025-11-24&amp;ServiceDateTo=2025-11-24&amp;DumpsterInvNr=13-P-103551", "13-P-103551")</f>
        <v>13-P-103551</v>
      </c>
      <c r="C11855">
        <v>0.24</v>
      </c>
      <c r="D11855" t="s">
        <v>15642</v>
      </c>
      <c r="E11855" t="s">
        <v>11</v>
      </c>
      <c r="G11855" t="s">
        <v>1917</v>
      </c>
      <c r="H11855" t="s">
        <v>432</v>
      </c>
    </row>
    <row r="11856" spans="1:8" hidden="1" x14ac:dyDescent="0.25">
      <c r="A11856" t="s">
        <v>15189</v>
      </c>
      <c r="B11856" s="1" t="str">
        <f>HYPERLINK("https://asmlis.vasa.lt/Dashboard/Served?ServiceDateFrom=2025-11-24&amp;ServiceDateTo=2025-11-24&amp;DumpsterInvNr=13-S-103043", "13-S-103043")</f>
        <v>13-S-103043</v>
      </c>
      <c r="C11856">
        <v>0.12</v>
      </c>
      <c r="D11856" t="s">
        <v>15642</v>
      </c>
      <c r="E11856" t="s">
        <v>11</v>
      </c>
      <c r="F11856" t="s">
        <v>1209</v>
      </c>
      <c r="G11856" t="s">
        <v>1917</v>
      </c>
      <c r="H11856" t="s">
        <v>432</v>
      </c>
    </row>
    <row r="11857" spans="1:8" hidden="1" x14ac:dyDescent="0.25">
      <c r="A11857" t="s">
        <v>15189</v>
      </c>
      <c r="B11857" s="1" t="str">
        <f>HYPERLINK("https://asmlis.vasa.lt/Dashboard/Served?ServiceDateFrom=2025-11-24&amp;ServiceDateTo=2025-11-24&amp;DumpsterInvNr=13-P-103540", "13-P-103540")</f>
        <v>13-P-103540</v>
      </c>
      <c r="C11857">
        <v>0.24</v>
      </c>
      <c r="D11857" t="s">
        <v>15639</v>
      </c>
      <c r="E11857" t="s">
        <v>11</v>
      </c>
      <c r="G11857" t="s">
        <v>1917</v>
      </c>
      <c r="H11857" t="s">
        <v>432</v>
      </c>
    </row>
    <row r="11858" spans="1:8" hidden="1" x14ac:dyDescent="0.25">
      <c r="A11858" t="s">
        <v>15189</v>
      </c>
      <c r="B11858" s="1" t="str">
        <f>HYPERLINK("https://asmlis.vasa.lt/Dashboard/Served?ServiceDateFrom=2025-11-24&amp;ServiceDateTo=2025-11-24&amp;DumpsterInvNr=13-S-103048", "13-S-103048")</f>
        <v>13-S-103048</v>
      </c>
      <c r="C11858">
        <v>0.12</v>
      </c>
      <c r="D11858" t="s">
        <v>15639</v>
      </c>
      <c r="E11858" t="s">
        <v>11</v>
      </c>
      <c r="F11858" t="s">
        <v>1209</v>
      </c>
      <c r="G11858" t="s">
        <v>1917</v>
      </c>
      <c r="H11858" t="s">
        <v>432</v>
      </c>
    </row>
    <row r="11859" spans="1:8" hidden="1" x14ac:dyDescent="0.25">
      <c r="A11859" t="s">
        <v>15189</v>
      </c>
      <c r="B11859" s="1" t="str">
        <f>HYPERLINK("https://asmlis.vasa.lt/Dashboard/Served?ServiceDateFrom=2025-11-24&amp;ServiceDateTo=2025-11-24&amp;DumpsterInvNr=13-P-113389", "13-P-113389")</f>
        <v>13-P-113389</v>
      </c>
      <c r="C11859">
        <v>0.24</v>
      </c>
      <c r="D11859" t="s">
        <v>15645</v>
      </c>
      <c r="E11859" t="s">
        <v>11</v>
      </c>
      <c r="G11859" t="s">
        <v>1917</v>
      </c>
      <c r="H11859" t="s">
        <v>432</v>
      </c>
    </row>
    <row r="11860" spans="1:8" hidden="1" x14ac:dyDescent="0.25">
      <c r="A11860" t="s">
        <v>15189</v>
      </c>
      <c r="B11860" s="1" t="str">
        <f>HYPERLINK("https://asmlis.vasa.lt/Dashboard/Served?ServiceDateFrom=2025-11-24&amp;ServiceDateTo=2025-11-24&amp;DumpsterInvNr=13-L-149665", "13-L-149665")</f>
        <v>13-L-149665</v>
      </c>
      <c r="C11860">
        <v>0.24</v>
      </c>
      <c r="D11860" t="s">
        <v>15646</v>
      </c>
      <c r="E11860" t="s">
        <v>11</v>
      </c>
      <c r="G11860" t="s">
        <v>1912</v>
      </c>
      <c r="H11860" t="s">
        <v>432</v>
      </c>
    </row>
    <row r="11861" spans="1:8" hidden="1" x14ac:dyDescent="0.25">
      <c r="A11861" t="s">
        <v>15189</v>
      </c>
      <c r="B11861" s="1" t="str">
        <f>HYPERLINK("https://asmlis.vasa.lt/Dashboard/Served?ServiceDateFrom=2025-11-24&amp;ServiceDateTo=2025-11-24&amp;DumpsterInvNr=13-P-116073", "13-P-116073")</f>
        <v>13-P-116073</v>
      </c>
      <c r="C11861">
        <v>0.24</v>
      </c>
      <c r="D11861" t="s">
        <v>15646</v>
      </c>
      <c r="E11861" t="s">
        <v>11</v>
      </c>
      <c r="G11861" t="s">
        <v>1917</v>
      </c>
      <c r="H11861" t="s">
        <v>432</v>
      </c>
    </row>
    <row r="11862" spans="1:8" hidden="1" x14ac:dyDescent="0.25">
      <c r="A11862" t="s">
        <v>15189</v>
      </c>
      <c r="B11862" s="1" t="str">
        <f>HYPERLINK("https://asmlis.vasa.lt/Dashboard/Served?ServiceDateFrom=2025-11-24&amp;ServiceDateTo=2025-11-24&amp;DumpsterInvNr=13-S-115114", "13-S-115114")</f>
        <v>13-S-115114</v>
      </c>
      <c r="C11862">
        <v>0.12</v>
      </c>
      <c r="D11862" t="s">
        <v>15646</v>
      </c>
      <c r="E11862" t="s">
        <v>11</v>
      </c>
      <c r="F11862" t="s">
        <v>1209</v>
      </c>
      <c r="G11862" t="s">
        <v>1917</v>
      </c>
      <c r="H11862" t="s">
        <v>432</v>
      </c>
    </row>
    <row r="11863" spans="1:8" hidden="1" x14ac:dyDescent="0.25">
      <c r="A11863" t="s">
        <v>15648</v>
      </c>
      <c r="B11863" s="1" t="str">
        <f>HYPERLINK("https://asmlis.vasa.lt/Dashboard/Served?ServiceDateFrom=2025-11-24&amp;ServiceDateTo=2025-11-24&amp;DumpsterInvNr=13-L-147466", "13-L-147466")</f>
        <v>13-L-147466</v>
      </c>
      <c r="C11863">
        <v>5</v>
      </c>
      <c r="D11863" t="s">
        <v>15649</v>
      </c>
      <c r="E11863" t="s">
        <v>11</v>
      </c>
      <c r="F11863" t="s">
        <v>13</v>
      </c>
      <c r="G11863" t="s">
        <v>430</v>
      </c>
      <c r="H11863" t="s">
        <v>432</v>
      </c>
    </row>
    <row r="11864" spans="1:8" hidden="1" x14ac:dyDescent="0.25">
      <c r="A11864" t="s">
        <v>15196</v>
      </c>
      <c r="B11864" s="1" t="str">
        <f>HYPERLINK("https://asmlis.vasa.lt/Dashboard/Served?ServiceDateFrom=2025-11-24&amp;ServiceDateTo=2025-11-24&amp;DumpsterInvNr=13-L-146540", "13-L-146540")</f>
        <v>13-L-146540</v>
      </c>
      <c r="C11864">
        <v>1.1000000000000001</v>
      </c>
      <c r="D11864" t="s">
        <v>15650</v>
      </c>
      <c r="E11864" t="s">
        <v>11</v>
      </c>
      <c r="G11864" t="s">
        <v>1912</v>
      </c>
      <c r="H11864" t="s">
        <v>432</v>
      </c>
    </row>
    <row r="11865" spans="1:8" hidden="1" x14ac:dyDescent="0.25">
      <c r="A11865" t="s">
        <v>15651</v>
      </c>
      <c r="B11865" s="1" t="str">
        <f>HYPERLINK("https://asmlis.vasa.lt/Dashboard/Served?ServiceDateFrom=2025-11-24&amp;ServiceDateTo=2025-11-24&amp;DumpsterInvNr=13-L-317746", "13-L-317746")</f>
        <v>13-L-317746</v>
      </c>
      <c r="C11865">
        <v>1.1000000000000001</v>
      </c>
      <c r="D11865" t="s">
        <v>15652</v>
      </c>
      <c r="E11865" t="s">
        <v>11</v>
      </c>
      <c r="G11865" t="s">
        <v>9</v>
      </c>
      <c r="H11865" t="s">
        <v>14</v>
      </c>
    </row>
    <row r="11866" spans="1:8" hidden="1" x14ac:dyDescent="0.25">
      <c r="A11866" t="s">
        <v>15651</v>
      </c>
      <c r="B11866" s="1" t="str">
        <f>HYPERLINK("https://asmlis.vasa.lt/Dashboard/Served?ServiceDateFrom=2025-11-24&amp;ServiceDateTo=2025-11-24&amp;DumpsterInvNr=13-L-222528", "13-L-222528")</f>
        <v>13-L-222528</v>
      </c>
      <c r="C11866">
        <v>0.12</v>
      </c>
      <c r="D11866" t="s">
        <v>15520</v>
      </c>
      <c r="E11866" t="s">
        <v>11</v>
      </c>
      <c r="G11866" t="s">
        <v>936</v>
      </c>
      <c r="H11866" t="s">
        <v>938</v>
      </c>
    </row>
    <row r="11867" spans="1:8" hidden="1" x14ac:dyDescent="0.25">
      <c r="A11867" t="s">
        <v>15651</v>
      </c>
      <c r="B11867" s="1" t="str">
        <f>HYPERLINK("https://asmlis.vasa.lt/Dashboard/Served?ServiceDateFrom=2025-11-24&amp;ServiceDateTo=2025-11-24&amp;DumpsterInvNr=13-L-422869", "13-L-422869")</f>
        <v>13-L-422869</v>
      </c>
      <c r="C11867">
        <v>1.1000000000000001</v>
      </c>
      <c r="D11867" t="s">
        <v>7696</v>
      </c>
      <c r="E11867" t="s">
        <v>11</v>
      </c>
      <c r="G11867" t="s">
        <v>74</v>
      </c>
      <c r="H11867" t="s">
        <v>14</v>
      </c>
    </row>
    <row r="11868" spans="1:8" hidden="1" x14ac:dyDescent="0.25">
      <c r="A11868" t="s">
        <v>15654</v>
      </c>
      <c r="B11868" s="1" t="str">
        <f>HYPERLINK("https://asmlis.vasa.lt/Dashboard/Served?ServiceDateFrom=2025-11-24&amp;ServiceDateTo=2025-11-24&amp;DumpsterInvNr=13-L-421186", "13-L-421186")</f>
        <v>13-L-421186</v>
      </c>
      <c r="C11868">
        <v>5</v>
      </c>
      <c r="D11868" t="s">
        <v>8259</v>
      </c>
      <c r="E11868" t="s">
        <v>11</v>
      </c>
      <c r="F11868" t="s">
        <v>13</v>
      </c>
      <c r="G11868" t="s">
        <v>74</v>
      </c>
      <c r="H11868" t="s">
        <v>14</v>
      </c>
    </row>
    <row r="11869" spans="1:8" hidden="1" x14ac:dyDescent="0.25">
      <c r="A11869" t="s">
        <v>15654</v>
      </c>
      <c r="B11869" s="1" t="str">
        <f>HYPERLINK("https://asmlis.vasa.lt/Dashboard/Served?ServiceDateFrom=2025-11-24&amp;ServiceDateTo=2025-11-24&amp;DumpsterInvNr=13-L-422870", "13-L-422870")</f>
        <v>13-L-422870</v>
      </c>
      <c r="C11869">
        <v>1.1000000000000001</v>
      </c>
      <c r="D11869" t="s">
        <v>7696</v>
      </c>
      <c r="E11869" t="s">
        <v>11</v>
      </c>
      <c r="G11869" t="s">
        <v>74</v>
      </c>
      <c r="H11869" t="s">
        <v>14</v>
      </c>
    </row>
    <row r="11870" spans="1:8" hidden="1" x14ac:dyDescent="0.25">
      <c r="A11870" t="s">
        <v>15655</v>
      </c>
      <c r="B11870" s="1" t="str">
        <f>HYPERLINK("https://asmlis.vasa.lt/Dashboard/Served?ServiceDateFrom=2025-11-24&amp;ServiceDateTo=2025-11-24&amp;DumpsterInvNr=13-P-302401", "13-P-302401")</f>
        <v>13-P-302401</v>
      </c>
      <c r="C11870">
        <v>3</v>
      </c>
      <c r="D11870" t="s">
        <v>15656</v>
      </c>
      <c r="E11870" t="s">
        <v>11</v>
      </c>
      <c r="G11870" t="s">
        <v>412</v>
      </c>
      <c r="H11870" t="s">
        <v>14</v>
      </c>
    </row>
    <row r="11871" spans="1:8" hidden="1" x14ac:dyDescent="0.25">
      <c r="A11871" t="s">
        <v>15657</v>
      </c>
      <c r="B11871" s="1" t="str">
        <f>HYPERLINK("https://asmlis.vasa.lt/Dashboard/Served?ServiceDateFrom=2025-11-24&amp;ServiceDateTo=2025-11-24&amp;DumpsterInvNr=13-L-203502", "13-L-203502")</f>
        <v>13-L-203502</v>
      </c>
      <c r="C11871">
        <v>0.24</v>
      </c>
      <c r="D11871" t="s">
        <v>15500</v>
      </c>
      <c r="E11871" t="s">
        <v>11</v>
      </c>
      <c r="F11871" t="s">
        <v>1209</v>
      </c>
      <c r="G11871" t="s">
        <v>936</v>
      </c>
      <c r="H11871" t="s">
        <v>938</v>
      </c>
    </row>
    <row r="11872" spans="1:8" hidden="1" x14ac:dyDescent="0.25">
      <c r="A11872" t="s">
        <v>15658</v>
      </c>
      <c r="B11872" s="1" t="str">
        <f>HYPERLINK("https://asmlis.vasa.lt/Dashboard/Served?ServiceDateFrom=2025-11-24&amp;ServiceDateTo=2025-11-24&amp;DumpsterInvNr=13-L-313723", "13-L-313723")</f>
        <v>13-L-313723</v>
      </c>
      <c r="C11872">
        <v>1.1000000000000001</v>
      </c>
      <c r="D11872" t="s">
        <v>15652</v>
      </c>
      <c r="E11872" t="s">
        <v>11</v>
      </c>
      <c r="G11872" t="s">
        <v>9</v>
      </c>
      <c r="H11872" t="s">
        <v>14</v>
      </c>
    </row>
    <row r="11873" spans="1:8" hidden="1" x14ac:dyDescent="0.25">
      <c r="A11873" t="s">
        <v>15659</v>
      </c>
      <c r="B11873" s="1" t="str">
        <f>HYPERLINK("https://asmlis.vasa.lt/Dashboard/Served?ServiceDateFrom=2025-11-24&amp;ServiceDateTo=2025-11-24&amp;DumpsterInvNr=13-P-204236", "13-P-204236")</f>
        <v>13-P-204236</v>
      </c>
      <c r="C11873">
        <v>0.24</v>
      </c>
      <c r="D11873" t="s">
        <v>15477</v>
      </c>
      <c r="E11873" t="s">
        <v>11</v>
      </c>
      <c r="G11873" t="s">
        <v>234</v>
      </c>
      <c r="H11873" t="s">
        <v>14</v>
      </c>
    </row>
    <row r="11874" spans="1:8" hidden="1" x14ac:dyDescent="0.25">
      <c r="A11874" t="s">
        <v>15659</v>
      </c>
      <c r="B11874" s="1" t="str">
        <f>HYPERLINK("https://asmlis.vasa.lt/Dashboard/Served?ServiceDateFrom=2025-11-24&amp;ServiceDateTo=2025-11-24&amp;DumpsterInvNr=13-S-204816", "13-S-204816")</f>
        <v>13-S-204816</v>
      </c>
      <c r="C11874">
        <v>0.12</v>
      </c>
      <c r="D11874" t="s">
        <v>15477</v>
      </c>
      <c r="E11874" t="s">
        <v>11</v>
      </c>
      <c r="G11874" t="s">
        <v>234</v>
      </c>
      <c r="H11874" t="s">
        <v>14</v>
      </c>
    </row>
    <row r="11875" spans="1:8" hidden="1" x14ac:dyDescent="0.25">
      <c r="A11875" t="s">
        <v>15660</v>
      </c>
      <c r="B11875" s="1" t="str">
        <f>HYPERLINK("https://asmlis.vasa.lt/Dashboard/Served?ServiceDateFrom=2025-11-24&amp;ServiceDateTo=2025-11-24&amp;DumpsterInvNr=13-P-413863", "13-P-413863")</f>
        <v>13-P-413863</v>
      </c>
      <c r="C11875">
        <v>5</v>
      </c>
      <c r="D11875" t="s">
        <v>11640</v>
      </c>
      <c r="E11875" t="s">
        <v>11</v>
      </c>
      <c r="G11875" t="s">
        <v>264</v>
      </c>
      <c r="H11875" t="s">
        <v>14</v>
      </c>
    </row>
    <row r="11876" spans="1:8" hidden="1" x14ac:dyDescent="0.25">
      <c r="A11876" t="s">
        <v>15661</v>
      </c>
      <c r="B11876" s="1" t="str">
        <f>HYPERLINK("https://asmlis.vasa.lt/Dashboard/Served?ServiceDateFrom=2025-11-24&amp;ServiceDateTo=2025-11-24&amp;DumpsterInvNr=13-S-103046", "13-S-103046")</f>
        <v>13-S-103046</v>
      </c>
      <c r="C11876">
        <v>0.12</v>
      </c>
      <c r="D11876" t="s">
        <v>15641</v>
      </c>
      <c r="E11876" t="s">
        <v>11</v>
      </c>
      <c r="F11876" t="s">
        <v>1209</v>
      </c>
      <c r="G11876" t="s">
        <v>1917</v>
      </c>
      <c r="H11876" t="s">
        <v>432</v>
      </c>
    </row>
    <row r="11877" spans="1:8" hidden="1" x14ac:dyDescent="0.25">
      <c r="A11877" t="s">
        <v>15662</v>
      </c>
      <c r="B11877" s="1" t="str">
        <f>HYPERLINK("https://asmlis.vasa.lt/Dashboard/Served?ServiceDateFrom=2025-11-24&amp;ServiceDateTo=2025-11-24&amp;DumpsterInvNr=13-L-209952", "13-L-209952")</f>
        <v>13-L-209952</v>
      </c>
      <c r="C11877">
        <v>0.24</v>
      </c>
      <c r="D11877" t="s">
        <v>15588</v>
      </c>
      <c r="E11877" t="s">
        <v>11</v>
      </c>
      <c r="F11877" t="s">
        <v>1209</v>
      </c>
      <c r="G11877" t="s">
        <v>936</v>
      </c>
      <c r="H11877" t="s">
        <v>938</v>
      </c>
    </row>
    <row r="11878" spans="1:8" hidden="1" x14ac:dyDescent="0.25">
      <c r="A11878" t="s">
        <v>15663</v>
      </c>
      <c r="B11878" s="1" t="str">
        <f>HYPERLINK("https://asmlis.vasa.lt/Dashboard/Served?ServiceDateFrom=2025-11-24&amp;ServiceDateTo=2025-11-24&amp;DumpsterInvNr=13-P-302385", "13-P-302385")</f>
        <v>13-P-302385</v>
      </c>
      <c r="C11878">
        <v>3</v>
      </c>
      <c r="D11878" t="s">
        <v>15656</v>
      </c>
      <c r="E11878" t="s">
        <v>11</v>
      </c>
      <c r="G11878" t="s">
        <v>412</v>
      </c>
      <c r="H11878" t="s">
        <v>14</v>
      </c>
    </row>
    <row r="11879" spans="1:8" hidden="1" x14ac:dyDescent="0.25">
      <c r="A11879" t="s">
        <v>15664</v>
      </c>
      <c r="B11879" s="1" t="str">
        <f>HYPERLINK("https://asmlis.vasa.lt/Dashboard/Served?ServiceDateFrom=2025-11-24&amp;ServiceDateTo=2025-11-24&amp;DumpsterInvNr=13-L-214925", "13-L-214925")</f>
        <v>13-L-214925</v>
      </c>
      <c r="C11879">
        <v>0.12</v>
      </c>
      <c r="D11879" t="s">
        <v>15580</v>
      </c>
      <c r="E11879" t="s">
        <v>11</v>
      </c>
      <c r="F11879" t="s">
        <v>1209</v>
      </c>
      <c r="G11879" t="s">
        <v>936</v>
      </c>
      <c r="H11879" t="s">
        <v>938</v>
      </c>
    </row>
    <row r="11880" spans="1:8" hidden="1" x14ac:dyDescent="0.25">
      <c r="A11880" t="s">
        <v>15665</v>
      </c>
      <c r="B11880" s="1" t="str">
        <f>HYPERLINK("https://asmlis.vasa.lt/Dashboard/Served?ServiceDateFrom=2025-11-24&amp;ServiceDateTo=2025-11-24&amp;DumpsterInvNr=13-L-139244", "13-L-139244")</f>
        <v>13-L-139244</v>
      </c>
      <c r="C11880">
        <v>5</v>
      </c>
      <c r="D11880" t="s">
        <v>15666</v>
      </c>
      <c r="E11880" t="s">
        <v>11</v>
      </c>
      <c r="F11880" t="s">
        <v>13</v>
      </c>
      <c r="G11880" t="s">
        <v>430</v>
      </c>
      <c r="H11880" t="s">
        <v>432</v>
      </c>
    </row>
    <row r="11881" spans="1:8" hidden="1" x14ac:dyDescent="0.25">
      <c r="A11881" t="s">
        <v>15667</v>
      </c>
      <c r="B11881" s="1" t="str">
        <f>HYPERLINK("https://asmlis.vasa.lt/Dashboard/Served?ServiceDateFrom=2025-11-24&amp;ServiceDateTo=2025-11-24&amp;DumpsterInvNr=13-L-220927", "13-L-220927")</f>
        <v>13-L-220927</v>
      </c>
      <c r="C11881">
        <v>1.1000000000000001</v>
      </c>
      <c r="D11881" t="s">
        <v>15492</v>
      </c>
      <c r="E11881" t="s">
        <v>11</v>
      </c>
      <c r="G11881" t="s">
        <v>936</v>
      </c>
      <c r="H11881" t="s">
        <v>938</v>
      </c>
    </row>
    <row r="11882" spans="1:8" hidden="1" x14ac:dyDescent="0.25">
      <c r="A11882" t="s">
        <v>15668</v>
      </c>
      <c r="B11882" s="1" t="str">
        <f>HYPERLINK("https://asmlis.vasa.lt/Dashboard/Served?ServiceDateFrom=2025-11-24&amp;ServiceDateTo=2025-11-24&amp;DumpsterInvNr=13-S-207811", "13-S-207811")</f>
        <v>13-S-207811</v>
      </c>
      <c r="C11882">
        <v>3</v>
      </c>
      <c r="D11882" t="s">
        <v>3789</v>
      </c>
      <c r="E11882" t="s">
        <v>11</v>
      </c>
      <c r="F11882" t="s">
        <v>13</v>
      </c>
      <c r="G11882" t="s">
        <v>234</v>
      </c>
      <c r="H11882" t="s">
        <v>14</v>
      </c>
    </row>
    <row r="11883" spans="1:8" hidden="1" x14ac:dyDescent="0.25">
      <c r="A11883" t="s">
        <v>15669</v>
      </c>
      <c r="B11883" s="1" t="str">
        <f>HYPERLINK("https://asmlis.vasa.lt/Dashboard/Served?ServiceDateFrom=2025-11-24&amp;ServiceDateTo=2025-11-24&amp;DumpsterInvNr=13-L-317745", "13-L-317745")</f>
        <v>13-L-317745</v>
      </c>
      <c r="C11883">
        <v>1.1000000000000001</v>
      </c>
      <c r="D11883" t="s">
        <v>15652</v>
      </c>
      <c r="E11883" t="s">
        <v>11</v>
      </c>
      <c r="G11883" t="s">
        <v>9</v>
      </c>
      <c r="H11883" t="s">
        <v>14</v>
      </c>
    </row>
    <row r="11884" spans="1:8" hidden="1" x14ac:dyDescent="0.25">
      <c r="A11884" t="s">
        <v>15670</v>
      </c>
      <c r="B11884" s="1" t="str">
        <f>HYPERLINK("https://asmlis.vasa.lt/Dashboard/Served?ServiceDateFrom=2025-11-24&amp;ServiceDateTo=2025-11-24&amp;DumpsterInvNr=13-L-147862", "13-L-147862")</f>
        <v>13-L-147862</v>
      </c>
      <c r="C11884">
        <v>0.24</v>
      </c>
      <c r="D11884" t="s">
        <v>15671</v>
      </c>
      <c r="E11884" t="s">
        <v>11</v>
      </c>
      <c r="G11884" t="s">
        <v>430</v>
      </c>
      <c r="H11884" t="s">
        <v>432</v>
      </c>
    </row>
    <row r="11885" spans="1:8" hidden="1" x14ac:dyDescent="0.25">
      <c r="A11885" t="s">
        <v>15673</v>
      </c>
      <c r="B11885" s="1" t="str">
        <f>HYPERLINK("https://asmlis.vasa.lt/Dashboard/Served?ServiceDateFrom=2025-11-24&amp;ServiceDateTo=2025-11-24&amp;DumpsterInvNr=13-P-502091", "13-P-502091")</f>
        <v>13-P-502091</v>
      </c>
      <c r="C11885">
        <v>0.24</v>
      </c>
      <c r="D11885" t="s">
        <v>15671</v>
      </c>
      <c r="E11885" t="s">
        <v>11</v>
      </c>
      <c r="G11885" t="s">
        <v>2178</v>
      </c>
      <c r="H11885" t="s">
        <v>432</v>
      </c>
    </row>
    <row r="11886" spans="1:8" hidden="1" x14ac:dyDescent="0.25">
      <c r="A11886" t="s">
        <v>15674</v>
      </c>
      <c r="B11886" s="1" t="str">
        <f>HYPERLINK("https://asmlis.vasa.lt/Dashboard/Served?ServiceDateFrom=2025-11-24&amp;ServiceDateTo=2025-11-24&amp;DumpsterInvNr=13-L-317747", "13-L-317747")</f>
        <v>13-L-317747</v>
      </c>
      <c r="C11886">
        <v>1.1000000000000001</v>
      </c>
      <c r="D11886" t="s">
        <v>15652</v>
      </c>
      <c r="E11886" t="s">
        <v>11</v>
      </c>
      <c r="G11886" t="s">
        <v>9</v>
      </c>
      <c r="H11886" t="s">
        <v>14</v>
      </c>
    </row>
    <row r="11887" spans="1:8" hidden="1" x14ac:dyDescent="0.25">
      <c r="A11887" t="s">
        <v>15675</v>
      </c>
      <c r="B11887" s="1" t="str">
        <f>HYPERLINK("https://asmlis.vasa.lt/Dashboard/Served?ServiceDateFrom=2025-11-24&amp;ServiceDateTo=2025-11-24&amp;DumpsterInvNr=13-L-225018", "13-L-225018")</f>
        <v>13-L-225018</v>
      </c>
      <c r="C11887">
        <v>1.1000000000000001</v>
      </c>
      <c r="D11887" t="s">
        <v>15676</v>
      </c>
      <c r="E11887" t="s">
        <v>11</v>
      </c>
      <c r="G11887" t="s">
        <v>936</v>
      </c>
      <c r="H11887" t="s">
        <v>938</v>
      </c>
    </row>
    <row r="11888" spans="1:8" hidden="1" x14ac:dyDescent="0.25">
      <c r="A11888" t="s">
        <v>15675</v>
      </c>
      <c r="B11888" s="1" t="str">
        <f>HYPERLINK("https://asmlis.vasa.lt/Dashboard/Served?ServiceDateFrom=2025-11-24&amp;ServiceDateTo=2025-11-24&amp;DumpsterInvNr=13-L-149080", "13-L-149080")</f>
        <v>13-L-149080</v>
      </c>
      <c r="C11888">
        <v>0.24</v>
      </c>
      <c r="D11888" t="s">
        <v>15677</v>
      </c>
      <c r="E11888" t="s">
        <v>11</v>
      </c>
      <c r="G11888" t="s">
        <v>430</v>
      </c>
      <c r="H11888" t="s">
        <v>432</v>
      </c>
    </row>
    <row r="11889" spans="1:10" hidden="1" x14ac:dyDescent="0.25">
      <c r="A11889" t="s">
        <v>15284</v>
      </c>
      <c r="B11889" s="1" t="str">
        <f>HYPERLINK("https://asmlis.vasa.lt/Dashboard/Served?ServiceDateFrom=2025-11-24&amp;ServiceDateTo=2025-11-24&amp;DumpsterInvNr=13-L-134667", "13-L-134667")</f>
        <v>13-L-134667</v>
      </c>
      <c r="C11889">
        <v>5</v>
      </c>
      <c r="D11889" t="s">
        <v>14459</v>
      </c>
      <c r="E11889" t="s">
        <v>11</v>
      </c>
      <c r="F11889" t="s">
        <v>13</v>
      </c>
      <c r="G11889" t="s">
        <v>1912</v>
      </c>
      <c r="H11889" t="s">
        <v>432</v>
      </c>
    </row>
    <row r="11890" spans="1:10" hidden="1" x14ac:dyDescent="0.25">
      <c r="A11890" t="s">
        <v>15679</v>
      </c>
      <c r="B11890" s="1" t="str">
        <f>HYPERLINK("https://asmlis.vasa.lt/Dashboard/Served?ServiceDateFrom=2025-11-24&amp;ServiceDateTo=2025-11-24&amp;DumpsterInvNr=13-L-104054", "13-L-104054")</f>
        <v>13-L-104054</v>
      </c>
      <c r="C11890">
        <v>0.24</v>
      </c>
      <c r="D11890" t="s">
        <v>15680</v>
      </c>
      <c r="E11890" t="s">
        <v>11</v>
      </c>
      <c r="G11890" t="s">
        <v>1912</v>
      </c>
      <c r="H11890" t="s">
        <v>432</v>
      </c>
    </row>
    <row r="11891" spans="1:10" hidden="1" x14ac:dyDescent="0.25">
      <c r="A11891" t="s">
        <v>15679</v>
      </c>
      <c r="B11891" s="1" t="str">
        <f>HYPERLINK("https://asmlis.vasa.lt/Dashboard/Served?ServiceDateFrom=2025-11-24&amp;ServiceDateTo=2025-11-24&amp;DumpsterInvNr=13-P-509632", "13-P-509632")</f>
        <v>13-P-509632</v>
      </c>
      <c r="C11891">
        <v>0.24</v>
      </c>
      <c r="D11891" t="s">
        <v>15677</v>
      </c>
      <c r="E11891" t="s">
        <v>11</v>
      </c>
      <c r="F11891" t="s">
        <v>1209</v>
      </c>
      <c r="G11891" t="s">
        <v>2178</v>
      </c>
      <c r="H11891" t="s">
        <v>432</v>
      </c>
    </row>
    <row r="11892" spans="1:10" hidden="1" x14ac:dyDescent="0.25">
      <c r="A11892" t="s">
        <v>15681</v>
      </c>
      <c r="B11892" s="1" t="str">
        <f>HYPERLINK("https://asmlis.vasa.lt/Dashboard/Served?ServiceDateFrom=2025-11-24&amp;ServiceDateTo=2025-11-24&amp;DumpsterInvNr=13-P-416390", "13-P-416390")</f>
        <v>13-P-416390</v>
      </c>
      <c r="C11892">
        <v>5</v>
      </c>
      <c r="D11892" t="s">
        <v>15682</v>
      </c>
      <c r="E11892" t="s">
        <v>11</v>
      </c>
      <c r="F11892" t="s">
        <v>13</v>
      </c>
      <c r="G11892" t="s">
        <v>264</v>
      </c>
      <c r="H11892" t="s">
        <v>14</v>
      </c>
    </row>
    <row r="11893" spans="1:10" hidden="1" x14ac:dyDescent="0.25">
      <c r="A11893" t="s">
        <v>15683</v>
      </c>
      <c r="B11893" s="1" t="str">
        <f>HYPERLINK("https://asmlis.vasa.lt/Dashboard/Served?ServiceDateFrom=2025-11-24&amp;ServiceDateTo=2025-11-24&amp;DumpsterInvNr=13-L-104055", "13-L-104055")</f>
        <v>13-L-104055</v>
      </c>
      <c r="C11893">
        <v>0.24</v>
      </c>
      <c r="D11893" t="s">
        <v>15680</v>
      </c>
      <c r="E11893" t="s">
        <v>11</v>
      </c>
      <c r="G11893" t="s">
        <v>1912</v>
      </c>
      <c r="H11893" t="s">
        <v>432</v>
      </c>
    </row>
    <row r="11894" spans="1:10" hidden="1" x14ac:dyDescent="0.25">
      <c r="A11894" t="s">
        <v>15684</v>
      </c>
      <c r="B11894" s="1" t="str">
        <f>HYPERLINK("https://asmlis.vasa.lt/Dashboard/Served?ServiceDateFrom=2025-11-24&amp;ServiceDateTo=2025-11-24&amp;DumpsterInvNr=13-L-148847", "13-L-148847")</f>
        <v>13-L-148847</v>
      </c>
      <c r="C11894">
        <v>0.24</v>
      </c>
      <c r="D11894" t="s">
        <v>15685</v>
      </c>
      <c r="E11894" t="s">
        <v>11</v>
      </c>
      <c r="G11894" t="s">
        <v>430</v>
      </c>
      <c r="H11894" t="s">
        <v>432</v>
      </c>
    </row>
    <row r="11895" spans="1:10" hidden="1" x14ac:dyDescent="0.25">
      <c r="A11895" t="s">
        <v>15684</v>
      </c>
      <c r="B11895" s="1" t="str">
        <f>HYPERLINK("https://asmlis.vasa.lt/Dashboard/Served?ServiceDateFrom=2025-11-24&amp;ServiceDateTo=2025-11-24&amp;DumpsterInvNr=13-L-147831", "13-L-147831")</f>
        <v>13-L-147831</v>
      </c>
      <c r="C11895">
        <v>0.24</v>
      </c>
      <c r="D11895" t="s">
        <v>15686</v>
      </c>
      <c r="E11895" t="s">
        <v>11</v>
      </c>
      <c r="G11895" t="s">
        <v>430</v>
      </c>
      <c r="H11895" t="s">
        <v>432</v>
      </c>
    </row>
    <row r="11896" spans="1:10" hidden="1" x14ac:dyDescent="0.25">
      <c r="A11896" t="s">
        <v>15684</v>
      </c>
      <c r="B11896" s="1" t="str">
        <f>HYPERLINK("https://asmlis.vasa.lt/Dashboard/Served?ServiceDateFrom=2025-11-24&amp;ServiceDateTo=2025-11-24&amp;DumpsterInvNr=13-P-502097", "13-P-502097")</f>
        <v>13-P-502097</v>
      </c>
      <c r="C11896">
        <v>0.24</v>
      </c>
      <c r="D11896" t="s">
        <v>15686</v>
      </c>
      <c r="E11896" t="s">
        <v>11</v>
      </c>
      <c r="G11896" t="s">
        <v>2178</v>
      </c>
      <c r="H11896" t="s">
        <v>432</v>
      </c>
    </row>
    <row r="11897" spans="1:10" hidden="1" x14ac:dyDescent="0.25">
      <c r="A11897" t="s">
        <v>15688</v>
      </c>
      <c r="B11897" s="1" t="str">
        <f>HYPERLINK("https://asmlis.vasa.lt/Dashboard/Served?ServiceDateFrom=2025-11-24&amp;ServiceDateTo=2025-11-24&amp;DumpsterInvNr=13-L-422868", "13-L-422868")</f>
        <v>13-L-422868</v>
      </c>
      <c r="C11897">
        <v>1.1000000000000001</v>
      </c>
      <c r="D11897" t="s">
        <v>7696</v>
      </c>
      <c r="E11897" t="s">
        <v>11</v>
      </c>
      <c r="G11897" t="s">
        <v>74</v>
      </c>
      <c r="H11897" t="s">
        <v>14</v>
      </c>
    </row>
    <row r="11898" spans="1:10" x14ac:dyDescent="0.25">
      <c r="A11898" t="s">
        <v>15689</v>
      </c>
      <c r="B11898" s="1" t="str">
        <f>HYPERLINK("https://asmlis.vasa.lt/Dashboard/Served?ServiceDateFrom=2025-11-24&amp;ServiceDateTo=2025-11-24&amp;DumpsterInvNr=13-P-112447", "13-P-112447")</f>
        <v>13-P-112447</v>
      </c>
      <c r="C11898">
        <v>0.24</v>
      </c>
      <c r="D11898" t="s">
        <v>15690</v>
      </c>
      <c r="E11898" t="s">
        <v>11</v>
      </c>
      <c r="F11898" t="s">
        <v>2556</v>
      </c>
      <c r="G11898" t="s">
        <v>1917</v>
      </c>
      <c r="H11898" t="s">
        <v>432</v>
      </c>
      <c r="J11898" t="s">
        <v>17511</v>
      </c>
    </row>
    <row r="11899" spans="1:10" hidden="1" x14ac:dyDescent="0.25">
      <c r="A11899" t="s">
        <v>15689</v>
      </c>
      <c r="B11899" s="1" t="str">
        <f>HYPERLINK("https://asmlis.vasa.lt/Dashboard/Served?ServiceDateFrom=2025-11-24&amp;ServiceDateTo=2025-11-24&amp;DumpsterInvNr=13-P-509586", "13-P-509586")</f>
        <v>13-P-509586</v>
      </c>
      <c r="C11899">
        <v>0.24</v>
      </c>
      <c r="D11899" t="s">
        <v>15685</v>
      </c>
      <c r="E11899" t="s">
        <v>11</v>
      </c>
      <c r="G11899" t="s">
        <v>2178</v>
      </c>
      <c r="H11899" t="s">
        <v>432</v>
      </c>
    </row>
    <row r="11900" spans="1:10" hidden="1" x14ac:dyDescent="0.25">
      <c r="A11900" t="s">
        <v>15691</v>
      </c>
      <c r="B11900" s="1" t="str">
        <f>HYPERLINK("https://asmlis.vasa.lt/Dashboard/Served?ServiceDateFrom=2025-11-24&amp;ServiceDateTo=2025-11-24&amp;DumpsterInvNr=13-L-217349", "13-L-217349")</f>
        <v>13-L-217349</v>
      </c>
      <c r="C11900">
        <v>0.24</v>
      </c>
      <c r="D11900" t="s">
        <v>15492</v>
      </c>
      <c r="E11900" t="s">
        <v>11</v>
      </c>
      <c r="G11900" t="s">
        <v>936</v>
      </c>
      <c r="H11900" t="s">
        <v>938</v>
      </c>
    </row>
    <row r="11901" spans="1:10" hidden="1" x14ac:dyDescent="0.25">
      <c r="A11901" t="s">
        <v>15692</v>
      </c>
      <c r="B11901" s="1" t="str">
        <f>HYPERLINK("https://asmlis.vasa.lt/Dashboard/Served?ServiceDateFrom=2025-11-24&amp;ServiceDateTo=2025-11-24&amp;DumpsterInvNr=13-P-204431", "13-P-204431")</f>
        <v>13-P-204431</v>
      </c>
      <c r="C11901">
        <v>0.24</v>
      </c>
      <c r="D11901" t="s">
        <v>15489</v>
      </c>
      <c r="E11901" t="s">
        <v>11</v>
      </c>
      <c r="F11901" t="s">
        <v>1209</v>
      </c>
      <c r="G11901" t="s">
        <v>234</v>
      </c>
      <c r="H11901" t="s">
        <v>14</v>
      </c>
    </row>
    <row r="11902" spans="1:10" hidden="1" x14ac:dyDescent="0.25">
      <c r="A11902" t="s">
        <v>15693</v>
      </c>
      <c r="B11902" s="1" t="str">
        <f>HYPERLINK("https://asmlis.vasa.lt/Dashboard/Served?ServiceDateFrom=2025-11-24&amp;ServiceDateTo=2025-11-24&amp;DumpsterInvNr=13-S-232068", "13-S-232068")</f>
        <v>13-S-232068</v>
      </c>
      <c r="C11902">
        <v>0.12</v>
      </c>
      <c r="D11902" t="s">
        <v>15489</v>
      </c>
      <c r="E11902" t="s">
        <v>11</v>
      </c>
      <c r="G11902" t="s">
        <v>234</v>
      </c>
      <c r="H11902" t="s">
        <v>14</v>
      </c>
    </row>
    <row r="11903" spans="1:10" x14ac:dyDescent="0.25">
      <c r="A11903" t="s">
        <v>15694</v>
      </c>
      <c r="B11903" s="1" t="str">
        <f>HYPERLINK("https://asmlis.vasa.lt/Dashboard/Served?ServiceDateFrom=2025-11-24&amp;ServiceDateTo=2025-11-24&amp;DumpsterInvNr=13-L-118389", "13-L-118389")</f>
        <v>13-L-118389</v>
      </c>
      <c r="C11903">
        <v>0.24</v>
      </c>
      <c r="D11903" t="s">
        <v>15690</v>
      </c>
      <c r="E11903" t="s">
        <v>11</v>
      </c>
      <c r="F11903" t="s">
        <v>2556</v>
      </c>
      <c r="G11903" t="s">
        <v>1912</v>
      </c>
      <c r="H11903" t="s">
        <v>432</v>
      </c>
      <c r="J11903" t="s">
        <v>17511</v>
      </c>
    </row>
    <row r="11904" spans="1:10" hidden="1" x14ac:dyDescent="0.25">
      <c r="A11904" t="s">
        <v>15695</v>
      </c>
      <c r="B11904" s="1" t="str">
        <f>HYPERLINK("https://asmlis.vasa.lt/Dashboard/Served?ServiceDateFrom=2025-11-24&amp;ServiceDateTo=2025-11-24&amp;DumpsterInvNr=13-P-302377", "13-P-302377")</f>
        <v>13-P-302377</v>
      </c>
      <c r="C11904">
        <v>5</v>
      </c>
      <c r="D11904" t="s">
        <v>14510</v>
      </c>
      <c r="E11904" t="s">
        <v>11</v>
      </c>
      <c r="F11904" t="s">
        <v>13</v>
      </c>
      <c r="G11904" t="s">
        <v>412</v>
      </c>
      <c r="H11904" t="s">
        <v>14</v>
      </c>
    </row>
    <row r="11905" spans="1:8" hidden="1" x14ac:dyDescent="0.25">
      <c r="A11905" t="s">
        <v>15696</v>
      </c>
      <c r="B11905" s="1" t="str">
        <f>HYPERLINK("https://asmlis.vasa.lt/Dashboard/Served?ServiceDateFrom=2025-11-24&amp;ServiceDateTo=2025-11-24&amp;DumpsterInvNr=13-P-500254", "13-P-500254")</f>
        <v>13-P-500254</v>
      </c>
      <c r="C11905">
        <v>3</v>
      </c>
      <c r="D11905" t="s">
        <v>15697</v>
      </c>
      <c r="E11905" t="s">
        <v>11</v>
      </c>
      <c r="F11905" t="s">
        <v>13</v>
      </c>
      <c r="G11905" t="s">
        <v>2178</v>
      </c>
      <c r="H11905" t="s">
        <v>432</v>
      </c>
    </row>
    <row r="11906" spans="1:8" hidden="1" x14ac:dyDescent="0.25">
      <c r="A11906" t="s">
        <v>15698</v>
      </c>
      <c r="B11906" s="1" t="str">
        <f>HYPERLINK("https://asmlis.vasa.lt/Dashboard/Served?ServiceDateFrom=2025-11-24&amp;ServiceDateTo=2025-11-24&amp;DumpsterInvNr=13-L-149087", "13-L-149087")</f>
        <v>13-L-149087</v>
      </c>
      <c r="C11906">
        <v>0.24</v>
      </c>
      <c r="D11906" t="s">
        <v>15699</v>
      </c>
      <c r="E11906" t="s">
        <v>11</v>
      </c>
      <c r="G11906" t="s">
        <v>430</v>
      </c>
      <c r="H11906" t="s">
        <v>432</v>
      </c>
    </row>
    <row r="11907" spans="1:8" hidden="1" x14ac:dyDescent="0.25">
      <c r="A11907" t="s">
        <v>15701</v>
      </c>
      <c r="B11907" s="1" t="str">
        <f>HYPERLINK("https://asmlis.vasa.lt/Dashboard/Served?ServiceDateFrom=2025-11-24&amp;ServiceDateTo=2025-11-24&amp;DumpsterInvNr=13-P-509629", "13-P-509629")</f>
        <v>13-P-509629</v>
      </c>
      <c r="C11907">
        <v>0.24</v>
      </c>
      <c r="D11907" t="s">
        <v>15699</v>
      </c>
      <c r="E11907" t="s">
        <v>11</v>
      </c>
      <c r="G11907" t="s">
        <v>2178</v>
      </c>
      <c r="H11907" t="s">
        <v>432</v>
      </c>
    </row>
    <row r="11908" spans="1:8" hidden="1" x14ac:dyDescent="0.25">
      <c r="A11908" t="s">
        <v>15702</v>
      </c>
      <c r="B11908" s="1" t="str">
        <f>HYPERLINK("https://asmlis.vasa.lt/Dashboard/Served?ServiceDateFrom=2025-11-24&amp;ServiceDateTo=2025-11-24&amp;DumpsterInvNr=13-L-311104", "13-L-311104")</f>
        <v>13-L-311104</v>
      </c>
      <c r="C11908">
        <v>1.1000000000000001</v>
      </c>
      <c r="D11908" t="s">
        <v>15703</v>
      </c>
      <c r="E11908" t="s">
        <v>11</v>
      </c>
      <c r="G11908" t="s">
        <v>9</v>
      </c>
      <c r="H11908" t="s">
        <v>14</v>
      </c>
    </row>
    <row r="11909" spans="1:8" hidden="1" x14ac:dyDescent="0.25">
      <c r="A11909" t="s">
        <v>15704</v>
      </c>
      <c r="B11909" s="1" t="str">
        <f>HYPERLINK("https://asmlis.vasa.lt/Dashboard/Served?ServiceDateFrom=2025-11-24&amp;ServiceDateTo=2025-11-24&amp;DumpsterInvNr=13-L-208234", "13-L-208234")</f>
        <v>13-L-208234</v>
      </c>
      <c r="C11909">
        <v>1.1000000000000001</v>
      </c>
      <c r="D11909" t="s">
        <v>15705</v>
      </c>
      <c r="E11909" t="s">
        <v>11</v>
      </c>
      <c r="G11909" t="s">
        <v>936</v>
      </c>
      <c r="H11909" t="s">
        <v>938</v>
      </c>
    </row>
    <row r="11910" spans="1:8" hidden="1" x14ac:dyDescent="0.25">
      <c r="A11910" t="s">
        <v>15706</v>
      </c>
      <c r="B11910" s="1" t="str">
        <f>HYPERLINK("https://asmlis.vasa.lt/Dashboard/Served?ServiceDateFrom=2025-11-24&amp;ServiceDateTo=2025-11-24&amp;DumpsterInvNr=13-P-509576", "13-P-509576")</f>
        <v>13-P-509576</v>
      </c>
      <c r="C11910">
        <v>0.24</v>
      </c>
      <c r="D11910" t="s">
        <v>15707</v>
      </c>
      <c r="E11910" t="s">
        <v>11</v>
      </c>
      <c r="G11910" t="s">
        <v>2178</v>
      </c>
      <c r="H11910" t="s">
        <v>432</v>
      </c>
    </row>
    <row r="11911" spans="1:8" hidden="1" x14ac:dyDescent="0.25">
      <c r="A11911" t="s">
        <v>15708</v>
      </c>
      <c r="B11911" s="1" t="str">
        <f>HYPERLINK("https://asmlis.vasa.lt/Dashboard/Served?ServiceDateFrom=2025-11-24&amp;ServiceDateTo=2025-11-24&amp;DumpsterInvNr=13-L-143405", "13-L-143405")</f>
        <v>13-L-143405</v>
      </c>
      <c r="C11911">
        <v>5</v>
      </c>
      <c r="D11911" t="s">
        <v>15709</v>
      </c>
      <c r="E11911" t="s">
        <v>11</v>
      </c>
      <c r="F11911" t="s">
        <v>13</v>
      </c>
      <c r="G11911" t="s">
        <v>430</v>
      </c>
      <c r="H11911" t="s">
        <v>432</v>
      </c>
    </row>
    <row r="11912" spans="1:8" hidden="1" x14ac:dyDescent="0.25">
      <c r="A11912" t="s">
        <v>15359</v>
      </c>
      <c r="B11912" s="1" t="str">
        <f>HYPERLINK("https://asmlis.vasa.lt/Dashboard/Served?ServiceDateFrom=2025-11-24&amp;ServiceDateTo=2025-11-24&amp;DumpsterInvNr=13-P-204370", "13-P-204370")</f>
        <v>13-P-204370</v>
      </c>
      <c r="C11912">
        <v>0.24</v>
      </c>
      <c r="D11912" t="s">
        <v>15536</v>
      </c>
      <c r="E11912" t="s">
        <v>11</v>
      </c>
      <c r="G11912" t="s">
        <v>234</v>
      </c>
      <c r="H11912" t="s">
        <v>14</v>
      </c>
    </row>
    <row r="11913" spans="1:8" hidden="1" x14ac:dyDescent="0.25">
      <c r="A11913" t="s">
        <v>15711</v>
      </c>
      <c r="B11913" s="1" t="str">
        <f>HYPERLINK("https://asmlis.vasa.lt/Dashboard/Served?ServiceDateFrom=2025-11-24&amp;ServiceDateTo=2025-11-24&amp;DumpsterInvNr=13-L-310002", "13-L-310002")</f>
        <v>13-L-310002</v>
      </c>
      <c r="C11913">
        <v>1.1000000000000001</v>
      </c>
      <c r="D11913" t="s">
        <v>15703</v>
      </c>
      <c r="E11913" t="s">
        <v>11</v>
      </c>
      <c r="G11913" t="s">
        <v>9</v>
      </c>
      <c r="H11913" t="s">
        <v>14</v>
      </c>
    </row>
    <row r="11914" spans="1:8" hidden="1" x14ac:dyDescent="0.25">
      <c r="A11914" t="s">
        <v>15711</v>
      </c>
      <c r="B11914" s="1" t="str">
        <f>HYPERLINK("https://asmlis.vasa.lt/Dashboard/Served?ServiceDateFrom=2025-11-24&amp;ServiceDateTo=2025-11-24&amp;DumpsterInvNr=13-S-506429", "13-S-506429")</f>
        <v>13-S-506429</v>
      </c>
      <c r="C11914">
        <v>0.12</v>
      </c>
      <c r="D11914" t="s">
        <v>15699</v>
      </c>
      <c r="E11914" t="s">
        <v>11</v>
      </c>
      <c r="F11914" t="s">
        <v>1209</v>
      </c>
      <c r="G11914" t="s">
        <v>2178</v>
      </c>
      <c r="H11914" t="s">
        <v>432</v>
      </c>
    </row>
    <row r="11915" spans="1:8" hidden="1" x14ac:dyDescent="0.25">
      <c r="A11915" t="s">
        <v>15379</v>
      </c>
      <c r="B11915" s="1" t="str">
        <f>HYPERLINK("https://asmlis.vasa.lt/Dashboard/Served?ServiceDateFrom=2025-11-24&amp;ServiceDateTo=2025-11-24&amp;DumpsterInvNr=13-S-506462", "13-S-506462")</f>
        <v>13-S-506462</v>
      </c>
      <c r="C11915">
        <v>0.12</v>
      </c>
      <c r="D11915" t="s">
        <v>15685</v>
      </c>
      <c r="E11915" t="s">
        <v>11</v>
      </c>
      <c r="F11915" t="s">
        <v>1209</v>
      </c>
      <c r="G11915" t="s">
        <v>2178</v>
      </c>
      <c r="H11915" t="s">
        <v>432</v>
      </c>
    </row>
    <row r="11916" spans="1:8" hidden="1" x14ac:dyDescent="0.25">
      <c r="A11916" t="s">
        <v>15403</v>
      </c>
      <c r="B11916" s="1" t="str">
        <f>HYPERLINK("https://asmlis.vasa.lt/Dashboard/Served?ServiceDateFrom=2025-11-24&amp;ServiceDateTo=2025-11-24&amp;DumpsterInvNr=13-T-000298", "13-T-000298")</f>
        <v>13-T-000298</v>
      </c>
      <c r="C11916">
        <v>2.5</v>
      </c>
      <c r="D11916" t="s">
        <v>2548</v>
      </c>
      <c r="E11916" t="s">
        <v>11</v>
      </c>
      <c r="F11916" t="s">
        <v>13</v>
      </c>
      <c r="G11916" t="s">
        <v>1899</v>
      </c>
      <c r="H11916" t="s">
        <v>432</v>
      </c>
    </row>
    <row r="11917" spans="1:8" hidden="1" x14ac:dyDescent="0.25">
      <c r="A11917" t="s">
        <v>15713</v>
      </c>
      <c r="B11917" s="1" t="str">
        <f>HYPERLINK("https://asmlis.vasa.lt/Dashboard/Served?ServiceDateFrom=2025-11-24&amp;ServiceDateTo=2025-11-24&amp;DumpsterInvNr=13-S-506465", "13-S-506465")</f>
        <v>13-S-506465</v>
      </c>
      <c r="C11917">
        <v>0.12</v>
      </c>
      <c r="D11917" t="s">
        <v>15707</v>
      </c>
      <c r="E11917" t="s">
        <v>11</v>
      </c>
      <c r="F11917" t="s">
        <v>1209</v>
      </c>
      <c r="G11917" t="s">
        <v>2178</v>
      </c>
      <c r="H11917" t="s">
        <v>432</v>
      </c>
    </row>
    <row r="11918" spans="1:8" hidden="1" x14ac:dyDescent="0.25">
      <c r="A11918" t="s">
        <v>15714</v>
      </c>
      <c r="B11918" s="1" t="str">
        <f>HYPERLINK("https://asmlis.vasa.lt/Dashboard/Served?ServiceDateFrom=2025-11-24&amp;ServiceDateTo=2025-11-24&amp;DumpsterInvNr=13-P-108893", "13-P-108893")</f>
        <v>13-P-108893</v>
      </c>
      <c r="C11918">
        <v>5</v>
      </c>
      <c r="D11918" t="s">
        <v>15153</v>
      </c>
      <c r="E11918" t="s">
        <v>11</v>
      </c>
      <c r="F11918" t="s">
        <v>13</v>
      </c>
      <c r="G11918" t="s">
        <v>1917</v>
      </c>
      <c r="H11918" t="s">
        <v>432</v>
      </c>
    </row>
    <row r="11919" spans="1:8" hidden="1" x14ac:dyDescent="0.25">
      <c r="A11919" t="s">
        <v>15715</v>
      </c>
      <c r="B11919" s="1" t="str">
        <f>HYPERLINK("https://asmlis.vasa.lt/Dashboard/Served?ServiceDateFrom=2025-11-24&amp;ServiceDateTo=2025-11-24&amp;DumpsterInvNr=13-S-506375", "13-S-506375")</f>
        <v>13-S-506375</v>
      </c>
      <c r="C11919">
        <v>0.12</v>
      </c>
      <c r="D11919" t="s">
        <v>15716</v>
      </c>
      <c r="E11919" t="s">
        <v>11</v>
      </c>
      <c r="F11919" t="s">
        <v>1209</v>
      </c>
      <c r="G11919" t="s">
        <v>2178</v>
      </c>
      <c r="H11919" t="s">
        <v>432</v>
      </c>
    </row>
    <row r="11920" spans="1:8" hidden="1" x14ac:dyDescent="0.25">
      <c r="A11920" t="s">
        <v>15717</v>
      </c>
      <c r="B11920" s="1" t="str">
        <f>HYPERLINK("https://asmlis.vasa.lt/Dashboard/Served?ServiceDateFrom=2025-11-24&amp;ServiceDateTo=2025-11-24&amp;DumpsterInvNr=13-P-102475", "13-P-102475")</f>
        <v>13-P-102475</v>
      </c>
      <c r="C11920">
        <v>5</v>
      </c>
      <c r="D11920" t="s">
        <v>15231</v>
      </c>
      <c r="E11920" t="s">
        <v>11</v>
      </c>
      <c r="F11920" t="s">
        <v>13</v>
      </c>
      <c r="G11920" t="s">
        <v>1917</v>
      </c>
      <c r="H11920" t="s">
        <v>432</v>
      </c>
    </row>
    <row r="11921" spans="1:8" hidden="1" x14ac:dyDescent="0.25">
      <c r="A11921" t="s">
        <v>15717</v>
      </c>
      <c r="B11921" s="1" t="str">
        <f>HYPERLINK("https://asmlis.vasa.lt/Dashboard/Served?ServiceDateFrom=2025-11-24&amp;ServiceDateTo=2025-11-24&amp;DumpsterInvNr=13-L-145308", "13-L-145308")</f>
        <v>13-L-145308</v>
      </c>
      <c r="C11921">
        <v>0.24</v>
      </c>
      <c r="D11921" t="s">
        <v>15718</v>
      </c>
      <c r="E11921" t="s">
        <v>11</v>
      </c>
      <c r="G11921" t="s">
        <v>1912</v>
      </c>
      <c r="H11921" t="s">
        <v>432</v>
      </c>
    </row>
    <row r="11922" spans="1:8" hidden="1" x14ac:dyDescent="0.25">
      <c r="A11922" t="s">
        <v>15484</v>
      </c>
      <c r="B11922" s="1" t="str">
        <f>HYPERLINK("https://asmlis.vasa.lt/Dashboard/Served?ServiceDateFrom=2025-11-24&amp;ServiceDateTo=2025-11-24&amp;DumpsterInvNr=13-S-210112", "13-S-210112")</f>
        <v>13-S-210112</v>
      </c>
      <c r="C11922">
        <v>3</v>
      </c>
      <c r="D11922" t="s">
        <v>15719</v>
      </c>
      <c r="E11922" t="s">
        <v>11</v>
      </c>
      <c r="G11922" t="s">
        <v>234</v>
      </c>
      <c r="H11922" t="s">
        <v>14</v>
      </c>
    </row>
    <row r="11923" spans="1:8" hidden="1" x14ac:dyDescent="0.25">
      <c r="A11923" t="s">
        <v>15486</v>
      </c>
      <c r="B11923" s="1" t="str">
        <f>HYPERLINK("https://asmlis.vasa.lt/Dashboard/Served?ServiceDateFrom=2025-11-24&amp;ServiceDateTo=2025-11-24&amp;DumpsterInvNr=13-L-148951", "13-L-148951")</f>
        <v>13-L-148951</v>
      </c>
      <c r="C11923">
        <v>0.24</v>
      </c>
      <c r="D11923" t="s">
        <v>15716</v>
      </c>
      <c r="E11923" t="s">
        <v>11</v>
      </c>
      <c r="F11923" t="s">
        <v>1209</v>
      </c>
      <c r="G11923" t="s">
        <v>430</v>
      </c>
      <c r="H11923" t="s">
        <v>432</v>
      </c>
    </row>
    <row r="11924" spans="1:8" hidden="1" x14ac:dyDescent="0.25">
      <c r="A11924" t="s">
        <v>15521</v>
      </c>
      <c r="B11924" s="1" t="str">
        <f>HYPERLINK("https://asmlis.vasa.lt/Dashboard/Served?ServiceDateFrom=2025-11-24&amp;ServiceDateTo=2025-11-24&amp;DumpsterInvNr=13-L-148824", "13-L-148824")</f>
        <v>13-L-148824</v>
      </c>
      <c r="C11924">
        <v>0.24</v>
      </c>
      <c r="D11924" t="s">
        <v>15707</v>
      </c>
      <c r="E11924" t="s">
        <v>11</v>
      </c>
      <c r="F11924" t="s">
        <v>1209</v>
      </c>
      <c r="G11924" t="s">
        <v>430</v>
      </c>
      <c r="H11924" t="s">
        <v>432</v>
      </c>
    </row>
    <row r="11925" spans="1:8" hidden="1" x14ac:dyDescent="0.25">
      <c r="A11925" t="s">
        <v>15720</v>
      </c>
      <c r="B11925" s="1" t="str">
        <f>HYPERLINK("https://asmlis.vasa.lt/Dashboard/Served?ServiceDateFrom=2025-11-24&amp;ServiceDateTo=2025-11-24&amp;DumpsterInvNr=13-P-211079", "13-P-211079")</f>
        <v>13-P-211079</v>
      </c>
      <c r="C11925">
        <v>0.24</v>
      </c>
      <c r="D11925" t="s">
        <v>15721</v>
      </c>
      <c r="E11925" t="s">
        <v>11</v>
      </c>
      <c r="F11925" t="s">
        <v>13</v>
      </c>
      <c r="G11925" t="s">
        <v>234</v>
      </c>
      <c r="H11925" t="s">
        <v>14</v>
      </c>
    </row>
    <row r="11926" spans="1:8" hidden="1" x14ac:dyDescent="0.25">
      <c r="A11926" t="s">
        <v>15720</v>
      </c>
      <c r="B11926" s="1" t="str">
        <f>HYPERLINK("https://asmlis.vasa.lt/Dashboard/Served?ServiceDateFrom=2025-11-24&amp;ServiceDateTo=2025-11-24&amp;DumpsterInvNr=13-P-509624", "13-P-509624")</f>
        <v>13-P-509624</v>
      </c>
      <c r="C11926">
        <v>0.24</v>
      </c>
      <c r="D11926" t="s">
        <v>15716</v>
      </c>
      <c r="E11926" t="s">
        <v>11</v>
      </c>
      <c r="G11926" t="s">
        <v>2178</v>
      </c>
      <c r="H11926" t="s">
        <v>432</v>
      </c>
    </row>
    <row r="11927" spans="1:8" hidden="1" x14ac:dyDescent="0.25">
      <c r="A11927" t="s">
        <v>15722</v>
      </c>
      <c r="B11927" s="1" t="str">
        <f>HYPERLINK("https://asmlis.vasa.lt/Dashboard/Served?ServiceDateFrom=2025-11-24&amp;ServiceDateTo=2025-11-24&amp;DumpsterInvNr=13-L-203518", "13-L-203518")</f>
        <v>13-L-203518</v>
      </c>
      <c r="C11927">
        <v>0.24</v>
      </c>
      <c r="D11927" t="s">
        <v>15723</v>
      </c>
      <c r="E11927" t="s">
        <v>11</v>
      </c>
      <c r="F11927" t="s">
        <v>1209</v>
      </c>
      <c r="G11927" t="s">
        <v>936</v>
      </c>
      <c r="H11927" t="s">
        <v>938</v>
      </c>
    </row>
    <row r="11928" spans="1:8" hidden="1" x14ac:dyDescent="0.25">
      <c r="A11928" t="s">
        <v>15724</v>
      </c>
      <c r="B11928" s="1" t="str">
        <f>HYPERLINK("https://asmlis.vasa.lt/Dashboard/Served?ServiceDateFrom=2025-11-24&amp;ServiceDateTo=2025-11-24&amp;DumpsterInvNr=13-S-207330", "13-S-207330")</f>
        <v>13-S-207330</v>
      </c>
      <c r="C11928">
        <v>0.12</v>
      </c>
      <c r="D11928" t="s">
        <v>15533</v>
      </c>
      <c r="E11928" t="s">
        <v>11</v>
      </c>
      <c r="G11928" t="s">
        <v>234</v>
      </c>
      <c r="H11928" t="s">
        <v>14</v>
      </c>
    </row>
    <row r="11929" spans="1:8" hidden="1" x14ac:dyDescent="0.25">
      <c r="A11929" t="s">
        <v>15725</v>
      </c>
      <c r="B11929" s="1" t="str">
        <f>HYPERLINK("https://asmlis.vasa.lt/Dashboard/Served?ServiceDateFrom=2025-11-24&amp;ServiceDateTo=2025-11-24&amp;DumpsterInvNr=13-P-208679", "13-P-208679")</f>
        <v>13-P-208679</v>
      </c>
      <c r="C11929">
        <v>0.24</v>
      </c>
      <c r="D11929" t="s">
        <v>15502</v>
      </c>
      <c r="E11929" t="s">
        <v>11</v>
      </c>
      <c r="F11929" t="s">
        <v>13</v>
      </c>
      <c r="G11929" t="s">
        <v>234</v>
      </c>
      <c r="H11929" t="s">
        <v>14</v>
      </c>
    </row>
    <row r="11930" spans="1:8" hidden="1" x14ac:dyDescent="0.25">
      <c r="A11930" t="s">
        <v>15726</v>
      </c>
      <c r="B11930" s="1" t="str">
        <f>HYPERLINK("https://asmlis.vasa.lt/Dashboard/Served?ServiceDateFrom=2025-11-24&amp;ServiceDateTo=2025-11-24&amp;DumpsterInvNr=13-P-500378", "13-P-500378")</f>
        <v>13-P-500378</v>
      </c>
      <c r="C11930">
        <v>5</v>
      </c>
      <c r="D11930" t="s">
        <v>11433</v>
      </c>
      <c r="E11930" t="s">
        <v>11</v>
      </c>
      <c r="F11930" t="s">
        <v>13</v>
      </c>
      <c r="G11930" t="s">
        <v>2178</v>
      </c>
      <c r="H11930" t="s">
        <v>432</v>
      </c>
    </row>
    <row r="11931" spans="1:8" hidden="1" x14ac:dyDescent="0.25">
      <c r="A11931" t="s">
        <v>15727</v>
      </c>
      <c r="B11931" s="1" t="str">
        <f>HYPERLINK("https://asmlis.vasa.lt/Dashboard/Served?ServiceDateFrom=2025-11-24&amp;ServiceDateTo=2025-11-24&amp;DumpsterInvNr=13-L-123633", "13-L-123633")</f>
        <v>13-L-123633</v>
      </c>
      <c r="C11931">
        <v>0.77</v>
      </c>
      <c r="D11931" t="s">
        <v>14780</v>
      </c>
      <c r="E11931" t="s">
        <v>11</v>
      </c>
      <c r="G11931" t="s">
        <v>430</v>
      </c>
      <c r="H11931" t="s">
        <v>432</v>
      </c>
    </row>
    <row r="11932" spans="1:8" hidden="1" x14ac:dyDescent="0.25">
      <c r="A11932" t="s">
        <v>15728</v>
      </c>
      <c r="B11932" s="1" t="str">
        <f>HYPERLINK("https://asmlis.vasa.lt/Dashboard/Served?ServiceDateFrom=2025-11-24&amp;ServiceDateTo=2025-11-24&amp;DumpsterInvNr=13-L-139759", "13-L-139759")</f>
        <v>13-L-139759</v>
      </c>
      <c r="C11932">
        <v>5</v>
      </c>
      <c r="D11932" t="s">
        <v>5073</v>
      </c>
      <c r="E11932" t="s">
        <v>11</v>
      </c>
      <c r="F11932" t="s">
        <v>13</v>
      </c>
      <c r="G11932" t="s">
        <v>1912</v>
      </c>
      <c r="H11932" t="s">
        <v>432</v>
      </c>
    </row>
    <row r="11933" spans="1:8" hidden="1" x14ac:dyDescent="0.25">
      <c r="A11933" t="s">
        <v>15729</v>
      </c>
      <c r="B11933" s="1" t="str">
        <f>HYPERLINK("https://asmlis.vasa.lt/Dashboard/Served?ServiceDateFrom=2025-11-24&amp;ServiceDateTo=2025-11-24&amp;DumpsterInvNr=13-L-139243", "13-L-139243")</f>
        <v>13-L-139243</v>
      </c>
      <c r="C11933">
        <v>5</v>
      </c>
      <c r="D11933" t="s">
        <v>15730</v>
      </c>
      <c r="E11933" t="s">
        <v>11</v>
      </c>
      <c r="F11933" t="s">
        <v>13</v>
      </c>
      <c r="G11933" t="s">
        <v>430</v>
      </c>
      <c r="H11933" t="s">
        <v>432</v>
      </c>
    </row>
    <row r="11934" spans="1:8" hidden="1" x14ac:dyDescent="0.25">
      <c r="A11934" t="s">
        <v>15731</v>
      </c>
      <c r="B11934" s="1" t="str">
        <f>HYPERLINK("https://asmlis.vasa.lt/Dashboard/Served?ServiceDateFrom=2025-11-24&amp;ServiceDateTo=2025-11-24&amp;DumpsterInvNr=13-P-204155", "13-P-204155")</f>
        <v>13-P-204155</v>
      </c>
      <c r="C11934">
        <v>0.24</v>
      </c>
      <c r="D11934" t="s">
        <v>15538</v>
      </c>
      <c r="E11934" t="s">
        <v>11</v>
      </c>
      <c r="G11934" t="s">
        <v>234</v>
      </c>
      <c r="H11934" t="s">
        <v>14</v>
      </c>
    </row>
    <row r="11935" spans="1:8" hidden="1" x14ac:dyDescent="0.25">
      <c r="A11935" t="s">
        <v>15732</v>
      </c>
      <c r="B11935" s="1" t="str">
        <f>HYPERLINK("https://asmlis.vasa.lt/Dashboard/Served?ServiceDateFrom=2025-11-24&amp;ServiceDateTo=2025-11-24&amp;DumpsterInvNr=13-L-148147", "13-L-148147")</f>
        <v>13-L-148147</v>
      </c>
      <c r="C11935">
        <v>1.1000000000000001</v>
      </c>
      <c r="D11935" t="s">
        <v>14780</v>
      </c>
      <c r="E11935" t="s">
        <v>11</v>
      </c>
      <c r="G11935" t="s">
        <v>430</v>
      </c>
      <c r="H11935" t="s">
        <v>432</v>
      </c>
    </row>
    <row r="11936" spans="1:8" hidden="1" x14ac:dyDescent="0.25">
      <c r="A11936" t="s">
        <v>15733</v>
      </c>
      <c r="B11936" s="1" t="str">
        <f>HYPERLINK("https://asmlis.vasa.lt/Dashboard/Served?ServiceDateFrom=2025-11-24&amp;ServiceDateTo=2025-11-24&amp;DumpsterInvNr=13-P-413942", "13-P-413942")</f>
        <v>13-P-413942</v>
      </c>
      <c r="C11936">
        <v>5</v>
      </c>
      <c r="D11936" t="s">
        <v>11563</v>
      </c>
      <c r="E11936" t="s">
        <v>11</v>
      </c>
      <c r="G11936" t="s">
        <v>264</v>
      </c>
      <c r="H11936" t="s">
        <v>14</v>
      </c>
    </row>
    <row r="11937" spans="1:8" hidden="1" x14ac:dyDescent="0.25">
      <c r="A11937" t="s">
        <v>15734</v>
      </c>
      <c r="B11937" s="1" t="str">
        <f>HYPERLINK("https://asmlis.vasa.lt/Dashboard/Served?ServiceDateFrom=2025-11-24&amp;ServiceDateTo=2025-11-24&amp;DumpsterInvNr=13-P-207872", "13-P-207872")</f>
        <v>13-P-207872</v>
      </c>
      <c r="C11937">
        <v>0.24</v>
      </c>
      <c r="D11937" t="s">
        <v>15532</v>
      </c>
      <c r="E11937" t="s">
        <v>11</v>
      </c>
      <c r="F11937" t="s">
        <v>1209</v>
      </c>
      <c r="G11937" t="s">
        <v>234</v>
      </c>
      <c r="H11937" t="s">
        <v>14</v>
      </c>
    </row>
    <row r="11938" spans="1:8" hidden="1" x14ac:dyDescent="0.25">
      <c r="A11938" t="s">
        <v>15735</v>
      </c>
      <c r="B11938" s="1" t="str">
        <f>HYPERLINK("https://asmlis.vasa.lt/Dashboard/Served?ServiceDateFrom=2025-11-24&amp;ServiceDateTo=2025-11-24&amp;DumpsterInvNr=13-P-415670", "13-P-415670")</f>
        <v>13-P-415670</v>
      </c>
      <c r="C11938">
        <v>1.1000000000000001</v>
      </c>
      <c r="D11938" t="s">
        <v>15736</v>
      </c>
      <c r="E11938" t="s">
        <v>11</v>
      </c>
      <c r="G11938" t="s">
        <v>264</v>
      </c>
      <c r="H11938" t="s">
        <v>14</v>
      </c>
    </row>
    <row r="11939" spans="1:8" hidden="1" x14ac:dyDescent="0.25">
      <c r="A11939" t="s">
        <v>15737</v>
      </c>
      <c r="B11939" s="1" t="str">
        <f>HYPERLINK("https://asmlis.vasa.lt/Dashboard/Served?ServiceDateFrom=2025-11-24&amp;ServiceDateTo=2025-11-24&amp;DumpsterInvNr=13-P-302382", "13-P-302382")</f>
        <v>13-P-302382</v>
      </c>
      <c r="C11939">
        <v>5</v>
      </c>
      <c r="D11939" t="s">
        <v>15738</v>
      </c>
      <c r="E11939" t="s">
        <v>11</v>
      </c>
      <c r="F11939" t="s">
        <v>13</v>
      </c>
      <c r="G11939" t="s">
        <v>412</v>
      </c>
      <c r="H11939" t="s">
        <v>14</v>
      </c>
    </row>
    <row r="11940" spans="1:8" hidden="1" x14ac:dyDescent="0.25">
      <c r="A11940" t="s">
        <v>15739</v>
      </c>
      <c r="B11940" s="1" t="str">
        <f>HYPERLINK("https://asmlis.vasa.lt/Dashboard/Served?ServiceDateFrom=2025-11-24&amp;ServiceDateTo=2025-11-24&amp;DumpsterInvNr=13-S-205078", "13-S-205078")</f>
        <v>13-S-205078</v>
      </c>
      <c r="C11940">
        <v>0.12</v>
      </c>
      <c r="D11940" t="s">
        <v>15532</v>
      </c>
      <c r="E11940" t="s">
        <v>11</v>
      </c>
      <c r="F11940" t="s">
        <v>1209</v>
      </c>
      <c r="G11940" t="s">
        <v>234</v>
      </c>
      <c r="H11940" t="s">
        <v>14</v>
      </c>
    </row>
    <row r="11941" spans="1:8" hidden="1" x14ac:dyDescent="0.25">
      <c r="A11941" t="s">
        <v>15741</v>
      </c>
      <c r="B11941" s="1" t="str">
        <f>HYPERLINK("https://asmlis.vasa.lt/Dashboard/Served?ServiceDateFrom=2025-11-24&amp;ServiceDateTo=2025-11-24&amp;DumpsterInvNr=13-P-211852", "13-P-211852")</f>
        <v>13-P-211852</v>
      </c>
      <c r="C11941">
        <v>0.24</v>
      </c>
      <c r="D11941" t="s">
        <v>15742</v>
      </c>
      <c r="E11941" t="s">
        <v>11</v>
      </c>
      <c r="F11941" t="s">
        <v>1209</v>
      </c>
      <c r="G11941" t="s">
        <v>234</v>
      </c>
      <c r="H11941" t="s">
        <v>14</v>
      </c>
    </row>
    <row r="11942" spans="1:8" hidden="1" x14ac:dyDescent="0.25">
      <c r="A11942" t="s">
        <v>15743</v>
      </c>
      <c r="B11942" s="1" t="str">
        <f>HYPERLINK("https://asmlis.vasa.lt/Dashboard/Served?ServiceDateFrom=2025-11-24&amp;ServiceDateTo=2025-11-24&amp;DumpsterInvNr=13-P-211710", "13-P-211710")</f>
        <v>13-P-211710</v>
      </c>
      <c r="C11942">
        <v>0.24</v>
      </c>
      <c r="D11942" t="s">
        <v>15744</v>
      </c>
      <c r="E11942" t="s">
        <v>11</v>
      </c>
      <c r="F11942" t="s">
        <v>1209</v>
      </c>
      <c r="G11942" t="s">
        <v>234</v>
      </c>
      <c r="H11942" t="s">
        <v>14</v>
      </c>
    </row>
    <row r="11943" spans="1:8" hidden="1" x14ac:dyDescent="0.25">
      <c r="A11943" t="s">
        <v>15746</v>
      </c>
      <c r="B11943" s="1" t="str">
        <f>HYPERLINK("https://asmlis.vasa.lt/Dashboard/Served?ServiceDateFrom=2025-11-24&amp;ServiceDateTo=2025-11-24&amp;DumpsterInvNr=13-L-108252", "13-L-108252")</f>
        <v>13-L-108252</v>
      </c>
      <c r="C11943">
        <v>0.12</v>
      </c>
      <c r="D11943" t="s">
        <v>15747</v>
      </c>
      <c r="E11943" t="s">
        <v>11</v>
      </c>
      <c r="G11943" t="s">
        <v>430</v>
      </c>
      <c r="H11943" t="s">
        <v>432</v>
      </c>
    </row>
    <row r="11944" spans="1:8" hidden="1" x14ac:dyDescent="0.25">
      <c r="A11944" t="s">
        <v>15746</v>
      </c>
      <c r="B11944" s="1" t="str">
        <f>HYPERLINK("https://asmlis.vasa.lt/Dashboard/Served?ServiceDateFrom=2025-11-24&amp;ServiceDateTo=2025-11-24&amp;DumpsterInvNr=13-P-507392", "13-P-507392")</f>
        <v>13-P-507392</v>
      </c>
      <c r="C11944">
        <v>0.12</v>
      </c>
      <c r="D11944" t="s">
        <v>15747</v>
      </c>
      <c r="E11944" t="s">
        <v>11</v>
      </c>
      <c r="G11944" t="s">
        <v>2178</v>
      </c>
      <c r="H11944" t="s">
        <v>432</v>
      </c>
    </row>
    <row r="11945" spans="1:8" hidden="1" x14ac:dyDescent="0.25">
      <c r="A11945" t="s">
        <v>14789</v>
      </c>
      <c r="B11945" s="1" t="str">
        <f>HYPERLINK("https://asmlis.vasa.lt/Dashboard/Served?ServiceDateFrom=2025-11-24&amp;ServiceDateTo=2025-11-24&amp;DumpsterInvNr=13-L-215708", "13-L-215708")</f>
        <v>13-L-215708</v>
      </c>
      <c r="C11945">
        <v>1.1000000000000001</v>
      </c>
      <c r="D11945" t="s">
        <v>15492</v>
      </c>
      <c r="E11945" t="s">
        <v>11</v>
      </c>
      <c r="G11945" t="s">
        <v>936</v>
      </c>
      <c r="H11945" t="s">
        <v>938</v>
      </c>
    </row>
    <row r="11946" spans="1:8" hidden="1" x14ac:dyDescent="0.25">
      <c r="A11946" t="s">
        <v>15750</v>
      </c>
      <c r="B11946" s="1" t="str">
        <f>HYPERLINK("https://asmlis.vasa.lt/Dashboard/Served?ServiceDateFrom=2025-11-24&amp;ServiceDateTo=2025-11-24&amp;DumpsterInvNr=13-L-420177", "13-L-420177")</f>
        <v>13-L-420177</v>
      </c>
      <c r="C11946">
        <v>5</v>
      </c>
      <c r="D11946" t="s">
        <v>15751</v>
      </c>
      <c r="E11946" t="s">
        <v>11</v>
      </c>
      <c r="G11946" t="s">
        <v>74</v>
      </c>
      <c r="H11946" t="s">
        <v>14</v>
      </c>
    </row>
    <row r="11947" spans="1:8" hidden="1" x14ac:dyDescent="0.25">
      <c r="A11947" t="s">
        <v>14774</v>
      </c>
      <c r="B11947" s="1" t="str">
        <f>HYPERLINK("https://asmlis.vasa.lt/Dashboard/Served?ServiceDateFrom=2025-11-24&amp;ServiceDateTo=2025-11-24&amp;DumpsterInvNr=13-L-131634", "13-L-131634")</f>
        <v>13-L-131634</v>
      </c>
      <c r="C11947">
        <v>0.77</v>
      </c>
      <c r="D11947" t="s">
        <v>15752</v>
      </c>
      <c r="E11947" t="s">
        <v>11</v>
      </c>
      <c r="G11947" t="s">
        <v>430</v>
      </c>
      <c r="H11947" t="s">
        <v>432</v>
      </c>
    </row>
    <row r="11948" spans="1:8" hidden="1" x14ac:dyDescent="0.25">
      <c r="A11948" t="s">
        <v>15753</v>
      </c>
      <c r="B11948" s="1" t="str">
        <f>HYPERLINK("https://asmlis.vasa.lt/Dashboard/Served?ServiceDateFrom=2025-11-24&amp;ServiceDateTo=2025-11-24&amp;DumpsterInvNr=13-L-149397", "13-L-149397")</f>
        <v>13-L-149397</v>
      </c>
      <c r="C11948">
        <v>1.1000000000000001</v>
      </c>
      <c r="D11948" t="s">
        <v>943</v>
      </c>
      <c r="E11948" t="s">
        <v>12</v>
      </c>
      <c r="F11948" t="s">
        <v>13</v>
      </c>
      <c r="H11948" t="s">
        <v>432</v>
      </c>
    </row>
    <row r="11949" spans="1:8" hidden="1" x14ac:dyDescent="0.25">
      <c r="A11949" t="s">
        <v>15754</v>
      </c>
      <c r="B11949" s="1" t="str">
        <f>HYPERLINK("https://asmlis.vasa.lt/Dashboard/Served?ServiceDateFrom=2025-11-24&amp;ServiceDateTo=2025-11-24&amp;DumpsterInvNr=13-L-224749", "13-L-224749")</f>
        <v>13-L-224749</v>
      </c>
      <c r="C11949">
        <v>1.1000000000000001</v>
      </c>
      <c r="D11949" t="s">
        <v>15492</v>
      </c>
      <c r="E11949" t="s">
        <v>11</v>
      </c>
      <c r="G11949" t="s">
        <v>936</v>
      </c>
      <c r="H11949" t="s">
        <v>938</v>
      </c>
    </row>
    <row r="11950" spans="1:8" hidden="1" x14ac:dyDescent="0.25">
      <c r="A11950" t="s">
        <v>15755</v>
      </c>
      <c r="B11950" s="1" t="str">
        <f>HYPERLINK("https://asmlis.vasa.lt/Dashboard/Served?ServiceDateFrom=2025-11-24&amp;ServiceDateTo=2025-11-24&amp;DumpsterInvNr=13-S-207952", "13-S-207952")</f>
        <v>13-S-207952</v>
      </c>
      <c r="C11950">
        <v>0.12</v>
      </c>
      <c r="D11950" t="s">
        <v>15531</v>
      </c>
      <c r="E11950" t="s">
        <v>11</v>
      </c>
      <c r="F11950" t="s">
        <v>1209</v>
      </c>
      <c r="G11950" t="s">
        <v>234</v>
      </c>
      <c r="H11950" t="s">
        <v>14</v>
      </c>
    </row>
    <row r="11951" spans="1:8" hidden="1" x14ac:dyDescent="0.25">
      <c r="A11951" t="s">
        <v>15756</v>
      </c>
      <c r="B11951" s="1" t="str">
        <f>HYPERLINK("https://asmlis.vasa.lt/Dashboard/Served?ServiceDateFrom=2025-11-24&amp;ServiceDateTo=2025-11-24&amp;DumpsterInvNr=13-P-207911", "13-P-207911")</f>
        <v>13-P-207911</v>
      </c>
      <c r="C11951">
        <v>0.24</v>
      </c>
      <c r="D11951" t="s">
        <v>15552</v>
      </c>
      <c r="E11951" t="s">
        <v>11</v>
      </c>
      <c r="F11951" t="s">
        <v>1209</v>
      </c>
      <c r="G11951" t="s">
        <v>234</v>
      </c>
      <c r="H11951" t="s">
        <v>14</v>
      </c>
    </row>
    <row r="11952" spans="1:8" hidden="1" x14ac:dyDescent="0.25">
      <c r="A11952" t="s">
        <v>15757</v>
      </c>
      <c r="B11952" s="1" t="str">
        <f>HYPERLINK("https://asmlis.vasa.lt/Dashboard/Served?ServiceDateFrom=2025-11-24&amp;ServiceDateTo=2025-11-24&amp;DumpsterInvNr=13-L-149398", "13-L-149398")</f>
        <v>13-L-149398</v>
      </c>
      <c r="C11952">
        <v>1.1000000000000001</v>
      </c>
      <c r="D11952" t="s">
        <v>943</v>
      </c>
      <c r="E11952" t="s">
        <v>12</v>
      </c>
      <c r="F11952" t="s">
        <v>13</v>
      </c>
      <c r="H11952" t="s">
        <v>432</v>
      </c>
    </row>
    <row r="11953" spans="1:8" hidden="1" x14ac:dyDescent="0.25">
      <c r="A11953" t="s">
        <v>15758</v>
      </c>
      <c r="B11953" s="1" t="str">
        <f>HYPERLINK("https://asmlis.vasa.lt/Dashboard/Served?ServiceDateFrom=2025-11-24&amp;ServiceDateTo=2025-11-24&amp;DumpsterInvNr=13-L-149399", "13-L-149399")</f>
        <v>13-L-149399</v>
      </c>
      <c r="C11953">
        <v>1.1000000000000001</v>
      </c>
      <c r="D11953" t="s">
        <v>943</v>
      </c>
      <c r="E11953" t="s">
        <v>12</v>
      </c>
      <c r="F11953" t="s">
        <v>13</v>
      </c>
      <c r="H11953" t="s">
        <v>432</v>
      </c>
    </row>
    <row r="11954" spans="1:8" hidden="1" x14ac:dyDescent="0.25">
      <c r="A11954" t="s">
        <v>15759</v>
      </c>
      <c r="B11954" s="1" t="str">
        <f>HYPERLINK("https://asmlis.vasa.lt/Dashboard/Served?ServiceDateFrom=2025-11-24&amp;ServiceDateTo=2025-11-24&amp;DumpsterInvNr=13-L-136515", "13-L-136515")</f>
        <v>13-L-136515</v>
      </c>
      <c r="C11954">
        <v>5</v>
      </c>
      <c r="D11954" t="s">
        <v>4966</v>
      </c>
      <c r="E11954" t="s">
        <v>11</v>
      </c>
      <c r="F11954" t="s">
        <v>13</v>
      </c>
      <c r="G11954" t="s">
        <v>1912</v>
      </c>
      <c r="H11954" t="s">
        <v>432</v>
      </c>
    </row>
    <row r="11955" spans="1:8" hidden="1" x14ac:dyDescent="0.25">
      <c r="A11955" t="s">
        <v>15760</v>
      </c>
      <c r="B11955" s="1" t="str">
        <f>HYPERLINK("https://asmlis.vasa.lt/Dashboard/Served?ServiceDateFrom=2025-11-24&amp;ServiceDateTo=2025-11-24&amp;DumpsterInvNr=13-P-211854", "13-P-211854")</f>
        <v>13-P-211854</v>
      </c>
      <c r="C11955">
        <v>0.24</v>
      </c>
      <c r="D11955" t="s">
        <v>15344</v>
      </c>
      <c r="E11955" t="s">
        <v>11</v>
      </c>
      <c r="F11955" t="s">
        <v>1209</v>
      </c>
      <c r="G11955" t="s">
        <v>234</v>
      </c>
      <c r="H11955" t="s">
        <v>14</v>
      </c>
    </row>
    <row r="11956" spans="1:8" hidden="1" x14ac:dyDescent="0.25">
      <c r="A11956" t="s">
        <v>15761</v>
      </c>
      <c r="B11956" s="1" t="str">
        <f>HYPERLINK("https://asmlis.vasa.lt/Dashboard/Served?ServiceDateFrom=2025-11-24&amp;ServiceDateTo=2025-11-24&amp;DumpsterInvNr=13-L-136122", "13-L-136122")</f>
        <v>13-L-136122</v>
      </c>
      <c r="C11956">
        <v>5</v>
      </c>
      <c r="D11956" t="s">
        <v>15762</v>
      </c>
      <c r="E11956" t="s">
        <v>11</v>
      </c>
      <c r="F11956" t="s">
        <v>13</v>
      </c>
      <c r="G11956" t="s">
        <v>430</v>
      </c>
      <c r="H11956" t="s">
        <v>432</v>
      </c>
    </row>
    <row r="11957" spans="1:8" hidden="1" x14ac:dyDescent="0.25">
      <c r="A11957" t="s">
        <v>15764</v>
      </c>
      <c r="B11957" s="1" t="str">
        <f>HYPERLINK("https://asmlis.vasa.lt/Dashboard/Served?ServiceDateFrom=2025-11-24&amp;ServiceDateTo=2025-11-24&amp;DumpsterInvNr=13-L-115519", "13-L-115519")</f>
        <v>13-L-115519</v>
      </c>
      <c r="C11957">
        <v>1.1000000000000001</v>
      </c>
      <c r="D11957" t="s">
        <v>15765</v>
      </c>
      <c r="E11957" t="s">
        <v>11</v>
      </c>
      <c r="G11957" t="s">
        <v>430</v>
      </c>
      <c r="H11957" t="s">
        <v>432</v>
      </c>
    </row>
    <row r="11958" spans="1:8" hidden="1" x14ac:dyDescent="0.25">
      <c r="A11958" t="s">
        <v>14898</v>
      </c>
      <c r="B11958" s="1" t="str">
        <f>HYPERLINK("https://asmlis.vasa.lt/Dashboard/Served?ServiceDateFrom=2025-11-24&amp;ServiceDateTo=2025-11-24&amp;DumpsterInvNr=13-P-506925", "13-P-506925")</f>
        <v>13-P-506925</v>
      </c>
      <c r="C11958">
        <v>0.24</v>
      </c>
      <c r="D11958" t="s">
        <v>15766</v>
      </c>
      <c r="E11958" t="s">
        <v>11</v>
      </c>
      <c r="G11958" t="s">
        <v>2178</v>
      </c>
      <c r="H11958" t="s">
        <v>432</v>
      </c>
    </row>
    <row r="11959" spans="1:8" hidden="1" x14ac:dyDescent="0.25">
      <c r="A11959" t="s">
        <v>15370</v>
      </c>
      <c r="B11959" s="1" t="str">
        <f>HYPERLINK("https://asmlis.vasa.lt/Dashboard/Served?ServiceDateFrom=2025-11-24&amp;ServiceDateTo=2025-11-24&amp;DumpsterInvNr=13-L-123408", "13-L-123408")</f>
        <v>13-L-123408</v>
      </c>
      <c r="C11959">
        <v>0.12</v>
      </c>
      <c r="D11959" t="s">
        <v>15766</v>
      </c>
      <c r="E11959" t="s">
        <v>11</v>
      </c>
      <c r="G11959" t="s">
        <v>430</v>
      </c>
      <c r="H11959" t="s">
        <v>432</v>
      </c>
    </row>
    <row r="11960" spans="1:8" hidden="1" x14ac:dyDescent="0.25">
      <c r="A11960" t="s">
        <v>15769</v>
      </c>
      <c r="B11960" s="1" t="str">
        <f>HYPERLINK("https://asmlis.vasa.lt/Dashboard/Served?ServiceDateFrom=2025-11-24&amp;ServiceDateTo=2025-11-24&amp;DumpsterInvNr=13-P-303632", "13-P-303632")</f>
        <v>13-P-303632</v>
      </c>
      <c r="C11960">
        <v>3</v>
      </c>
      <c r="D11960" t="s">
        <v>14726</v>
      </c>
      <c r="E11960" t="s">
        <v>11</v>
      </c>
      <c r="G11960" t="s">
        <v>412</v>
      </c>
      <c r="H11960" t="s">
        <v>14</v>
      </c>
    </row>
    <row r="11961" spans="1:8" hidden="1" x14ac:dyDescent="0.25">
      <c r="A11961" t="s">
        <v>15770</v>
      </c>
      <c r="B11961" s="1" t="str">
        <f>HYPERLINK("https://asmlis.vasa.lt/Dashboard/Served?ServiceDateFrom=2025-11-24&amp;ServiceDateTo=2025-11-24&amp;DumpsterInvNr=13-P-500377", "13-P-500377")</f>
        <v>13-P-500377</v>
      </c>
      <c r="C11961">
        <v>5</v>
      </c>
      <c r="D11961" t="s">
        <v>11343</v>
      </c>
      <c r="E11961" t="s">
        <v>11</v>
      </c>
      <c r="F11961" t="s">
        <v>13</v>
      </c>
      <c r="G11961" t="s">
        <v>2178</v>
      </c>
      <c r="H11961" t="s">
        <v>432</v>
      </c>
    </row>
    <row r="11962" spans="1:8" hidden="1" x14ac:dyDescent="0.25">
      <c r="A11962" t="s">
        <v>15771</v>
      </c>
      <c r="B11962" s="1" t="str">
        <f>HYPERLINK("https://asmlis.vasa.lt/Dashboard/Served?ServiceDateFrom=2025-11-24&amp;ServiceDateTo=2025-11-24&amp;DumpsterInvNr=13-L-219201", "13-L-219201")</f>
        <v>13-L-219201</v>
      </c>
      <c r="C11962">
        <v>0.24</v>
      </c>
      <c r="D11962" t="s">
        <v>15772</v>
      </c>
      <c r="E11962" t="s">
        <v>11</v>
      </c>
      <c r="G11962" t="s">
        <v>936</v>
      </c>
      <c r="H11962" t="s">
        <v>938</v>
      </c>
    </row>
    <row r="11963" spans="1:8" hidden="1" x14ac:dyDescent="0.25">
      <c r="A11963" t="s">
        <v>15771</v>
      </c>
      <c r="B11963" s="1" t="str">
        <f>HYPERLINK("https://asmlis.vasa.lt/Dashboard/Served?ServiceDateFrom=2025-11-24&amp;ServiceDateTo=2025-11-24&amp;DumpsterInvNr=13-L-225330", "13-L-225330")</f>
        <v>13-L-225330</v>
      </c>
      <c r="C11963">
        <v>0.24</v>
      </c>
      <c r="D11963" t="s">
        <v>15773</v>
      </c>
      <c r="E11963" t="s">
        <v>11</v>
      </c>
      <c r="G11963" t="s">
        <v>936</v>
      </c>
      <c r="H11963" t="s">
        <v>938</v>
      </c>
    </row>
    <row r="11964" spans="1:8" hidden="1" x14ac:dyDescent="0.25">
      <c r="A11964" t="s">
        <v>15774</v>
      </c>
      <c r="B11964" s="1" t="str">
        <f>HYPERLINK("https://asmlis.vasa.lt/Dashboard/Served?ServiceDateFrom=2025-11-24&amp;ServiceDateTo=2025-11-24&amp;DumpsterInvNr=13-L-318377", "13-L-318377")</f>
        <v>13-L-318377</v>
      </c>
      <c r="C11964">
        <v>0.77</v>
      </c>
      <c r="D11964" t="s">
        <v>15775</v>
      </c>
      <c r="E11964" t="s">
        <v>11</v>
      </c>
      <c r="G11964" t="s">
        <v>9</v>
      </c>
      <c r="H11964" t="s">
        <v>14</v>
      </c>
    </row>
    <row r="11965" spans="1:8" hidden="1" x14ac:dyDescent="0.25">
      <c r="A11965" t="s">
        <v>15776</v>
      </c>
      <c r="B11965" s="1" t="str">
        <f>HYPERLINK("https://asmlis.vasa.lt/Dashboard/Served?ServiceDateFrom=2025-11-24&amp;ServiceDateTo=2025-11-24&amp;DumpsterInvNr=13-P-203449", "13-P-203449")</f>
        <v>13-P-203449</v>
      </c>
      <c r="C11965">
        <v>1.1000000000000001</v>
      </c>
      <c r="D11965" t="s">
        <v>3024</v>
      </c>
      <c r="E11965" t="s">
        <v>11</v>
      </c>
      <c r="F11965" t="s">
        <v>13</v>
      </c>
      <c r="G11965" t="s">
        <v>234</v>
      </c>
      <c r="H11965" t="s">
        <v>14</v>
      </c>
    </row>
    <row r="11966" spans="1:8" hidden="1" x14ac:dyDescent="0.25">
      <c r="A11966" t="s">
        <v>15777</v>
      </c>
      <c r="B11966" s="1" t="str">
        <f>HYPERLINK("https://asmlis.vasa.lt/Dashboard/Served?ServiceDateFrom=2025-11-24&amp;ServiceDateTo=2025-11-24&amp;DumpsterInvNr=13-L-105941", "13-L-105941")</f>
        <v>13-L-105941</v>
      </c>
      <c r="C11966">
        <v>1.1000000000000001</v>
      </c>
      <c r="D11966" t="s">
        <v>15778</v>
      </c>
      <c r="E11966" t="s">
        <v>11</v>
      </c>
      <c r="G11966" t="s">
        <v>1912</v>
      </c>
      <c r="H11966" t="s">
        <v>432</v>
      </c>
    </row>
    <row r="11967" spans="1:8" hidden="1" x14ac:dyDescent="0.25">
      <c r="A11967" t="s">
        <v>15385</v>
      </c>
      <c r="B11967" s="1" t="str">
        <f>HYPERLINK("https://asmlis.vasa.lt/Dashboard/Served?ServiceDateFrom=2025-11-24&amp;ServiceDateTo=2025-11-24&amp;DumpsterInvNr=13-L-311728", "13-L-311728")</f>
        <v>13-L-311728</v>
      </c>
      <c r="C11967">
        <v>0.77</v>
      </c>
      <c r="D11967" t="s">
        <v>15775</v>
      </c>
      <c r="E11967" t="s">
        <v>11</v>
      </c>
      <c r="G11967" t="s">
        <v>9</v>
      </c>
      <c r="H11967" t="s">
        <v>14</v>
      </c>
    </row>
    <row r="11968" spans="1:8" hidden="1" x14ac:dyDescent="0.25">
      <c r="A11968" t="s">
        <v>15779</v>
      </c>
      <c r="B11968" s="1" t="str">
        <f>HYPERLINK("https://asmlis.vasa.lt/Dashboard/Served?ServiceDateFrom=2025-11-24&amp;ServiceDateTo=2025-11-24&amp;DumpsterInvNr=13-L-142959", "13-L-142959")</f>
        <v>13-L-142959</v>
      </c>
      <c r="C11968">
        <v>0.24</v>
      </c>
      <c r="D11968" t="s">
        <v>15780</v>
      </c>
      <c r="E11968" t="s">
        <v>11</v>
      </c>
      <c r="G11968" t="s">
        <v>1912</v>
      </c>
      <c r="H11968" t="s">
        <v>432</v>
      </c>
    </row>
    <row r="11969" spans="1:8" hidden="1" x14ac:dyDescent="0.25">
      <c r="A11969" t="s">
        <v>15782</v>
      </c>
      <c r="B11969" s="1" t="str">
        <f>HYPERLINK("https://asmlis.vasa.lt/Dashboard/Served?ServiceDateFrom=2025-11-24&amp;ServiceDateTo=2025-11-24&amp;DumpsterInvNr=13-S-208547", "13-S-208547")</f>
        <v>13-S-208547</v>
      </c>
      <c r="C11969">
        <v>1.8</v>
      </c>
      <c r="D11969" t="s">
        <v>15783</v>
      </c>
      <c r="E11969" t="s">
        <v>11</v>
      </c>
      <c r="G11969" t="s">
        <v>234</v>
      </c>
      <c r="H11969" t="s">
        <v>14</v>
      </c>
    </row>
    <row r="11970" spans="1:8" hidden="1" x14ac:dyDescent="0.25">
      <c r="A11970" t="s">
        <v>15784</v>
      </c>
      <c r="B11970" s="1" t="str">
        <f>HYPERLINK("https://asmlis.vasa.lt/Dashboard/Served?ServiceDateFrom=2025-11-24&amp;ServiceDateTo=2025-11-24&amp;DumpsterInvNr=13-L-308763", "13-L-308763")</f>
        <v>13-L-308763</v>
      </c>
      <c r="C11970">
        <v>0.77</v>
      </c>
      <c r="D11970" t="s">
        <v>15775</v>
      </c>
      <c r="E11970" t="s">
        <v>11</v>
      </c>
      <c r="G11970" t="s">
        <v>9</v>
      </c>
      <c r="H11970" t="s">
        <v>14</v>
      </c>
    </row>
    <row r="11971" spans="1:8" hidden="1" x14ac:dyDescent="0.25">
      <c r="A11971" t="s">
        <v>15785</v>
      </c>
      <c r="B11971" s="1" t="str">
        <f>HYPERLINK("https://asmlis.vasa.lt/Dashboard/Served?ServiceDateFrom=2025-11-24&amp;ServiceDateTo=2025-11-24&amp;DumpsterInvNr=13-P-113036", "13-P-113036")</f>
        <v>13-P-113036</v>
      </c>
      <c r="C11971">
        <v>0.24</v>
      </c>
      <c r="D11971" t="s">
        <v>15786</v>
      </c>
      <c r="E11971" t="s">
        <v>11</v>
      </c>
      <c r="F11971" t="s">
        <v>1209</v>
      </c>
      <c r="G11971" t="s">
        <v>1917</v>
      </c>
      <c r="H11971" t="s">
        <v>432</v>
      </c>
    </row>
    <row r="11972" spans="1:8" hidden="1" x14ac:dyDescent="0.25">
      <c r="A11972" t="s">
        <v>15787</v>
      </c>
      <c r="B11972" s="1" t="str">
        <f>HYPERLINK("https://asmlis.vasa.lt/Dashboard/Served?ServiceDateFrom=2025-11-24&amp;ServiceDateTo=2025-11-24&amp;DumpsterInvNr=13-P-115598", "13-P-115598")</f>
        <v>13-P-115598</v>
      </c>
      <c r="C11972">
        <v>1.1000000000000001</v>
      </c>
      <c r="D11972" t="s">
        <v>15788</v>
      </c>
      <c r="E11972" t="s">
        <v>11</v>
      </c>
      <c r="F11972" t="s">
        <v>1209</v>
      </c>
      <c r="G11972" t="s">
        <v>1917</v>
      </c>
      <c r="H11972" t="s">
        <v>432</v>
      </c>
    </row>
    <row r="11973" spans="1:8" hidden="1" x14ac:dyDescent="0.25">
      <c r="A11973" t="s">
        <v>15789</v>
      </c>
      <c r="B11973" s="1" t="str">
        <f>HYPERLINK("https://asmlis.vasa.lt/Dashboard/Served?ServiceDateFrom=2025-11-24&amp;ServiceDateTo=2025-11-24&amp;DumpsterInvNr=13-L-424462", "13-L-424462")</f>
        <v>13-L-424462</v>
      </c>
      <c r="C11973">
        <v>5</v>
      </c>
      <c r="D11973" t="s">
        <v>8822</v>
      </c>
      <c r="E11973" t="s">
        <v>11</v>
      </c>
      <c r="F11973" t="s">
        <v>13</v>
      </c>
      <c r="G11973" t="s">
        <v>74</v>
      </c>
      <c r="H11973" t="s">
        <v>14</v>
      </c>
    </row>
    <row r="11974" spans="1:8" hidden="1" x14ac:dyDescent="0.25">
      <c r="A11974" t="s">
        <v>15790</v>
      </c>
      <c r="B11974" s="1" t="str">
        <f>HYPERLINK("https://asmlis.vasa.lt/Dashboard/Served?ServiceDateFrom=2025-11-24&amp;ServiceDateTo=2025-11-24&amp;DumpsterInvNr=13-L-212144", "13-L-212144")</f>
        <v>13-L-212144</v>
      </c>
      <c r="C11974">
        <v>1.1000000000000001</v>
      </c>
      <c r="D11974" t="s">
        <v>15492</v>
      </c>
      <c r="E11974" t="s">
        <v>11</v>
      </c>
      <c r="G11974" t="s">
        <v>936</v>
      </c>
      <c r="H11974" t="s">
        <v>938</v>
      </c>
    </row>
    <row r="11975" spans="1:8" hidden="1" x14ac:dyDescent="0.25">
      <c r="A11975" t="s">
        <v>15790</v>
      </c>
      <c r="B11975" s="1" t="str">
        <f>HYPERLINK("https://asmlis.vasa.lt/Dashboard/Served?ServiceDateFrom=2025-11-24&amp;ServiceDateTo=2025-11-24&amp;DumpsterInvNr=13-P-413711", "13-P-413711")</f>
        <v>13-P-413711</v>
      </c>
      <c r="C11975">
        <v>5</v>
      </c>
      <c r="D11975" t="s">
        <v>11327</v>
      </c>
      <c r="E11975" t="s">
        <v>11</v>
      </c>
      <c r="G11975" t="s">
        <v>264</v>
      </c>
      <c r="H11975" t="s">
        <v>14</v>
      </c>
    </row>
    <row r="11976" spans="1:8" hidden="1" x14ac:dyDescent="0.25">
      <c r="A11976" t="s">
        <v>15791</v>
      </c>
      <c r="B11976" s="1" t="str">
        <f>HYPERLINK("https://asmlis.vasa.lt/Dashboard/Served?ServiceDateFrom=2025-11-24&amp;ServiceDateTo=2025-11-24&amp;DumpsterInvNr=13-L-111218", "13-L-111218")</f>
        <v>13-L-111218</v>
      </c>
      <c r="C11976">
        <v>0.12</v>
      </c>
      <c r="D11976" t="s">
        <v>15786</v>
      </c>
      <c r="E11976" t="s">
        <v>11</v>
      </c>
      <c r="G11976" t="s">
        <v>1912</v>
      </c>
      <c r="H11976" t="s">
        <v>432</v>
      </c>
    </row>
    <row r="11977" spans="1:8" hidden="1" x14ac:dyDescent="0.25">
      <c r="A11977" t="s">
        <v>15792</v>
      </c>
      <c r="B11977" s="1" t="str">
        <f>HYPERLINK("https://asmlis.vasa.lt/Dashboard/Served?ServiceDateFrom=2025-11-24&amp;ServiceDateTo=2025-11-24&amp;DumpsterInvNr=13-P-500253", "13-P-500253")</f>
        <v>13-P-500253</v>
      </c>
      <c r="C11977">
        <v>5</v>
      </c>
      <c r="D11977" t="s">
        <v>15697</v>
      </c>
      <c r="E11977" t="s">
        <v>11</v>
      </c>
      <c r="F11977" t="s">
        <v>13</v>
      </c>
      <c r="G11977" t="s">
        <v>2178</v>
      </c>
      <c r="H11977" t="s">
        <v>432</v>
      </c>
    </row>
    <row r="11978" spans="1:8" hidden="1" x14ac:dyDescent="0.25">
      <c r="A11978" t="s">
        <v>15793</v>
      </c>
      <c r="B11978" s="1" t="str">
        <f>HYPERLINK("https://asmlis.vasa.lt/Dashboard/Served?ServiceDateFrom=2025-11-24&amp;ServiceDateTo=2025-11-24&amp;DumpsterInvNr=13-L-211192", "13-L-211192")</f>
        <v>13-L-211192</v>
      </c>
      <c r="C11978">
        <v>0.12</v>
      </c>
      <c r="D11978" t="s">
        <v>15794</v>
      </c>
      <c r="E11978" t="s">
        <v>11</v>
      </c>
      <c r="G11978" t="s">
        <v>936</v>
      </c>
      <c r="H11978" t="s">
        <v>938</v>
      </c>
    </row>
    <row r="11979" spans="1:8" hidden="1" x14ac:dyDescent="0.25">
      <c r="A11979" t="s">
        <v>15795</v>
      </c>
      <c r="B11979" s="1" t="str">
        <f>HYPERLINK("https://asmlis.vasa.lt/Dashboard/Served?ServiceDateFrom=2025-11-24&amp;ServiceDateTo=2025-11-24&amp;DumpsterInvNr=13-P-203773", "13-P-203773")</f>
        <v>13-P-203773</v>
      </c>
      <c r="C11979">
        <v>0.24</v>
      </c>
      <c r="D11979" t="s">
        <v>15141</v>
      </c>
      <c r="E11979" t="s">
        <v>11</v>
      </c>
      <c r="G11979" t="s">
        <v>234</v>
      </c>
      <c r="H11979" t="s">
        <v>14</v>
      </c>
    </row>
    <row r="11980" spans="1:8" hidden="1" x14ac:dyDescent="0.25">
      <c r="A11980" t="s">
        <v>15796</v>
      </c>
      <c r="B11980" s="1" t="str">
        <f>HYPERLINK("https://asmlis.vasa.lt/Dashboard/Served?ServiceDateFrom=2025-11-24&amp;ServiceDateTo=2025-11-24&amp;DumpsterInvNr=13-L-223446", "13-L-223446")</f>
        <v>13-L-223446</v>
      </c>
      <c r="C11980">
        <v>1.1000000000000001</v>
      </c>
      <c r="D11980" t="s">
        <v>15492</v>
      </c>
      <c r="E11980" t="s">
        <v>11</v>
      </c>
      <c r="G11980" t="s">
        <v>936</v>
      </c>
      <c r="H11980" t="s">
        <v>938</v>
      </c>
    </row>
    <row r="11981" spans="1:8" hidden="1" x14ac:dyDescent="0.25">
      <c r="A11981" t="s">
        <v>15797</v>
      </c>
      <c r="B11981" s="1" t="str">
        <f>HYPERLINK("https://asmlis.vasa.lt/Dashboard/Served?ServiceDateFrom=2025-11-24&amp;ServiceDateTo=2025-11-24&amp;DumpsterInvNr=13-L-420110", "13-L-420110")</f>
        <v>13-L-420110</v>
      </c>
      <c r="C11981">
        <v>5</v>
      </c>
      <c r="D11981" t="s">
        <v>15798</v>
      </c>
      <c r="E11981" t="s">
        <v>11</v>
      </c>
      <c r="G11981" t="s">
        <v>74</v>
      </c>
      <c r="H11981" t="s">
        <v>14</v>
      </c>
    </row>
    <row r="11982" spans="1:8" hidden="1" x14ac:dyDescent="0.25">
      <c r="A11982" t="s">
        <v>15797</v>
      </c>
      <c r="B11982" s="1" t="str">
        <f>HYPERLINK("https://asmlis.vasa.lt/Dashboard/Served?ServiceDateFrom=2025-11-24&amp;ServiceDateTo=2025-11-24&amp;DumpsterInvNr=13-L-227672", "13-L-227672")</f>
        <v>13-L-227672</v>
      </c>
      <c r="C11982">
        <v>0.24</v>
      </c>
      <c r="D11982" t="s">
        <v>15799</v>
      </c>
      <c r="E11982" t="s">
        <v>11</v>
      </c>
      <c r="F11982" t="s">
        <v>13</v>
      </c>
      <c r="G11982" t="s">
        <v>936</v>
      </c>
      <c r="H11982" t="s">
        <v>938</v>
      </c>
    </row>
    <row r="11983" spans="1:8" hidden="1" x14ac:dyDescent="0.25">
      <c r="A11983" t="s">
        <v>15800</v>
      </c>
      <c r="B11983" s="1" t="str">
        <f>HYPERLINK("https://asmlis.vasa.lt/Dashboard/Served?ServiceDateFrom=2025-11-24&amp;ServiceDateTo=2025-11-24&amp;DumpsterInvNr=13-L-316803", "13-L-316803")</f>
        <v>13-L-316803</v>
      </c>
      <c r="C11983">
        <v>1.1000000000000001</v>
      </c>
      <c r="D11983" t="s">
        <v>15428</v>
      </c>
      <c r="E11983" t="s">
        <v>11</v>
      </c>
      <c r="G11983" t="s">
        <v>9</v>
      </c>
      <c r="H11983" t="s">
        <v>14</v>
      </c>
    </row>
    <row r="11984" spans="1:8" hidden="1" x14ac:dyDescent="0.25">
      <c r="A11984" t="s">
        <v>15801</v>
      </c>
      <c r="B11984" s="1" t="str">
        <f>HYPERLINK("https://asmlis.vasa.lt/Dashboard/Served?ServiceDateFrom=2025-11-24&amp;ServiceDateTo=2025-11-24&amp;DumpsterInvNr=13-L-144618", "13-L-144618")</f>
        <v>13-L-144618</v>
      </c>
      <c r="C11984">
        <v>5</v>
      </c>
      <c r="D11984" t="s">
        <v>10405</v>
      </c>
      <c r="E11984" t="s">
        <v>11</v>
      </c>
      <c r="F11984" t="s">
        <v>13</v>
      </c>
      <c r="G11984" t="s">
        <v>430</v>
      </c>
      <c r="H11984" t="s">
        <v>432</v>
      </c>
    </row>
    <row r="11985" spans="1:8" hidden="1" x14ac:dyDescent="0.25">
      <c r="A11985" t="s">
        <v>15802</v>
      </c>
      <c r="B11985" s="1" t="str">
        <f>HYPERLINK("https://asmlis.vasa.lt/Dashboard/Served?ServiceDateFrom=2025-11-24&amp;ServiceDateTo=2025-11-24&amp;DumpsterInvNr=13-P-501850", "13-P-501850")</f>
        <v>13-P-501850</v>
      </c>
      <c r="C11985">
        <v>5</v>
      </c>
      <c r="D11985" t="s">
        <v>14428</v>
      </c>
      <c r="E11985" t="s">
        <v>11</v>
      </c>
      <c r="F11985" t="s">
        <v>13</v>
      </c>
      <c r="G11985" t="s">
        <v>2178</v>
      </c>
      <c r="H11985" t="s">
        <v>432</v>
      </c>
    </row>
    <row r="11986" spans="1:8" hidden="1" x14ac:dyDescent="0.25">
      <c r="A11986" t="s">
        <v>15804</v>
      </c>
      <c r="B11986" s="1" t="str">
        <f>HYPERLINK("https://asmlis.vasa.lt/Dashboard/Served?ServiceDateFrom=2025-11-24&amp;ServiceDateTo=2025-11-24&amp;DumpsterInvNr=13-L-219549", "13-L-219549")</f>
        <v>13-L-219549</v>
      </c>
      <c r="C11986">
        <v>1.1000000000000001</v>
      </c>
      <c r="D11986" t="s">
        <v>15492</v>
      </c>
      <c r="E11986" t="s">
        <v>11</v>
      </c>
      <c r="G11986" t="s">
        <v>936</v>
      </c>
      <c r="H11986" t="s">
        <v>938</v>
      </c>
    </row>
    <row r="11987" spans="1:8" hidden="1" x14ac:dyDescent="0.25">
      <c r="A11987" t="s">
        <v>15805</v>
      </c>
      <c r="B11987" s="1" t="str">
        <f>HYPERLINK("https://asmlis.vasa.lt/Dashboard/Served?ServiceDateFrom=2025-11-24&amp;ServiceDateTo=2025-11-24&amp;DumpsterInvNr=13-L-141832", "13-L-141832")</f>
        <v>13-L-141832</v>
      </c>
      <c r="C11987">
        <v>5</v>
      </c>
      <c r="D11987" t="s">
        <v>4859</v>
      </c>
      <c r="E11987" t="s">
        <v>11</v>
      </c>
      <c r="F11987" t="s">
        <v>13</v>
      </c>
      <c r="G11987" t="s">
        <v>1912</v>
      </c>
      <c r="H11987" t="s">
        <v>432</v>
      </c>
    </row>
    <row r="11988" spans="1:8" hidden="1" x14ac:dyDescent="0.25">
      <c r="A11988" t="s">
        <v>15806</v>
      </c>
      <c r="B11988" s="1" t="str">
        <f>HYPERLINK("https://asmlis.vasa.lt/Dashboard/Served?ServiceDateFrom=2025-11-24&amp;ServiceDateTo=2025-11-24&amp;DumpsterInvNr=13-L-317163", "13-L-317163")</f>
        <v>13-L-317163</v>
      </c>
      <c r="C11988">
        <v>1.1000000000000001</v>
      </c>
      <c r="D11988" t="s">
        <v>15428</v>
      </c>
      <c r="E11988" t="s">
        <v>11</v>
      </c>
      <c r="G11988" t="s">
        <v>9</v>
      </c>
      <c r="H11988" t="s">
        <v>14</v>
      </c>
    </row>
    <row r="11989" spans="1:8" hidden="1" x14ac:dyDescent="0.25">
      <c r="A11989" t="s">
        <v>15806</v>
      </c>
      <c r="B11989" s="1" t="str">
        <f>HYPERLINK("https://asmlis.vasa.lt/Dashboard/Served?ServiceDateFrom=2025-11-24&amp;ServiceDateTo=2025-11-24&amp;DumpsterInvNr=13-P-302325", "13-P-302325")</f>
        <v>13-P-302325</v>
      </c>
      <c r="C11989">
        <v>3</v>
      </c>
      <c r="D11989" t="s">
        <v>14726</v>
      </c>
      <c r="E11989" t="s">
        <v>11</v>
      </c>
      <c r="F11989" t="s">
        <v>13</v>
      </c>
      <c r="G11989" t="s">
        <v>412</v>
      </c>
      <c r="H11989" t="s">
        <v>14</v>
      </c>
    </row>
    <row r="11990" spans="1:8" hidden="1" x14ac:dyDescent="0.25">
      <c r="A11990" t="s">
        <v>15807</v>
      </c>
      <c r="B11990" s="1" t="str">
        <f>HYPERLINK("https://asmlis.vasa.lt/Dashboard/Served?ServiceDateFrom=2025-11-24&amp;ServiceDateTo=2025-11-24&amp;DumpsterInvNr=13-P-105789", "13-P-105789")</f>
        <v>13-P-105789</v>
      </c>
      <c r="C11990">
        <v>0.24</v>
      </c>
      <c r="D11990" t="s">
        <v>15808</v>
      </c>
      <c r="E11990" t="s">
        <v>11</v>
      </c>
      <c r="G11990" t="s">
        <v>1917</v>
      </c>
      <c r="H11990" t="s">
        <v>432</v>
      </c>
    </row>
    <row r="11991" spans="1:8" hidden="1" x14ac:dyDescent="0.25">
      <c r="A11991" t="s">
        <v>13250</v>
      </c>
      <c r="B11991" s="1" t="str">
        <f>HYPERLINK("https://asmlis.vasa.lt/Dashboard/Served?ServiceDateFrom=2025-11-24&amp;ServiceDateTo=2025-11-24&amp;DumpsterInvNr=13-L-106028", "13-L-106028")</f>
        <v>13-L-106028</v>
      </c>
      <c r="C11991">
        <v>0.24</v>
      </c>
      <c r="D11991" t="s">
        <v>15808</v>
      </c>
      <c r="E11991" t="s">
        <v>11</v>
      </c>
      <c r="G11991" t="s">
        <v>1912</v>
      </c>
      <c r="H11991" t="s">
        <v>432</v>
      </c>
    </row>
    <row r="11992" spans="1:8" hidden="1" x14ac:dyDescent="0.25">
      <c r="A11992" t="s">
        <v>15810</v>
      </c>
      <c r="B11992" s="1" t="str">
        <f>HYPERLINK("https://asmlis.vasa.lt/Dashboard/Served?ServiceDateFrom=2025-11-24&amp;ServiceDateTo=2025-11-24&amp;DumpsterInvNr=13-S-204883", "13-S-204883")</f>
        <v>13-S-204883</v>
      </c>
      <c r="C11992">
        <v>0.12</v>
      </c>
      <c r="D11992" t="s">
        <v>15158</v>
      </c>
      <c r="E11992" t="s">
        <v>11</v>
      </c>
      <c r="G11992" t="s">
        <v>234</v>
      </c>
      <c r="H11992" t="s">
        <v>14</v>
      </c>
    </row>
    <row r="11993" spans="1:8" hidden="1" x14ac:dyDescent="0.25">
      <c r="A11993" t="s">
        <v>15811</v>
      </c>
      <c r="B11993" s="1" t="str">
        <f>HYPERLINK("https://asmlis.vasa.lt/Dashboard/Served?ServiceDateFrom=2025-11-24&amp;ServiceDateTo=2025-11-24&amp;DumpsterInvNr=13-L-304376", "13-L-304376")</f>
        <v>13-L-304376</v>
      </c>
      <c r="C11993">
        <v>3</v>
      </c>
      <c r="D11993" t="s">
        <v>15812</v>
      </c>
      <c r="E11993" t="s">
        <v>11</v>
      </c>
      <c r="G11993" t="s">
        <v>9</v>
      </c>
      <c r="H11993" t="s">
        <v>14</v>
      </c>
    </row>
    <row r="11994" spans="1:8" hidden="1" x14ac:dyDescent="0.25">
      <c r="A11994" t="s">
        <v>15813</v>
      </c>
      <c r="B11994" s="1" t="str">
        <f>HYPERLINK("https://asmlis.vasa.lt/Dashboard/Served?ServiceDateFrom=2025-11-24&amp;ServiceDateTo=2025-11-24&amp;DumpsterInvNr=13-P-416106", "13-P-416106")</f>
        <v>13-P-416106</v>
      </c>
      <c r="C11994">
        <v>1.1000000000000001</v>
      </c>
      <c r="D11994" t="s">
        <v>15814</v>
      </c>
      <c r="E11994" t="s">
        <v>11</v>
      </c>
      <c r="F11994" t="s">
        <v>13</v>
      </c>
      <c r="G11994" t="s">
        <v>264</v>
      </c>
      <c r="H11994" t="s">
        <v>14</v>
      </c>
    </row>
    <row r="11995" spans="1:8" hidden="1" x14ac:dyDescent="0.25">
      <c r="A11995" t="s">
        <v>15813</v>
      </c>
      <c r="B11995" s="1" t="str">
        <f>HYPERLINK("https://asmlis.vasa.lt/Dashboard/Served?ServiceDateFrom=2025-11-24&amp;ServiceDateTo=2025-11-24&amp;DumpsterInvNr=13-P-500256", "13-P-500256")</f>
        <v>13-P-500256</v>
      </c>
      <c r="C11995">
        <v>3</v>
      </c>
      <c r="D11995" t="s">
        <v>15815</v>
      </c>
      <c r="E11995" t="s">
        <v>11</v>
      </c>
      <c r="F11995" t="s">
        <v>13</v>
      </c>
      <c r="G11995" t="s">
        <v>2178</v>
      </c>
      <c r="H11995" t="s">
        <v>432</v>
      </c>
    </row>
    <row r="11996" spans="1:8" hidden="1" x14ac:dyDescent="0.25">
      <c r="A11996" t="s">
        <v>15816</v>
      </c>
      <c r="B11996" s="1" t="str">
        <f>HYPERLINK("https://asmlis.vasa.lt/Dashboard/Served?ServiceDateFrom=2025-11-24&amp;ServiceDateTo=2025-11-24&amp;DumpsterInvNr=13-L-225371", "13-L-225371")</f>
        <v>13-L-225371</v>
      </c>
      <c r="C11996">
        <v>1.1000000000000001</v>
      </c>
      <c r="D11996" t="s">
        <v>15492</v>
      </c>
      <c r="E11996" t="s">
        <v>11</v>
      </c>
      <c r="G11996" t="s">
        <v>936</v>
      </c>
      <c r="H11996" t="s">
        <v>938</v>
      </c>
    </row>
    <row r="11997" spans="1:8" hidden="1" x14ac:dyDescent="0.25">
      <c r="A11997" t="s">
        <v>15817</v>
      </c>
      <c r="B11997" s="1" t="str">
        <f>HYPERLINK("https://asmlis.vasa.lt/Dashboard/Served?ServiceDateFrom=2025-11-24&amp;ServiceDateTo=2025-11-24&amp;DumpsterInvNr=13-L-203539", "13-L-203539")</f>
        <v>13-L-203539</v>
      </c>
      <c r="C11997">
        <v>0.24</v>
      </c>
      <c r="D11997" t="s">
        <v>15818</v>
      </c>
      <c r="E11997" t="s">
        <v>11</v>
      </c>
      <c r="G11997" t="s">
        <v>936</v>
      </c>
      <c r="H11997" t="s">
        <v>938</v>
      </c>
    </row>
    <row r="11998" spans="1:8" hidden="1" x14ac:dyDescent="0.25">
      <c r="A11998" t="s">
        <v>15817</v>
      </c>
      <c r="B11998" s="1" t="str">
        <f>HYPERLINK("https://asmlis.vasa.lt/Dashboard/Served?ServiceDateFrom=2025-11-24&amp;ServiceDateTo=2025-11-24&amp;DumpsterInvNr=13-P-204211", "13-P-204211")</f>
        <v>13-P-204211</v>
      </c>
      <c r="C11998">
        <v>0.24</v>
      </c>
      <c r="D11998" t="s">
        <v>15158</v>
      </c>
      <c r="E11998" t="s">
        <v>11</v>
      </c>
      <c r="G11998" t="s">
        <v>234</v>
      </c>
      <c r="H11998" t="s">
        <v>14</v>
      </c>
    </row>
    <row r="11999" spans="1:8" hidden="1" x14ac:dyDescent="0.25">
      <c r="A11999" t="s">
        <v>15819</v>
      </c>
      <c r="B11999" s="1" t="str">
        <f>HYPERLINK("https://asmlis.vasa.lt/Dashboard/Served?ServiceDateFrom=2025-11-24&amp;ServiceDateTo=2025-11-24&amp;DumpsterInvNr=13-L-420158", "13-L-420158")</f>
        <v>13-L-420158</v>
      </c>
      <c r="C11999">
        <v>5</v>
      </c>
      <c r="D11999" t="s">
        <v>15820</v>
      </c>
      <c r="E11999" t="s">
        <v>11</v>
      </c>
      <c r="F11999" t="s">
        <v>13</v>
      </c>
      <c r="G11999" t="s">
        <v>74</v>
      </c>
      <c r="H11999" t="s">
        <v>14</v>
      </c>
    </row>
    <row r="12000" spans="1:8" hidden="1" x14ac:dyDescent="0.25">
      <c r="A12000" t="s">
        <v>15821</v>
      </c>
      <c r="B12000" s="1" t="str">
        <f>HYPERLINK("https://asmlis.vasa.lt/Dashboard/Served?ServiceDateFrom=2025-11-24&amp;ServiceDateTo=2025-11-24&amp;DumpsterInvNr=13-P-413924", "13-P-413924")</f>
        <v>13-P-413924</v>
      </c>
      <c r="C12000">
        <v>5</v>
      </c>
      <c r="D12000" t="s">
        <v>15822</v>
      </c>
      <c r="E12000" t="s">
        <v>11</v>
      </c>
      <c r="G12000" t="s">
        <v>264</v>
      </c>
      <c r="H12000" t="s">
        <v>14</v>
      </c>
    </row>
    <row r="12001" spans="1:8" hidden="1" x14ac:dyDescent="0.25">
      <c r="A12001" t="s">
        <v>15823</v>
      </c>
      <c r="B12001" s="1" t="str">
        <f>HYPERLINK("https://asmlis.vasa.lt/Dashboard/Served?ServiceDateFrom=2025-11-24&amp;ServiceDateTo=2025-11-24&amp;DumpsterInvNr=13-L-225372", "13-L-225372")</f>
        <v>13-L-225372</v>
      </c>
      <c r="C12001">
        <v>1.1000000000000001</v>
      </c>
      <c r="D12001" t="s">
        <v>15492</v>
      </c>
      <c r="E12001" t="s">
        <v>11</v>
      </c>
      <c r="G12001" t="s">
        <v>936</v>
      </c>
      <c r="H12001" t="s">
        <v>938</v>
      </c>
    </row>
    <row r="12002" spans="1:8" hidden="1" x14ac:dyDescent="0.25">
      <c r="A12002" t="s">
        <v>15824</v>
      </c>
      <c r="B12002" s="1" t="str">
        <f>HYPERLINK("https://asmlis.vasa.lt/Dashboard/Served?ServiceDateFrom=2025-11-24&amp;ServiceDateTo=2025-11-24&amp;DumpsterInvNr=13-L-316801", "13-L-316801")</f>
        <v>13-L-316801</v>
      </c>
      <c r="C12002">
        <v>1.1000000000000001</v>
      </c>
      <c r="D12002" t="s">
        <v>15428</v>
      </c>
      <c r="E12002" t="s">
        <v>11</v>
      </c>
      <c r="G12002" t="s">
        <v>9</v>
      </c>
      <c r="H12002" t="s">
        <v>14</v>
      </c>
    </row>
    <row r="12003" spans="1:8" hidden="1" x14ac:dyDescent="0.25">
      <c r="A12003" t="s">
        <v>15825</v>
      </c>
      <c r="B12003" s="1" t="str">
        <f>HYPERLINK("https://asmlis.vasa.lt/Dashboard/Served?ServiceDateFrom=2025-11-24&amp;ServiceDateTo=2025-11-24&amp;DumpsterInvNr=13-L-114336", "13-L-114336")</f>
        <v>13-L-114336</v>
      </c>
      <c r="C12003">
        <v>0.24</v>
      </c>
      <c r="D12003" t="s">
        <v>15826</v>
      </c>
      <c r="E12003" t="s">
        <v>11</v>
      </c>
      <c r="G12003" t="s">
        <v>1912</v>
      </c>
      <c r="H12003" t="s">
        <v>432</v>
      </c>
    </row>
    <row r="12004" spans="1:8" hidden="1" x14ac:dyDescent="0.25">
      <c r="A12004" t="s">
        <v>15827</v>
      </c>
      <c r="B12004" s="1" t="str">
        <f>HYPERLINK("https://asmlis.vasa.lt/Dashboard/Served?ServiceDateFrom=2025-11-24&amp;ServiceDateTo=2025-11-24&amp;DumpsterInvNr=13-P-207352", "13-P-207352")</f>
        <v>13-P-207352</v>
      </c>
      <c r="C12004">
        <v>0.24</v>
      </c>
      <c r="D12004" t="s">
        <v>15828</v>
      </c>
      <c r="E12004" t="s">
        <v>11</v>
      </c>
      <c r="F12004" t="s">
        <v>1209</v>
      </c>
      <c r="G12004" t="s">
        <v>234</v>
      </c>
      <c r="H12004" t="s">
        <v>14</v>
      </c>
    </row>
    <row r="12005" spans="1:8" hidden="1" x14ac:dyDescent="0.25">
      <c r="A12005" t="s">
        <v>15827</v>
      </c>
      <c r="B12005" s="1" t="str">
        <f>HYPERLINK("https://asmlis.vasa.lt/Dashboard/Served?ServiceDateFrom=2025-11-24&amp;ServiceDateTo=2025-11-24&amp;DumpsterInvNr=13-P-112113", "13-P-112113")</f>
        <v>13-P-112113</v>
      </c>
      <c r="C12005">
        <v>0.24</v>
      </c>
      <c r="D12005" t="s">
        <v>15826</v>
      </c>
      <c r="E12005" t="s">
        <v>11</v>
      </c>
      <c r="G12005" t="s">
        <v>1917</v>
      </c>
      <c r="H12005" t="s">
        <v>432</v>
      </c>
    </row>
    <row r="12006" spans="1:8" hidden="1" x14ac:dyDescent="0.25">
      <c r="A12006" t="s">
        <v>15829</v>
      </c>
      <c r="B12006" s="1" t="str">
        <f>HYPERLINK("https://asmlis.vasa.lt/Dashboard/Served?ServiceDateFrom=2025-11-24&amp;ServiceDateTo=2025-11-24&amp;DumpsterInvNr=13-L-148007", "13-L-148007")</f>
        <v>13-L-148007</v>
      </c>
      <c r="C12006">
        <v>0.24</v>
      </c>
      <c r="D12006" t="s">
        <v>15830</v>
      </c>
      <c r="E12006" t="s">
        <v>11</v>
      </c>
      <c r="F12006" t="s">
        <v>1209</v>
      </c>
      <c r="G12006" t="s">
        <v>430</v>
      </c>
      <c r="H12006" t="s">
        <v>432</v>
      </c>
    </row>
    <row r="12007" spans="1:8" hidden="1" x14ac:dyDescent="0.25">
      <c r="A12007" t="s">
        <v>15831</v>
      </c>
      <c r="B12007" s="1" t="str">
        <f>HYPERLINK("https://asmlis.vasa.lt/Dashboard/Served?ServiceDateFrom=2025-11-24&amp;ServiceDateTo=2025-11-24&amp;DumpsterInvNr=13-L-223829", "13-L-223829")</f>
        <v>13-L-223829</v>
      </c>
      <c r="C12007">
        <v>1.1000000000000001</v>
      </c>
      <c r="D12007" t="s">
        <v>15492</v>
      </c>
      <c r="E12007" t="s">
        <v>11</v>
      </c>
      <c r="G12007" t="s">
        <v>936</v>
      </c>
      <c r="H12007" t="s">
        <v>938</v>
      </c>
    </row>
    <row r="12008" spans="1:8" hidden="1" x14ac:dyDescent="0.25">
      <c r="A12008" t="s">
        <v>15831</v>
      </c>
      <c r="B12008" s="1" t="str">
        <f>HYPERLINK("https://asmlis.vasa.lt/Dashboard/Served?ServiceDateFrom=2025-11-24&amp;ServiceDateTo=2025-11-24&amp;DumpsterInvNr=13-P-502063", "13-P-502063")</f>
        <v>13-P-502063</v>
      </c>
      <c r="C12008">
        <v>0.24</v>
      </c>
      <c r="D12008" t="s">
        <v>15830</v>
      </c>
      <c r="E12008" t="s">
        <v>11</v>
      </c>
      <c r="F12008" t="s">
        <v>1209</v>
      </c>
      <c r="G12008" t="s">
        <v>2178</v>
      </c>
      <c r="H12008" t="s">
        <v>432</v>
      </c>
    </row>
    <row r="12009" spans="1:8" hidden="1" x14ac:dyDescent="0.25">
      <c r="A12009" t="s">
        <v>15832</v>
      </c>
      <c r="B12009" s="1" t="str">
        <f>HYPERLINK("https://asmlis.vasa.lt/Dashboard/Served?ServiceDateFrom=2025-11-24&amp;ServiceDateTo=2025-11-24&amp;DumpsterInvNr=13-L-203537", "13-L-203537")</f>
        <v>13-L-203537</v>
      </c>
      <c r="C12009">
        <v>0.24</v>
      </c>
      <c r="D12009" t="s">
        <v>15833</v>
      </c>
      <c r="E12009" t="s">
        <v>11</v>
      </c>
      <c r="G12009" t="s">
        <v>936</v>
      </c>
      <c r="H12009" t="s">
        <v>938</v>
      </c>
    </row>
    <row r="12010" spans="1:8" hidden="1" x14ac:dyDescent="0.25">
      <c r="A12010" t="s">
        <v>15834</v>
      </c>
      <c r="B12010" s="1" t="str">
        <f>HYPERLINK("https://asmlis.vasa.lt/Dashboard/Served?ServiceDateFrom=2025-11-24&amp;ServiceDateTo=2025-11-24&amp;DumpsterInvNr=13-P-102476", "13-P-102476")</f>
        <v>13-P-102476</v>
      </c>
      <c r="C12010">
        <v>5</v>
      </c>
      <c r="D12010" t="s">
        <v>15322</v>
      </c>
      <c r="E12010" t="s">
        <v>11</v>
      </c>
      <c r="F12010" t="s">
        <v>13</v>
      </c>
      <c r="G12010" t="s">
        <v>1917</v>
      </c>
      <c r="H12010" t="s">
        <v>432</v>
      </c>
    </row>
    <row r="12011" spans="1:8" hidden="1" x14ac:dyDescent="0.25">
      <c r="A12011" t="s">
        <v>15835</v>
      </c>
      <c r="B12011" s="1" t="str">
        <f>HYPERLINK("https://asmlis.vasa.lt/Dashboard/Served?ServiceDateFrom=2025-11-24&amp;ServiceDateTo=2025-11-24&amp;DumpsterInvNr=13-L-422079", "13-L-422079")</f>
        <v>13-L-422079</v>
      </c>
      <c r="C12011">
        <v>5</v>
      </c>
      <c r="D12011" t="s">
        <v>7785</v>
      </c>
      <c r="E12011" t="s">
        <v>11</v>
      </c>
      <c r="F12011" t="s">
        <v>13</v>
      </c>
      <c r="G12011" t="s">
        <v>74</v>
      </c>
      <c r="H12011" t="s">
        <v>14</v>
      </c>
    </row>
    <row r="12012" spans="1:8" hidden="1" x14ac:dyDescent="0.25">
      <c r="A12012" t="s">
        <v>15836</v>
      </c>
      <c r="B12012" s="1" t="str">
        <f>HYPERLINK("https://asmlis.vasa.lt/Dashboard/Served?ServiceDateFrom=2025-11-24&amp;ServiceDateTo=2025-11-24&amp;DumpsterInvNr=13-L-203538", "13-L-203538")</f>
        <v>13-L-203538</v>
      </c>
      <c r="C12012">
        <v>0.24</v>
      </c>
      <c r="D12012" t="s">
        <v>15837</v>
      </c>
      <c r="E12012" t="s">
        <v>11</v>
      </c>
      <c r="G12012" t="s">
        <v>936</v>
      </c>
      <c r="H12012" t="s">
        <v>938</v>
      </c>
    </row>
    <row r="12013" spans="1:8" hidden="1" x14ac:dyDescent="0.25">
      <c r="A12013" t="s">
        <v>15838</v>
      </c>
      <c r="B12013" s="1" t="str">
        <f>HYPERLINK("https://asmlis.vasa.lt/Dashboard/Served?ServiceDateFrom=2025-11-24&amp;ServiceDateTo=2025-11-24&amp;DumpsterInvNr=13-P-101104", "13-P-101104")</f>
        <v>13-P-101104</v>
      </c>
      <c r="C12013">
        <v>0.24</v>
      </c>
      <c r="D12013" t="s">
        <v>15839</v>
      </c>
      <c r="E12013" t="s">
        <v>11</v>
      </c>
      <c r="G12013" t="s">
        <v>1917</v>
      </c>
      <c r="H12013" t="s">
        <v>432</v>
      </c>
    </row>
    <row r="12014" spans="1:8" hidden="1" x14ac:dyDescent="0.25">
      <c r="A12014" t="s">
        <v>15840</v>
      </c>
      <c r="B12014" s="1" t="str">
        <f>HYPERLINK("https://asmlis.vasa.lt/Dashboard/Served?ServiceDateFrom=2025-11-24&amp;ServiceDateTo=2025-11-24&amp;DumpsterInvNr=13-L-317130", "13-L-317130")</f>
        <v>13-L-317130</v>
      </c>
      <c r="C12014">
        <v>1.1000000000000001</v>
      </c>
      <c r="D12014" t="s">
        <v>15428</v>
      </c>
      <c r="E12014" t="s">
        <v>11</v>
      </c>
      <c r="G12014" t="s">
        <v>9</v>
      </c>
      <c r="H12014" t="s">
        <v>14</v>
      </c>
    </row>
    <row r="12015" spans="1:8" hidden="1" x14ac:dyDescent="0.25">
      <c r="A12015" t="s">
        <v>15841</v>
      </c>
      <c r="B12015" s="1" t="str">
        <f>HYPERLINK("https://asmlis.vasa.lt/Dashboard/Served?ServiceDateFrom=2025-11-24&amp;ServiceDateTo=2025-11-24&amp;DumpsterInvNr=13-L-112227", "13-L-112227")</f>
        <v>13-L-112227</v>
      </c>
      <c r="C12015">
        <v>0.24</v>
      </c>
      <c r="D12015" t="s">
        <v>15839</v>
      </c>
      <c r="E12015" t="s">
        <v>11</v>
      </c>
      <c r="G12015" t="s">
        <v>1912</v>
      </c>
      <c r="H12015" t="s">
        <v>432</v>
      </c>
    </row>
    <row r="12016" spans="1:8" hidden="1" x14ac:dyDescent="0.25">
      <c r="A12016" t="s">
        <v>15842</v>
      </c>
      <c r="B12016" s="1" t="str">
        <f>HYPERLINK("https://asmlis.vasa.lt/Dashboard/Served?ServiceDateFrom=2025-11-24&amp;ServiceDateTo=2025-11-24&amp;DumpsterInvNr=13-L-112453", "13-L-112453")</f>
        <v>13-L-112453</v>
      </c>
      <c r="C12016">
        <v>0.24</v>
      </c>
      <c r="D12016" t="s">
        <v>15843</v>
      </c>
      <c r="E12016" t="s">
        <v>11</v>
      </c>
      <c r="G12016" t="s">
        <v>1912</v>
      </c>
      <c r="H12016" t="s">
        <v>432</v>
      </c>
    </row>
    <row r="12017" spans="1:8" hidden="1" x14ac:dyDescent="0.25">
      <c r="A12017" t="s">
        <v>15844</v>
      </c>
      <c r="B12017" s="1" t="str">
        <f>HYPERLINK("https://asmlis.vasa.lt/Dashboard/Served?ServiceDateFrom=2025-11-24&amp;ServiceDateTo=2025-11-24&amp;DumpsterInvNr=13-P-401620", "13-P-401620")</f>
        <v>13-P-401620</v>
      </c>
      <c r="C12017">
        <v>1.1000000000000001</v>
      </c>
      <c r="D12017" t="s">
        <v>15845</v>
      </c>
      <c r="E12017" t="s">
        <v>11</v>
      </c>
      <c r="F12017" t="s">
        <v>13</v>
      </c>
      <c r="G12017" t="s">
        <v>264</v>
      </c>
      <c r="H12017" t="s">
        <v>14</v>
      </c>
    </row>
    <row r="12018" spans="1:8" hidden="1" x14ac:dyDescent="0.25">
      <c r="A12018" t="s">
        <v>15846</v>
      </c>
      <c r="B12018" s="1" t="str">
        <f>HYPERLINK("https://asmlis.vasa.lt/Dashboard/Served?ServiceDateFrom=2025-11-24&amp;ServiceDateTo=2025-11-24&amp;DumpsterInvNr=13-L-134221", "13-L-134221")</f>
        <v>13-L-134221</v>
      </c>
      <c r="C12018">
        <v>1.1000000000000001</v>
      </c>
      <c r="D12018" t="s">
        <v>15847</v>
      </c>
      <c r="E12018" t="s">
        <v>11</v>
      </c>
      <c r="G12018" t="s">
        <v>1912</v>
      </c>
      <c r="H12018" t="s">
        <v>432</v>
      </c>
    </row>
    <row r="12019" spans="1:8" hidden="1" x14ac:dyDescent="0.25">
      <c r="A12019" t="s">
        <v>15848</v>
      </c>
      <c r="B12019" s="1" t="str">
        <f>HYPERLINK("https://asmlis.vasa.lt/Dashboard/Served?ServiceDateFrom=2025-11-24&amp;ServiceDateTo=2025-11-24&amp;DumpsterInvNr=13-L-316103", "13-L-316103")</f>
        <v>13-L-316103</v>
      </c>
      <c r="C12019">
        <v>5</v>
      </c>
      <c r="D12019" t="s">
        <v>12752</v>
      </c>
      <c r="E12019" t="s">
        <v>11</v>
      </c>
      <c r="F12019" t="s">
        <v>13</v>
      </c>
      <c r="G12019" t="s">
        <v>9</v>
      </c>
      <c r="H12019" t="s">
        <v>14</v>
      </c>
    </row>
    <row r="12020" spans="1:8" hidden="1" x14ac:dyDescent="0.25">
      <c r="A12020" t="s">
        <v>15849</v>
      </c>
      <c r="B12020" s="1" t="str">
        <f>HYPERLINK("https://asmlis.vasa.lt/Dashboard/Served?ServiceDateFrom=2025-11-24&amp;ServiceDateTo=2025-11-24&amp;DumpsterInvNr=13-P-101126", "13-P-101126")</f>
        <v>13-P-101126</v>
      </c>
      <c r="C12020">
        <v>0.24</v>
      </c>
      <c r="D12020" t="s">
        <v>15851</v>
      </c>
      <c r="E12020" t="s">
        <v>11</v>
      </c>
      <c r="G12020" t="s">
        <v>1917</v>
      </c>
      <c r="H12020" t="s">
        <v>432</v>
      </c>
    </row>
    <row r="12021" spans="1:8" hidden="1" x14ac:dyDescent="0.25">
      <c r="A12021" t="s">
        <v>15852</v>
      </c>
      <c r="B12021" s="1" t="str">
        <f>HYPERLINK("https://asmlis.vasa.lt/Dashboard/Served?ServiceDateFrom=2025-11-24&amp;ServiceDateTo=2025-11-24&amp;DumpsterInvNr=13-L-111219", "13-L-111219")</f>
        <v>13-L-111219</v>
      </c>
      <c r="C12021">
        <v>0.24</v>
      </c>
      <c r="D12021" t="s">
        <v>15851</v>
      </c>
      <c r="E12021" t="s">
        <v>11</v>
      </c>
      <c r="G12021" t="s">
        <v>1912</v>
      </c>
      <c r="H12021" t="s">
        <v>432</v>
      </c>
    </row>
    <row r="12022" spans="1:8" hidden="1" x14ac:dyDescent="0.25">
      <c r="A12022" t="s">
        <v>15854</v>
      </c>
      <c r="B12022" s="1" t="str">
        <f>HYPERLINK("https://asmlis.vasa.lt/Dashboard/Served?ServiceDateFrom=2025-11-24&amp;ServiceDateTo=2025-11-24&amp;DumpsterInvNr=13-L-112254", "13-L-112254")</f>
        <v>13-L-112254</v>
      </c>
      <c r="C12022">
        <v>1.1000000000000001</v>
      </c>
      <c r="D12022" t="s">
        <v>15847</v>
      </c>
      <c r="E12022" t="s">
        <v>11</v>
      </c>
      <c r="G12022" t="s">
        <v>1912</v>
      </c>
      <c r="H12022" t="s">
        <v>432</v>
      </c>
    </row>
    <row r="12023" spans="1:8" hidden="1" x14ac:dyDescent="0.25">
      <c r="A12023" t="s">
        <v>15855</v>
      </c>
      <c r="B12023" s="1" t="str">
        <f>HYPERLINK("https://asmlis.vasa.lt/Dashboard/Served?ServiceDateFrom=2025-11-24&amp;ServiceDateTo=2025-11-24&amp;DumpsterInvNr=13-P-508427", "13-P-508427")</f>
        <v>13-P-508427</v>
      </c>
      <c r="C12023">
        <v>0.24</v>
      </c>
      <c r="D12023" t="s">
        <v>15856</v>
      </c>
      <c r="E12023" t="s">
        <v>11</v>
      </c>
      <c r="G12023" t="s">
        <v>2178</v>
      </c>
      <c r="H12023" t="s">
        <v>432</v>
      </c>
    </row>
    <row r="12024" spans="1:8" hidden="1" x14ac:dyDescent="0.25">
      <c r="A12024" t="s">
        <v>15855</v>
      </c>
      <c r="B12024" s="1" t="str">
        <f>HYPERLINK("https://asmlis.vasa.lt/Dashboard/Served?ServiceDateFrom=2025-11-24&amp;ServiceDateTo=2025-11-24&amp;DumpsterInvNr=13-L-114949", "13-L-114949")</f>
        <v>13-L-114949</v>
      </c>
      <c r="C12024">
        <v>0.24</v>
      </c>
      <c r="D12024" t="s">
        <v>15856</v>
      </c>
      <c r="E12024" t="s">
        <v>11</v>
      </c>
      <c r="G12024" t="s">
        <v>430</v>
      </c>
      <c r="H12024" t="s">
        <v>432</v>
      </c>
    </row>
    <row r="12025" spans="1:8" hidden="1" x14ac:dyDescent="0.25">
      <c r="A12025" t="s">
        <v>15858</v>
      </c>
      <c r="B12025" s="1" t="str">
        <f>HYPERLINK("https://asmlis.vasa.lt/Dashboard/Served?ServiceDateFrom=2025-11-24&amp;ServiceDateTo=2025-11-24&amp;DumpsterInvNr=13-L-139131", "13-L-139131")</f>
        <v>13-L-139131</v>
      </c>
      <c r="C12025">
        <v>5</v>
      </c>
      <c r="D12025" t="s">
        <v>4738</v>
      </c>
      <c r="E12025" t="s">
        <v>11</v>
      </c>
      <c r="F12025" t="s">
        <v>13</v>
      </c>
      <c r="G12025" t="s">
        <v>1912</v>
      </c>
      <c r="H12025" t="s">
        <v>432</v>
      </c>
    </row>
    <row r="12026" spans="1:8" hidden="1" x14ac:dyDescent="0.25">
      <c r="A12026" t="s">
        <v>15858</v>
      </c>
      <c r="B12026" s="1" t="str">
        <f>HYPERLINK("https://asmlis.vasa.lt/Dashboard/Served?ServiceDateFrom=2025-11-24&amp;ServiceDateTo=2025-11-24&amp;DumpsterInvNr=13-P-302363", "13-P-302363")</f>
        <v>13-P-302363</v>
      </c>
      <c r="C12026">
        <v>2.5</v>
      </c>
      <c r="D12026" t="s">
        <v>15859</v>
      </c>
      <c r="E12026" t="s">
        <v>11</v>
      </c>
      <c r="F12026" t="s">
        <v>13</v>
      </c>
      <c r="G12026" t="s">
        <v>412</v>
      </c>
      <c r="H12026" t="s">
        <v>14</v>
      </c>
    </row>
    <row r="12027" spans="1:8" hidden="1" x14ac:dyDescent="0.25">
      <c r="A12027" t="s">
        <v>15858</v>
      </c>
      <c r="B12027" s="1" t="str">
        <f>HYPERLINK("https://asmlis.vasa.lt/Dashboard/Served?ServiceDateFrom=2025-11-24&amp;ServiceDateTo=2025-11-24&amp;DumpsterInvNr=13-P-500383", "13-P-500383")</f>
        <v>13-P-500383</v>
      </c>
      <c r="C12027">
        <v>5</v>
      </c>
      <c r="D12027" t="s">
        <v>14515</v>
      </c>
      <c r="E12027" t="s">
        <v>11</v>
      </c>
      <c r="F12027" t="s">
        <v>13</v>
      </c>
      <c r="G12027" t="s">
        <v>2178</v>
      </c>
      <c r="H12027" t="s">
        <v>432</v>
      </c>
    </row>
    <row r="12028" spans="1:8" hidden="1" x14ac:dyDescent="0.25">
      <c r="A12028" t="s">
        <v>15860</v>
      </c>
      <c r="B12028" s="1" t="str">
        <f>HYPERLINK("https://asmlis.vasa.lt/Dashboard/Served?ServiceDateFrom=2025-11-24&amp;ServiceDateTo=2025-11-24&amp;DumpsterInvNr=13-L-421188", "13-L-421188")</f>
        <v>13-L-421188</v>
      </c>
      <c r="C12028">
        <v>5</v>
      </c>
      <c r="D12028" t="s">
        <v>8702</v>
      </c>
      <c r="E12028" t="s">
        <v>11</v>
      </c>
      <c r="F12028" t="s">
        <v>13</v>
      </c>
      <c r="G12028" t="s">
        <v>74</v>
      </c>
      <c r="H12028" t="s">
        <v>14</v>
      </c>
    </row>
    <row r="12029" spans="1:8" hidden="1" x14ac:dyDescent="0.25">
      <c r="A12029" t="s">
        <v>15861</v>
      </c>
      <c r="B12029" s="1" t="str">
        <f>HYPERLINK("https://asmlis.vasa.lt/Dashboard/Served?ServiceDateFrom=2025-11-24&amp;ServiceDateTo=2025-11-24&amp;DumpsterInvNr=13-L-114943", "13-L-114943")</f>
        <v>13-L-114943</v>
      </c>
      <c r="C12029">
        <v>0.24</v>
      </c>
      <c r="D12029" t="s">
        <v>15862</v>
      </c>
      <c r="E12029" t="s">
        <v>11</v>
      </c>
      <c r="F12029" t="s">
        <v>1209</v>
      </c>
      <c r="G12029" t="s">
        <v>430</v>
      </c>
      <c r="H12029" t="s">
        <v>432</v>
      </c>
    </row>
    <row r="12030" spans="1:8" hidden="1" x14ac:dyDescent="0.25">
      <c r="A12030" t="s">
        <v>15864</v>
      </c>
      <c r="B12030" s="1" t="str">
        <f>HYPERLINK("https://asmlis.vasa.lt/Dashboard/Served?ServiceDateFrom=2025-11-24&amp;ServiceDateTo=2025-11-24&amp;DumpsterInvNr=13-L-307112", "13-L-307112")</f>
        <v>13-L-307112</v>
      </c>
      <c r="C12030">
        <v>1.1000000000000001</v>
      </c>
      <c r="D12030" t="s">
        <v>15865</v>
      </c>
      <c r="E12030" t="s">
        <v>11</v>
      </c>
      <c r="G12030" t="s">
        <v>9</v>
      </c>
      <c r="H12030" t="s">
        <v>14</v>
      </c>
    </row>
    <row r="12031" spans="1:8" hidden="1" x14ac:dyDescent="0.25">
      <c r="A12031" t="s">
        <v>15866</v>
      </c>
      <c r="B12031" s="1" t="str">
        <f>HYPERLINK("https://asmlis.vasa.lt/Dashboard/Served?ServiceDateFrom=2025-11-24&amp;ServiceDateTo=2025-11-24&amp;DumpsterInvNr=13-L-138579", "13-L-138579")</f>
        <v>13-L-138579</v>
      </c>
      <c r="C12031">
        <v>1.1000000000000001</v>
      </c>
      <c r="D12031" t="s">
        <v>15847</v>
      </c>
      <c r="E12031" t="s">
        <v>11</v>
      </c>
      <c r="G12031" t="s">
        <v>1912</v>
      </c>
      <c r="H12031" t="s">
        <v>432</v>
      </c>
    </row>
    <row r="12032" spans="1:8" hidden="1" x14ac:dyDescent="0.25">
      <c r="A12032" t="s">
        <v>15867</v>
      </c>
      <c r="B12032" s="1" t="str">
        <f>HYPERLINK("https://asmlis.vasa.lt/Dashboard/Served?ServiceDateFrom=2025-11-24&amp;ServiceDateTo=2025-11-24&amp;DumpsterInvNr=13-L-114939", "13-L-114939")</f>
        <v>13-L-114939</v>
      </c>
      <c r="C12032">
        <v>0.24</v>
      </c>
      <c r="D12032" t="s">
        <v>15868</v>
      </c>
      <c r="E12032" t="s">
        <v>11</v>
      </c>
      <c r="G12032" t="s">
        <v>430</v>
      </c>
      <c r="H12032" t="s">
        <v>432</v>
      </c>
    </row>
    <row r="12033" spans="1:10" hidden="1" x14ac:dyDescent="0.25">
      <c r="A12033" t="s">
        <v>15867</v>
      </c>
      <c r="B12033" s="1" t="str">
        <f>HYPERLINK("https://asmlis.vasa.lt/Dashboard/Served?ServiceDateFrom=2025-11-24&amp;ServiceDateTo=2025-11-24&amp;DumpsterInvNr=13-P-508428", "13-P-508428")</f>
        <v>13-P-508428</v>
      </c>
      <c r="C12033">
        <v>0.12</v>
      </c>
      <c r="D12033" t="s">
        <v>15868</v>
      </c>
      <c r="E12033" t="s">
        <v>11</v>
      </c>
      <c r="G12033" t="s">
        <v>2178</v>
      </c>
      <c r="H12033" t="s">
        <v>432</v>
      </c>
    </row>
    <row r="12034" spans="1:10" hidden="1" x14ac:dyDescent="0.25">
      <c r="A12034" t="s">
        <v>15869</v>
      </c>
      <c r="B12034" s="1" t="str">
        <f>HYPERLINK("https://asmlis.vasa.lt/Dashboard/Served?ServiceDateFrom=2025-11-24&amp;ServiceDateTo=2025-11-24&amp;DumpsterInvNr=13-S-204913", "13-S-204913")</f>
        <v>13-S-204913</v>
      </c>
      <c r="C12034">
        <v>0.12</v>
      </c>
      <c r="D12034" t="s">
        <v>15277</v>
      </c>
      <c r="E12034" t="s">
        <v>11</v>
      </c>
      <c r="G12034" t="s">
        <v>234</v>
      </c>
      <c r="H12034" t="s">
        <v>14</v>
      </c>
    </row>
    <row r="12035" spans="1:10" hidden="1" x14ac:dyDescent="0.25">
      <c r="A12035" t="s">
        <v>15870</v>
      </c>
      <c r="B12035" s="1" t="str">
        <f>HYPERLINK("https://asmlis.vasa.lt/Dashboard/Served?ServiceDateFrom=2025-11-24&amp;ServiceDateTo=2025-11-24&amp;DumpsterInvNr=13-P-500255", "13-P-500255")</f>
        <v>13-P-500255</v>
      </c>
      <c r="C12035">
        <v>5</v>
      </c>
      <c r="D12035" t="s">
        <v>15815</v>
      </c>
      <c r="E12035" t="s">
        <v>11</v>
      </c>
      <c r="F12035" t="s">
        <v>13</v>
      </c>
      <c r="G12035" t="s">
        <v>2178</v>
      </c>
      <c r="H12035" t="s">
        <v>432</v>
      </c>
    </row>
    <row r="12036" spans="1:10" hidden="1" x14ac:dyDescent="0.25">
      <c r="A12036" t="s">
        <v>15872</v>
      </c>
      <c r="B12036" s="1" t="str">
        <f>HYPERLINK("https://asmlis.vasa.lt/Dashboard/Served?ServiceDateFrom=2025-11-24&amp;ServiceDateTo=2025-11-24&amp;DumpsterInvNr=13-L-114956", "13-L-114956")</f>
        <v>13-L-114956</v>
      </c>
      <c r="C12036">
        <v>0.24</v>
      </c>
      <c r="D12036" t="s">
        <v>15873</v>
      </c>
      <c r="E12036" t="s">
        <v>11</v>
      </c>
      <c r="G12036" t="s">
        <v>430</v>
      </c>
      <c r="H12036" t="s">
        <v>432</v>
      </c>
    </row>
    <row r="12037" spans="1:10" hidden="1" x14ac:dyDescent="0.25">
      <c r="A12037" t="s">
        <v>15874</v>
      </c>
      <c r="B12037" s="1" t="str">
        <f>HYPERLINK("https://asmlis.vasa.lt/Dashboard/Served?ServiceDateFrom=2025-11-24&amp;ServiceDateTo=2025-11-24&amp;DumpsterInvNr=13-L-315633", "13-L-315633")</f>
        <v>13-L-315633</v>
      </c>
      <c r="C12037">
        <v>5</v>
      </c>
      <c r="D12037" t="s">
        <v>12788</v>
      </c>
      <c r="E12037" t="s">
        <v>11</v>
      </c>
      <c r="G12037" t="s">
        <v>9</v>
      </c>
      <c r="H12037" t="s">
        <v>14</v>
      </c>
    </row>
    <row r="12038" spans="1:10" hidden="1" x14ac:dyDescent="0.25">
      <c r="A12038" t="s">
        <v>15875</v>
      </c>
      <c r="B12038" s="1" t="str">
        <f>HYPERLINK("https://asmlis.vasa.lt/Dashboard/Served?ServiceDateFrom=2025-11-24&amp;ServiceDateTo=2025-11-24&amp;DumpsterInvNr=13-P-204235", "13-P-204235")</f>
        <v>13-P-204235</v>
      </c>
      <c r="C12038">
        <v>0.24</v>
      </c>
      <c r="D12038" t="s">
        <v>15302</v>
      </c>
      <c r="E12038" t="s">
        <v>11</v>
      </c>
      <c r="G12038" t="s">
        <v>234</v>
      </c>
      <c r="H12038" t="s">
        <v>14</v>
      </c>
    </row>
    <row r="12039" spans="1:10" hidden="1" x14ac:dyDescent="0.25">
      <c r="A12039" t="s">
        <v>15876</v>
      </c>
      <c r="B12039" s="1" t="str">
        <f>HYPERLINK("https://asmlis.vasa.lt/Dashboard/Served?ServiceDateFrom=2025-11-24&amp;ServiceDateTo=2025-11-24&amp;DumpsterInvNr=13-L-144807", "13-L-144807")</f>
        <v>13-L-144807</v>
      </c>
      <c r="C12039">
        <v>5</v>
      </c>
      <c r="D12039" t="s">
        <v>15877</v>
      </c>
      <c r="E12039" t="s">
        <v>11</v>
      </c>
      <c r="F12039" t="s">
        <v>13</v>
      </c>
      <c r="G12039" t="s">
        <v>430</v>
      </c>
      <c r="H12039" t="s">
        <v>432</v>
      </c>
    </row>
    <row r="12040" spans="1:10" hidden="1" x14ac:dyDescent="0.25">
      <c r="A12040" t="s">
        <v>15878</v>
      </c>
      <c r="B12040" s="1" t="str">
        <f>HYPERLINK("https://asmlis.vasa.lt/Dashboard/Served?ServiceDateFrom=2025-11-24&amp;ServiceDateTo=2025-11-24&amp;DumpsterInvNr=13-L-126175", "13-L-126175")</f>
        <v>13-L-126175</v>
      </c>
      <c r="C12040">
        <v>0.12</v>
      </c>
      <c r="D12040" t="s">
        <v>15879</v>
      </c>
      <c r="E12040" t="s">
        <v>11</v>
      </c>
      <c r="G12040" t="s">
        <v>1912</v>
      </c>
      <c r="H12040" t="s">
        <v>432</v>
      </c>
    </row>
    <row r="12041" spans="1:10" hidden="1" x14ac:dyDescent="0.25">
      <c r="A12041" t="s">
        <v>15880</v>
      </c>
      <c r="B12041" s="1" t="str">
        <f>HYPERLINK("https://asmlis.vasa.lt/Dashboard/Served?ServiceDateFrom=2025-11-24&amp;ServiceDateTo=2025-11-24&amp;DumpsterInvNr=13-P-112124", "13-P-112124")</f>
        <v>13-P-112124</v>
      </c>
      <c r="C12041">
        <v>0.24</v>
      </c>
      <c r="D12041" t="s">
        <v>15879</v>
      </c>
      <c r="E12041" t="s">
        <v>11</v>
      </c>
      <c r="G12041" t="s">
        <v>1917</v>
      </c>
      <c r="H12041" t="s">
        <v>432</v>
      </c>
    </row>
    <row r="12042" spans="1:10" x14ac:dyDescent="0.25">
      <c r="A12042" t="s">
        <v>15881</v>
      </c>
      <c r="B12042" s="1" t="str">
        <f>HYPERLINK("https://asmlis.vasa.lt/Dashboard/Served?ServiceDateFrom=2025-11-24&amp;ServiceDateTo=2025-11-24&amp;DumpsterInvNr=13-P-111217", "13-P-111217")</f>
        <v>13-P-111217</v>
      </c>
      <c r="C12042">
        <v>1.1000000000000001</v>
      </c>
      <c r="D12042" t="s">
        <v>15882</v>
      </c>
      <c r="E12042" t="s">
        <v>11</v>
      </c>
      <c r="F12042" t="s">
        <v>2491</v>
      </c>
      <c r="G12042" t="s">
        <v>1917</v>
      </c>
      <c r="H12042" t="s">
        <v>432</v>
      </c>
      <c r="J12042" t="s">
        <v>17511</v>
      </c>
    </row>
    <row r="12043" spans="1:10" hidden="1" x14ac:dyDescent="0.25">
      <c r="A12043" t="s">
        <v>15883</v>
      </c>
      <c r="B12043" s="1" t="str">
        <f>HYPERLINK("https://asmlis.vasa.lt/Dashboard/Served?ServiceDateFrom=2025-11-24&amp;ServiceDateTo=2025-11-24&amp;DumpsterInvNr=13-L-423202", "13-L-423202")</f>
        <v>13-L-423202</v>
      </c>
      <c r="C12043">
        <v>5</v>
      </c>
      <c r="D12043" t="s">
        <v>15885</v>
      </c>
      <c r="E12043" t="s">
        <v>11</v>
      </c>
      <c r="F12043" t="s">
        <v>13</v>
      </c>
      <c r="G12043" t="s">
        <v>74</v>
      </c>
      <c r="H12043" t="s">
        <v>14</v>
      </c>
    </row>
    <row r="12044" spans="1:10" hidden="1" x14ac:dyDescent="0.25">
      <c r="A12044" t="s">
        <v>15886</v>
      </c>
      <c r="B12044" s="1" t="str">
        <f>HYPERLINK("https://asmlis.vasa.lt/Dashboard/Served?ServiceDateFrom=2025-11-24&amp;ServiceDateTo=2025-11-24&amp;DumpsterInvNr=13-P-204248", "13-P-204248")</f>
        <v>13-P-204248</v>
      </c>
      <c r="C12044">
        <v>0.24</v>
      </c>
      <c r="D12044" t="s">
        <v>15277</v>
      </c>
      <c r="E12044" t="s">
        <v>11</v>
      </c>
      <c r="G12044" t="s">
        <v>234</v>
      </c>
      <c r="H12044" t="s">
        <v>14</v>
      </c>
    </row>
    <row r="12045" spans="1:10" hidden="1" x14ac:dyDescent="0.25">
      <c r="A12045" t="s">
        <v>15886</v>
      </c>
      <c r="B12045" s="1" t="str">
        <f>HYPERLINK("https://asmlis.vasa.lt/Dashboard/Served?ServiceDateFrom=2025-11-24&amp;ServiceDateTo=2025-11-24&amp;DumpsterInvNr=13-S-204994", "13-S-204994")</f>
        <v>13-S-204994</v>
      </c>
      <c r="C12045">
        <v>0.12</v>
      </c>
      <c r="D12045" t="s">
        <v>15302</v>
      </c>
      <c r="E12045" t="s">
        <v>11</v>
      </c>
      <c r="G12045" t="s">
        <v>234</v>
      </c>
      <c r="H12045" t="s">
        <v>14</v>
      </c>
    </row>
    <row r="12046" spans="1:10" hidden="1" x14ac:dyDescent="0.25">
      <c r="A12046" t="s">
        <v>15887</v>
      </c>
      <c r="B12046" s="1" t="str">
        <f>HYPERLINK("https://asmlis.vasa.lt/Dashboard/Served?ServiceDateFrom=2025-11-24&amp;ServiceDateTo=2025-11-24&amp;DumpsterInvNr=13-L-305157", "13-L-305157")</f>
        <v>13-L-305157</v>
      </c>
      <c r="C12046">
        <v>1.1000000000000001</v>
      </c>
      <c r="D12046" t="s">
        <v>15888</v>
      </c>
      <c r="E12046" t="s">
        <v>11</v>
      </c>
      <c r="G12046" t="s">
        <v>9</v>
      </c>
      <c r="H12046" t="s">
        <v>14</v>
      </c>
    </row>
    <row r="12047" spans="1:10" hidden="1" x14ac:dyDescent="0.25">
      <c r="A12047" t="s">
        <v>15889</v>
      </c>
      <c r="B12047" s="1" t="str">
        <f>HYPERLINK("https://asmlis.vasa.lt/Dashboard/Served?ServiceDateFrom=2025-11-24&amp;ServiceDateTo=2025-11-24&amp;DumpsterInvNr=13-P-506685", "13-P-506685")</f>
        <v>13-P-506685</v>
      </c>
      <c r="C12047">
        <v>0.24</v>
      </c>
      <c r="D12047" t="s">
        <v>15890</v>
      </c>
      <c r="E12047" t="s">
        <v>11</v>
      </c>
      <c r="G12047" t="s">
        <v>2178</v>
      </c>
      <c r="H12047" t="s">
        <v>432</v>
      </c>
    </row>
    <row r="12048" spans="1:10" hidden="1" x14ac:dyDescent="0.25">
      <c r="A12048" t="s">
        <v>15892</v>
      </c>
      <c r="B12048" s="1" t="str">
        <f>HYPERLINK("https://asmlis.vasa.lt/Dashboard/Served?ServiceDateFrom=2025-11-24&amp;ServiceDateTo=2025-11-24&amp;DumpsterInvNr=13-P-111750", "13-P-111750")</f>
        <v>13-P-111750</v>
      </c>
      <c r="C12048">
        <v>0.24</v>
      </c>
      <c r="D12048" t="s">
        <v>15893</v>
      </c>
      <c r="E12048" t="s">
        <v>11</v>
      </c>
      <c r="G12048" t="s">
        <v>1917</v>
      </c>
      <c r="H12048" t="s">
        <v>432</v>
      </c>
    </row>
    <row r="12049" spans="1:10" hidden="1" x14ac:dyDescent="0.25">
      <c r="A12049" t="s">
        <v>15894</v>
      </c>
      <c r="B12049" s="1" t="str">
        <f>HYPERLINK("https://asmlis.vasa.lt/Dashboard/Served?ServiceDateFrom=2025-11-24&amp;ServiceDateTo=2025-11-24&amp;DumpsterInvNr=13-L-142656", "13-L-142656")</f>
        <v>13-L-142656</v>
      </c>
      <c r="C12049">
        <v>0.24</v>
      </c>
      <c r="D12049" t="s">
        <v>15890</v>
      </c>
      <c r="E12049" t="s">
        <v>11</v>
      </c>
      <c r="G12049" t="s">
        <v>430</v>
      </c>
      <c r="H12049" t="s">
        <v>432</v>
      </c>
    </row>
    <row r="12050" spans="1:10" hidden="1" x14ac:dyDescent="0.25">
      <c r="A12050" t="s">
        <v>15896</v>
      </c>
      <c r="B12050" s="1" t="str">
        <f>HYPERLINK("https://asmlis.vasa.lt/Dashboard/Served?ServiceDateFrom=2025-11-24&amp;ServiceDateTo=2025-11-24&amp;DumpsterInvNr=13-L-111220", "13-L-111220")</f>
        <v>13-L-111220</v>
      </c>
      <c r="C12050">
        <v>0.12</v>
      </c>
      <c r="D12050" t="s">
        <v>15893</v>
      </c>
      <c r="E12050" t="s">
        <v>11</v>
      </c>
      <c r="G12050" t="s">
        <v>1912</v>
      </c>
      <c r="H12050" t="s">
        <v>432</v>
      </c>
    </row>
    <row r="12051" spans="1:10" hidden="1" x14ac:dyDescent="0.25">
      <c r="A12051" t="s">
        <v>15898</v>
      </c>
      <c r="B12051" s="1" t="str">
        <f>HYPERLINK("https://asmlis.vasa.lt/Dashboard/Served?ServiceDateFrom=2025-11-24&amp;ServiceDateTo=2025-11-24&amp;DumpsterInvNr=13-L-313803", "13-L-313803")</f>
        <v>13-L-313803</v>
      </c>
      <c r="C12051">
        <v>1.1000000000000001</v>
      </c>
      <c r="D12051" t="s">
        <v>15471</v>
      </c>
      <c r="E12051" t="s">
        <v>11</v>
      </c>
      <c r="F12051" t="s">
        <v>871</v>
      </c>
      <c r="G12051" t="s">
        <v>9</v>
      </c>
      <c r="H12051" t="s">
        <v>14</v>
      </c>
      <c r="J12051" t="s">
        <v>17511</v>
      </c>
    </row>
    <row r="12052" spans="1:10" hidden="1" x14ac:dyDescent="0.25">
      <c r="A12052" t="s">
        <v>15899</v>
      </c>
      <c r="B12052" s="1" t="str">
        <f>HYPERLINK("https://asmlis.vasa.lt/Dashboard/Served?ServiceDateFrom=2025-11-24&amp;ServiceDateTo=2025-11-24&amp;DumpsterInvNr=13-L-107734", "13-L-107734")</f>
        <v>13-L-107734</v>
      </c>
      <c r="C12052">
        <v>1.1000000000000001</v>
      </c>
      <c r="D12052" t="s">
        <v>15900</v>
      </c>
      <c r="E12052" t="s">
        <v>11</v>
      </c>
      <c r="G12052" t="s">
        <v>1912</v>
      </c>
      <c r="H12052" t="s">
        <v>432</v>
      </c>
    </row>
    <row r="12053" spans="1:10" hidden="1" x14ac:dyDescent="0.25">
      <c r="A12053" t="s">
        <v>15901</v>
      </c>
      <c r="B12053" s="1" t="str">
        <f>HYPERLINK("https://asmlis.vasa.lt/Dashboard/Served?ServiceDateFrom=2025-11-24&amp;ServiceDateTo=2025-11-24&amp;DumpsterInvNr=13-L-134668", "13-L-134668")</f>
        <v>13-L-134668</v>
      </c>
      <c r="C12053">
        <v>5</v>
      </c>
      <c r="D12053" t="s">
        <v>2522</v>
      </c>
      <c r="E12053" t="s">
        <v>11</v>
      </c>
      <c r="F12053" t="s">
        <v>13</v>
      </c>
      <c r="G12053" t="s">
        <v>1912</v>
      </c>
      <c r="H12053" t="s">
        <v>432</v>
      </c>
    </row>
    <row r="12054" spans="1:10" hidden="1" x14ac:dyDescent="0.25">
      <c r="A12054" t="s">
        <v>15903</v>
      </c>
      <c r="B12054" s="1" t="str">
        <f>HYPERLINK("https://asmlis.vasa.lt/Dashboard/Served?ServiceDateFrom=2025-11-24&amp;ServiceDateTo=2025-11-24&amp;DumpsterInvNr=13-L-316099", "13-L-316099")</f>
        <v>13-L-316099</v>
      </c>
      <c r="C12054">
        <v>1.1000000000000001</v>
      </c>
      <c r="D12054" t="s">
        <v>15471</v>
      </c>
      <c r="E12054" t="s">
        <v>11</v>
      </c>
      <c r="F12054" t="s">
        <v>871</v>
      </c>
      <c r="G12054" t="s">
        <v>9</v>
      </c>
      <c r="H12054" t="s">
        <v>14</v>
      </c>
      <c r="J12054" t="s">
        <v>17524</v>
      </c>
    </row>
    <row r="12055" spans="1:10" hidden="1" x14ac:dyDescent="0.25">
      <c r="A12055" t="s">
        <v>15905</v>
      </c>
      <c r="B12055" s="1" t="str">
        <f>HYPERLINK("https://asmlis.vasa.lt/Dashboard/Served?ServiceDateFrom=2025-11-24&amp;ServiceDateTo=2025-11-24&amp;DumpsterInvNr=13-P-504882", "13-P-504882")</f>
        <v>13-P-504882</v>
      </c>
      <c r="C12055">
        <v>5</v>
      </c>
      <c r="D12055" t="s">
        <v>15906</v>
      </c>
      <c r="E12055" t="s">
        <v>11</v>
      </c>
      <c r="F12055" t="s">
        <v>13</v>
      </c>
      <c r="G12055" t="s">
        <v>2178</v>
      </c>
      <c r="H12055" t="s">
        <v>432</v>
      </c>
    </row>
    <row r="12056" spans="1:10" hidden="1" x14ac:dyDescent="0.25">
      <c r="A12056" t="s">
        <v>15907</v>
      </c>
      <c r="B12056" s="1" t="str">
        <f>HYPERLINK("https://asmlis.vasa.lt/Dashboard/Served?ServiceDateFrom=2025-11-24&amp;ServiceDateTo=2025-11-24&amp;DumpsterInvNr=13-L-316002", "13-L-316002")</f>
        <v>13-L-316002</v>
      </c>
      <c r="C12056">
        <v>1.1000000000000001</v>
      </c>
      <c r="D12056" t="s">
        <v>15471</v>
      </c>
      <c r="E12056" t="s">
        <v>11</v>
      </c>
      <c r="F12056" t="s">
        <v>871</v>
      </c>
      <c r="G12056" t="s">
        <v>9</v>
      </c>
      <c r="H12056" t="s">
        <v>14</v>
      </c>
      <c r="J12056" t="s">
        <v>17524</v>
      </c>
    </row>
    <row r="12057" spans="1:10" hidden="1" x14ac:dyDescent="0.25">
      <c r="A12057" t="s">
        <v>15908</v>
      </c>
      <c r="B12057" s="1" t="str">
        <f>HYPERLINK("https://asmlis.vasa.lt/Dashboard/Served?ServiceDateFrom=2025-11-24&amp;ServiceDateTo=2025-11-24&amp;DumpsterInvNr=13-L-107735", "13-L-107735")</f>
        <v>13-L-107735</v>
      </c>
      <c r="C12057">
        <v>1.1000000000000001</v>
      </c>
      <c r="D12057" t="s">
        <v>15900</v>
      </c>
      <c r="E12057" t="s">
        <v>11</v>
      </c>
      <c r="G12057" t="s">
        <v>1912</v>
      </c>
      <c r="H12057" t="s">
        <v>432</v>
      </c>
    </row>
    <row r="12058" spans="1:10" hidden="1" x14ac:dyDescent="0.25">
      <c r="A12058" t="s">
        <v>15909</v>
      </c>
      <c r="B12058" s="1" t="str">
        <f>HYPERLINK("https://asmlis.vasa.lt/Dashboard/Served?ServiceDateFrom=2025-11-24&amp;ServiceDateTo=2025-11-24&amp;DumpsterInvNr=13-P-500385", "13-P-500385")</f>
        <v>13-P-500385</v>
      </c>
      <c r="C12058">
        <v>5</v>
      </c>
      <c r="D12058" t="s">
        <v>14578</v>
      </c>
      <c r="E12058" t="s">
        <v>11</v>
      </c>
      <c r="F12058" t="s">
        <v>13</v>
      </c>
      <c r="G12058" t="s">
        <v>2178</v>
      </c>
      <c r="H12058" t="s">
        <v>432</v>
      </c>
    </row>
    <row r="12059" spans="1:10" hidden="1" x14ac:dyDescent="0.25">
      <c r="A12059" t="s">
        <v>15740</v>
      </c>
      <c r="B12059" s="1" t="str">
        <f>HYPERLINK("https://asmlis.vasa.lt/Dashboard/Served?ServiceDateFrom=2025-11-24&amp;ServiceDateTo=2025-11-24&amp;DumpsterInvNr=13-P-102477", "13-P-102477")</f>
        <v>13-P-102477</v>
      </c>
      <c r="C12059">
        <v>1.3</v>
      </c>
      <c r="D12059" t="s">
        <v>15910</v>
      </c>
      <c r="E12059" t="s">
        <v>11</v>
      </c>
      <c r="F12059" t="s">
        <v>13</v>
      </c>
      <c r="G12059" t="s">
        <v>1917</v>
      </c>
      <c r="H12059" t="s">
        <v>432</v>
      </c>
    </row>
    <row r="12060" spans="1:10" hidden="1" x14ac:dyDescent="0.25">
      <c r="A12060" t="s">
        <v>15740</v>
      </c>
      <c r="B12060" s="1" t="str">
        <f>HYPERLINK("https://asmlis.vasa.lt/Dashboard/Served?ServiceDateFrom=2025-11-24&amp;ServiceDateTo=2025-11-24&amp;DumpsterInvNr=13-P-500384", "13-P-500384")</f>
        <v>13-P-500384</v>
      </c>
      <c r="C12060">
        <v>5</v>
      </c>
      <c r="D12060" t="s">
        <v>14575</v>
      </c>
      <c r="E12060" t="s">
        <v>11</v>
      </c>
      <c r="F12060" t="s">
        <v>13</v>
      </c>
      <c r="G12060" t="s">
        <v>2178</v>
      </c>
      <c r="H12060" t="s">
        <v>432</v>
      </c>
    </row>
    <row r="12061" spans="1:10" hidden="1" x14ac:dyDescent="0.25">
      <c r="A12061" t="s">
        <v>15745</v>
      </c>
      <c r="B12061" s="1" t="str">
        <f>HYPERLINK("https://asmlis.vasa.lt/Dashboard/Served?ServiceDateFrom=2025-11-24&amp;ServiceDateTo=2025-11-24&amp;DumpsterInvNr=13-P-102478", "13-P-102478")</f>
        <v>13-P-102478</v>
      </c>
      <c r="C12061">
        <v>1.3</v>
      </c>
      <c r="D12061" t="s">
        <v>15910</v>
      </c>
      <c r="E12061" t="s">
        <v>11</v>
      </c>
      <c r="F12061" t="s">
        <v>13</v>
      </c>
      <c r="G12061" t="s">
        <v>1917</v>
      </c>
      <c r="H12061" t="s">
        <v>432</v>
      </c>
    </row>
    <row r="12062" spans="1:10" hidden="1" x14ac:dyDescent="0.25">
      <c r="A12062" t="s">
        <v>15911</v>
      </c>
      <c r="B12062" s="1" t="str">
        <f>HYPERLINK("https://asmlis.vasa.lt/Dashboard/Served?ServiceDateFrom=2025-11-24&amp;ServiceDateTo=2025-11-24&amp;DumpsterInvNr=13-L-300652", "13-L-300652")</f>
        <v>13-L-300652</v>
      </c>
      <c r="C12062">
        <v>1.1000000000000001</v>
      </c>
      <c r="D12062" t="s">
        <v>15912</v>
      </c>
      <c r="E12062" t="s">
        <v>11</v>
      </c>
      <c r="G12062" t="s">
        <v>9</v>
      </c>
      <c r="H12062" t="s">
        <v>14</v>
      </c>
    </row>
    <row r="12063" spans="1:10" hidden="1" x14ac:dyDescent="0.25">
      <c r="A12063" t="s">
        <v>15913</v>
      </c>
      <c r="B12063" s="1" t="str">
        <f>HYPERLINK("https://asmlis.vasa.lt/Dashboard/Served?ServiceDateFrom=2025-11-24&amp;ServiceDateTo=2025-11-24&amp;DumpsterInvNr=13-L-133429", "13-L-133429")</f>
        <v>13-L-133429</v>
      </c>
      <c r="C12063">
        <v>5</v>
      </c>
      <c r="D12063" t="s">
        <v>15914</v>
      </c>
      <c r="E12063" t="s">
        <v>11</v>
      </c>
      <c r="F12063" t="s">
        <v>13</v>
      </c>
      <c r="G12063" t="s">
        <v>430</v>
      </c>
      <c r="H12063" t="s">
        <v>432</v>
      </c>
    </row>
    <row r="12064" spans="1:10" hidden="1" x14ac:dyDescent="0.25">
      <c r="A12064" t="s">
        <v>15915</v>
      </c>
      <c r="B12064" s="1" t="str">
        <f>HYPERLINK("https://asmlis.vasa.lt/Dashboard/Served?ServiceDateFrom=2025-11-24&amp;ServiceDateTo=2025-11-24&amp;DumpsterInvNr=13-P-208252", "13-P-208252")</f>
        <v>13-P-208252</v>
      </c>
      <c r="C12064">
        <v>0.24</v>
      </c>
      <c r="D12064" t="s">
        <v>15916</v>
      </c>
      <c r="E12064" t="s">
        <v>11</v>
      </c>
      <c r="F12064" t="s">
        <v>1209</v>
      </c>
      <c r="G12064" t="s">
        <v>234</v>
      </c>
      <c r="H12064" t="s">
        <v>14</v>
      </c>
    </row>
    <row r="12065" spans="1:8" hidden="1" x14ac:dyDescent="0.25">
      <c r="A12065" t="s">
        <v>15917</v>
      </c>
      <c r="B12065" s="1" t="str">
        <f>HYPERLINK("https://asmlis.vasa.lt/Dashboard/Served?ServiceDateFrom=2025-11-24&amp;ServiceDateTo=2025-11-24&amp;DumpsterInvNr=13-L-309026", "13-L-309026")</f>
        <v>13-L-309026</v>
      </c>
      <c r="C12065">
        <v>5</v>
      </c>
      <c r="D12065" t="s">
        <v>12639</v>
      </c>
      <c r="E12065" t="s">
        <v>11</v>
      </c>
      <c r="G12065" t="s">
        <v>9</v>
      </c>
      <c r="H12065" t="s">
        <v>14</v>
      </c>
    </row>
    <row r="12066" spans="1:8" hidden="1" x14ac:dyDescent="0.25">
      <c r="A12066" t="s">
        <v>15918</v>
      </c>
      <c r="B12066" s="1" t="str">
        <f>HYPERLINK("https://asmlis.vasa.lt/Dashboard/Served?ServiceDateFrom=2025-11-24&amp;ServiceDateTo=2025-11-24&amp;DumpsterInvNr=13-S-208628", "13-S-208628")</f>
        <v>13-S-208628</v>
      </c>
      <c r="C12066">
        <v>0.12</v>
      </c>
      <c r="D12066" t="s">
        <v>15916</v>
      </c>
      <c r="E12066" t="s">
        <v>11</v>
      </c>
      <c r="F12066" t="s">
        <v>1209</v>
      </c>
      <c r="G12066" t="s">
        <v>234</v>
      </c>
      <c r="H12066" t="s">
        <v>14</v>
      </c>
    </row>
    <row r="12067" spans="1:8" hidden="1" x14ac:dyDescent="0.25">
      <c r="A12067" t="s">
        <v>15919</v>
      </c>
      <c r="B12067" s="1" t="str">
        <f>HYPERLINK("https://asmlis.vasa.lt/Dashboard/Served?ServiceDateFrom=2025-11-24&amp;ServiceDateTo=2025-11-24&amp;DumpsterInvNr=13-L-106030", "13-L-106030")</f>
        <v>13-L-106030</v>
      </c>
      <c r="C12067">
        <v>0.24</v>
      </c>
      <c r="D12067" t="s">
        <v>15920</v>
      </c>
      <c r="E12067" t="s">
        <v>11</v>
      </c>
      <c r="G12067" t="s">
        <v>1912</v>
      </c>
      <c r="H12067" t="s">
        <v>432</v>
      </c>
    </row>
    <row r="12068" spans="1:8" hidden="1" x14ac:dyDescent="0.25">
      <c r="A12068" t="s">
        <v>15922</v>
      </c>
      <c r="B12068" s="1" t="str">
        <f>HYPERLINK("https://asmlis.vasa.lt/Dashboard/Served?ServiceDateFrom=2025-11-24&amp;ServiceDateTo=2025-11-24&amp;DumpsterInvNr=13-P-112132", "13-P-112132")</f>
        <v>13-P-112132</v>
      </c>
      <c r="C12068">
        <v>0.24</v>
      </c>
      <c r="D12068" t="s">
        <v>15920</v>
      </c>
      <c r="E12068" t="s">
        <v>11</v>
      </c>
      <c r="G12068" t="s">
        <v>1917</v>
      </c>
      <c r="H12068" t="s">
        <v>432</v>
      </c>
    </row>
    <row r="12069" spans="1:8" hidden="1" x14ac:dyDescent="0.25">
      <c r="A12069" t="s">
        <v>15922</v>
      </c>
      <c r="B12069" s="1" t="str">
        <f>HYPERLINK("https://asmlis.vasa.lt/Dashboard/Served?ServiceDateFrom=2025-11-24&amp;ServiceDateTo=2025-11-24&amp;DumpsterInvNr=13-P-204170", "13-P-204170")</f>
        <v>13-P-204170</v>
      </c>
      <c r="C12069">
        <v>0.24</v>
      </c>
      <c r="D12069" t="s">
        <v>15256</v>
      </c>
      <c r="E12069" t="s">
        <v>11</v>
      </c>
      <c r="G12069" t="s">
        <v>234</v>
      </c>
      <c r="H12069" t="s">
        <v>14</v>
      </c>
    </row>
    <row r="12070" spans="1:8" hidden="1" x14ac:dyDescent="0.25">
      <c r="A12070" t="s">
        <v>15924</v>
      </c>
      <c r="B12070" s="1" t="str">
        <f>HYPERLINK("https://asmlis.vasa.lt/Dashboard/Served?ServiceDateFrom=2025-11-24&amp;ServiceDateTo=2025-11-24&amp;DumpsterInvNr=13-L-203528", "13-L-203528")</f>
        <v>13-L-203528</v>
      </c>
      <c r="C12070">
        <v>0.24</v>
      </c>
      <c r="D12070" t="s">
        <v>15925</v>
      </c>
      <c r="E12070" t="s">
        <v>11</v>
      </c>
      <c r="G12070" t="s">
        <v>936</v>
      </c>
      <c r="H12070" t="s">
        <v>938</v>
      </c>
    </row>
    <row r="12071" spans="1:8" hidden="1" x14ac:dyDescent="0.25">
      <c r="A12071" t="s">
        <v>15926</v>
      </c>
      <c r="B12071" s="1" t="str">
        <f>HYPERLINK("https://asmlis.vasa.lt/Dashboard/Served?ServiceDateFrom=2025-11-24&amp;ServiceDateTo=2025-11-24&amp;DumpsterInvNr=13-L-415913", "13-L-415913")</f>
        <v>13-L-415913</v>
      </c>
      <c r="C12071">
        <v>5</v>
      </c>
      <c r="D12071" t="s">
        <v>9034</v>
      </c>
      <c r="E12071" t="s">
        <v>11</v>
      </c>
      <c r="F12071" t="s">
        <v>13</v>
      </c>
      <c r="G12071" t="s">
        <v>74</v>
      </c>
      <c r="H12071" t="s">
        <v>14</v>
      </c>
    </row>
    <row r="12072" spans="1:8" hidden="1" x14ac:dyDescent="0.25">
      <c r="A12072" t="s">
        <v>15927</v>
      </c>
      <c r="B12072" s="1" t="str">
        <f>HYPERLINK("https://asmlis.vasa.lt/Dashboard/Served?ServiceDateFrom=2025-11-24&amp;ServiceDateTo=2025-11-24&amp;DumpsterInvNr=13-L-142940", "13-L-142940")</f>
        <v>13-L-142940</v>
      </c>
      <c r="C12072">
        <v>5</v>
      </c>
      <c r="D12072" t="s">
        <v>10658</v>
      </c>
      <c r="E12072" t="s">
        <v>11</v>
      </c>
      <c r="F12072" t="s">
        <v>13</v>
      </c>
      <c r="G12072" t="s">
        <v>430</v>
      </c>
      <c r="H12072" t="s">
        <v>432</v>
      </c>
    </row>
    <row r="12073" spans="1:8" hidden="1" x14ac:dyDescent="0.25">
      <c r="A12073" t="s">
        <v>15928</v>
      </c>
      <c r="B12073" s="1" t="str">
        <f>HYPERLINK("https://asmlis.vasa.lt/Dashboard/Served?ServiceDateFrom=2025-11-24&amp;ServiceDateTo=2025-11-24&amp;DumpsterInvNr=13-L-147633", "13-L-147633")</f>
        <v>13-L-147633</v>
      </c>
      <c r="C12073">
        <v>5</v>
      </c>
      <c r="D12073" t="s">
        <v>15929</v>
      </c>
      <c r="E12073" t="s">
        <v>11</v>
      </c>
      <c r="F12073" t="s">
        <v>13</v>
      </c>
      <c r="G12073" t="s">
        <v>430</v>
      </c>
      <c r="H12073" t="s">
        <v>432</v>
      </c>
    </row>
    <row r="12074" spans="1:8" hidden="1" x14ac:dyDescent="0.25">
      <c r="A12074" t="s">
        <v>15930</v>
      </c>
      <c r="B12074" s="1" t="str">
        <f>HYPERLINK("https://asmlis.vasa.lt/Dashboard/Served?ServiceDateFrom=2025-11-24&amp;ServiceDateTo=2025-11-24&amp;DumpsterInvNr=13-L-131173", "13-L-131173")</f>
        <v>13-L-131173</v>
      </c>
      <c r="C12074">
        <v>1.1000000000000001</v>
      </c>
      <c r="D12074" t="s">
        <v>15931</v>
      </c>
      <c r="E12074" t="s">
        <v>11</v>
      </c>
      <c r="G12074" t="s">
        <v>430</v>
      </c>
      <c r="H12074" t="s">
        <v>432</v>
      </c>
    </row>
    <row r="12075" spans="1:8" hidden="1" x14ac:dyDescent="0.25">
      <c r="A12075" t="s">
        <v>15932</v>
      </c>
      <c r="B12075" s="1" t="str">
        <f>HYPERLINK("https://asmlis.vasa.lt/Dashboard/Served?ServiceDateFrom=2025-11-24&amp;ServiceDateTo=2025-11-24&amp;DumpsterInvNr=13-L-113187", "13-L-113187")</f>
        <v>13-L-113187</v>
      </c>
      <c r="C12075">
        <v>0.24</v>
      </c>
      <c r="D12075" t="s">
        <v>15933</v>
      </c>
      <c r="E12075" t="s">
        <v>11</v>
      </c>
      <c r="G12075" t="s">
        <v>430</v>
      </c>
      <c r="H12075" t="s">
        <v>432</v>
      </c>
    </row>
    <row r="12076" spans="1:8" hidden="1" x14ac:dyDescent="0.25">
      <c r="A12076" t="s">
        <v>15934</v>
      </c>
      <c r="B12076" s="1" t="str">
        <f>HYPERLINK("https://asmlis.vasa.lt/Dashboard/Served?ServiceDateFrom=2025-11-24&amp;ServiceDateTo=2025-11-24&amp;DumpsterInvNr=13-L-135789", "13-L-135789")</f>
        <v>13-L-135789</v>
      </c>
      <c r="C12076">
        <v>0.24</v>
      </c>
      <c r="D12076" t="s">
        <v>15935</v>
      </c>
      <c r="E12076" t="s">
        <v>11</v>
      </c>
      <c r="G12076" t="s">
        <v>430</v>
      </c>
      <c r="H12076" t="s">
        <v>432</v>
      </c>
    </row>
    <row r="12077" spans="1:8" hidden="1" x14ac:dyDescent="0.25">
      <c r="A12077" t="s">
        <v>15934</v>
      </c>
      <c r="B12077" s="1" t="str">
        <f>HYPERLINK("https://asmlis.vasa.lt/Dashboard/Served?ServiceDateFrom=2025-11-24&amp;ServiceDateTo=2025-11-24&amp;DumpsterInvNr=13-P-506272", "13-P-506272")</f>
        <v>13-P-506272</v>
      </c>
      <c r="C12077">
        <v>0.24</v>
      </c>
      <c r="D12077" t="s">
        <v>15935</v>
      </c>
      <c r="E12077" t="s">
        <v>11</v>
      </c>
      <c r="G12077" t="s">
        <v>2178</v>
      </c>
      <c r="H12077" t="s">
        <v>432</v>
      </c>
    </row>
    <row r="12078" spans="1:8" hidden="1" x14ac:dyDescent="0.25">
      <c r="A12078" t="s">
        <v>15936</v>
      </c>
      <c r="B12078" s="1" t="str">
        <f>HYPERLINK("https://asmlis.vasa.lt/Dashboard/Served?ServiceDateFrom=2025-11-24&amp;ServiceDateTo=2025-11-24&amp;DumpsterInvNr=13-L-114288", "13-L-114288")</f>
        <v>13-L-114288</v>
      </c>
      <c r="C12078">
        <v>0.24</v>
      </c>
      <c r="D12078" t="s">
        <v>15937</v>
      </c>
      <c r="E12078" t="s">
        <v>11</v>
      </c>
      <c r="G12078" t="s">
        <v>1912</v>
      </c>
      <c r="H12078" t="s">
        <v>432</v>
      </c>
    </row>
    <row r="12079" spans="1:8" hidden="1" x14ac:dyDescent="0.25">
      <c r="A12079" t="s">
        <v>15938</v>
      </c>
      <c r="B12079" s="1" t="str">
        <f>HYPERLINK("https://asmlis.vasa.lt/Dashboard/Served?ServiceDateFrom=2025-11-24&amp;ServiceDateTo=2025-11-24&amp;DumpsterInvNr=13-L-208220", "13-L-208220")</f>
        <v>13-L-208220</v>
      </c>
      <c r="C12079">
        <v>0.24</v>
      </c>
      <c r="D12079" t="s">
        <v>15939</v>
      </c>
      <c r="E12079" t="s">
        <v>11</v>
      </c>
      <c r="G12079" t="s">
        <v>936</v>
      </c>
      <c r="H12079" t="s">
        <v>938</v>
      </c>
    </row>
    <row r="12080" spans="1:8" hidden="1" x14ac:dyDescent="0.25">
      <c r="A12080" t="s">
        <v>15940</v>
      </c>
      <c r="B12080" s="1" t="str">
        <f>HYPERLINK("https://asmlis.vasa.lt/Dashboard/Served?ServiceDateFrom=2025-11-24&amp;ServiceDateTo=2025-11-24&amp;DumpsterInvNr=13-P-401104", "13-P-401104")</f>
        <v>13-P-401104</v>
      </c>
      <c r="C12080">
        <v>1.1000000000000001</v>
      </c>
      <c r="D12080" t="s">
        <v>15941</v>
      </c>
      <c r="E12080" t="s">
        <v>11</v>
      </c>
      <c r="F12080" t="s">
        <v>13</v>
      </c>
      <c r="G12080" t="s">
        <v>264</v>
      </c>
      <c r="H12080" t="s">
        <v>14</v>
      </c>
    </row>
    <row r="12081" spans="1:8" hidden="1" x14ac:dyDescent="0.25">
      <c r="A12081" t="s">
        <v>15942</v>
      </c>
      <c r="B12081" s="1" t="str">
        <f>HYPERLINK("https://asmlis.vasa.lt/Dashboard/Served?ServiceDateFrom=2025-11-24&amp;ServiceDateTo=2025-11-24&amp;DumpsterInvNr=13-P-413907", "13-P-413907")</f>
        <v>13-P-413907</v>
      </c>
      <c r="C12081">
        <v>5</v>
      </c>
      <c r="D12081" t="s">
        <v>1217</v>
      </c>
      <c r="E12081" t="s">
        <v>11</v>
      </c>
      <c r="G12081" t="s">
        <v>264</v>
      </c>
      <c r="H12081" t="s">
        <v>14</v>
      </c>
    </row>
    <row r="12082" spans="1:8" hidden="1" x14ac:dyDescent="0.25">
      <c r="A12082" t="s">
        <v>15942</v>
      </c>
      <c r="B12082" s="1" t="str">
        <f>HYPERLINK("https://asmlis.vasa.lt/Dashboard/Served?ServiceDateFrom=2025-11-24&amp;ServiceDateTo=2025-11-24&amp;DumpsterInvNr=13-P-112127", "13-P-112127")</f>
        <v>13-P-112127</v>
      </c>
      <c r="C12082">
        <v>0.24</v>
      </c>
      <c r="D12082" t="s">
        <v>15937</v>
      </c>
      <c r="E12082" t="s">
        <v>11</v>
      </c>
      <c r="G12082" t="s">
        <v>1917</v>
      </c>
      <c r="H12082" t="s">
        <v>432</v>
      </c>
    </row>
    <row r="12083" spans="1:8" hidden="1" x14ac:dyDescent="0.25">
      <c r="A12083" t="s">
        <v>15943</v>
      </c>
      <c r="B12083" s="1" t="str">
        <f>HYPERLINK("https://asmlis.vasa.lt/Dashboard/Served?ServiceDateFrom=2025-11-24&amp;ServiceDateTo=2025-11-24&amp;DumpsterInvNr=13-P-507391", "13-P-507391")</f>
        <v>13-P-507391</v>
      </c>
      <c r="C12083">
        <v>0.24</v>
      </c>
      <c r="D12083" t="s">
        <v>15944</v>
      </c>
      <c r="E12083" t="s">
        <v>11</v>
      </c>
      <c r="G12083" t="s">
        <v>2178</v>
      </c>
      <c r="H12083" t="s">
        <v>432</v>
      </c>
    </row>
    <row r="12084" spans="1:8" hidden="1" x14ac:dyDescent="0.25">
      <c r="A12084" t="s">
        <v>15945</v>
      </c>
      <c r="B12084" s="1" t="str">
        <f>HYPERLINK("https://asmlis.vasa.lt/Dashboard/Served?ServiceDateFrom=2025-11-24&amp;ServiceDateTo=2025-11-24&amp;DumpsterInvNr=13-P-502574", "13-P-502574")</f>
        <v>13-P-502574</v>
      </c>
      <c r="C12084">
        <v>0.24</v>
      </c>
      <c r="D12084" t="s">
        <v>15933</v>
      </c>
      <c r="E12084" t="s">
        <v>11</v>
      </c>
      <c r="G12084" t="s">
        <v>2178</v>
      </c>
      <c r="H12084" t="s">
        <v>432</v>
      </c>
    </row>
    <row r="12085" spans="1:8" hidden="1" x14ac:dyDescent="0.25">
      <c r="A12085" t="s">
        <v>15946</v>
      </c>
      <c r="B12085" s="1" t="str">
        <f>HYPERLINK("https://asmlis.vasa.lt/Dashboard/Served?ServiceDateFrom=2025-11-24&amp;ServiceDateTo=2025-11-24&amp;DumpsterInvNr=13-L-131576", "13-L-131576")</f>
        <v>13-L-131576</v>
      </c>
      <c r="C12085">
        <v>0.24</v>
      </c>
      <c r="D12085" t="s">
        <v>15944</v>
      </c>
      <c r="E12085" t="s">
        <v>11</v>
      </c>
      <c r="G12085" t="s">
        <v>430</v>
      </c>
      <c r="H12085" t="s">
        <v>432</v>
      </c>
    </row>
    <row r="12086" spans="1:8" hidden="1" x14ac:dyDescent="0.25">
      <c r="A12086" t="s">
        <v>15947</v>
      </c>
      <c r="B12086" s="1" t="str">
        <f>HYPERLINK("https://asmlis.vasa.lt/Dashboard/Served?ServiceDateFrom=2025-11-24&amp;ServiceDateTo=2025-11-24&amp;DumpsterInvNr=13-P-204171", "13-P-204171")</f>
        <v>13-P-204171</v>
      </c>
      <c r="C12086">
        <v>0.24</v>
      </c>
      <c r="D12086" t="s">
        <v>15227</v>
      </c>
      <c r="E12086" t="s">
        <v>11</v>
      </c>
      <c r="G12086" t="s">
        <v>234</v>
      </c>
      <c r="H12086" t="s">
        <v>14</v>
      </c>
    </row>
    <row r="12087" spans="1:8" hidden="1" x14ac:dyDescent="0.25">
      <c r="A12087" t="s">
        <v>15948</v>
      </c>
      <c r="B12087" s="1" t="str">
        <f>HYPERLINK("https://asmlis.vasa.lt/Dashboard/Served?ServiceDateFrom=2025-11-24&amp;ServiceDateTo=2025-11-24&amp;DumpsterInvNr=13-L-131170", "13-L-131170")</f>
        <v>13-L-131170</v>
      </c>
      <c r="C12087">
        <v>1.1000000000000001</v>
      </c>
      <c r="D12087" t="s">
        <v>14080</v>
      </c>
      <c r="E12087" t="s">
        <v>11</v>
      </c>
      <c r="G12087" t="s">
        <v>430</v>
      </c>
      <c r="H12087" t="s">
        <v>432</v>
      </c>
    </row>
    <row r="12088" spans="1:8" hidden="1" x14ac:dyDescent="0.25">
      <c r="A12088" t="s">
        <v>15949</v>
      </c>
      <c r="B12088" s="1" t="str">
        <f>HYPERLINK("https://asmlis.vasa.lt/Dashboard/Served?ServiceDateFrom=2025-11-24&amp;ServiceDateTo=2025-11-24&amp;DumpsterInvNr=13-P-302440", "13-P-302440")</f>
        <v>13-P-302440</v>
      </c>
      <c r="C12088">
        <v>5</v>
      </c>
      <c r="D12088" t="s">
        <v>237</v>
      </c>
      <c r="E12088" t="s">
        <v>11</v>
      </c>
      <c r="F12088" t="s">
        <v>13</v>
      </c>
      <c r="G12088" t="s">
        <v>412</v>
      </c>
      <c r="H12088" t="s">
        <v>14</v>
      </c>
    </row>
    <row r="12089" spans="1:8" hidden="1" x14ac:dyDescent="0.25">
      <c r="A12089" t="s">
        <v>15904</v>
      </c>
      <c r="B12089" s="1" t="str">
        <f>HYPERLINK("https://asmlis.vasa.lt/Dashboard/Served?ServiceDateFrom=2025-11-24&amp;ServiceDateTo=2025-11-24&amp;DumpsterInvNr=13-L-106029", "13-L-106029")</f>
        <v>13-L-106029</v>
      </c>
      <c r="C12089">
        <v>0.24</v>
      </c>
      <c r="D12089" t="s">
        <v>15950</v>
      </c>
      <c r="E12089" t="s">
        <v>11</v>
      </c>
      <c r="G12089" t="s">
        <v>1912</v>
      </c>
      <c r="H12089" t="s">
        <v>432</v>
      </c>
    </row>
    <row r="12090" spans="1:8" hidden="1" x14ac:dyDescent="0.25">
      <c r="A12090" t="s">
        <v>15951</v>
      </c>
      <c r="B12090" s="1" t="str">
        <f>HYPERLINK("https://asmlis.vasa.lt/Dashboard/Served?ServiceDateFrom=2025-11-24&amp;ServiceDateTo=2025-11-24&amp;DumpsterInvNr=13-L-107744", "13-L-107744")</f>
        <v>13-L-107744</v>
      </c>
      <c r="C12090">
        <v>1.1000000000000001</v>
      </c>
      <c r="D12090" t="s">
        <v>15952</v>
      </c>
      <c r="E12090" t="s">
        <v>11</v>
      </c>
      <c r="G12090" t="s">
        <v>1912</v>
      </c>
      <c r="H12090" t="s">
        <v>432</v>
      </c>
    </row>
    <row r="12091" spans="1:8" hidden="1" x14ac:dyDescent="0.25">
      <c r="A12091" t="s">
        <v>15080</v>
      </c>
      <c r="B12091" s="1" t="str">
        <f>HYPERLINK("https://asmlis.vasa.lt/Dashboard/Served?ServiceDateFrom=2025-11-24&amp;ServiceDateTo=2025-11-24&amp;DumpsterInvNr=13-S-204868", "13-S-204868")</f>
        <v>13-S-204868</v>
      </c>
      <c r="C12091">
        <v>0.12</v>
      </c>
      <c r="D12091" t="s">
        <v>15236</v>
      </c>
      <c r="E12091" t="s">
        <v>11</v>
      </c>
      <c r="F12091" t="s">
        <v>1209</v>
      </c>
      <c r="G12091" t="s">
        <v>234</v>
      </c>
      <c r="H12091" t="s">
        <v>14</v>
      </c>
    </row>
    <row r="12092" spans="1:8" hidden="1" x14ac:dyDescent="0.25">
      <c r="A12092" t="s">
        <v>15954</v>
      </c>
      <c r="B12092" s="1" t="str">
        <f>HYPERLINK("https://asmlis.vasa.lt/Dashboard/Served?ServiceDateFrom=2025-11-24&amp;ServiceDateTo=2025-11-24&amp;DumpsterInvNr=13-P-114679", "13-P-114679")</f>
        <v>13-P-114679</v>
      </c>
      <c r="C12092">
        <v>0.24</v>
      </c>
      <c r="D12092" t="s">
        <v>15955</v>
      </c>
      <c r="E12092" t="s">
        <v>11</v>
      </c>
      <c r="G12092" t="s">
        <v>1917</v>
      </c>
      <c r="H12092" t="s">
        <v>432</v>
      </c>
    </row>
    <row r="12093" spans="1:8" hidden="1" x14ac:dyDescent="0.25">
      <c r="A12093" t="s">
        <v>15956</v>
      </c>
      <c r="B12093" s="1" t="str">
        <f>HYPERLINK("https://asmlis.vasa.lt/Dashboard/Served?ServiceDateFrom=2025-11-24&amp;ServiceDateTo=2025-11-24&amp;DumpsterInvNr=13-L-209904", "13-L-209904")</f>
        <v>13-L-209904</v>
      </c>
      <c r="C12093">
        <v>0.24</v>
      </c>
      <c r="D12093" t="s">
        <v>15957</v>
      </c>
      <c r="E12093" t="s">
        <v>11</v>
      </c>
      <c r="G12093" t="s">
        <v>936</v>
      </c>
      <c r="H12093" t="s">
        <v>938</v>
      </c>
    </row>
    <row r="12094" spans="1:8" hidden="1" x14ac:dyDescent="0.25">
      <c r="A12094" t="s">
        <v>15958</v>
      </c>
      <c r="B12094" s="1" t="str">
        <f>HYPERLINK("https://asmlis.vasa.lt/Dashboard/Served?ServiceDateFrom=2025-11-24&amp;ServiceDateTo=2025-11-24&amp;DumpsterInvNr=13-L-131171", "13-L-131171")</f>
        <v>13-L-131171</v>
      </c>
      <c r="C12094">
        <v>1.1000000000000001</v>
      </c>
      <c r="D12094" t="s">
        <v>14080</v>
      </c>
      <c r="E12094" t="s">
        <v>11</v>
      </c>
      <c r="G12094" t="s">
        <v>430</v>
      </c>
      <c r="H12094" t="s">
        <v>432</v>
      </c>
    </row>
    <row r="12095" spans="1:8" hidden="1" x14ac:dyDescent="0.25">
      <c r="A12095" t="s">
        <v>15959</v>
      </c>
      <c r="B12095" s="1" t="str">
        <f>HYPERLINK("https://asmlis.vasa.lt/Dashboard/Served?ServiceDateFrom=2025-11-24&amp;ServiceDateTo=2025-11-24&amp;DumpsterInvNr=13-L-209941", "13-L-209941")</f>
        <v>13-L-209941</v>
      </c>
      <c r="C12095">
        <v>0.12</v>
      </c>
      <c r="D12095" t="s">
        <v>15961</v>
      </c>
      <c r="E12095" t="s">
        <v>11</v>
      </c>
      <c r="F12095" t="s">
        <v>1209</v>
      </c>
      <c r="G12095" t="s">
        <v>936</v>
      </c>
      <c r="H12095" t="s">
        <v>938</v>
      </c>
    </row>
    <row r="12096" spans="1:8" hidden="1" x14ac:dyDescent="0.25">
      <c r="A12096" t="s">
        <v>15962</v>
      </c>
      <c r="B12096" s="1" t="str">
        <f>HYPERLINK("https://asmlis.vasa.lt/Dashboard/Served?ServiceDateFrom=2025-11-24&amp;ServiceDateTo=2025-11-24&amp;DumpsterInvNr=13-L-313711", "13-L-313711")</f>
        <v>13-L-313711</v>
      </c>
      <c r="C12096">
        <v>1.1000000000000001</v>
      </c>
      <c r="D12096" t="s">
        <v>6445</v>
      </c>
      <c r="E12096" t="s">
        <v>11</v>
      </c>
      <c r="G12096" t="s">
        <v>9</v>
      </c>
      <c r="H12096" t="s">
        <v>14</v>
      </c>
    </row>
    <row r="12097" spans="1:8" hidden="1" x14ac:dyDescent="0.25">
      <c r="A12097" t="s">
        <v>15962</v>
      </c>
      <c r="B12097" s="1" t="str">
        <f>HYPERLINK("https://asmlis.vasa.lt/Dashboard/Served?ServiceDateFrom=2025-11-24&amp;ServiceDateTo=2025-11-24&amp;DumpsterInvNr=13-L-209971", "13-L-209971")</f>
        <v>13-L-209971</v>
      </c>
      <c r="C12097">
        <v>0.24</v>
      </c>
      <c r="D12097" t="s">
        <v>15963</v>
      </c>
      <c r="E12097" t="s">
        <v>11</v>
      </c>
      <c r="F12097" t="s">
        <v>1209</v>
      </c>
      <c r="G12097" t="s">
        <v>936</v>
      </c>
      <c r="H12097" t="s">
        <v>938</v>
      </c>
    </row>
    <row r="12098" spans="1:8" hidden="1" x14ac:dyDescent="0.25">
      <c r="A12098" t="s">
        <v>15964</v>
      </c>
      <c r="B12098" s="1" t="str">
        <f>HYPERLINK("https://asmlis.vasa.lt/Dashboard/Served?ServiceDateFrom=2025-11-24&amp;ServiceDateTo=2025-11-24&amp;DumpsterInvNr=13-L-136057", "13-L-136057")</f>
        <v>13-L-136057</v>
      </c>
      <c r="C12098">
        <v>0.24</v>
      </c>
      <c r="D12098" t="s">
        <v>15965</v>
      </c>
      <c r="E12098" t="s">
        <v>11</v>
      </c>
      <c r="G12098" t="s">
        <v>430</v>
      </c>
      <c r="H12098" t="s">
        <v>432</v>
      </c>
    </row>
    <row r="12099" spans="1:8" hidden="1" x14ac:dyDescent="0.25">
      <c r="A12099" t="s">
        <v>15964</v>
      </c>
      <c r="B12099" s="1" t="str">
        <f>HYPERLINK("https://asmlis.vasa.lt/Dashboard/Served?ServiceDateFrom=2025-11-24&amp;ServiceDateTo=2025-11-24&amp;DumpsterInvNr=13-L-137927", "13-L-137927")</f>
        <v>13-L-137927</v>
      </c>
      <c r="C12099">
        <v>0.24</v>
      </c>
      <c r="D12099" t="s">
        <v>15966</v>
      </c>
      <c r="E12099" t="s">
        <v>11</v>
      </c>
      <c r="G12099" t="s">
        <v>430</v>
      </c>
      <c r="H12099" t="s">
        <v>432</v>
      </c>
    </row>
    <row r="12100" spans="1:8" hidden="1" x14ac:dyDescent="0.25">
      <c r="A12100" t="s">
        <v>15967</v>
      </c>
      <c r="B12100" s="1" t="str">
        <f>HYPERLINK("https://asmlis.vasa.lt/Dashboard/Served?ServiceDateFrom=2025-11-24&amp;ServiceDateTo=2025-11-24&amp;DumpsterInvNr=13-L-136353", "13-L-136353")</f>
        <v>13-L-136353</v>
      </c>
      <c r="C12100">
        <v>5</v>
      </c>
      <c r="D12100" t="s">
        <v>2413</v>
      </c>
      <c r="E12100" t="s">
        <v>11</v>
      </c>
      <c r="F12100" t="s">
        <v>13</v>
      </c>
      <c r="G12100" t="s">
        <v>1912</v>
      </c>
      <c r="H12100" t="s">
        <v>432</v>
      </c>
    </row>
    <row r="12101" spans="1:8" hidden="1" x14ac:dyDescent="0.25">
      <c r="A12101" t="s">
        <v>15968</v>
      </c>
      <c r="B12101" s="1" t="str">
        <f>HYPERLINK("https://asmlis.vasa.lt/Dashboard/Served?ServiceDateFrom=2025-11-24&amp;ServiceDateTo=2025-11-24&amp;DumpsterInvNr=13-L-133159", "13-L-133159")</f>
        <v>13-L-133159</v>
      </c>
      <c r="C12101">
        <v>0.24</v>
      </c>
      <c r="D12101" t="s">
        <v>15955</v>
      </c>
      <c r="E12101" t="s">
        <v>11</v>
      </c>
      <c r="G12101" t="s">
        <v>1912</v>
      </c>
      <c r="H12101" t="s">
        <v>432</v>
      </c>
    </row>
    <row r="12102" spans="1:8" hidden="1" x14ac:dyDescent="0.25">
      <c r="A12102" t="s">
        <v>15970</v>
      </c>
      <c r="B12102" s="1" t="str">
        <f>HYPERLINK("https://asmlis.vasa.lt/Dashboard/Served?ServiceDateFrom=2025-11-24&amp;ServiceDateTo=2025-11-24&amp;DumpsterInvNr=13-L-211155", "13-L-211155")</f>
        <v>13-L-211155</v>
      </c>
      <c r="C12102">
        <v>0.24</v>
      </c>
      <c r="D12102" t="s">
        <v>15971</v>
      </c>
      <c r="E12102" t="s">
        <v>11</v>
      </c>
      <c r="F12102" t="s">
        <v>1209</v>
      </c>
      <c r="G12102" t="s">
        <v>936</v>
      </c>
      <c r="H12102" t="s">
        <v>938</v>
      </c>
    </row>
    <row r="12103" spans="1:8" hidden="1" x14ac:dyDescent="0.25">
      <c r="A12103" t="s">
        <v>15973</v>
      </c>
      <c r="B12103" s="1" t="str">
        <f>HYPERLINK("https://asmlis.vasa.lt/Dashboard/Served?ServiceDateFrom=2025-11-24&amp;ServiceDateTo=2025-11-24&amp;DumpsterInvNr=13-P-506240", "13-P-506240")</f>
        <v>13-P-506240</v>
      </c>
      <c r="C12103">
        <v>0.24</v>
      </c>
      <c r="D12103" t="s">
        <v>15966</v>
      </c>
      <c r="E12103" t="s">
        <v>11</v>
      </c>
      <c r="G12103" t="s">
        <v>2178</v>
      </c>
      <c r="H12103" t="s">
        <v>432</v>
      </c>
    </row>
    <row r="12104" spans="1:8" hidden="1" x14ac:dyDescent="0.25">
      <c r="A12104" t="s">
        <v>15591</v>
      </c>
      <c r="B12104" s="1" t="str">
        <f>HYPERLINK("https://asmlis.vasa.lt/Dashboard/Served?ServiceDateFrom=2025-11-24&amp;ServiceDateTo=2025-11-24&amp;DumpsterInvNr=13-P-112125", "13-P-112125")</f>
        <v>13-P-112125</v>
      </c>
      <c r="C12104">
        <v>0.24</v>
      </c>
      <c r="D12104" t="s">
        <v>15950</v>
      </c>
      <c r="E12104" t="s">
        <v>11</v>
      </c>
      <c r="G12104" t="s">
        <v>1917</v>
      </c>
      <c r="H12104" t="s">
        <v>432</v>
      </c>
    </row>
    <row r="12105" spans="1:8" hidden="1" x14ac:dyDescent="0.25">
      <c r="A12105" t="s">
        <v>15871</v>
      </c>
      <c r="B12105" s="1" t="str">
        <f>HYPERLINK("https://asmlis.vasa.lt/Dashboard/Served?ServiceDateFrom=2025-11-24&amp;ServiceDateTo=2025-11-24&amp;DumpsterInvNr=13-L-131172", "13-L-131172")</f>
        <v>13-L-131172</v>
      </c>
      <c r="C12105">
        <v>1.1000000000000001</v>
      </c>
      <c r="D12105" t="s">
        <v>14080</v>
      </c>
      <c r="E12105" t="s">
        <v>11</v>
      </c>
      <c r="G12105" t="s">
        <v>430</v>
      </c>
      <c r="H12105" t="s">
        <v>432</v>
      </c>
    </row>
    <row r="12106" spans="1:8" hidden="1" x14ac:dyDescent="0.25">
      <c r="A12106" t="s">
        <v>15710</v>
      </c>
      <c r="B12106" s="1" t="str">
        <f>HYPERLINK("https://asmlis.vasa.lt/Dashboard/Served?ServiceDateFrom=2025-11-24&amp;ServiceDateTo=2025-11-24&amp;DumpsterInvNr=13-L-147044", "13-L-147044")</f>
        <v>13-L-147044</v>
      </c>
      <c r="C12106">
        <v>0.24</v>
      </c>
      <c r="D12106" t="s">
        <v>15955</v>
      </c>
      <c r="E12106" t="s">
        <v>11</v>
      </c>
      <c r="F12106" t="s">
        <v>1209</v>
      </c>
      <c r="G12106" t="s">
        <v>1912</v>
      </c>
      <c r="H12106" t="s">
        <v>432</v>
      </c>
    </row>
    <row r="12107" spans="1:8" hidden="1" x14ac:dyDescent="0.25">
      <c r="A12107" t="s">
        <v>15540</v>
      </c>
      <c r="B12107" s="1" t="str">
        <f>HYPERLINK("https://asmlis.vasa.lt/Dashboard/Served?ServiceDateFrom=2025-11-24&amp;ServiceDateTo=2025-11-24&amp;DumpsterInvNr=13-L-318935", "13-L-318935")</f>
        <v>13-L-318935</v>
      </c>
      <c r="C12107">
        <v>1.1000000000000001</v>
      </c>
      <c r="D12107" t="s">
        <v>6445</v>
      </c>
      <c r="E12107" t="s">
        <v>11</v>
      </c>
      <c r="G12107" t="s">
        <v>9</v>
      </c>
      <c r="H12107" t="s">
        <v>14</v>
      </c>
    </row>
    <row r="12108" spans="1:8" hidden="1" x14ac:dyDescent="0.25">
      <c r="A12108" t="s">
        <v>15763</v>
      </c>
      <c r="B12108" s="1" t="str">
        <f>HYPERLINK("https://asmlis.vasa.lt/Dashboard/Served?ServiceDateFrom=2025-11-24&amp;ServiceDateTo=2025-11-24&amp;DumpsterInvNr=13-P-204305", "13-P-204305")</f>
        <v>13-P-204305</v>
      </c>
      <c r="C12108">
        <v>0.24</v>
      </c>
      <c r="D12108" t="s">
        <v>15236</v>
      </c>
      <c r="E12108" t="s">
        <v>11</v>
      </c>
      <c r="F12108" t="s">
        <v>1209</v>
      </c>
      <c r="G12108" t="s">
        <v>234</v>
      </c>
      <c r="H12108" t="s">
        <v>14</v>
      </c>
    </row>
    <row r="12109" spans="1:8" hidden="1" x14ac:dyDescent="0.25">
      <c r="A12109" t="s">
        <v>15543</v>
      </c>
      <c r="B12109" s="1" t="str">
        <f>HYPERLINK("https://asmlis.vasa.lt/Dashboard/Served?ServiceDateFrom=2025-11-24&amp;ServiceDateTo=2025-11-24&amp;DumpsterInvNr=13-L-139409", "13-L-139409")</f>
        <v>13-L-139409</v>
      </c>
      <c r="C12109">
        <v>0.24</v>
      </c>
      <c r="D12109" t="s">
        <v>15976</v>
      </c>
      <c r="E12109" t="s">
        <v>11</v>
      </c>
      <c r="G12109" t="s">
        <v>430</v>
      </c>
      <c r="H12109" t="s">
        <v>432</v>
      </c>
    </row>
    <row r="12110" spans="1:8" hidden="1" x14ac:dyDescent="0.25">
      <c r="A12110" t="s">
        <v>15543</v>
      </c>
      <c r="B12110" s="1" t="str">
        <f>HYPERLINK("https://asmlis.vasa.lt/Dashboard/Served?ServiceDateFrom=2025-11-24&amp;ServiceDateTo=2025-11-24&amp;DumpsterInvNr=13-L-114337", "13-L-114337")</f>
        <v>13-L-114337</v>
      </c>
      <c r="C12110">
        <v>0.24</v>
      </c>
      <c r="D12110" t="s">
        <v>15937</v>
      </c>
      <c r="E12110" t="s">
        <v>11</v>
      </c>
      <c r="F12110" t="s">
        <v>1209</v>
      </c>
      <c r="G12110" t="s">
        <v>1912</v>
      </c>
      <c r="H12110" t="s">
        <v>432</v>
      </c>
    </row>
    <row r="12111" spans="1:8" hidden="1" x14ac:dyDescent="0.25">
      <c r="A12111" t="s">
        <v>15583</v>
      </c>
      <c r="B12111" s="1" t="str">
        <f>HYPERLINK("https://asmlis.vasa.lt/Dashboard/Served?ServiceDateFrom=2025-11-24&amp;ServiceDateTo=2025-11-24&amp;DumpsterInvNr=13-L-203529", "13-L-203529")</f>
        <v>13-L-203529</v>
      </c>
      <c r="C12111">
        <v>0.24</v>
      </c>
      <c r="D12111" t="s">
        <v>15963</v>
      </c>
      <c r="E12111" t="s">
        <v>11</v>
      </c>
      <c r="F12111" t="s">
        <v>1209</v>
      </c>
      <c r="G12111" t="s">
        <v>936</v>
      </c>
      <c r="H12111" t="s">
        <v>938</v>
      </c>
    </row>
    <row r="12112" spans="1:8" hidden="1" x14ac:dyDescent="0.25">
      <c r="A12112" t="s">
        <v>15583</v>
      </c>
      <c r="B12112" s="1" t="str">
        <f>HYPERLINK("https://asmlis.vasa.lt/Dashboard/Served?ServiceDateFrom=2025-11-24&amp;ServiceDateTo=2025-11-24&amp;DumpsterInvNr=13-L-139085", "13-L-139085")</f>
        <v>13-L-139085</v>
      </c>
      <c r="C12112">
        <v>0.24</v>
      </c>
      <c r="D12112" t="s">
        <v>15977</v>
      </c>
      <c r="E12112" t="s">
        <v>11</v>
      </c>
      <c r="G12112" t="s">
        <v>430</v>
      </c>
      <c r="H12112" t="s">
        <v>432</v>
      </c>
    </row>
    <row r="12113" spans="1:8" hidden="1" x14ac:dyDescent="0.25">
      <c r="A12113" t="s">
        <v>15584</v>
      </c>
      <c r="B12113" s="1" t="str">
        <f>HYPERLINK("https://asmlis.vasa.lt/Dashboard/Served?ServiceDateFrom=2025-11-24&amp;ServiceDateTo=2025-11-24&amp;DumpsterInvNr=13-P-204150", "13-P-204150")</f>
        <v>13-P-204150</v>
      </c>
      <c r="C12113">
        <v>0.24</v>
      </c>
      <c r="D12113" t="s">
        <v>15203</v>
      </c>
      <c r="E12113" t="s">
        <v>11</v>
      </c>
      <c r="G12113" t="s">
        <v>234</v>
      </c>
      <c r="H12113" t="s">
        <v>14</v>
      </c>
    </row>
    <row r="12114" spans="1:8" hidden="1" x14ac:dyDescent="0.25">
      <c r="A12114" t="s">
        <v>15584</v>
      </c>
      <c r="B12114" s="1" t="str">
        <f>HYPERLINK("https://asmlis.vasa.lt/Dashboard/Served?ServiceDateFrom=2025-11-24&amp;ServiceDateTo=2025-11-24&amp;DumpsterInvNr=13-L-118360", "13-L-118360")</f>
        <v>13-L-118360</v>
      </c>
      <c r="C12114">
        <v>0.12</v>
      </c>
      <c r="D12114" t="s">
        <v>15978</v>
      </c>
      <c r="E12114" t="s">
        <v>11</v>
      </c>
      <c r="F12114" t="s">
        <v>1209</v>
      </c>
      <c r="G12114" t="s">
        <v>1912</v>
      </c>
      <c r="H12114" t="s">
        <v>432</v>
      </c>
    </row>
    <row r="12115" spans="1:8" hidden="1" x14ac:dyDescent="0.25">
      <c r="A12115" t="s">
        <v>15612</v>
      </c>
      <c r="B12115" s="1" t="str">
        <f>HYPERLINK("https://asmlis.vasa.lt/Dashboard/Served?ServiceDateFrom=2025-11-24&amp;ServiceDateTo=2025-11-24&amp;DumpsterInvNr=13-L-114339", "13-L-114339")</f>
        <v>13-L-114339</v>
      </c>
      <c r="C12115">
        <v>0.24</v>
      </c>
      <c r="D12115" t="s">
        <v>15979</v>
      </c>
      <c r="E12115" t="s">
        <v>11</v>
      </c>
      <c r="F12115" t="s">
        <v>1209</v>
      </c>
      <c r="G12115" t="s">
        <v>1912</v>
      </c>
      <c r="H12115" t="s">
        <v>432</v>
      </c>
    </row>
    <row r="12116" spans="1:8" hidden="1" x14ac:dyDescent="0.25">
      <c r="A12116" t="s">
        <v>15613</v>
      </c>
      <c r="B12116" s="1" t="str">
        <f>HYPERLINK("https://asmlis.vasa.lt/Dashboard/Served?ServiceDateFrom=2025-11-24&amp;ServiceDateTo=2025-11-24&amp;DumpsterInvNr=13-P-504883", "13-P-504883")</f>
        <v>13-P-504883</v>
      </c>
      <c r="C12116">
        <v>5</v>
      </c>
      <c r="D12116" t="s">
        <v>15980</v>
      </c>
      <c r="E12116" t="s">
        <v>11</v>
      </c>
      <c r="F12116" t="s">
        <v>13</v>
      </c>
      <c r="G12116" t="s">
        <v>2178</v>
      </c>
      <c r="H12116" t="s">
        <v>432</v>
      </c>
    </row>
    <row r="12117" spans="1:8" hidden="1" x14ac:dyDescent="0.25">
      <c r="A12117" t="s">
        <v>15981</v>
      </c>
      <c r="B12117" s="1" t="str">
        <f>HYPERLINK("https://asmlis.vasa.lt/Dashboard/Served?ServiceDateFrom=2025-11-24&amp;ServiceDateTo=2025-11-24&amp;DumpsterInvNr=13-P-204222", "13-P-204222")</f>
        <v>13-P-204222</v>
      </c>
      <c r="C12117">
        <v>0.24</v>
      </c>
      <c r="D12117" t="s">
        <v>15982</v>
      </c>
      <c r="E12117" t="s">
        <v>11</v>
      </c>
      <c r="F12117" t="s">
        <v>1209</v>
      </c>
      <c r="G12117" t="s">
        <v>234</v>
      </c>
      <c r="H12117" t="s">
        <v>14</v>
      </c>
    </row>
    <row r="12118" spans="1:8" hidden="1" x14ac:dyDescent="0.25">
      <c r="A12118" t="s">
        <v>15672</v>
      </c>
      <c r="B12118" s="1" t="str">
        <f>HYPERLINK("https://asmlis.vasa.lt/Dashboard/Served?ServiceDateFrom=2025-11-24&amp;ServiceDateTo=2025-11-24&amp;DumpsterInvNr=13-L-317781", "13-L-317781")</f>
        <v>13-L-317781</v>
      </c>
      <c r="C12118">
        <v>1.1000000000000001</v>
      </c>
      <c r="D12118" t="s">
        <v>15983</v>
      </c>
      <c r="E12118" t="s">
        <v>11</v>
      </c>
      <c r="G12118" t="s">
        <v>9</v>
      </c>
      <c r="H12118" t="s">
        <v>14</v>
      </c>
    </row>
    <row r="12119" spans="1:8" hidden="1" x14ac:dyDescent="0.25">
      <c r="A12119" t="s">
        <v>15678</v>
      </c>
      <c r="B12119" s="1" t="str">
        <f>HYPERLINK("https://asmlis.vasa.lt/Dashboard/Served?ServiceDateFrom=2025-11-24&amp;ServiceDateTo=2025-11-24&amp;DumpsterInvNr=13-L-318821", "13-L-318821")</f>
        <v>13-L-318821</v>
      </c>
      <c r="C12119">
        <v>1.1000000000000001</v>
      </c>
      <c r="D12119" t="s">
        <v>6445</v>
      </c>
      <c r="E12119" t="s">
        <v>11</v>
      </c>
      <c r="G12119" t="s">
        <v>9</v>
      </c>
      <c r="H12119" t="s">
        <v>14</v>
      </c>
    </row>
    <row r="12120" spans="1:8" hidden="1" x14ac:dyDescent="0.25">
      <c r="A12120" t="s">
        <v>15687</v>
      </c>
      <c r="B12120" s="1" t="str">
        <f>HYPERLINK("https://asmlis.vasa.lt/Dashboard/Served?ServiceDateFrom=2025-11-24&amp;ServiceDateTo=2025-11-24&amp;DumpsterInvNr=13-P-111216", "13-P-111216")</f>
        <v>13-P-111216</v>
      </c>
      <c r="C12120">
        <v>1.1000000000000001</v>
      </c>
      <c r="D12120" t="s">
        <v>15984</v>
      </c>
      <c r="E12120" t="s">
        <v>11</v>
      </c>
      <c r="G12120" t="s">
        <v>1917</v>
      </c>
      <c r="H12120" t="s">
        <v>432</v>
      </c>
    </row>
    <row r="12121" spans="1:8" hidden="1" x14ac:dyDescent="0.25">
      <c r="A12121" t="s">
        <v>15700</v>
      </c>
      <c r="B12121" s="1" t="str">
        <f>HYPERLINK("https://asmlis.vasa.lt/Dashboard/Served?ServiceDateFrom=2025-11-24&amp;ServiceDateTo=2025-11-24&amp;DumpsterInvNr=13-L-314808", "13-L-314808")</f>
        <v>13-L-314808</v>
      </c>
      <c r="C12121">
        <v>5</v>
      </c>
      <c r="D12121" t="s">
        <v>12509</v>
      </c>
      <c r="E12121" t="s">
        <v>11</v>
      </c>
      <c r="G12121" t="s">
        <v>9</v>
      </c>
      <c r="H12121" t="s">
        <v>14</v>
      </c>
    </row>
    <row r="12122" spans="1:8" hidden="1" x14ac:dyDescent="0.25">
      <c r="A12122" t="s">
        <v>15700</v>
      </c>
      <c r="B12122" s="1" t="str">
        <f>HYPERLINK("https://asmlis.vasa.lt/Dashboard/Served?ServiceDateFrom=2025-11-24&amp;ServiceDateTo=2025-11-24&amp;DumpsterInvNr=13-L-137913", "13-L-137913")</f>
        <v>13-L-137913</v>
      </c>
      <c r="C12122">
        <v>0.24</v>
      </c>
      <c r="D12122" t="s">
        <v>15985</v>
      </c>
      <c r="E12122" t="s">
        <v>11</v>
      </c>
      <c r="G12122" t="s">
        <v>430</v>
      </c>
      <c r="H12122" t="s">
        <v>432</v>
      </c>
    </row>
    <row r="12123" spans="1:8" hidden="1" x14ac:dyDescent="0.25">
      <c r="A12123" t="s">
        <v>15986</v>
      </c>
      <c r="B12123" s="1" t="str">
        <f>HYPERLINK("https://asmlis.vasa.lt/Dashboard/Served?ServiceDateFrom=2025-11-24&amp;ServiceDateTo=2025-11-24&amp;DumpsterInvNr=13-P-207324", "13-P-207324")</f>
        <v>13-P-207324</v>
      </c>
      <c r="C12123">
        <v>0.24</v>
      </c>
      <c r="D12123" t="s">
        <v>15987</v>
      </c>
      <c r="E12123" t="s">
        <v>11</v>
      </c>
      <c r="F12123" t="s">
        <v>1209</v>
      </c>
      <c r="G12123" t="s">
        <v>234</v>
      </c>
      <c r="H12123" t="s">
        <v>14</v>
      </c>
    </row>
    <row r="12124" spans="1:8" hidden="1" x14ac:dyDescent="0.25">
      <c r="A12124" t="s">
        <v>15986</v>
      </c>
      <c r="B12124" s="1" t="str">
        <f>HYPERLINK("https://asmlis.vasa.lt/Dashboard/Served?ServiceDateFrom=2025-11-24&amp;ServiceDateTo=2025-11-24&amp;DumpsterInvNr=13-P-506215", "13-P-506215")</f>
        <v>13-P-506215</v>
      </c>
      <c r="C12124">
        <v>0.24</v>
      </c>
      <c r="D12124" t="s">
        <v>15985</v>
      </c>
      <c r="E12124" t="s">
        <v>11</v>
      </c>
      <c r="G12124" t="s">
        <v>2178</v>
      </c>
      <c r="H12124" t="s">
        <v>432</v>
      </c>
    </row>
    <row r="12125" spans="1:8" hidden="1" x14ac:dyDescent="0.25">
      <c r="A12125" t="s">
        <v>15712</v>
      </c>
      <c r="B12125" s="1" t="str">
        <f>HYPERLINK("https://asmlis.vasa.lt/Dashboard/Served?ServiceDateFrom=2025-11-24&amp;ServiceDateTo=2025-11-24&amp;DumpsterInvNr=13-P-401417", "13-P-401417")</f>
        <v>13-P-401417</v>
      </c>
      <c r="C12125">
        <v>5</v>
      </c>
      <c r="D12125" t="s">
        <v>1346</v>
      </c>
      <c r="E12125" t="s">
        <v>11</v>
      </c>
      <c r="F12125" t="s">
        <v>13</v>
      </c>
      <c r="G12125" t="s">
        <v>264</v>
      </c>
      <c r="H12125" t="s">
        <v>14</v>
      </c>
    </row>
    <row r="12126" spans="1:8" hidden="1" x14ac:dyDescent="0.25">
      <c r="A12126" t="s">
        <v>15712</v>
      </c>
      <c r="B12126" s="1" t="str">
        <f>HYPERLINK("https://asmlis.vasa.lt/Dashboard/Served?ServiceDateFrom=2025-11-24&amp;ServiceDateTo=2025-11-24&amp;DumpsterInvNr=13-P-506273", "13-P-506273")</f>
        <v>13-P-506273</v>
      </c>
      <c r="C12126">
        <v>0.24</v>
      </c>
      <c r="D12126" t="s">
        <v>15976</v>
      </c>
      <c r="E12126" t="s">
        <v>11</v>
      </c>
      <c r="G12126" t="s">
        <v>2178</v>
      </c>
      <c r="H12126" t="s">
        <v>432</v>
      </c>
    </row>
    <row r="12127" spans="1:8" hidden="1" x14ac:dyDescent="0.25">
      <c r="A12127" t="s">
        <v>15988</v>
      </c>
      <c r="B12127" s="1" t="str">
        <f>HYPERLINK("https://asmlis.vasa.lt/Dashboard/Served?ServiceDateFrom=2025-11-24&amp;ServiceDateTo=2025-11-24&amp;DumpsterInvNr=13-L-221158", "13-L-221158")</f>
        <v>13-L-221158</v>
      </c>
      <c r="C12127">
        <v>0.12</v>
      </c>
      <c r="D12127" t="s">
        <v>15989</v>
      </c>
      <c r="E12127" t="s">
        <v>11</v>
      </c>
      <c r="F12127" t="s">
        <v>1209</v>
      </c>
      <c r="G12127" t="s">
        <v>936</v>
      </c>
      <c r="H12127" t="s">
        <v>938</v>
      </c>
    </row>
    <row r="12128" spans="1:8" hidden="1" x14ac:dyDescent="0.25">
      <c r="A12128" t="s">
        <v>15990</v>
      </c>
      <c r="B12128" s="1" t="str">
        <f>HYPERLINK("https://asmlis.vasa.lt/Dashboard/Served?ServiceDateFrom=2025-11-24&amp;ServiceDateTo=2025-11-24&amp;DumpsterInvNr=13-P-500386", "13-P-500386")</f>
        <v>13-P-500386</v>
      </c>
      <c r="C12128">
        <v>5</v>
      </c>
      <c r="D12128" t="s">
        <v>14670</v>
      </c>
      <c r="E12128" t="s">
        <v>11</v>
      </c>
      <c r="F12128" t="s">
        <v>13</v>
      </c>
      <c r="G12128" t="s">
        <v>2178</v>
      </c>
      <c r="H12128" t="s">
        <v>432</v>
      </c>
    </row>
    <row r="12129" spans="1:10" hidden="1" x14ac:dyDescent="0.25">
      <c r="A12129" t="s">
        <v>15748</v>
      </c>
      <c r="B12129" s="1" t="str">
        <f>HYPERLINK("https://asmlis.vasa.lt/Dashboard/Served?ServiceDateFrom=2025-11-24&amp;ServiceDateTo=2025-11-24&amp;DumpsterInvNr=13-L-203527", "13-L-203527")</f>
        <v>13-L-203527</v>
      </c>
      <c r="C12129">
        <v>0.12</v>
      </c>
      <c r="D12129" t="s">
        <v>15991</v>
      </c>
      <c r="E12129" t="s">
        <v>11</v>
      </c>
      <c r="F12129" t="s">
        <v>1209</v>
      </c>
      <c r="G12129" t="s">
        <v>936</v>
      </c>
      <c r="H12129" t="s">
        <v>938</v>
      </c>
    </row>
    <row r="12130" spans="1:10" hidden="1" x14ac:dyDescent="0.25">
      <c r="A12130" t="s">
        <v>15767</v>
      </c>
      <c r="B12130" s="1" t="str">
        <f>HYPERLINK("https://asmlis.vasa.lt/Dashboard/Served?ServiceDateFrom=2025-11-24&amp;ServiceDateTo=2025-11-24&amp;DumpsterInvNr=13-P-204214", "13-P-204214")</f>
        <v>13-P-204214</v>
      </c>
      <c r="C12130">
        <v>0.24</v>
      </c>
      <c r="D12130" t="s">
        <v>15993</v>
      </c>
      <c r="E12130" t="s">
        <v>11</v>
      </c>
      <c r="G12130" t="s">
        <v>234</v>
      </c>
      <c r="H12130" t="s">
        <v>14</v>
      </c>
    </row>
    <row r="12131" spans="1:10" hidden="1" x14ac:dyDescent="0.25">
      <c r="A12131" t="s">
        <v>15768</v>
      </c>
      <c r="B12131" s="1" t="str">
        <f>HYPERLINK("https://asmlis.vasa.lt/Dashboard/Served?ServiceDateFrom=2025-11-24&amp;ServiceDateTo=2025-11-24&amp;DumpsterInvNr=13-L-125149", "13-L-125149")</f>
        <v>13-L-125149</v>
      </c>
      <c r="C12131">
        <v>0.12</v>
      </c>
      <c r="D12131" t="s">
        <v>15994</v>
      </c>
      <c r="E12131" t="s">
        <v>11</v>
      </c>
      <c r="G12131" t="s">
        <v>1912</v>
      </c>
      <c r="H12131" t="s">
        <v>432</v>
      </c>
    </row>
    <row r="12132" spans="1:10" hidden="1" x14ac:dyDescent="0.25">
      <c r="A12132" t="s">
        <v>15857</v>
      </c>
      <c r="B12132" s="1" t="str">
        <f>HYPERLINK("https://asmlis.vasa.lt/Dashboard/Served?ServiceDateFrom=2025-11-24&amp;ServiceDateTo=2025-11-24&amp;DumpsterInvNr=13-P-112039", "13-P-112039")</f>
        <v>13-P-112039</v>
      </c>
      <c r="C12132">
        <v>0.24</v>
      </c>
      <c r="D12132" t="s">
        <v>15994</v>
      </c>
      <c r="E12132" t="s">
        <v>11</v>
      </c>
      <c r="G12132" t="s">
        <v>1917</v>
      </c>
      <c r="H12132" t="s">
        <v>432</v>
      </c>
    </row>
    <row r="12133" spans="1:10" hidden="1" x14ac:dyDescent="0.25">
      <c r="A12133" t="s">
        <v>15863</v>
      </c>
      <c r="B12133" s="1" t="str">
        <f>HYPERLINK("https://asmlis.vasa.lt/Dashboard/Served?ServiceDateFrom=2025-11-24&amp;ServiceDateTo=2025-11-24&amp;DumpsterInvNr=13-L-315814", "13-L-315814")</f>
        <v>13-L-315814</v>
      </c>
      <c r="C12133">
        <v>1.1000000000000001</v>
      </c>
      <c r="D12133" t="s">
        <v>15995</v>
      </c>
      <c r="E12133" t="s">
        <v>11</v>
      </c>
      <c r="F12133" t="s">
        <v>871</v>
      </c>
      <c r="G12133" t="s">
        <v>9</v>
      </c>
      <c r="H12133" t="s">
        <v>14</v>
      </c>
      <c r="J12133" t="s">
        <v>17524</v>
      </c>
    </row>
    <row r="12134" spans="1:10" hidden="1" x14ac:dyDescent="0.25">
      <c r="A12134" t="s">
        <v>15996</v>
      </c>
      <c r="B12134" s="1" t="str">
        <f>HYPERLINK("https://asmlis.vasa.lt/Dashboard/Served?ServiceDateFrom=2025-11-24&amp;ServiceDateTo=2025-11-24&amp;DumpsterInvNr=13-L-137912", "13-L-137912")</f>
        <v>13-L-137912</v>
      </c>
      <c r="C12134">
        <v>0.24</v>
      </c>
      <c r="D12134" t="s">
        <v>15997</v>
      </c>
      <c r="E12134" t="s">
        <v>11</v>
      </c>
      <c r="F12134" t="s">
        <v>1209</v>
      </c>
      <c r="G12134" t="s">
        <v>430</v>
      </c>
      <c r="H12134" t="s">
        <v>432</v>
      </c>
    </row>
    <row r="12135" spans="1:10" hidden="1" x14ac:dyDescent="0.25">
      <c r="A12135" t="s">
        <v>15891</v>
      </c>
      <c r="B12135" s="1" t="str">
        <f>HYPERLINK("https://asmlis.vasa.lt/Dashboard/Served?ServiceDateFrom=2025-11-24&amp;ServiceDateTo=2025-11-24&amp;DumpsterInvNr=13-P-413804", "13-P-413804")</f>
        <v>13-P-413804</v>
      </c>
      <c r="C12135">
        <v>3</v>
      </c>
      <c r="D12135" t="s">
        <v>1317</v>
      </c>
      <c r="E12135" t="s">
        <v>11</v>
      </c>
      <c r="F12135" t="s">
        <v>13</v>
      </c>
      <c r="G12135" t="s">
        <v>264</v>
      </c>
      <c r="H12135" t="s">
        <v>14</v>
      </c>
    </row>
    <row r="12136" spans="1:10" hidden="1" x14ac:dyDescent="0.25">
      <c r="A12136" t="s">
        <v>15891</v>
      </c>
      <c r="B12136" s="1" t="str">
        <f>HYPERLINK("https://asmlis.vasa.lt/Dashboard/Served?ServiceDateFrom=2025-11-24&amp;ServiceDateTo=2025-11-24&amp;DumpsterInvNr=13-P-506248", "13-P-506248")</f>
        <v>13-P-506248</v>
      </c>
      <c r="C12136">
        <v>0.24</v>
      </c>
      <c r="D12136" t="s">
        <v>15998</v>
      </c>
      <c r="E12136" t="s">
        <v>11</v>
      </c>
      <c r="F12136" t="s">
        <v>1209</v>
      </c>
      <c r="G12136" t="s">
        <v>2178</v>
      </c>
      <c r="H12136" t="s">
        <v>432</v>
      </c>
    </row>
    <row r="12137" spans="1:10" hidden="1" x14ac:dyDescent="0.25">
      <c r="A12137" t="s">
        <v>15891</v>
      </c>
      <c r="B12137" s="1" t="str">
        <f>HYPERLINK("https://asmlis.vasa.lt/Dashboard/Served?ServiceDateFrom=2025-11-24&amp;ServiceDateTo=2025-11-24&amp;DumpsterInvNr=13-L-133430", "13-L-133430")</f>
        <v>13-L-133430</v>
      </c>
      <c r="C12137">
        <v>5</v>
      </c>
      <c r="D12137" t="s">
        <v>15999</v>
      </c>
      <c r="E12137" t="s">
        <v>11</v>
      </c>
      <c r="F12137" t="s">
        <v>13</v>
      </c>
      <c r="G12137" t="s">
        <v>430</v>
      </c>
      <c r="H12137" t="s">
        <v>432</v>
      </c>
    </row>
    <row r="12138" spans="1:10" hidden="1" x14ac:dyDescent="0.25">
      <c r="A12138" t="s">
        <v>16000</v>
      </c>
      <c r="B12138" s="1" t="str">
        <f>HYPERLINK("https://asmlis.vasa.lt/Dashboard/Served?ServiceDateFrom=2025-11-24&amp;ServiceDateTo=2025-11-24&amp;DumpsterInvNr=13-L-139022", "13-L-139022")</f>
        <v>13-L-139022</v>
      </c>
      <c r="C12138">
        <v>0.24</v>
      </c>
      <c r="D12138" t="s">
        <v>15998</v>
      </c>
      <c r="E12138" t="s">
        <v>11</v>
      </c>
      <c r="F12138" t="s">
        <v>1209</v>
      </c>
      <c r="G12138" t="s">
        <v>430</v>
      </c>
      <c r="H12138" t="s">
        <v>432</v>
      </c>
    </row>
    <row r="12139" spans="1:10" hidden="1" x14ac:dyDescent="0.25">
      <c r="A12139" t="s">
        <v>15895</v>
      </c>
      <c r="B12139" s="1" t="str">
        <f>HYPERLINK("https://asmlis.vasa.lt/Dashboard/Served?ServiceDateFrom=2025-11-24&amp;ServiceDateTo=2025-11-24&amp;DumpsterInvNr=13-P-400618", "13-P-400618")</f>
        <v>13-P-400618</v>
      </c>
      <c r="C12139">
        <v>3</v>
      </c>
      <c r="D12139" t="s">
        <v>1317</v>
      </c>
      <c r="E12139" t="s">
        <v>11</v>
      </c>
      <c r="F12139" t="s">
        <v>13</v>
      </c>
      <c r="G12139" t="s">
        <v>264</v>
      </c>
      <c r="H12139" t="s">
        <v>14</v>
      </c>
    </row>
    <row r="12140" spans="1:10" hidden="1" x14ac:dyDescent="0.25">
      <c r="A12140" t="s">
        <v>16001</v>
      </c>
      <c r="B12140" s="1" t="str">
        <f>HYPERLINK("https://asmlis.vasa.lt/Dashboard/Served?ServiceDateFrom=2025-11-24&amp;ServiceDateTo=2025-11-24&amp;DumpsterInvNr=13-L-303183", "13-L-303183")</f>
        <v>13-L-303183</v>
      </c>
      <c r="C12140">
        <v>1.1000000000000001</v>
      </c>
      <c r="D12140" t="s">
        <v>6445</v>
      </c>
      <c r="E12140" t="s">
        <v>11</v>
      </c>
      <c r="F12140" t="s">
        <v>13</v>
      </c>
      <c r="G12140" t="s">
        <v>9</v>
      </c>
      <c r="H12140" t="s">
        <v>14</v>
      </c>
    </row>
    <row r="12141" spans="1:10" hidden="1" x14ac:dyDescent="0.25">
      <c r="A12141" t="s">
        <v>16002</v>
      </c>
      <c r="B12141" s="1" t="str">
        <f>HYPERLINK("https://asmlis.vasa.lt/Dashboard/Served?ServiceDateFrom=2025-11-24&amp;ServiceDateTo=2025-11-24&amp;DumpsterInvNr=13-P-302399", "13-P-302399")</f>
        <v>13-P-302399</v>
      </c>
      <c r="C12141">
        <v>5</v>
      </c>
      <c r="D12141" t="s">
        <v>267</v>
      </c>
      <c r="E12141" t="s">
        <v>11</v>
      </c>
      <c r="F12141" t="s">
        <v>13</v>
      </c>
      <c r="G12141" t="s">
        <v>412</v>
      </c>
      <c r="H12141" t="s">
        <v>14</v>
      </c>
    </row>
    <row r="12142" spans="1:10" hidden="1" x14ac:dyDescent="0.25">
      <c r="A12142" t="s">
        <v>16003</v>
      </c>
      <c r="B12142" s="1" t="str">
        <f>HYPERLINK("https://asmlis.vasa.lt/Dashboard/Served?ServiceDateFrom=2025-11-24&amp;ServiceDateTo=2025-11-24&amp;DumpsterInvNr=13-L-203501", "13-L-203501")</f>
        <v>13-L-203501</v>
      </c>
      <c r="C12142">
        <v>0.24</v>
      </c>
      <c r="D12142" t="s">
        <v>16004</v>
      </c>
      <c r="E12142" t="s">
        <v>11</v>
      </c>
      <c r="G12142" t="s">
        <v>936</v>
      </c>
      <c r="H12142" t="s">
        <v>938</v>
      </c>
    </row>
    <row r="12143" spans="1:10" hidden="1" x14ac:dyDescent="0.25">
      <c r="A12143" t="s">
        <v>16005</v>
      </c>
      <c r="B12143" s="1" t="str">
        <f>HYPERLINK("https://asmlis.vasa.lt/Dashboard/Served?ServiceDateFrom=2025-11-24&amp;ServiceDateTo=2025-11-24&amp;DumpsterInvNr=13-L-222367", "13-L-222367")</f>
        <v>13-L-222367</v>
      </c>
      <c r="C12143">
        <v>1.1000000000000001</v>
      </c>
      <c r="D12143" t="s">
        <v>14956</v>
      </c>
      <c r="E12143" t="s">
        <v>12</v>
      </c>
      <c r="G12143" t="s">
        <v>936</v>
      </c>
      <c r="H12143" t="s">
        <v>938</v>
      </c>
    </row>
    <row r="12144" spans="1:10" hidden="1" x14ac:dyDescent="0.25">
      <c r="A12144" t="s">
        <v>16005</v>
      </c>
      <c r="B12144" s="1" t="str">
        <f>HYPERLINK("https://asmlis.vasa.lt/Dashboard/Served?ServiceDateFrom=2025-11-24&amp;ServiceDateTo=2025-11-24&amp;DumpsterInvNr=13-P-505902", "13-P-505902")</f>
        <v>13-P-505902</v>
      </c>
      <c r="C12144">
        <v>0.24</v>
      </c>
      <c r="D12144" t="s">
        <v>16006</v>
      </c>
      <c r="E12144" t="s">
        <v>11</v>
      </c>
      <c r="G12144" t="s">
        <v>2178</v>
      </c>
      <c r="H12144" t="s">
        <v>432</v>
      </c>
    </row>
    <row r="12145" spans="1:8" hidden="1" x14ac:dyDescent="0.25">
      <c r="A12145" t="s">
        <v>16007</v>
      </c>
      <c r="B12145" s="1" t="str">
        <f>HYPERLINK("https://asmlis.vasa.lt/Dashboard/Served?ServiceDateFrom=2025-11-24&amp;ServiceDateTo=2025-11-24&amp;DumpsterInvNr=13-P-112027", "13-P-112027")</f>
        <v>13-P-112027</v>
      </c>
      <c r="C12145">
        <v>0.24</v>
      </c>
      <c r="D12145" t="s">
        <v>16008</v>
      </c>
      <c r="E12145" t="s">
        <v>11</v>
      </c>
      <c r="G12145" t="s">
        <v>1917</v>
      </c>
      <c r="H12145" t="s">
        <v>432</v>
      </c>
    </row>
    <row r="12146" spans="1:8" hidden="1" x14ac:dyDescent="0.25">
      <c r="A12146" t="s">
        <v>16009</v>
      </c>
      <c r="B12146" s="1" t="str">
        <f>HYPERLINK("https://asmlis.vasa.lt/Dashboard/Served?ServiceDateFrom=2025-11-24&amp;ServiceDateTo=2025-11-24&amp;DumpsterInvNr=13-L-111221", "13-L-111221")</f>
        <v>13-L-111221</v>
      </c>
      <c r="C12146">
        <v>0.12</v>
      </c>
      <c r="D12146" t="s">
        <v>16008</v>
      </c>
      <c r="E12146" t="s">
        <v>11</v>
      </c>
      <c r="G12146" t="s">
        <v>1912</v>
      </c>
      <c r="H12146" t="s">
        <v>432</v>
      </c>
    </row>
    <row r="12147" spans="1:8" hidden="1" x14ac:dyDescent="0.25">
      <c r="A12147" t="s">
        <v>16010</v>
      </c>
      <c r="B12147" s="1" t="str">
        <f>HYPERLINK("https://asmlis.vasa.lt/Dashboard/Served?ServiceDateFrom=2025-11-24&amp;ServiceDateTo=2025-11-24&amp;DumpsterInvNr=13-T-000111", "13-T-000111")</f>
        <v>13-T-000111</v>
      </c>
      <c r="C12147">
        <v>2.5</v>
      </c>
      <c r="D12147" t="s">
        <v>16012</v>
      </c>
      <c r="E12147" t="s">
        <v>11</v>
      </c>
      <c r="F12147" t="s">
        <v>13</v>
      </c>
      <c r="G12147" t="s">
        <v>1899</v>
      </c>
      <c r="H12147" t="s">
        <v>432</v>
      </c>
    </row>
    <row r="12148" spans="1:8" hidden="1" x14ac:dyDescent="0.25">
      <c r="A12148" t="s">
        <v>16013</v>
      </c>
      <c r="B12148" s="1" t="str">
        <f>HYPERLINK("https://asmlis.vasa.lt/Dashboard/Served?ServiceDateFrom=2025-11-24&amp;ServiceDateTo=2025-11-24&amp;DumpsterInvNr=13-L-317249", "13-L-317249")</f>
        <v>13-L-317249</v>
      </c>
      <c r="C12148">
        <v>1.1000000000000001</v>
      </c>
      <c r="D12148" t="s">
        <v>16014</v>
      </c>
      <c r="E12148" t="s">
        <v>11</v>
      </c>
      <c r="G12148" t="s">
        <v>9</v>
      </c>
      <c r="H12148" t="s">
        <v>14</v>
      </c>
    </row>
    <row r="12149" spans="1:8" hidden="1" x14ac:dyDescent="0.25">
      <c r="A12149" t="s">
        <v>16013</v>
      </c>
      <c r="B12149" s="1" t="str">
        <f>HYPERLINK("https://asmlis.vasa.lt/Dashboard/Served?ServiceDateFrom=2025-11-24&amp;ServiceDateTo=2025-11-24&amp;DumpsterInvNr=13-L-108253", "13-L-108253")</f>
        <v>13-L-108253</v>
      </c>
      <c r="C12149">
        <v>0.24</v>
      </c>
      <c r="D12149" t="s">
        <v>16015</v>
      </c>
      <c r="E12149" t="s">
        <v>11</v>
      </c>
      <c r="G12149" t="s">
        <v>430</v>
      </c>
      <c r="H12149" t="s">
        <v>432</v>
      </c>
    </row>
    <row r="12150" spans="1:8" hidden="1" x14ac:dyDescent="0.25">
      <c r="A12150" t="s">
        <v>16016</v>
      </c>
      <c r="B12150" s="1" t="str">
        <f>HYPERLINK("https://asmlis.vasa.lt/Dashboard/Served?ServiceDateFrom=2025-11-24&amp;ServiceDateTo=2025-11-24&amp;DumpsterInvNr=13-L-108254", "13-L-108254")</f>
        <v>13-L-108254</v>
      </c>
      <c r="C12150">
        <v>0.24</v>
      </c>
      <c r="D12150" t="s">
        <v>16017</v>
      </c>
      <c r="E12150" t="s">
        <v>11</v>
      </c>
      <c r="G12150" t="s">
        <v>430</v>
      </c>
      <c r="H12150" t="s">
        <v>432</v>
      </c>
    </row>
    <row r="12151" spans="1:8" hidden="1" x14ac:dyDescent="0.25">
      <c r="A12151" t="s">
        <v>16016</v>
      </c>
      <c r="B12151" s="1" t="str">
        <f>HYPERLINK("https://asmlis.vasa.lt/Dashboard/Served?ServiceDateFrom=2025-11-24&amp;ServiceDateTo=2025-11-24&amp;DumpsterInvNr=13-P-502575", "13-P-502575")</f>
        <v>13-P-502575</v>
      </c>
      <c r="C12151">
        <v>0.12</v>
      </c>
      <c r="D12151" t="s">
        <v>16017</v>
      </c>
      <c r="E12151" t="s">
        <v>11</v>
      </c>
      <c r="G12151" t="s">
        <v>2178</v>
      </c>
      <c r="H12151" t="s">
        <v>432</v>
      </c>
    </row>
    <row r="12152" spans="1:8" hidden="1" x14ac:dyDescent="0.25">
      <c r="A12152" t="s">
        <v>16018</v>
      </c>
      <c r="B12152" s="1" t="str">
        <f>HYPERLINK("https://asmlis.vasa.lt/Dashboard/Served?ServiceDateFrom=2025-11-24&amp;ServiceDateTo=2025-11-24&amp;DumpsterInvNr=13-T-000112", "13-T-000112")</f>
        <v>13-T-000112</v>
      </c>
      <c r="C12152">
        <v>2.5</v>
      </c>
      <c r="D12152" t="s">
        <v>16012</v>
      </c>
      <c r="E12152" t="s">
        <v>11</v>
      </c>
      <c r="F12152" t="s">
        <v>13</v>
      </c>
      <c r="G12152" t="s">
        <v>1899</v>
      </c>
      <c r="H12152" t="s">
        <v>432</v>
      </c>
    </row>
    <row r="12153" spans="1:8" hidden="1" x14ac:dyDescent="0.25">
      <c r="A12153" t="s">
        <v>16019</v>
      </c>
      <c r="B12153" s="1" t="str">
        <f>HYPERLINK("https://asmlis.vasa.lt/Dashboard/Served?ServiceDateFrom=2025-11-24&amp;ServiceDateTo=2025-11-24&amp;DumpsterInvNr=13-P-212783", "13-P-212783")</f>
        <v>13-P-212783</v>
      </c>
      <c r="C12153">
        <v>0.24</v>
      </c>
      <c r="D12153" t="s">
        <v>16020</v>
      </c>
      <c r="E12153" t="s">
        <v>11</v>
      </c>
      <c r="G12153" t="s">
        <v>234</v>
      </c>
      <c r="H12153" t="s">
        <v>14</v>
      </c>
    </row>
    <row r="12154" spans="1:8" hidden="1" x14ac:dyDescent="0.25">
      <c r="A12154" t="s">
        <v>16019</v>
      </c>
      <c r="B12154" s="1" t="str">
        <f>HYPERLINK("https://asmlis.vasa.lt/Dashboard/Served?ServiceDateFrom=2025-11-24&amp;ServiceDateTo=2025-11-24&amp;DumpsterInvNr=13-S-207408", "13-S-207408")</f>
        <v>13-S-207408</v>
      </c>
      <c r="C12154">
        <v>0.12</v>
      </c>
      <c r="D12154" t="s">
        <v>16020</v>
      </c>
      <c r="E12154" t="s">
        <v>11</v>
      </c>
      <c r="G12154" t="s">
        <v>234</v>
      </c>
      <c r="H12154" t="s">
        <v>14</v>
      </c>
    </row>
    <row r="12155" spans="1:8" hidden="1" x14ac:dyDescent="0.25">
      <c r="A12155" t="s">
        <v>16021</v>
      </c>
      <c r="B12155" s="1" t="str">
        <f>HYPERLINK("https://asmlis.vasa.lt/Dashboard/Served?ServiceDateFrom=2025-11-24&amp;ServiceDateTo=2025-11-24&amp;DumpsterInvNr=13-L-212060", "13-L-212060")</f>
        <v>13-L-212060</v>
      </c>
      <c r="C12155">
        <v>0.24</v>
      </c>
      <c r="D12155" t="s">
        <v>16022</v>
      </c>
      <c r="E12155" t="s">
        <v>11</v>
      </c>
      <c r="F12155" t="s">
        <v>1209</v>
      </c>
      <c r="G12155" t="s">
        <v>936</v>
      </c>
      <c r="H12155" t="s">
        <v>938</v>
      </c>
    </row>
    <row r="12156" spans="1:8" hidden="1" x14ac:dyDescent="0.25">
      <c r="A12156" t="s">
        <v>16021</v>
      </c>
      <c r="B12156" s="1" t="str">
        <f>HYPERLINK("https://asmlis.vasa.lt/Dashboard/Served?ServiceDateFrom=2025-11-24&amp;ServiceDateTo=2025-11-24&amp;DumpsterInvNr=13-L-203491", "13-L-203491")</f>
        <v>13-L-203491</v>
      </c>
      <c r="C12156">
        <v>0.12</v>
      </c>
      <c r="D12156" t="s">
        <v>16024</v>
      </c>
      <c r="E12156" t="s">
        <v>11</v>
      </c>
      <c r="G12156" t="s">
        <v>936</v>
      </c>
      <c r="H12156" t="s">
        <v>938</v>
      </c>
    </row>
    <row r="12157" spans="1:8" hidden="1" x14ac:dyDescent="0.25">
      <c r="A12157" t="s">
        <v>16025</v>
      </c>
      <c r="B12157" s="1" t="str">
        <f>HYPERLINK("https://asmlis.vasa.lt/Dashboard/Served?ServiceDateFrom=2025-11-24&amp;ServiceDateTo=2025-11-24&amp;DumpsterInvNr=13-P-204212", "13-P-204212")</f>
        <v>13-P-204212</v>
      </c>
      <c r="C12157">
        <v>0.24</v>
      </c>
      <c r="D12157" t="s">
        <v>15723</v>
      </c>
      <c r="E12157" t="s">
        <v>11</v>
      </c>
      <c r="G12157" t="s">
        <v>234</v>
      </c>
      <c r="H12157" t="s">
        <v>14</v>
      </c>
    </row>
    <row r="12158" spans="1:8" hidden="1" x14ac:dyDescent="0.25">
      <c r="A12158" t="s">
        <v>16026</v>
      </c>
      <c r="B12158" s="1" t="str">
        <f>HYPERLINK("https://asmlis.vasa.lt/Dashboard/Served?ServiceDateFrom=2025-11-24&amp;ServiceDateTo=2025-11-24&amp;DumpsterInvNr=13-P-112068", "13-P-112068")</f>
        <v>13-P-112068</v>
      </c>
      <c r="C12158">
        <v>0.24</v>
      </c>
      <c r="D12158" t="s">
        <v>16027</v>
      </c>
      <c r="E12158" t="s">
        <v>11</v>
      </c>
      <c r="G12158" t="s">
        <v>1917</v>
      </c>
      <c r="H12158" t="s">
        <v>432</v>
      </c>
    </row>
    <row r="12159" spans="1:8" hidden="1" x14ac:dyDescent="0.25">
      <c r="A12159" t="s">
        <v>16028</v>
      </c>
      <c r="B12159" s="1" t="str">
        <f>HYPERLINK("https://asmlis.vasa.lt/Dashboard/Served?ServiceDateFrom=2025-11-24&amp;ServiceDateTo=2025-11-24&amp;DumpsterInvNr=13-L-414501", "13-L-414501")</f>
        <v>13-L-414501</v>
      </c>
      <c r="C12159">
        <v>5</v>
      </c>
      <c r="D12159" t="s">
        <v>16029</v>
      </c>
      <c r="E12159" t="s">
        <v>11</v>
      </c>
      <c r="G12159" t="s">
        <v>74</v>
      </c>
      <c r="H12159" t="s">
        <v>14</v>
      </c>
    </row>
    <row r="12160" spans="1:8" hidden="1" x14ac:dyDescent="0.25">
      <c r="A12160" t="s">
        <v>16030</v>
      </c>
      <c r="B12160" s="1" t="str">
        <f>HYPERLINK("https://asmlis.vasa.lt/Dashboard/Served?ServiceDateFrom=2025-11-24&amp;ServiceDateTo=2025-11-24&amp;DumpsterInvNr=13-L-306992", "13-L-306992")</f>
        <v>13-L-306992</v>
      </c>
      <c r="C12160">
        <v>5</v>
      </c>
      <c r="D12160" t="s">
        <v>12213</v>
      </c>
      <c r="E12160" t="s">
        <v>11</v>
      </c>
      <c r="G12160" t="s">
        <v>9</v>
      </c>
      <c r="H12160" t="s">
        <v>14</v>
      </c>
    </row>
    <row r="12161" spans="1:8" hidden="1" x14ac:dyDescent="0.25">
      <c r="A12161" t="s">
        <v>16031</v>
      </c>
      <c r="B12161" s="1" t="str">
        <f>HYPERLINK("https://asmlis.vasa.lt/Dashboard/Served?ServiceDateFrom=2025-11-24&amp;ServiceDateTo=2025-11-24&amp;DumpsterInvNr=13-L-106031", "13-L-106031")</f>
        <v>13-L-106031</v>
      </c>
      <c r="C12161">
        <v>0.12</v>
      </c>
      <c r="D12161" t="s">
        <v>16027</v>
      </c>
      <c r="E12161" t="s">
        <v>11</v>
      </c>
      <c r="G12161" t="s">
        <v>1912</v>
      </c>
      <c r="H12161" t="s">
        <v>432</v>
      </c>
    </row>
    <row r="12162" spans="1:8" hidden="1" x14ac:dyDescent="0.25">
      <c r="A12162" t="s">
        <v>16032</v>
      </c>
      <c r="B12162" s="1" t="str">
        <f>HYPERLINK("https://asmlis.vasa.lt/Dashboard/Served?ServiceDateFrom=2025-11-24&amp;ServiceDateTo=2025-11-24&amp;DumpsterInvNr=13-P-413874", "13-P-413874")</f>
        <v>13-P-413874</v>
      </c>
      <c r="C12162">
        <v>5</v>
      </c>
      <c r="D12162" t="s">
        <v>1282</v>
      </c>
      <c r="E12162" t="s">
        <v>11</v>
      </c>
      <c r="F12162" t="s">
        <v>13</v>
      </c>
      <c r="G12162" t="s">
        <v>264</v>
      </c>
      <c r="H12162" t="s">
        <v>14</v>
      </c>
    </row>
    <row r="12163" spans="1:8" hidden="1" x14ac:dyDescent="0.25">
      <c r="A12163" t="s">
        <v>15570</v>
      </c>
      <c r="B12163" s="1" t="str">
        <f>HYPERLINK("https://asmlis.vasa.lt/Dashboard/Served?ServiceDateFrom=2025-11-24&amp;ServiceDateTo=2025-11-24&amp;DumpsterInvNr=13-P-413842", "13-P-413842")</f>
        <v>13-P-413842</v>
      </c>
      <c r="C12163">
        <v>5</v>
      </c>
      <c r="D12163" t="s">
        <v>1282</v>
      </c>
      <c r="E12163" t="s">
        <v>11</v>
      </c>
      <c r="F12163" t="s">
        <v>13</v>
      </c>
      <c r="G12163" t="s">
        <v>264</v>
      </c>
      <c r="H12163" t="s">
        <v>14</v>
      </c>
    </row>
    <row r="12164" spans="1:8" hidden="1" x14ac:dyDescent="0.25">
      <c r="A12164" t="s">
        <v>16033</v>
      </c>
      <c r="B12164" s="1" t="str">
        <f>HYPERLINK("https://asmlis.vasa.lt/Dashboard/Served?ServiceDateFrom=2025-11-24&amp;ServiceDateTo=2025-11-24&amp;DumpsterInvNr=13-P-505030", "13-P-505030")</f>
        <v>13-P-505030</v>
      </c>
      <c r="C12164">
        <v>0.24</v>
      </c>
      <c r="D12164" t="s">
        <v>16034</v>
      </c>
      <c r="E12164" t="s">
        <v>11</v>
      </c>
      <c r="G12164" t="s">
        <v>2178</v>
      </c>
      <c r="H12164" t="s">
        <v>432</v>
      </c>
    </row>
    <row r="12165" spans="1:8" hidden="1" x14ac:dyDescent="0.25">
      <c r="A12165" t="s">
        <v>16035</v>
      </c>
      <c r="B12165" s="1" t="str">
        <f>HYPERLINK("https://asmlis.vasa.lt/Dashboard/Served?ServiceDateFrom=2025-11-24&amp;ServiceDateTo=2025-11-24&amp;DumpsterInvNr=13-L-139318", "13-L-139318")</f>
        <v>13-L-139318</v>
      </c>
      <c r="C12165">
        <v>5</v>
      </c>
      <c r="D12165" t="s">
        <v>16036</v>
      </c>
      <c r="E12165" t="s">
        <v>11</v>
      </c>
      <c r="F12165" t="s">
        <v>13</v>
      </c>
      <c r="G12165" t="s">
        <v>430</v>
      </c>
      <c r="H12165" t="s">
        <v>432</v>
      </c>
    </row>
    <row r="12166" spans="1:8" hidden="1" x14ac:dyDescent="0.25">
      <c r="A12166" t="s">
        <v>15640</v>
      </c>
      <c r="B12166" s="1" t="str">
        <f>HYPERLINK("https://asmlis.vasa.lt/Dashboard/Served?ServiceDateFrom=2025-11-24&amp;ServiceDateTo=2025-11-24&amp;DumpsterInvNr=13-L-136409", "13-L-136409")</f>
        <v>13-L-136409</v>
      </c>
      <c r="C12166">
        <v>5</v>
      </c>
      <c r="D12166" t="s">
        <v>2612</v>
      </c>
      <c r="E12166" t="s">
        <v>11</v>
      </c>
      <c r="F12166" t="s">
        <v>13</v>
      </c>
      <c r="G12166" t="s">
        <v>1912</v>
      </c>
      <c r="H12166" t="s">
        <v>432</v>
      </c>
    </row>
    <row r="12167" spans="1:8" hidden="1" x14ac:dyDescent="0.25">
      <c r="A12167" t="s">
        <v>16037</v>
      </c>
      <c r="B12167" s="1" t="str">
        <f>HYPERLINK("https://asmlis.vasa.lt/Dashboard/Served?ServiceDateFrom=2025-11-24&amp;ServiceDateTo=2025-11-24&amp;DumpsterInvNr=13-P-416331", "13-P-416331")</f>
        <v>13-P-416331</v>
      </c>
      <c r="C12167">
        <v>1.1000000000000001</v>
      </c>
      <c r="D12167" t="s">
        <v>16038</v>
      </c>
      <c r="E12167" t="s">
        <v>11</v>
      </c>
      <c r="F12167" t="s">
        <v>13</v>
      </c>
      <c r="G12167" t="s">
        <v>264</v>
      </c>
      <c r="H12167" t="s">
        <v>14</v>
      </c>
    </row>
    <row r="12168" spans="1:8" hidden="1" x14ac:dyDescent="0.25">
      <c r="A12168" t="s">
        <v>16039</v>
      </c>
      <c r="B12168" s="1" t="str">
        <f>HYPERLINK("https://asmlis.vasa.lt/Dashboard/Served?ServiceDateFrom=2025-11-24&amp;ServiceDateTo=2025-11-24&amp;DumpsterInvNr=13-L-302775", "13-L-302775")</f>
        <v>13-L-302775</v>
      </c>
      <c r="C12168">
        <v>0.77</v>
      </c>
      <c r="D12168" t="s">
        <v>16040</v>
      </c>
      <c r="E12168" t="s">
        <v>11</v>
      </c>
      <c r="G12168" t="s">
        <v>9</v>
      </c>
      <c r="H12168" t="s">
        <v>14</v>
      </c>
    </row>
    <row r="12169" spans="1:8" hidden="1" x14ac:dyDescent="0.25">
      <c r="A12169" t="s">
        <v>15643</v>
      </c>
      <c r="B12169" s="1" t="str">
        <f>HYPERLINK("https://asmlis.vasa.lt/Dashboard/Served?ServiceDateFrom=2025-11-24&amp;ServiceDateTo=2025-11-24&amp;DumpsterInvNr=13-P-112133", "13-P-112133")</f>
        <v>13-P-112133</v>
      </c>
      <c r="C12169">
        <v>0.24</v>
      </c>
      <c r="D12169" t="s">
        <v>16041</v>
      </c>
      <c r="E12169" t="s">
        <v>11</v>
      </c>
      <c r="F12169" t="s">
        <v>1209</v>
      </c>
      <c r="G12169" t="s">
        <v>1917</v>
      </c>
      <c r="H12169" t="s">
        <v>432</v>
      </c>
    </row>
    <row r="12170" spans="1:8" hidden="1" x14ac:dyDescent="0.25">
      <c r="A12170" t="s">
        <v>16042</v>
      </c>
      <c r="B12170" s="1" t="str">
        <f>HYPERLINK("https://asmlis.vasa.lt/Dashboard/Served?ServiceDateFrom=2025-11-24&amp;ServiceDateTo=2025-11-24&amp;DumpsterInvNr=13-L-109833", "13-L-109833")</f>
        <v>13-L-109833</v>
      </c>
      <c r="C12170">
        <v>0.24</v>
      </c>
      <c r="D12170" t="s">
        <v>16034</v>
      </c>
      <c r="E12170" t="s">
        <v>11</v>
      </c>
      <c r="G12170" t="s">
        <v>430</v>
      </c>
      <c r="H12170" t="s">
        <v>432</v>
      </c>
    </row>
    <row r="12171" spans="1:8" hidden="1" x14ac:dyDescent="0.25">
      <c r="A12171" t="s">
        <v>15647</v>
      </c>
      <c r="B12171" s="1" t="str">
        <f>HYPERLINK("https://asmlis.vasa.lt/Dashboard/Served?ServiceDateFrom=2025-11-24&amp;ServiceDateTo=2025-11-24&amp;DumpsterInvNr=13-L-112337", "13-L-112337")</f>
        <v>13-L-112337</v>
      </c>
      <c r="C12171">
        <v>0.24</v>
      </c>
      <c r="D12171" t="s">
        <v>16041</v>
      </c>
      <c r="E12171" t="s">
        <v>11</v>
      </c>
      <c r="F12171" t="s">
        <v>1209</v>
      </c>
      <c r="G12171" t="s">
        <v>1912</v>
      </c>
      <c r="H12171" t="s">
        <v>432</v>
      </c>
    </row>
    <row r="12172" spans="1:8" hidden="1" x14ac:dyDescent="0.25">
      <c r="A12172" t="s">
        <v>15781</v>
      </c>
      <c r="B12172" s="1" t="str">
        <f>HYPERLINK("https://asmlis.vasa.lt/Dashboard/Served?ServiceDateFrom=2025-11-24&amp;ServiceDateTo=2025-11-24&amp;DumpsterInvNr=13-P-106606", "13-P-106606")</f>
        <v>13-P-106606</v>
      </c>
      <c r="C12172">
        <v>0.24</v>
      </c>
      <c r="D12172" t="s">
        <v>16044</v>
      </c>
      <c r="E12172" t="s">
        <v>11</v>
      </c>
      <c r="G12172" t="s">
        <v>1917</v>
      </c>
      <c r="H12172" t="s">
        <v>432</v>
      </c>
    </row>
    <row r="12173" spans="1:8" hidden="1" x14ac:dyDescent="0.25">
      <c r="A12173" t="s">
        <v>15809</v>
      </c>
      <c r="B12173" s="1" t="str">
        <f>HYPERLINK("https://asmlis.vasa.lt/Dashboard/Served?ServiceDateFrom=2025-11-24&amp;ServiceDateTo=2025-11-24&amp;DumpsterInvNr=13-L-146160", "13-L-146160")</f>
        <v>13-L-146160</v>
      </c>
      <c r="C12173">
        <v>0.24</v>
      </c>
      <c r="D12173" t="s">
        <v>16044</v>
      </c>
      <c r="E12173" t="s">
        <v>11</v>
      </c>
      <c r="G12173" t="s">
        <v>1912</v>
      </c>
      <c r="H12173" t="s">
        <v>432</v>
      </c>
    </row>
    <row r="12174" spans="1:8" hidden="1" x14ac:dyDescent="0.25">
      <c r="A12174" t="s">
        <v>16046</v>
      </c>
      <c r="B12174" s="1" t="str">
        <f>HYPERLINK("https://asmlis.vasa.lt/Dashboard/Served?ServiceDateFrom=2025-11-24&amp;ServiceDateTo=2025-11-24&amp;DumpsterInvNr=13-L-145508", "13-L-145508")</f>
        <v>13-L-145508</v>
      </c>
      <c r="C12174">
        <v>5</v>
      </c>
      <c r="D12174" t="s">
        <v>16047</v>
      </c>
      <c r="E12174" t="s">
        <v>11</v>
      </c>
      <c r="F12174" t="s">
        <v>13</v>
      </c>
      <c r="G12174" t="s">
        <v>430</v>
      </c>
      <c r="H12174" t="s">
        <v>432</v>
      </c>
    </row>
    <row r="12175" spans="1:8" hidden="1" x14ac:dyDescent="0.25">
      <c r="A12175" t="s">
        <v>16048</v>
      </c>
      <c r="B12175" s="1" t="str">
        <f>HYPERLINK("https://asmlis.vasa.lt/Dashboard/Served?ServiceDateFrom=2025-11-24&amp;ServiceDateTo=2025-11-24&amp;DumpsterInvNr=13-L-140739", "13-L-140739")</f>
        <v>13-L-140739</v>
      </c>
      <c r="C12175">
        <v>1.1000000000000001</v>
      </c>
      <c r="D12175" t="s">
        <v>16049</v>
      </c>
      <c r="E12175" t="s">
        <v>11</v>
      </c>
      <c r="G12175" t="s">
        <v>1912</v>
      </c>
      <c r="H12175" t="s">
        <v>432</v>
      </c>
    </row>
    <row r="12176" spans="1:8" hidden="1" x14ac:dyDescent="0.25">
      <c r="A12176" t="s">
        <v>16050</v>
      </c>
      <c r="B12176" s="1" t="str">
        <f>HYPERLINK("https://asmlis.vasa.lt/Dashboard/Served?ServiceDateFrom=2025-11-24&amp;ServiceDateTo=2025-11-24&amp;DumpsterInvNr=13-L-147678", "13-L-147678")</f>
        <v>13-L-147678</v>
      </c>
      <c r="C12176">
        <v>0.24</v>
      </c>
      <c r="D12176" t="s">
        <v>16051</v>
      </c>
      <c r="E12176" t="s">
        <v>11</v>
      </c>
      <c r="F12176" t="s">
        <v>1209</v>
      </c>
      <c r="G12176" t="s">
        <v>1912</v>
      </c>
      <c r="H12176" t="s">
        <v>432</v>
      </c>
    </row>
    <row r="12177" spans="1:10" hidden="1" x14ac:dyDescent="0.25">
      <c r="A12177" t="s">
        <v>16053</v>
      </c>
      <c r="B12177" s="1" t="str">
        <f>HYPERLINK("https://asmlis.vasa.lt/Dashboard/Served?ServiceDateFrom=2025-11-24&amp;ServiceDateTo=2025-11-24&amp;DumpsterInvNr=13-P-500263", "13-P-500263")</f>
        <v>13-P-500263</v>
      </c>
      <c r="C12177">
        <v>2.5</v>
      </c>
      <c r="D12177" t="s">
        <v>16054</v>
      </c>
      <c r="E12177" t="s">
        <v>11</v>
      </c>
      <c r="F12177" t="s">
        <v>13</v>
      </c>
      <c r="G12177" t="s">
        <v>2178</v>
      </c>
      <c r="H12177" t="s">
        <v>432</v>
      </c>
    </row>
    <row r="12178" spans="1:10" hidden="1" x14ac:dyDescent="0.25">
      <c r="A12178" t="s">
        <v>16055</v>
      </c>
      <c r="B12178" s="1" t="str">
        <f>HYPERLINK("https://asmlis.vasa.lt/Dashboard/Served?ServiceDateFrom=2025-11-24&amp;ServiceDateTo=2025-11-24&amp;DumpsterInvNr=13-L-317078", "13-L-317078")</f>
        <v>13-L-317078</v>
      </c>
      <c r="C12178">
        <v>1.1000000000000001</v>
      </c>
      <c r="D12178" t="s">
        <v>16056</v>
      </c>
      <c r="E12178" t="s">
        <v>11</v>
      </c>
      <c r="F12178" t="s">
        <v>871</v>
      </c>
      <c r="G12178" t="s">
        <v>9</v>
      </c>
      <c r="H12178" t="s">
        <v>14</v>
      </c>
      <c r="J12178" t="s">
        <v>17524</v>
      </c>
    </row>
    <row r="12179" spans="1:10" hidden="1" x14ac:dyDescent="0.25">
      <c r="A12179" t="s">
        <v>16057</v>
      </c>
      <c r="B12179" s="1" t="str">
        <f>HYPERLINK("https://asmlis.vasa.lt/Dashboard/Served?ServiceDateFrom=2025-11-24&amp;ServiceDateTo=2025-11-24&amp;DumpsterInvNr=13-S-207530", "13-S-207530")</f>
        <v>13-S-207530</v>
      </c>
      <c r="C12179">
        <v>0.12</v>
      </c>
      <c r="D12179" t="s">
        <v>15032</v>
      </c>
      <c r="E12179" t="s">
        <v>11</v>
      </c>
      <c r="F12179" t="s">
        <v>1209</v>
      </c>
      <c r="G12179" t="s">
        <v>234</v>
      </c>
      <c r="H12179" t="s">
        <v>14</v>
      </c>
    </row>
    <row r="12180" spans="1:10" hidden="1" x14ac:dyDescent="0.25">
      <c r="A12180" t="s">
        <v>15972</v>
      </c>
      <c r="B12180" s="1" t="str">
        <f>HYPERLINK("https://asmlis.vasa.lt/Dashboard/Served?ServiceDateFrom=2025-11-24&amp;ServiceDateTo=2025-11-24&amp;DumpsterInvNr=13-P-211622", "13-P-211622")</f>
        <v>13-P-211622</v>
      </c>
      <c r="C12180">
        <v>0.24</v>
      </c>
      <c r="D12180" t="s">
        <v>15032</v>
      </c>
      <c r="E12180" t="s">
        <v>11</v>
      </c>
      <c r="F12180" t="s">
        <v>1209</v>
      </c>
      <c r="G12180" t="s">
        <v>234</v>
      </c>
      <c r="H12180" t="s">
        <v>14</v>
      </c>
    </row>
    <row r="12181" spans="1:10" hidden="1" x14ac:dyDescent="0.25">
      <c r="A12181" t="s">
        <v>15992</v>
      </c>
      <c r="B12181" s="1" t="str">
        <f>HYPERLINK("https://asmlis.vasa.lt/Dashboard/Served?ServiceDateFrom=2025-11-24&amp;ServiceDateTo=2025-11-24&amp;DumpsterInvNr=13-L-137229", "13-L-137229")</f>
        <v>13-L-137229</v>
      </c>
      <c r="C12181">
        <v>1.1000000000000001</v>
      </c>
      <c r="D12181" t="s">
        <v>6985</v>
      </c>
      <c r="E12181" t="s">
        <v>11</v>
      </c>
      <c r="G12181" t="s">
        <v>430</v>
      </c>
      <c r="H12181" t="s">
        <v>432</v>
      </c>
    </row>
    <row r="12182" spans="1:10" hidden="1" x14ac:dyDescent="0.25">
      <c r="A12182" t="s">
        <v>16023</v>
      </c>
      <c r="B12182" s="1" t="str">
        <f>HYPERLINK("https://asmlis.vasa.lt/Dashboard/Served?ServiceDateFrom=2025-11-24&amp;ServiceDateTo=2025-11-24&amp;DumpsterInvNr=13-L-109834", "13-L-109834")</f>
        <v>13-L-109834</v>
      </c>
      <c r="C12182">
        <v>0.12</v>
      </c>
      <c r="D12182" t="s">
        <v>16059</v>
      </c>
      <c r="E12182" t="s">
        <v>11</v>
      </c>
      <c r="G12182" t="s">
        <v>430</v>
      </c>
      <c r="H12182" t="s">
        <v>432</v>
      </c>
    </row>
    <row r="12183" spans="1:10" hidden="1" x14ac:dyDescent="0.25">
      <c r="A12183" t="s">
        <v>16060</v>
      </c>
      <c r="B12183" s="1" t="str">
        <f>HYPERLINK("https://asmlis.vasa.lt/Dashboard/Served?ServiceDateFrom=2025-11-24&amp;ServiceDateTo=2025-11-24&amp;DumpsterInvNr=13-P-502576", "13-P-502576")</f>
        <v>13-P-502576</v>
      </c>
      <c r="C12183">
        <v>0.24</v>
      </c>
      <c r="D12183" t="s">
        <v>16059</v>
      </c>
      <c r="E12183" t="s">
        <v>11</v>
      </c>
      <c r="G12183" t="s">
        <v>2178</v>
      </c>
      <c r="H12183" t="s">
        <v>432</v>
      </c>
    </row>
    <row r="12184" spans="1:10" hidden="1" x14ac:dyDescent="0.25">
      <c r="A12184" t="s">
        <v>16061</v>
      </c>
      <c r="B12184" s="1" t="str">
        <f>HYPERLINK("https://asmlis.vasa.lt/Dashboard/Served?ServiceDateFrom=2025-11-24&amp;ServiceDateTo=2025-11-24&amp;DumpsterInvNr=13-P-413782", "13-P-413782")</f>
        <v>13-P-413782</v>
      </c>
      <c r="C12184">
        <v>5</v>
      </c>
      <c r="D12184" t="s">
        <v>1239</v>
      </c>
      <c r="E12184" t="s">
        <v>11</v>
      </c>
      <c r="F12184" t="s">
        <v>13</v>
      </c>
      <c r="G12184" t="s">
        <v>264</v>
      </c>
      <c r="H12184" t="s">
        <v>14</v>
      </c>
    </row>
    <row r="12185" spans="1:10" hidden="1" x14ac:dyDescent="0.25">
      <c r="A12185" t="s">
        <v>16062</v>
      </c>
      <c r="B12185" s="1" t="str">
        <f>HYPERLINK("https://asmlis.vasa.lt/Dashboard/Served?ServiceDateFrom=2025-11-24&amp;ServiceDateTo=2025-11-24&amp;DumpsterInvNr=13-L-316660", "13-L-316660")</f>
        <v>13-L-316660</v>
      </c>
      <c r="C12185">
        <v>0.66</v>
      </c>
      <c r="D12185" t="s">
        <v>16063</v>
      </c>
      <c r="E12185" t="s">
        <v>11</v>
      </c>
      <c r="G12185" t="s">
        <v>9</v>
      </c>
      <c r="H12185" t="s">
        <v>14</v>
      </c>
    </row>
    <row r="12186" spans="1:10" hidden="1" x14ac:dyDescent="0.25">
      <c r="A12186" t="s">
        <v>16064</v>
      </c>
      <c r="B12186" s="1" t="str">
        <f>HYPERLINK("https://asmlis.vasa.lt/Dashboard/Served?ServiceDateFrom=2025-11-24&amp;ServiceDateTo=2025-11-24&amp;DumpsterInvNr=13-P-302391", "13-P-302391")</f>
        <v>13-P-302391</v>
      </c>
      <c r="C12186">
        <v>5</v>
      </c>
      <c r="D12186" t="s">
        <v>286</v>
      </c>
      <c r="E12186" t="s">
        <v>11</v>
      </c>
      <c r="F12186" t="s">
        <v>13</v>
      </c>
      <c r="G12186" t="s">
        <v>412</v>
      </c>
      <c r="H12186" t="s">
        <v>14</v>
      </c>
    </row>
    <row r="12187" spans="1:10" hidden="1" x14ac:dyDescent="0.25">
      <c r="A12187" t="s">
        <v>16064</v>
      </c>
      <c r="B12187" s="1" t="str">
        <f>HYPERLINK("https://asmlis.vasa.lt/Dashboard/Served?ServiceDateFrom=2025-11-24&amp;ServiceDateTo=2025-11-24&amp;DumpsterInvNr=13-P-413841", "13-P-413841")</f>
        <v>13-P-413841</v>
      </c>
      <c r="C12187">
        <v>5</v>
      </c>
      <c r="D12187" t="s">
        <v>1239</v>
      </c>
      <c r="E12187" t="s">
        <v>11</v>
      </c>
      <c r="F12187" t="s">
        <v>13</v>
      </c>
      <c r="G12187" t="s">
        <v>264</v>
      </c>
      <c r="H12187" t="s">
        <v>14</v>
      </c>
    </row>
    <row r="12188" spans="1:10" hidden="1" x14ac:dyDescent="0.25">
      <c r="A12188" t="s">
        <v>16065</v>
      </c>
      <c r="B12188" s="1" t="str">
        <f>HYPERLINK("https://asmlis.vasa.lt/Dashboard/Served?ServiceDateFrom=2025-11-24&amp;ServiceDateTo=2025-11-24&amp;DumpsterInvNr=13-L-203497", "13-L-203497")</f>
        <v>13-L-203497</v>
      </c>
      <c r="C12188">
        <v>0.24</v>
      </c>
      <c r="D12188" t="s">
        <v>16066</v>
      </c>
      <c r="E12188" t="s">
        <v>11</v>
      </c>
      <c r="G12188" t="s">
        <v>936</v>
      </c>
      <c r="H12188" t="s">
        <v>938</v>
      </c>
    </row>
    <row r="12189" spans="1:10" hidden="1" x14ac:dyDescent="0.25">
      <c r="A12189" t="s">
        <v>16067</v>
      </c>
      <c r="B12189" s="1" t="str">
        <f>HYPERLINK("https://asmlis.vasa.lt/Dashboard/Served?ServiceDateFrom=2025-11-24&amp;ServiceDateTo=2025-11-24&amp;DumpsterInvNr=13-P-505032", "13-P-505032")</f>
        <v>13-P-505032</v>
      </c>
      <c r="C12189">
        <v>0.12</v>
      </c>
      <c r="D12189" t="s">
        <v>16034</v>
      </c>
      <c r="E12189" t="s">
        <v>11</v>
      </c>
      <c r="F12189" t="s">
        <v>1209</v>
      </c>
      <c r="G12189" t="s">
        <v>2178</v>
      </c>
      <c r="H12189" t="s">
        <v>432</v>
      </c>
    </row>
    <row r="12190" spans="1:10" hidden="1" x14ac:dyDescent="0.25">
      <c r="A12190" t="s">
        <v>16068</v>
      </c>
      <c r="B12190" s="1" t="str">
        <f>HYPERLINK("https://asmlis.vasa.lt/Dashboard/Served?ServiceDateFrom=2025-11-24&amp;ServiceDateTo=2025-11-24&amp;DumpsterInvNr=13-P-502577", "13-P-502577")</f>
        <v>13-P-502577</v>
      </c>
      <c r="C12190">
        <v>0.24</v>
      </c>
      <c r="D12190" t="s">
        <v>16034</v>
      </c>
      <c r="E12190" t="s">
        <v>11</v>
      </c>
      <c r="F12190" t="s">
        <v>1209</v>
      </c>
      <c r="G12190" t="s">
        <v>2178</v>
      </c>
      <c r="H12190" t="s">
        <v>432</v>
      </c>
    </row>
    <row r="12191" spans="1:10" hidden="1" x14ac:dyDescent="0.25">
      <c r="A12191" t="s">
        <v>16069</v>
      </c>
      <c r="B12191" s="1" t="str">
        <f>HYPERLINK("https://asmlis.vasa.lt/Dashboard/Served?ServiceDateFrom=2025-11-24&amp;ServiceDateTo=2025-11-24&amp;DumpsterInvNr=13-P-505031", "13-P-505031")</f>
        <v>13-P-505031</v>
      </c>
      <c r="C12191">
        <v>0.12</v>
      </c>
      <c r="D12191" t="s">
        <v>16034</v>
      </c>
      <c r="E12191" t="s">
        <v>11</v>
      </c>
      <c r="F12191" t="s">
        <v>1209</v>
      </c>
      <c r="G12191" t="s">
        <v>2178</v>
      </c>
      <c r="H12191" t="s">
        <v>432</v>
      </c>
    </row>
    <row r="12192" spans="1:10" hidden="1" x14ac:dyDescent="0.25">
      <c r="A12192" t="s">
        <v>16070</v>
      </c>
      <c r="B12192" s="1" t="str">
        <f>HYPERLINK("https://asmlis.vasa.lt/Dashboard/Served?ServiceDateFrom=2025-11-24&amp;ServiceDateTo=2025-11-24&amp;DumpsterInvNr=13-L-145867", "13-L-145867")</f>
        <v>13-L-145867</v>
      </c>
      <c r="C12192">
        <v>0.24</v>
      </c>
      <c r="D12192" t="s">
        <v>16071</v>
      </c>
      <c r="E12192" t="s">
        <v>11</v>
      </c>
      <c r="G12192" t="s">
        <v>1912</v>
      </c>
      <c r="H12192" t="s">
        <v>432</v>
      </c>
    </row>
    <row r="12193" spans="1:8" hidden="1" x14ac:dyDescent="0.25">
      <c r="A12193" t="s">
        <v>16072</v>
      </c>
      <c r="B12193" s="1" t="str">
        <f>HYPERLINK("https://asmlis.vasa.lt/Dashboard/Served?ServiceDateFrom=2025-11-24&amp;ServiceDateTo=2025-11-24&amp;DumpsterInvNr=13-L-137230", "13-L-137230")</f>
        <v>13-L-137230</v>
      </c>
      <c r="C12193">
        <v>1.1000000000000001</v>
      </c>
      <c r="D12193" t="s">
        <v>6985</v>
      </c>
      <c r="E12193" t="s">
        <v>11</v>
      </c>
      <c r="G12193" t="s">
        <v>430</v>
      </c>
      <c r="H12193" t="s">
        <v>432</v>
      </c>
    </row>
    <row r="12194" spans="1:8" hidden="1" x14ac:dyDescent="0.25">
      <c r="A12194" t="s">
        <v>15749</v>
      </c>
      <c r="B12194" s="1" t="str">
        <f>HYPERLINK("https://asmlis.vasa.lt/Dashboard/Served?ServiceDateFrom=2025-11-24&amp;ServiceDateTo=2025-11-24&amp;DumpsterInvNr=13-P-500397", "13-P-500397")</f>
        <v>13-P-500397</v>
      </c>
      <c r="C12194">
        <v>5</v>
      </c>
      <c r="D12194" t="s">
        <v>11248</v>
      </c>
      <c r="E12194" t="s">
        <v>11</v>
      </c>
      <c r="F12194" t="s">
        <v>13</v>
      </c>
      <c r="G12194" t="s">
        <v>2178</v>
      </c>
      <c r="H12194" t="s">
        <v>432</v>
      </c>
    </row>
    <row r="12195" spans="1:8" hidden="1" x14ac:dyDescent="0.25">
      <c r="A12195" t="s">
        <v>15960</v>
      </c>
      <c r="B12195" s="1" t="str">
        <f>HYPERLINK("https://asmlis.vasa.lt/Dashboard/Served?ServiceDateFrom=2025-11-24&amp;ServiceDateTo=2025-11-24&amp;DumpsterInvNr=13-P-109457", "13-P-109457")</f>
        <v>13-P-109457</v>
      </c>
      <c r="C12195">
        <v>0.24</v>
      </c>
      <c r="D12195" t="s">
        <v>16071</v>
      </c>
      <c r="E12195" t="s">
        <v>11</v>
      </c>
      <c r="G12195" t="s">
        <v>1917</v>
      </c>
      <c r="H12195" t="s">
        <v>432</v>
      </c>
    </row>
    <row r="12196" spans="1:8" hidden="1" x14ac:dyDescent="0.25">
      <c r="A12196" t="s">
        <v>16074</v>
      </c>
      <c r="B12196" s="1" t="str">
        <f>HYPERLINK("https://asmlis.vasa.lt/Dashboard/Served?ServiceDateFrom=2025-11-24&amp;ServiceDateTo=2025-11-24&amp;DumpsterInvNr=13-L-424199", "13-L-424199")</f>
        <v>13-L-424199</v>
      </c>
      <c r="C12196">
        <v>5</v>
      </c>
      <c r="D12196" t="s">
        <v>9646</v>
      </c>
      <c r="E12196" t="s">
        <v>11</v>
      </c>
      <c r="F12196" t="s">
        <v>13</v>
      </c>
      <c r="G12196" t="s">
        <v>74</v>
      </c>
      <c r="H12196" t="s">
        <v>14</v>
      </c>
    </row>
    <row r="12197" spans="1:8" hidden="1" x14ac:dyDescent="0.25">
      <c r="A12197" t="s">
        <v>16075</v>
      </c>
      <c r="B12197" s="1" t="str">
        <f>HYPERLINK("https://asmlis.vasa.lt/Dashboard/Served?ServiceDateFrom=2025-11-24&amp;ServiceDateTo=2025-11-24&amp;DumpsterInvNr=13-L-307603", "13-L-307603")</f>
        <v>13-L-307603</v>
      </c>
      <c r="C12197">
        <v>1.1000000000000001</v>
      </c>
      <c r="D12197" t="s">
        <v>16076</v>
      </c>
      <c r="E12197" t="s">
        <v>11</v>
      </c>
      <c r="G12197" t="s">
        <v>9</v>
      </c>
      <c r="H12197" t="s">
        <v>14</v>
      </c>
    </row>
    <row r="12198" spans="1:8" hidden="1" x14ac:dyDescent="0.25">
      <c r="A12198" t="s">
        <v>16077</v>
      </c>
      <c r="B12198" s="1" t="str">
        <f>HYPERLINK("https://asmlis.vasa.lt/Dashboard/Served?ServiceDateFrom=2025-11-24&amp;ServiceDateTo=2025-11-24&amp;DumpsterInvNr=13-L-139317", "13-L-139317")</f>
        <v>13-L-139317</v>
      </c>
      <c r="C12198">
        <v>5</v>
      </c>
      <c r="D12198" t="s">
        <v>16078</v>
      </c>
      <c r="E12198" t="s">
        <v>11</v>
      </c>
      <c r="F12198" t="s">
        <v>13</v>
      </c>
      <c r="G12198" t="s">
        <v>430</v>
      </c>
      <c r="H12198" t="s">
        <v>432</v>
      </c>
    </row>
    <row r="12199" spans="1:8" hidden="1" x14ac:dyDescent="0.25">
      <c r="A12199" t="s">
        <v>16077</v>
      </c>
      <c r="B12199" s="1" t="str">
        <f>HYPERLINK("https://asmlis.vasa.lt/Dashboard/Served?ServiceDateFrom=2025-11-24&amp;ServiceDateTo=2025-11-24&amp;DumpsterInvNr=13-P-102486", "13-P-102486")</f>
        <v>13-P-102486</v>
      </c>
      <c r="C12199">
        <v>5</v>
      </c>
      <c r="D12199" t="s">
        <v>16079</v>
      </c>
      <c r="E12199" t="s">
        <v>11</v>
      </c>
      <c r="F12199" t="s">
        <v>13</v>
      </c>
      <c r="G12199" t="s">
        <v>1917</v>
      </c>
      <c r="H12199" t="s">
        <v>432</v>
      </c>
    </row>
    <row r="12200" spans="1:8" hidden="1" x14ac:dyDescent="0.25">
      <c r="A12200" t="s">
        <v>16080</v>
      </c>
      <c r="B12200" s="1" t="str">
        <f>HYPERLINK("https://asmlis.vasa.lt/Dashboard/Served?ServiceDateFrom=2025-11-24&amp;ServiceDateTo=2025-11-24&amp;DumpsterInvNr=13-L-203498", "13-L-203498")</f>
        <v>13-L-203498</v>
      </c>
      <c r="C12200">
        <v>0.24</v>
      </c>
      <c r="D12200" t="s">
        <v>16081</v>
      </c>
      <c r="E12200" t="s">
        <v>11</v>
      </c>
      <c r="G12200" t="s">
        <v>936</v>
      </c>
      <c r="H12200" t="s">
        <v>938</v>
      </c>
    </row>
    <row r="12201" spans="1:8" hidden="1" x14ac:dyDescent="0.25">
      <c r="A12201" t="s">
        <v>16082</v>
      </c>
      <c r="B12201" s="1" t="str">
        <f>HYPERLINK("https://asmlis.vasa.lt/Dashboard/Served?ServiceDateFrom=2025-11-24&amp;ServiceDateTo=2025-11-24&amp;DumpsterInvNr=13-L-148457", "13-L-148457")</f>
        <v>13-L-148457</v>
      </c>
      <c r="C12201">
        <v>0.12</v>
      </c>
      <c r="D12201" t="s">
        <v>16083</v>
      </c>
      <c r="E12201" t="s">
        <v>11</v>
      </c>
      <c r="G12201" t="s">
        <v>430</v>
      </c>
      <c r="H12201" t="s">
        <v>432</v>
      </c>
    </row>
    <row r="12202" spans="1:8" hidden="1" x14ac:dyDescent="0.25">
      <c r="A12202" t="s">
        <v>16084</v>
      </c>
      <c r="B12202" s="1" t="str">
        <f>HYPERLINK("https://asmlis.vasa.lt/Dashboard/Served?ServiceDateFrom=2025-11-24&amp;ServiceDateTo=2025-11-24&amp;DumpsterInvNr=13-P-508435", "13-P-508435")</f>
        <v>13-P-508435</v>
      </c>
      <c r="C12202">
        <v>0.24</v>
      </c>
      <c r="D12202" t="s">
        <v>16085</v>
      </c>
      <c r="E12202" t="s">
        <v>11</v>
      </c>
      <c r="G12202" t="s">
        <v>2178</v>
      </c>
      <c r="H12202" t="s">
        <v>432</v>
      </c>
    </row>
    <row r="12203" spans="1:8" hidden="1" x14ac:dyDescent="0.25">
      <c r="A12203" t="s">
        <v>16086</v>
      </c>
      <c r="B12203" s="1" t="str">
        <f>HYPERLINK("https://asmlis.vasa.lt/Dashboard/Served?ServiceDateFrom=2025-11-24&amp;ServiceDateTo=2025-11-24&amp;DumpsterInvNr=13-L-138437", "13-L-138437")</f>
        <v>13-L-138437</v>
      </c>
      <c r="C12203">
        <v>5</v>
      </c>
      <c r="D12203" t="s">
        <v>7605</v>
      </c>
      <c r="E12203" t="s">
        <v>11</v>
      </c>
      <c r="F12203" t="s">
        <v>13</v>
      </c>
      <c r="G12203" t="s">
        <v>430</v>
      </c>
      <c r="H12203" t="s">
        <v>432</v>
      </c>
    </row>
    <row r="12204" spans="1:8" hidden="1" x14ac:dyDescent="0.25">
      <c r="A12204" t="s">
        <v>16087</v>
      </c>
      <c r="B12204" s="1" t="str">
        <f>HYPERLINK("https://asmlis.vasa.lt/Dashboard/Served?ServiceDateFrom=2025-11-24&amp;ServiceDateTo=2025-11-24&amp;DumpsterInvNr=13-L-139127", "13-L-139127")</f>
        <v>13-L-139127</v>
      </c>
      <c r="C12204">
        <v>5</v>
      </c>
      <c r="D12204" t="s">
        <v>2693</v>
      </c>
      <c r="E12204" t="s">
        <v>11</v>
      </c>
      <c r="F12204" t="s">
        <v>13</v>
      </c>
      <c r="G12204" t="s">
        <v>1912</v>
      </c>
      <c r="H12204" t="s">
        <v>432</v>
      </c>
    </row>
    <row r="12205" spans="1:8" hidden="1" x14ac:dyDescent="0.25">
      <c r="A12205" t="s">
        <v>16088</v>
      </c>
      <c r="B12205" s="1" t="str">
        <f>HYPERLINK("https://asmlis.vasa.lt/Dashboard/Served?ServiceDateFrom=2025-11-24&amp;ServiceDateTo=2025-11-24&amp;DumpsterInvNr=13-L-220335", "13-L-220335")</f>
        <v>13-L-220335</v>
      </c>
      <c r="C12205">
        <v>0.24</v>
      </c>
      <c r="D12205" t="s">
        <v>16089</v>
      </c>
      <c r="E12205" t="s">
        <v>11</v>
      </c>
      <c r="G12205" t="s">
        <v>936</v>
      </c>
      <c r="H12205" t="s">
        <v>938</v>
      </c>
    </row>
    <row r="12206" spans="1:8" hidden="1" x14ac:dyDescent="0.25">
      <c r="A12206" t="s">
        <v>16090</v>
      </c>
      <c r="B12206" s="1" t="str">
        <f>HYPERLINK("https://asmlis.vasa.lt/Dashboard/Served?ServiceDateFrom=2025-11-24&amp;ServiceDateTo=2025-11-24&amp;DumpsterInvNr=13-L-210157", "13-L-210157")</f>
        <v>13-L-210157</v>
      </c>
      <c r="C12206">
        <v>0.12</v>
      </c>
      <c r="D12206" t="s">
        <v>14276</v>
      </c>
      <c r="E12206" t="s">
        <v>11</v>
      </c>
      <c r="F12206" t="s">
        <v>1209</v>
      </c>
      <c r="G12206" t="s">
        <v>936</v>
      </c>
      <c r="H12206" t="s">
        <v>938</v>
      </c>
    </row>
    <row r="12207" spans="1:8" hidden="1" x14ac:dyDescent="0.25">
      <c r="A12207" t="s">
        <v>16091</v>
      </c>
      <c r="B12207" s="1" t="str">
        <f>HYPERLINK("https://asmlis.vasa.lt/Dashboard/Served?ServiceDateFrom=2025-11-24&amp;ServiceDateTo=2025-11-24&amp;DumpsterInvNr=13-P-204232", "13-P-204232")</f>
        <v>13-P-204232</v>
      </c>
      <c r="C12207">
        <v>0.24</v>
      </c>
      <c r="D12207" t="s">
        <v>15794</v>
      </c>
      <c r="E12207" t="s">
        <v>11</v>
      </c>
      <c r="G12207" t="s">
        <v>234</v>
      </c>
      <c r="H12207" t="s">
        <v>14</v>
      </c>
    </row>
    <row r="12208" spans="1:8" hidden="1" x14ac:dyDescent="0.25">
      <c r="A12208" t="s">
        <v>16092</v>
      </c>
      <c r="B12208" s="1" t="str">
        <f>HYPERLINK("https://asmlis.vasa.lt/Dashboard/Served?ServiceDateFrom=2025-11-24&amp;ServiceDateTo=2025-11-24&amp;DumpsterInvNr=13-P-508434", "13-P-508434")</f>
        <v>13-P-508434</v>
      </c>
      <c r="C12208">
        <v>0.24</v>
      </c>
      <c r="D12208" t="s">
        <v>16083</v>
      </c>
      <c r="E12208" t="s">
        <v>11</v>
      </c>
      <c r="G12208" t="s">
        <v>2178</v>
      </c>
      <c r="H12208" t="s">
        <v>432</v>
      </c>
    </row>
    <row r="12209" spans="1:8" hidden="1" x14ac:dyDescent="0.25">
      <c r="A12209" t="s">
        <v>16092</v>
      </c>
      <c r="B12209" s="1" t="str">
        <f>HYPERLINK("https://asmlis.vasa.lt/Dashboard/Served?ServiceDateFrom=2025-11-24&amp;ServiceDateTo=2025-11-24&amp;DumpsterInvNr=13-P-500261", "13-P-500261")</f>
        <v>13-P-500261</v>
      </c>
      <c r="C12209">
        <v>5</v>
      </c>
      <c r="D12209" t="s">
        <v>16054</v>
      </c>
      <c r="E12209" t="s">
        <v>11</v>
      </c>
      <c r="F12209" t="s">
        <v>13</v>
      </c>
      <c r="G12209" t="s">
        <v>2178</v>
      </c>
      <c r="H12209" t="s">
        <v>432</v>
      </c>
    </row>
    <row r="12210" spans="1:8" hidden="1" x14ac:dyDescent="0.25">
      <c r="A12210" t="s">
        <v>16093</v>
      </c>
      <c r="B12210" s="1" t="str">
        <f>HYPERLINK("https://asmlis.vasa.lt/Dashboard/Served?ServiceDateFrom=2025-11-24&amp;ServiceDateTo=2025-11-24&amp;DumpsterInvNr=13-P-204345", "13-P-204345")</f>
        <v>13-P-204345</v>
      </c>
      <c r="C12210">
        <v>0.12</v>
      </c>
      <c r="D12210" t="s">
        <v>15799</v>
      </c>
      <c r="E12210" t="s">
        <v>11</v>
      </c>
      <c r="G12210" t="s">
        <v>234</v>
      </c>
      <c r="H12210" t="s">
        <v>14</v>
      </c>
    </row>
    <row r="12211" spans="1:8" hidden="1" x14ac:dyDescent="0.25">
      <c r="A12211" t="s">
        <v>16094</v>
      </c>
      <c r="B12211" s="1" t="str">
        <f>HYPERLINK("https://asmlis.vasa.lt/Dashboard/Served?ServiceDateFrom=2025-11-24&amp;ServiceDateTo=2025-11-24&amp;DumpsterInvNr=13-L-149603", "13-L-149603")</f>
        <v>13-L-149603</v>
      </c>
      <c r="C12211">
        <v>1.1000000000000001</v>
      </c>
      <c r="D12211" t="s">
        <v>13137</v>
      </c>
      <c r="E12211" t="s">
        <v>11</v>
      </c>
      <c r="G12211" t="s">
        <v>430</v>
      </c>
      <c r="H12211" t="s">
        <v>432</v>
      </c>
    </row>
    <row r="12212" spans="1:8" hidden="1" x14ac:dyDescent="0.25">
      <c r="A12212" t="s">
        <v>16096</v>
      </c>
      <c r="B12212" s="1" t="str">
        <f>HYPERLINK("https://asmlis.vasa.lt/Dashboard/Served?ServiceDateFrom=2025-11-24&amp;ServiceDateTo=2025-11-24&amp;DumpsterInvNr=13-L-123406", "13-L-123406")</f>
        <v>13-L-123406</v>
      </c>
      <c r="C12212">
        <v>0.24</v>
      </c>
      <c r="D12212" t="s">
        <v>16085</v>
      </c>
      <c r="E12212" t="s">
        <v>11</v>
      </c>
      <c r="G12212" t="s">
        <v>430</v>
      </c>
      <c r="H12212" t="s">
        <v>432</v>
      </c>
    </row>
    <row r="12213" spans="1:8" hidden="1" x14ac:dyDescent="0.25">
      <c r="A12213" t="s">
        <v>16097</v>
      </c>
      <c r="B12213" s="1" t="str">
        <f>HYPERLINK("https://asmlis.vasa.lt/Dashboard/Served?ServiceDateFrom=2025-11-24&amp;ServiceDateTo=2025-11-24&amp;DumpsterInvNr=13-S-232045", "13-S-232045")</f>
        <v>13-S-232045</v>
      </c>
      <c r="C12213">
        <v>0.12</v>
      </c>
      <c r="D12213" t="s">
        <v>15794</v>
      </c>
      <c r="E12213" t="s">
        <v>11</v>
      </c>
      <c r="F12213" t="s">
        <v>1209</v>
      </c>
      <c r="G12213" t="s">
        <v>234</v>
      </c>
      <c r="H12213" t="s">
        <v>14</v>
      </c>
    </row>
    <row r="12214" spans="1:8" hidden="1" x14ac:dyDescent="0.25">
      <c r="A12214" t="s">
        <v>16098</v>
      </c>
      <c r="B12214" s="1" t="str">
        <f>HYPERLINK("https://asmlis.vasa.lt/Dashboard/Served?ServiceDateFrom=2025-11-24&amp;ServiceDateTo=2025-11-24&amp;DumpsterInvNr=13-L-421844", "13-L-421844")</f>
        <v>13-L-421844</v>
      </c>
      <c r="C12214">
        <v>5</v>
      </c>
      <c r="D12214" t="s">
        <v>9799</v>
      </c>
      <c r="E12214" t="s">
        <v>11</v>
      </c>
      <c r="F12214" t="s">
        <v>13</v>
      </c>
      <c r="G12214" t="s">
        <v>74</v>
      </c>
      <c r="H12214" t="s">
        <v>14</v>
      </c>
    </row>
    <row r="12215" spans="1:8" hidden="1" x14ac:dyDescent="0.25">
      <c r="A12215" t="s">
        <v>16099</v>
      </c>
      <c r="B12215" s="1" t="str">
        <f>HYPERLINK("https://asmlis.vasa.lt/Dashboard/Served?ServiceDateFrom=2025-11-24&amp;ServiceDateTo=2025-11-24&amp;DumpsterInvNr=13-L-149599", "13-L-149599")</f>
        <v>13-L-149599</v>
      </c>
      <c r="C12215">
        <v>1.1000000000000001</v>
      </c>
      <c r="D12215" t="s">
        <v>13137</v>
      </c>
      <c r="E12215" t="s">
        <v>11</v>
      </c>
      <c r="G12215" t="s">
        <v>430</v>
      </c>
      <c r="H12215" t="s">
        <v>432</v>
      </c>
    </row>
    <row r="12216" spans="1:8" hidden="1" x14ac:dyDescent="0.25">
      <c r="A12216" t="s">
        <v>16100</v>
      </c>
      <c r="B12216" s="1" t="str">
        <f>HYPERLINK("https://asmlis.vasa.lt/Dashboard/Served?ServiceDateFrom=2025-11-24&amp;ServiceDateTo=2025-11-24&amp;DumpsterInvNr=13-L-218493", "13-L-218493")</f>
        <v>13-L-218493</v>
      </c>
      <c r="C12216">
        <v>0.24</v>
      </c>
      <c r="D12216" t="s">
        <v>16101</v>
      </c>
      <c r="E12216" t="s">
        <v>11</v>
      </c>
      <c r="G12216" t="s">
        <v>936</v>
      </c>
      <c r="H12216" t="s">
        <v>938</v>
      </c>
    </row>
    <row r="12217" spans="1:8" hidden="1" x14ac:dyDescent="0.25">
      <c r="A12217" t="s">
        <v>16102</v>
      </c>
      <c r="B12217" s="1" t="str">
        <f>HYPERLINK("https://asmlis.vasa.lt/Dashboard/Served?ServiceDateFrom=2025-11-24&amp;ServiceDateTo=2025-11-24&amp;DumpsterInvNr=13-S-211817", "13-S-211817")</f>
        <v>13-S-211817</v>
      </c>
      <c r="C12217">
        <v>1.8</v>
      </c>
      <c r="D12217" t="s">
        <v>1923</v>
      </c>
      <c r="E12217" t="s">
        <v>11</v>
      </c>
      <c r="F12217" t="s">
        <v>13</v>
      </c>
      <c r="G12217" t="s">
        <v>234</v>
      </c>
      <c r="H12217" t="s">
        <v>14</v>
      </c>
    </row>
    <row r="12218" spans="1:8" hidden="1" x14ac:dyDescent="0.25">
      <c r="A12218" t="s">
        <v>16103</v>
      </c>
      <c r="B12218" s="1" t="str">
        <f>HYPERLINK("https://asmlis.vasa.lt/Dashboard/Served?ServiceDateFrom=2025-11-24&amp;ServiceDateTo=2025-11-24&amp;DumpsterInvNr=13-L-118357", "13-L-118357")</f>
        <v>13-L-118357</v>
      </c>
      <c r="C12218">
        <v>0.24</v>
      </c>
      <c r="D12218" t="s">
        <v>16104</v>
      </c>
      <c r="E12218" t="s">
        <v>11</v>
      </c>
      <c r="G12218" t="s">
        <v>1912</v>
      </c>
      <c r="H12218" t="s">
        <v>432</v>
      </c>
    </row>
    <row r="12219" spans="1:8" hidden="1" x14ac:dyDescent="0.25">
      <c r="A12219" t="s">
        <v>16106</v>
      </c>
      <c r="B12219" s="1" t="str">
        <f>HYPERLINK("https://asmlis.vasa.lt/Dashboard/Served?ServiceDateFrom=2025-11-24&amp;ServiceDateTo=2025-11-24&amp;DumpsterInvNr=13-P-508436", "13-P-508436")</f>
        <v>13-P-508436</v>
      </c>
      <c r="C12219">
        <v>0.24</v>
      </c>
      <c r="D12219" t="s">
        <v>16107</v>
      </c>
      <c r="E12219" t="s">
        <v>11</v>
      </c>
      <c r="G12219" t="s">
        <v>2178</v>
      </c>
      <c r="H12219" t="s">
        <v>432</v>
      </c>
    </row>
    <row r="12220" spans="1:8" hidden="1" x14ac:dyDescent="0.25">
      <c r="A12220" t="s">
        <v>16108</v>
      </c>
      <c r="B12220" s="1" t="str">
        <f>HYPERLINK("https://asmlis.vasa.lt/Dashboard/Served?ServiceDateFrom=2025-11-24&amp;ServiceDateTo=2025-11-24&amp;DumpsterInvNr=13-L-149590", "13-L-149590")</f>
        <v>13-L-149590</v>
      </c>
      <c r="C12220">
        <v>1.1000000000000001</v>
      </c>
      <c r="D12220" t="s">
        <v>13137</v>
      </c>
      <c r="E12220" t="s">
        <v>11</v>
      </c>
      <c r="G12220" t="s">
        <v>430</v>
      </c>
      <c r="H12220" t="s">
        <v>432</v>
      </c>
    </row>
    <row r="12221" spans="1:8" hidden="1" x14ac:dyDescent="0.25">
      <c r="A12221" t="s">
        <v>16109</v>
      </c>
      <c r="B12221" s="1" t="str">
        <f>HYPERLINK("https://asmlis.vasa.lt/Dashboard/Served?ServiceDateFrom=2025-11-24&amp;ServiceDateTo=2025-11-24&amp;DumpsterInvNr=13-P-101153", "13-P-101153")</f>
        <v>13-P-101153</v>
      </c>
      <c r="C12221">
        <v>0.24</v>
      </c>
      <c r="D12221" t="s">
        <v>16104</v>
      </c>
      <c r="E12221" t="s">
        <v>11</v>
      </c>
      <c r="G12221" t="s">
        <v>1917</v>
      </c>
      <c r="H12221" t="s">
        <v>432</v>
      </c>
    </row>
    <row r="12222" spans="1:8" hidden="1" x14ac:dyDescent="0.25">
      <c r="A12222" t="s">
        <v>15853</v>
      </c>
      <c r="B12222" s="1" t="str">
        <f>HYPERLINK("https://asmlis.vasa.lt/Dashboard/Served?ServiceDateFrom=2025-11-24&amp;ServiceDateTo=2025-11-24&amp;DumpsterInvNr=13-L-123404", "13-L-123404")</f>
        <v>13-L-123404</v>
      </c>
      <c r="C12222">
        <v>0.24</v>
      </c>
      <c r="D12222" t="s">
        <v>16107</v>
      </c>
      <c r="E12222" t="s">
        <v>11</v>
      </c>
      <c r="G12222" t="s">
        <v>430</v>
      </c>
      <c r="H12222" t="s">
        <v>432</v>
      </c>
    </row>
    <row r="12223" spans="1:8" hidden="1" x14ac:dyDescent="0.25">
      <c r="A12223" t="s">
        <v>15853</v>
      </c>
      <c r="B12223" s="1" t="str">
        <f>HYPERLINK("https://asmlis.vasa.lt/Dashboard/Served?ServiceDateFrom=2025-11-24&amp;ServiceDateTo=2025-11-24&amp;DumpsterInvNr=13-P-302402", "13-P-302402")</f>
        <v>13-P-302402</v>
      </c>
      <c r="C12223">
        <v>5</v>
      </c>
      <c r="D12223" t="s">
        <v>298</v>
      </c>
      <c r="E12223" t="s">
        <v>11</v>
      </c>
      <c r="F12223" t="s">
        <v>13</v>
      </c>
      <c r="G12223" t="s">
        <v>412</v>
      </c>
      <c r="H12223" t="s">
        <v>14</v>
      </c>
    </row>
    <row r="12224" spans="1:8" hidden="1" x14ac:dyDescent="0.25">
      <c r="A12224" t="s">
        <v>15897</v>
      </c>
      <c r="B12224" s="1" t="str">
        <f>HYPERLINK("https://asmlis.vasa.lt/Dashboard/Served?ServiceDateFrom=2025-11-24&amp;ServiceDateTo=2025-11-24&amp;DumpsterInvNr=13-P-205427", "13-P-205427")</f>
        <v>13-P-205427</v>
      </c>
      <c r="C12224">
        <v>0.24</v>
      </c>
      <c r="D12224" t="s">
        <v>15773</v>
      </c>
      <c r="E12224" t="s">
        <v>11</v>
      </c>
      <c r="G12224" t="s">
        <v>234</v>
      </c>
      <c r="H12224" t="s">
        <v>14</v>
      </c>
    </row>
    <row r="12225" spans="1:8" hidden="1" x14ac:dyDescent="0.25">
      <c r="A12225" t="s">
        <v>15921</v>
      </c>
      <c r="B12225" s="1" t="str">
        <f>HYPERLINK("https://asmlis.vasa.lt/Dashboard/Served?ServiceDateFrom=2025-11-24&amp;ServiceDateTo=2025-11-24&amp;DumpsterInvNr=13-L-316813", "13-L-316813")</f>
        <v>13-L-316813</v>
      </c>
      <c r="C12225">
        <v>1.1000000000000001</v>
      </c>
      <c r="D12225" t="s">
        <v>11769</v>
      </c>
      <c r="E12225" t="s">
        <v>11</v>
      </c>
      <c r="G12225" t="s">
        <v>9</v>
      </c>
      <c r="H12225" t="s">
        <v>14</v>
      </c>
    </row>
    <row r="12226" spans="1:8" hidden="1" x14ac:dyDescent="0.25">
      <c r="A12226" t="s">
        <v>15921</v>
      </c>
      <c r="B12226" s="1" t="str">
        <f>HYPERLINK("https://asmlis.vasa.lt/Dashboard/Served?ServiceDateFrom=2025-11-24&amp;ServiceDateTo=2025-11-24&amp;DumpsterInvNr=13-P-500264", "13-P-500264")</f>
        <v>13-P-500264</v>
      </c>
      <c r="C12226">
        <v>5</v>
      </c>
      <c r="D12226" t="s">
        <v>16111</v>
      </c>
      <c r="E12226" t="s">
        <v>11</v>
      </c>
      <c r="F12226" t="s">
        <v>13</v>
      </c>
      <c r="G12226" t="s">
        <v>2178</v>
      </c>
      <c r="H12226" t="s">
        <v>432</v>
      </c>
    </row>
    <row r="12227" spans="1:8" hidden="1" x14ac:dyDescent="0.25">
      <c r="A12227" t="s">
        <v>15923</v>
      </c>
      <c r="B12227" s="1" t="str">
        <f>HYPERLINK("https://asmlis.vasa.lt/Dashboard/Served?ServiceDateFrom=2025-11-24&amp;ServiceDateTo=2025-11-24&amp;DumpsterInvNr=13-P-408936", "13-P-408936")</f>
        <v>13-P-408936</v>
      </c>
      <c r="C12227">
        <v>1.1000000000000001</v>
      </c>
      <c r="D12227" t="s">
        <v>16112</v>
      </c>
      <c r="E12227" t="s">
        <v>11</v>
      </c>
      <c r="G12227" t="s">
        <v>264</v>
      </c>
      <c r="H12227" t="s">
        <v>14</v>
      </c>
    </row>
    <row r="12228" spans="1:8" hidden="1" x14ac:dyDescent="0.25">
      <c r="A12228" t="s">
        <v>16113</v>
      </c>
      <c r="B12228" s="1" t="str">
        <f>HYPERLINK("https://asmlis.vasa.lt/Dashboard/Served?ServiceDateFrom=2025-11-24&amp;ServiceDateTo=2025-11-24&amp;DumpsterInvNr=13-P-500394", "13-P-500394")</f>
        <v>13-P-500394</v>
      </c>
      <c r="C12228">
        <v>5</v>
      </c>
      <c r="D12228" t="s">
        <v>11168</v>
      </c>
      <c r="E12228" t="s">
        <v>11</v>
      </c>
      <c r="F12228" t="s">
        <v>13</v>
      </c>
      <c r="G12228" t="s">
        <v>2178</v>
      </c>
      <c r="H12228" t="s">
        <v>432</v>
      </c>
    </row>
    <row r="12229" spans="1:8" hidden="1" x14ac:dyDescent="0.25">
      <c r="A12229" t="s">
        <v>16114</v>
      </c>
      <c r="B12229" s="1" t="str">
        <f>HYPERLINK("https://asmlis.vasa.lt/Dashboard/Served?ServiceDateFrom=2025-11-24&amp;ServiceDateTo=2025-11-24&amp;DumpsterInvNr=13-S-205053", "13-S-205053")</f>
        <v>13-S-205053</v>
      </c>
      <c r="C12229">
        <v>0.12</v>
      </c>
      <c r="D12229" t="s">
        <v>15773</v>
      </c>
      <c r="E12229" t="s">
        <v>11</v>
      </c>
      <c r="F12229" t="s">
        <v>1209</v>
      </c>
      <c r="G12229" t="s">
        <v>234</v>
      </c>
      <c r="H12229" t="s">
        <v>14</v>
      </c>
    </row>
    <row r="12230" spans="1:8" hidden="1" x14ac:dyDescent="0.25">
      <c r="A12230" t="s">
        <v>16115</v>
      </c>
      <c r="B12230" s="1" t="str">
        <f>HYPERLINK("https://asmlis.vasa.lt/Dashboard/Served?ServiceDateFrom=2025-11-24&amp;ServiceDateTo=2025-11-24&amp;DumpsterInvNr=13-L-216376", "13-L-216376")</f>
        <v>13-L-216376</v>
      </c>
      <c r="C12230">
        <v>0.24</v>
      </c>
      <c r="D12230" t="s">
        <v>16116</v>
      </c>
      <c r="E12230" t="s">
        <v>11</v>
      </c>
      <c r="G12230" t="s">
        <v>936</v>
      </c>
      <c r="H12230" t="s">
        <v>938</v>
      </c>
    </row>
    <row r="12231" spans="1:8" hidden="1" x14ac:dyDescent="0.25">
      <c r="A12231" t="s">
        <v>15333</v>
      </c>
      <c r="B12231" s="1" t="str">
        <f>HYPERLINK("https://asmlis.vasa.lt/Dashboard/Served?ServiceDateFrom=2025-11-24&amp;ServiceDateTo=2025-11-24&amp;DumpsterInvNr=13-L-139779", "13-L-139779")</f>
        <v>13-L-139779</v>
      </c>
      <c r="C12231">
        <v>5</v>
      </c>
      <c r="D12231" t="s">
        <v>16117</v>
      </c>
      <c r="E12231" t="s">
        <v>11</v>
      </c>
      <c r="F12231" t="s">
        <v>13</v>
      </c>
      <c r="G12231" t="s">
        <v>430</v>
      </c>
      <c r="H12231" t="s">
        <v>432</v>
      </c>
    </row>
    <row r="12232" spans="1:8" hidden="1" x14ac:dyDescent="0.25">
      <c r="A12232" t="s">
        <v>15974</v>
      </c>
      <c r="B12232" s="1" t="str">
        <f>HYPERLINK("https://asmlis.vasa.lt/Dashboard/Served?ServiceDateFrom=2025-11-24&amp;ServiceDateTo=2025-11-24&amp;DumpsterInvNr=13-L-316109", "13-L-316109")</f>
        <v>13-L-316109</v>
      </c>
      <c r="C12232">
        <v>2.5</v>
      </c>
      <c r="D12232" t="s">
        <v>13754</v>
      </c>
      <c r="E12232" t="s">
        <v>11</v>
      </c>
      <c r="G12232" t="s">
        <v>9</v>
      </c>
      <c r="H12232" t="s">
        <v>14</v>
      </c>
    </row>
    <row r="12233" spans="1:8" hidden="1" x14ac:dyDescent="0.25">
      <c r="A12233" t="s">
        <v>15969</v>
      </c>
      <c r="B12233" s="1" t="str">
        <f>HYPERLINK("https://asmlis.vasa.lt/Dashboard/Served?ServiceDateFrom=2025-11-24&amp;ServiceDateTo=2025-11-24&amp;DumpsterInvNr=13-L-123405", "13-L-123405")</f>
        <v>13-L-123405</v>
      </c>
      <c r="C12233">
        <v>0.24</v>
      </c>
      <c r="D12233" t="s">
        <v>16119</v>
      </c>
      <c r="E12233" t="s">
        <v>11</v>
      </c>
      <c r="G12233" t="s">
        <v>430</v>
      </c>
      <c r="H12233" t="s">
        <v>432</v>
      </c>
    </row>
    <row r="12234" spans="1:8" hidden="1" x14ac:dyDescent="0.25">
      <c r="A12234" t="s">
        <v>16120</v>
      </c>
      <c r="B12234" s="1" t="str">
        <f>HYPERLINK("https://asmlis.vasa.lt/Dashboard/Served?ServiceDateFrom=2025-11-24&amp;ServiceDateTo=2025-11-24&amp;DumpsterInvNr=13-L-135308", "13-L-135308")</f>
        <v>13-L-135308</v>
      </c>
      <c r="C12234">
        <v>0.24</v>
      </c>
      <c r="D12234" t="s">
        <v>16121</v>
      </c>
      <c r="E12234" t="s">
        <v>11</v>
      </c>
      <c r="G12234" t="s">
        <v>430</v>
      </c>
      <c r="H12234" t="s">
        <v>432</v>
      </c>
    </row>
    <row r="12235" spans="1:8" hidden="1" x14ac:dyDescent="0.25">
      <c r="A12235" t="s">
        <v>16122</v>
      </c>
      <c r="B12235" s="1" t="str">
        <f>HYPERLINK("https://asmlis.vasa.lt/Dashboard/Served?ServiceDateFrom=2025-11-24&amp;ServiceDateTo=2025-11-24&amp;DumpsterInvNr=13-P-508432", "13-P-508432")</f>
        <v>13-P-508432</v>
      </c>
      <c r="C12235">
        <v>0.24</v>
      </c>
      <c r="D12235" t="s">
        <v>16121</v>
      </c>
      <c r="E12235" t="s">
        <v>11</v>
      </c>
      <c r="G12235" t="s">
        <v>2178</v>
      </c>
      <c r="H12235" t="s">
        <v>432</v>
      </c>
    </row>
    <row r="12236" spans="1:8" hidden="1" x14ac:dyDescent="0.25">
      <c r="A12236" t="s">
        <v>16124</v>
      </c>
      <c r="B12236" s="1" t="str">
        <f>HYPERLINK("https://asmlis.vasa.lt/Dashboard/Served?ServiceDateFrom=2025-11-24&amp;ServiceDateTo=2025-11-24&amp;DumpsterInvNr=13-P-102481", "13-P-102481")</f>
        <v>13-P-102481</v>
      </c>
      <c r="C12236">
        <v>5</v>
      </c>
      <c r="D12236" t="s">
        <v>16125</v>
      </c>
      <c r="E12236" t="s">
        <v>11</v>
      </c>
      <c r="F12236" t="s">
        <v>13</v>
      </c>
      <c r="G12236" t="s">
        <v>1917</v>
      </c>
      <c r="H12236" t="s">
        <v>432</v>
      </c>
    </row>
    <row r="12237" spans="1:8" hidden="1" x14ac:dyDescent="0.25">
      <c r="A12237" t="s">
        <v>15953</v>
      </c>
      <c r="B12237" s="1" t="str">
        <f>HYPERLINK("https://asmlis.vasa.lt/Dashboard/Served?ServiceDateFrom=2025-11-24&amp;ServiceDateTo=2025-11-24&amp;DumpsterInvNr=13-P-508431", "13-P-508431")</f>
        <v>13-P-508431</v>
      </c>
      <c r="C12237">
        <v>0.12</v>
      </c>
      <c r="D12237" t="s">
        <v>16119</v>
      </c>
      <c r="E12237" t="s">
        <v>11</v>
      </c>
      <c r="G12237" t="s">
        <v>2178</v>
      </c>
      <c r="H12237" t="s">
        <v>432</v>
      </c>
    </row>
    <row r="12238" spans="1:8" hidden="1" x14ac:dyDescent="0.25">
      <c r="A12238" t="s">
        <v>15953</v>
      </c>
      <c r="B12238" s="1" t="str">
        <f>HYPERLINK("https://asmlis.vasa.lt/Dashboard/Served?ServiceDateFrom=2025-11-24&amp;ServiceDateTo=2025-11-24&amp;DumpsterInvNr=13-P-112147", "13-P-112147")</f>
        <v>13-P-112147</v>
      </c>
      <c r="C12238">
        <v>0.24</v>
      </c>
      <c r="D12238" t="s">
        <v>16126</v>
      </c>
      <c r="E12238" t="s">
        <v>11</v>
      </c>
      <c r="G12238" t="s">
        <v>1917</v>
      </c>
      <c r="H12238" t="s">
        <v>432</v>
      </c>
    </row>
    <row r="12239" spans="1:8" hidden="1" x14ac:dyDescent="0.25">
      <c r="A12239" t="s">
        <v>15975</v>
      </c>
      <c r="B12239" s="1" t="str">
        <f>HYPERLINK("https://asmlis.vasa.lt/Dashboard/Served?ServiceDateFrom=2025-11-24&amp;ServiceDateTo=2025-11-24&amp;DumpsterInvNr=13-L-135127", "13-L-135127")</f>
        <v>13-L-135127</v>
      </c>
      <c r="C12239">
        <v>0.24</v>
      </c>
      <c r="D12239" t="s">
        <v>16127</v>
      </c>
      <c r="E12239" t="s">
        <v>11</v>
      </c>
      <c r="G12239" t="s">
        <v>1912</v>
      </c>
      <c r="H12239" t="s">
        <v>432</v>
      </c>
    </row>
    <row r="12240" spans="1:8" hidden="1" x14ac:dyDescent="0.25">
      <c r="A12240" t="s">
        <v>16058</v>
      </c>
      <c r="B12240" s="1" t="str">
        <f>HYPERLINK("https://asmlis.vasa.lt/Dashboard/Served?ServiceDateFrom=2025-11-24&amp;ServiceDateTo=2025-11-24&amp;DumpsterInvNr=13-P-211783", "13-P-211783")</f>
        <v>13-P-211783</v>
      </c>
      <c r="C12240">
        <v>0.24</v>
      </c>
      <c r="D12240" t="s">
        <v>15772</v>
      </c>
      <c r="E12240" t="s">
        <v>11</v>
      </c>
      <c r="G12240" t="s">
        <v>234</v>
      </c>
      <c r="H12240" t="s">
        <v>14</v>
      </c>
    </row>
    <row r="12241" spans="1:8" hidden="1" x14ac:dyDescent="0.25">
      <c r="A12241" t="s">
        <v>16129</v>
      </c>
      <c r="B12241" s="1" t="str">
        <f>HYPERLINK("https://asmlis.vasa.lt/Dashboard/Served?ServiceDateFrom=2025-11-24&amp;ServiceDateTo=2025-11-24&amp;DumpsterInvNr=13-L-203495", "13-L-203495")</f>
        <v>13-L-203495</v>
      </c>
      <c r="C12241">
        <v>0.12</v>
      </c>
      <c r="D12241" t="s">
        <v>16130</v>
      </c>
      <c r="E12241" t="s">
        <v>11</v>
      </c>
      <c r="F12241" t="s">
        <v>1209</v>
      </c>
      <c r="G12241" t="s">
        <v>936</v>
      </c>
      <c r="H12241" t="s">
        <v>938</v>
      </c>
    </row>
    <row r="12242" spans="1:8" hidden="1" x14ac:dyDescent="0.25">
      <c r="A12242" t="s">
        <v>16131</v>
      </c>
      <c r="B12242" s="1" t="str">
        <f>HYPERLINK("https://asmlis.vasa.lt/Dashboard/Served?ServiceDateFrom=2025-11-24&amp;ServiceDateTo=2025-11-24&amp;DumpsterInvNr=13-T-000082", "13-T-000082")</f>
        <v>13-T-000082</v>
      </c>
      <c r="C12242">
        <v>2.5</v>
      </c>
      <c r="D12242" t="s">
        <v>4688</v>
      </c>
      <c r="E12242" t="s">
        <v>11</v>
      </c>
      <c r="F12242" t="s">
        <v>13</v>
      </c>
      <c r="G12242" t="s">
        <v>1899</v>
      </c>
      <c r="H12242" t="s">
        <v>432</v>
      </c>
    </row>
    <row r="12243" spans="1:8" hidden="1" x14ac:dyDescent="0.25">
      <c r="A12243" t="s">
        <v>16132</v>
      </c>
      <c r="B12243" s="1" t="str">
        <f>HYPERLINK("https://asmlis.vasa.lt/Dashboard/Served?ServiceDateFrom=2025-11-24&amp;ServiceDateTo=2025-11-24&amp;DumpsterInvNr=13-P-212133", "13-P-212133")</f>
        <v>13-P-212133</v>
      </c>
      <c r="C12243">
        <v>1.1000000000000001</v>
      </c>
      <c r="D12243" t="s">
        <v>16133</v>
      </c>
      <c r="E12243" t="s">
        <v>11</v>
      </c>
      <c r="G12243" t="s">
        <v>234</v>
      </c>
      <c r="H12243" t="s">
        <v>14</v>
      </c>
    </row>
    <row r="12244" spans="1:8" hidden="1" x14ac:dyDescent="0.25">
      <c r="A12244" t="s">
        <v>16134</v>
      </c>
      <c r="B12244" s="1" t="str">
        <f>HYPERLINK("https://asmlis.vasa.lt/Dashboard/Served?ServiceDateFrom=2025-11-24&amp;ServiceDateTo=2025-11-24&amp;DumpsterInvNr=13-P-508430", "13-P-508430")</f>
        <v>13-P-508430</v>
      </c>
      <c r="C12244">
        <v>0.12</v>
      </c>
      <c r="D12244" t="s">
        <v>16135</v>
      </c>
      <c r="E12244" t="s">
        <v>11</v>
      </c>
      <c r="G12244" t="s">
        <v>2178</v>
      </c>
      <c r="H12244" t="s">
        <v>432</v>
      </c>
    </row>
    <row r="12245" spans="1:8" hidden="1" x14ac:dyDescent="0.25">
      <c r="A12245" t="s">
        <v>16137</v>
      </c>
      <c r="B12245" s="1" t="str">
        <f>HYPERLINK("https://asmlis.vasa.lt/Dashboard/Served?ServiceDateFrom=2025-11-24&amp;ServiceDateTo=2025-11-24&amp;DumpsterInvNr=13-T-000083", "13-T-000083")</f>
        <v>13-T-000083</v>
      </c>
      <c r="C12245">
        <v>2.5</v>
      </c>
      <c r="D12245" t="s">
        <v>4688</v>
      </c>
      <c r="E12245" t="s">
        <v>11</v>
      </c>
      <c r="F12245" t="s">
        <v>13</v>
      </c>
      <c r="G12245" t="s">
        <v>1899</v>
      </c>
      <c r="H12245" t="s">
        <v>432</v>
      </c>
    </row>
    <row r="12246" spans="1:8" hidden="1" x14ac:dyDescent="0.25">
      <c r="A12246" t="s">
        <v>16137</v>
      </c>
      <c r="B12246" s="1" t="str">
        <f>HYPERLINK("https://asmlis.vasa.lt/Dashboard/Served?ServiceDateFrom=2025-11-24&amp;ServiceDateTo=2025-11-24&amp;DumpsterInvNr=13-L-126239", "13-L-126239")</f>
        <v>13-L-126239</v>
      </c>
      <c r="C12246">
        <v>0.24</v>
      </c>
      <c r="D12246" t="s">
        <v>16126</v>
      </c>
      <c r="E12246" t="s">
        <v>11</v>
      </c>
      <c r="G12246" t="s">
        <v>1912</v>
      </c>
      <c r="H12246" t="s">
        <v>432</v>
      </c>
    </row>
    <row r="12247" spans="1:8" hidden="1" x14ac:dyDescent="0.25">
      <c r="A12247" t="s">
        <v>16139</v>
      </c>
      <c r="B12247" s="1" t="str">
        <f>HYPERLINK("https://asmlis.vasa.lt/Dashboard/Served?ServiceDateFrom=2025-11-24&amp;ServiceDateTo=2025-11-24&amp;DumpsterInvNr=13-P-112497", "13-P-112497")</f>
        <v>13-P-112497</v>
      </c>
      <c r="C12247">
        <v>0.24</v>
      </c>
      <c r="D12247" t="s">
        <v>16127</v>
      </c>
      <c r="E12247" t="s">
        <v>11</v>
      </c>
      <c r="G12247" t="s">
        <v>1917</v>
      </c>
      <c r="H12247" t="s">
        <v>432</v>
      </c>
    </row>
    <row r="12248" spans="1:8" hidden="1" x14ac:dyDescent="0.25">
      <c r="A12248" t="s">
        <v>16140</v>
      </c>
      <c r="B12248" s="1" t="str">
        <f>HYPERLINK("https://asmlis.vasa.lt/Dashboard/Served?ServiceDateFrom=2025-11-24&amp;ServiceDateTo=2025-11-24&amp;DumpsterInvNr=13-L-128910", "13-L-128910")</f>
        <v>13-L-128910</v>
      </c>
      <c r="C12248">
        <v>0.12</v>
      </c>
      <c r="D12248" t="s">
        <v>16135</v>
      </c>
      <c r="E12248" t="s">
        <v>11</v>
      </c>
      <c r="F12248" t="s">
        <v>1209</v>
      </c>
      <c r="G12248" t="s">
        <v>430</v>
      </c>
      <c r="H12248" t="s">
        <v>432</v>
      </c>
    </row>
    <row r="12249" spans="1:8" hidden="1" x14ac:dyDescent="0.25">
      <c r="A12249" t="s">
        <v>15355</v>
      </c>
      <c r="B12249" s="1" t="str">
        <f>HYPERLINK("https://asmlis.vasa.lt/Dashboard/Served?ServiceDateFrom=2025-11-24&amp;ServiceDateTo=2025-11-24&amp;DumpsterInvNr=13-L-203494", "13-L-203494")</f>
        <v>13-L-203494</v>
      </c>
      <c r="C12249">
        <v>0.24</v>
      </c>
      <c r="D12249" t="s">
        <v>16141</v>
      </c>
      <c r="E12249" t="s">
        <v>11</v>
      </c>
      <c r="F12249" t="s">
        <v>1209</v>
      </c>
      <c r="G12249" t="s">
        <v>936</v>
      </c>
      <c r="H12249" t="s">
        <v>938</v>
      </c>
    </row>
    <row r="12250" spans="1:8" hidden="1" x14ac:dyDescent="0.25">
      <c r="A12250" t="s">
        <v>15396</v>
      </c>
      <c r="B12250" s="1" t="str">
        <f>HYPERLINK("https://asmlis.vasa.lt/Dashboard/Served?ServiceDateFrom=2025-11-24&amp;ServiceDateTo=2025-11-24&amp;DumpsterInvNr=13-L-137291", "13-L-137291")</f>
        <v>13-L-137291</v>
      </c>
      <c r="C12250">
        <v>0.24</v>
      </c>
      <c r="D12250" t="s">
        <v>16143</v>
      </c>
      <c r="E12250" t="s">
        <v>11</v>
      </c>
      <c r="G12250" t="s">
        <v>1912</v>
      </c>
      <c r="H12250" t="s">
        <v>432</v>
      </c>
    </row>
    <row r="12251" spans="1:8" hidden="1" x14ac:dyDescent="0.25">
      <c r="A12251" t="s">
        <v>16144</v>
      </c>
      <c r="B12251" s="1" t="str">
        <f>HYPERLINK("https://asmlis.vasa.lt/Dashboard/Served?ServiceDateFrom=2025-11-24&amp;ServiceDateTo=2025-11-24&amp;DumpsterInvNr=13-L-215123", "13-L-215123")</f>
        <v>13-L-215123</v>
      </c>
      <c r="C12251">
        <v>1.1000000000000001</v>
      </c>
      <c r="D12251" t="s">
        <v>16145</v>
      </c>
      <c r="E12251" t="s">
        <v>11</v>
      </c>
      <c r="G12251" t="s">
        <v>936</v>
      </c>
      <c r="H12251" t="s">
        <v>938</v>
      </c>
    </row>
    <row r="12252" spans="1:8" hidden="1" x14ac:dyDescent="0.25">
      <c r="A12252" t="s">
        <v>16146</v>
      </c>
      <c r="B12252" s="1" t="str">
        <f>HYPERLINK("https://asmlis.vasa.lt/Dashboard/Served?ServiceDateFrom=2025-11-24&amp;ServiceDateTo=2025-11-24&amp;DumpsterInvNr=13-L-203493", "13-L-203493")</f>
        <v>13-L-203493</v>
      </c>
      <c r="C12252">
        <v>0.24</v>
      </c>
      <c r="D12252" t="s">
        <v>16147</v>
      </c>
      <c r="E12252" t="s">
        <v>11</v>
      </c>
      <c r="F12252" t="s">
        <v>1209</v>
      </c>
      <c r="G12252" t="s">
        <v>936</v>
      </c>
      <c r="H12252" t="s">
        <v>938</v>
      </c>
    </row>
    <row r="12253" spans="1:8" hidden="1" x14ac:dyDescent="0.25">
      <c r="A12253" t="s">
        <v>16148</v>
      </c>
      <c r="B12253" s="1" t="str">
        <f>HYPERLINK("https://asmlis.vasa.lt/Dashboard/Served?ServiceDateFrom=2025-11-24&amp;ServiceDateTo=2025-11-24&amp;DumpsterInvNr=13-L-311954", "13-L-311954")</f>
        <v>13-L-311954</v>
      </c>
      <c r="C12253">
        <v>0.77</v>
      </c>
      <c r="D12253" t="s">
        <v>16149</v>
      </c>
      <c r="E12253" t="s">
        <v>11</v>
      </c>
      <c r="G12253" t="s">
        <v>9</v>
      </c>
      <c r="H12253" t="s">
        <v>14</v>
      </c>
    </row>
    <row r="12254" spans="1:8" hidden="1" x14ac:dyDescent="0.25">
      <c r="A12254" t="s">
        <v>16150</v>
      </c>
      <c r="B12254" s="1" t="str">
        <f>HYPERLINK("https://asmlis.vasa.lt/Dashboard/Served?ServiceDateFrom=2025-11-24&amp;ServiceDateTo=2025-11-24&amp;DumpsterInvNr=13-L-216876", "13-L-216876")</f>
        <v>13-L-216876</v>
      </c>
      <c r="C12254">
        <v>0.24</v>
      </c>
      <c r="D12254" t="s">
        <v>16147</v>
      </c>
      <c r="E12254" t="s">
        <v>11</v>
      </c>
      <c r="F12254" t="s">
        <v>1209</v>
      </c>
      <c r="G12254" t="s">
        <v>936</v>
      </c>
      <c r="H12254" t="s">
        <v>938</v>
      </c>
    </row>
    <row r="12255" spans="1:8" hidden="1" x14ac:dyDescent="0.25">
      <c r="A12255" t="s">
        <v>16152</v>
      </c>
      <c r="B12255" s="1" t="str">
        <f>HYPERLINK("https://asmlis.vasa.lt/Dashboard/Served?ServiceDateFrom=2025-11-24&amp;ServiceDateTo=2025-11-24&amp;DumpsterInvNr=13-S-207851", "13-S-207851")</f>
        <v>13-S-207851</v>
      </c>
      <c r="C12255">
        <v>3</v>
      </c>
      <c r="D12255" t="s">
        <v>1832</v>
      </c>
      <c r="E12255" t="s">
        <v>11</v>
      </c>
      <c r="G12255" t="s">
        <v>234</v>
      </c>
      <c r="H12255" t="s">
        <v>14</v>
      </c>
    </row>
    <row r="12256" spans="1:8" hidden="1" x14ac:dyDescent="0.25">
      <c r="A12256" t="s">
        <v>16153</v>
      </c>
      <c r="B12256" s="1" t="str">
        <f>HYPERLINK("https://asmlis.vasa.lt/Dashboard/Served?ServiceDateFrom=2025-11-24&amp;ServiceDateTo=2025-11-24&amp;DumpsterInvNr=13-P-110057", "13-P-110057")</f>
        <v>13-P-110057</v>
      </c>
      <c r="C12256">
        <v>0.24</v>
      </c>
      <c r="D12256" t="s">
        <v>16154</v>
      </c>
      <c r="E12256" t="s">
        <v>11</v>
      </c>
      <c r="G12256" t="s">
        <v>1917</v>
      </c>
      <c r="H12256" t="s">
        <v>432</v>
      </c>
    </row>
    <row r="12257" spans="1:8" hidden="1" x14ac:dyDescent="0.25">
      <c r="A12257" t="s">
        <v>16155</v>
      </c>
      <c r="B12257" s="1" t="str">
        <f>HYPERLINK("https://asmlis.vasa.lt/Dashboard/Served?ServiceDateFrom=2025-11-24&amp;ServiceDateTo=2025-11-24&amp;DumpsterInvNr=13-P-204176", "13-P-204176")</f>
        <v>13-P-204176</v>
      </c>
      <c r="C12257">
        <v>0.24</v>
      </c>
      <c r="D12257" t="s">
        <v>15833</v>
      </c>
      <c r="E12257" t="s">
        <v>11</v>
      </c>
      <c r="G12257" t="s">
        <v>234</v>
      </c>
      <c r="H12257" t="s">
        <v>14</v>
      </c>
    </row>
    <row r="12258" spans="1:8" hidden="1" x14ac:dyDescent="0.25">
      <c r="A12258" t="s">
        <v>16156</v>
      </c>
      <c r="B12258" s="1" t="str">
        <f>HYPERLINK("https://asmlis.vasa.lt/Dashboard/Served?ServiceDateFrom=2025-11-24&amp;ServiceDateTo=2025-11-24&amp;DumpsterInvNr=13-L-138846", "13-L-138846")</f>
        <v>13-L-138846</v>
      </c>
      <c r="C12258">
        <v>5</v>
      </c>
      <c r="D12258" t="s">
        <v>16157</v>
      </c>
      <c r="E12258" t="s">
        <v>11</v>
      </c>
      <c r="F12258" t="s">
        <v>13</v>
      </c>
      <c r="G12258" t="s">
        <v>430</v>
      </c>
      <c r="H12258" t="s">
        <v>432</v>
      </c>
    </row>
    <row r="12259" spans="1:8" hidden="1" x14ac:dyDescent="0.25">
      <c r="A12259" t="s">
        <v>16158</v>
      </c>
      <c r="B12259" s="1" t="str">
        <f>HYPERLINK("https://asmlis.vasa.lt/Dashboard/Served?ServiceDateFrom=2025-11-24&amp;ServiceDateTo=2025-11-24&amp;DumpsterInvNr=13-L-139778", "13-L-139778")</f>
        <v>13-L-139778</v>
      </c>
      <c r="C12259">
        <v>5</v>
      </c>
      <c r="D12259" t="s">
        <v>10289</v>
      </c>
      <c r="E12259" t="s">
        <v>11</v>
      </c>
      <c r="F12259" t="s">
        <v>13</v>
      </c>
      <c r="G12259" t="s">
        <v>430</v>
      </c>
      <c r="H12259" t="s">
        <v>432</v>
      </c>
    </row>
    <row r="12260" spans="1:8" hidden="1" x14ac:dyDescent="0.25">
      <c r="A12260" t="s">
        <v>16159</v>
      </c>
      <c r="B12260" s="1" t="str">
        <f>HYPERLINK("https://asmlis.vasa.lt/Dashboard/Served?ServiceDateFrom=2025-11-24&amp;ServiceDateTo=2025-11-24&amp;DumpsterInvNr=13-L-123913", "13-L-123913")</f>
        <v>13-L-123913</v>
      </c>
      <c r="C12260">
        <v>0.24</v>
      </c>
      <c r="D12260" t="s">
        <v>16154</v>
      </c>
      <c r="E12260" t="s">
        <v>11</v>
      </c>
      <c r="G12260" t="s">
        <v>1912</v>
      </c>
      <c r="H12260" t="s">
        <v>432</v>
      </c>
    </row>
    <row r="12261" spans="1:8" hidden="1" x14ac:dyDescent="0.25">
      <c r="A12261" t="s">
        <v>16160</v>
      </c>
      <c r="B12261" s="1" t="str">
        <f>HYPERLINK("https://asmlis.vasa.lt/Dashboard/Served?ServiceDateFrom=2025-11-24&amp;ServiceDateTo=2025-11-24&amp;DumpsterInvNr=13-L-124416", "13-L-124416")</f>
        <v>13-L-124416</v>
      </c>
      <c r="C12261">
        <v>1.1000000000000001</v>
      </c>
      <c r="D12261" t="s">
        <v>12839</v>
      </c>
      <c r="E12261" t="s">
        <v>11</v>
      </c>
      <c r="G12261" t="s">
        <v>430</v>
      </c>
      <c r="H12261" t="s">
        <v>432</v>
      </c>
    </row>
    <row r="12262" spans="1:8" hidden="1" x14ac:dyDescent="0.25">
      <c r="A12262" t="s">
        <v>16160</v>
      </c>
      <c r="B12262" s="1" t="str">
        <f>HYPERLINK("https://asmlis.vasa.lt/Dashboard/Served?ServiceDateFrom=2025-11-24&amp;ServiceDateTo=2025-11-24&amp;DumpsterInvNr=13-P-204177", "13-P-204177")</f>
        <v>13-P-204177</v>
      </c>
      <c r="C12262">
        <v>0.24</v>
      </c>
      <c r="D12262" t="s">
        <v>15837</v>
      </c>
      <c r="E12262" t="s">
        <v>11</v>
      </c>
      <c r="G12262" t="s">
        <v>234</v>
      </c>
      <c r="H12262" t="s">
        <v>14</v>
      </c>
    </row>
    <row r="12263" spans="1:8" hidden="1" x14ac:dyDescent="0.25">
      <c r="A12263" t="s">
        <v>16161</v>
      </c>
      <c r="B12263" s="1" t="str">
        <f>HYPERLINK("https://asmlis.vasa.lt/Dashboard/Served?ServiceDateFrom=2025-11-24&amp;ServiceDateTo=2025-11-24&amp;DumpsterInvNr=13-L-215124", "13-L-215124")</f>
        <v>13-L-215124</v>
      </c>
      <c r="C12263">
        <v>1.1000000000000001</v>
      </c>
      <c r="D12263" t="s">
        <v>16145</v>
      </c>
      <c r="E12263" t="s">
        <v>11</v>
      </c>
      <c r="F12263" t="s">
        <v>13</v>
      </c>
      <c r="G12263" t="s">
        <v>936</v>
      </c>
      <c r="H12263" t="s">
        <v>938</v>
      </c>
    </row>
    <row r="12264" spans="1:8" hidden="1" x14ac:dyDescent="0.25">
      <c r="A12264" t="s">
        <v>16162</v>
      </c>
      <c r="B12264" s="1" t="str">
        <f>HYPERLINK("https://asmlis.vasa.lt/Dashboard/Served?ServiceDateFrom=2025-11-24&amp;ServiceDateTo=2025-11-24&amp;DumpsterInvNr=13-L-140555", "13-L-140555")</f>
        <v>13-L-140555</v>
      </c>
      <c r="C12264">
        <v>0.12</v>
      </c>
      <c r="D12264" t="s">
        <v>16163</v>
      </c>
      <c r="E12264" t="s">
        <v>11</v>
      </c>
      <c r="F12264" t="s">
        <v>1209</v>
      </c>
      <c r="G12264" t="s">
        <v>1912</v>
      </c>
      <c r="H12264" t="s">
        <v>432</v>
      </c>
    </row>
    <row r="12265" spans="1:8" hidden="1" x14ac:dyDescent="0.25">
      <c r="A12265" t="s">
        <v>16164</v>
      </c>
      <c r="B12265" s="1" t="str">
        <f>HYPERLINK("https://asmlis.vasa.lt/Dashboard/Served?ServiceDateFrom=2025-11-24&amp;ServiceDateTo=2025-11-24&amp;DumpsterInvNr=13-P-112094", "13-P-112094")</f>
        <v>13-P-112094</v>
      </c>
      <c r="C12265">
        <v>0.24</v>
      </c>
      <c r="D12265" t="s">
        <v>16163</v>
      </c>
      <c r="E12265" t="s">
        <v>11</v>
      </c>
      <c r="F12265" t="s">
        <v>1209</v>
      </c>
      <c r="G12265" t="s">
        <v>1917</v>
      </c>
      <c r="H12265" t="s">
        <v>432</v>
      </c>
    </row>
    <row r="12266" spans="1:8" hidden="1" x14ac:dyDescent="0.25">
      <c r="A12266" t="s">
        <v>16164</v>
      </c>
      <c r="B12266" s="1" t="str">
        <f>HYPERLINK("https://asmlis.vasa.lt/Dashboard/Served?ServiceDateFrom=2025-11-24&amp;ServiceDateTo=2025-11-24&amp;DumpsterInvNr=13-L-109845", "13-L-109845")</f>
        <v>13-L-109845</v>
      </c>
      <c r="C12266">
        <v>0.24</v>
      </c>
      <c r="D12266" t="s">
        <v>16165</v>
      </c>
      <c r="E12266" t="s">
        <v>11</v>
      </c>
      <c r="G12266" t="s">
        <v>430</v>
      </c>
      <c r="H12266" t="s">
        <v>432</v>
      </c>
    </row>
    <row r="12267" spans="1:8" hidden="1" x14ac:dyDescent="0.25">
      <c r="A12267" t="s">
        <v>16164</v>
      </c>
      <c r="B12267" s="1" t="str">
        <f>HYPERLINK("https://asmlis.vasa.lt/Dashboard/Served?ServiceDateFrom=2025-11-24&amp;ServiceDateTo=2025-11-24&amp;DumpsterInvNr=13-L-135622", "13-L-135622")</f>
        <v>13-L-135622</v>
      </c>
      <c r="C12267">
        <v>0.12</v>
      </c>
      <c r="D12267" t="s">
        <v>16166</v>
      </c>
      <c r="E12267" t="s">
        <v>11</v>
      </c>
      <c r="G12267" t="s">
        <v>430</v>
      </c>
      <c r="H12267" t="s">
        <v>432</v>
      </c>
    </row>
    <row r="12268" spans="1:8" hidden="1" x14ac:dyDescent="0.25">
      <c r="A12268" t="s">
        <v>16167</v>
      </c>
      <c r="B12268" s="1" t="str">
        <f>HYPERLINK("https://asmlis.vasa.lt/Dashboard/Served?ServiceDateFrom=2025-11-24&amp;ServiceDateTo=2025-11-24&amp;DumpsterInvNr=13-P-506940", "13-P-506940")</f>
        <v>13-P-506940</v>
      </c>
      <c r="C12268">
        <v>0.24</v>
      </c>
      <c r="D12268" t="s">
        <v>16165</v>
      </c>
      <c r="E12268" t="s">
        <v>11</v>
      </c>
      <c r="G12268" t="s">
        <v>2178</v>
      </c>
      <c r="H12268" t="s">
        <v>432</v>
      </c>
    </row>
    <row r="12269" spans="1:8" hidden="1" x14ac:dyDescent="0.25">
      <c r="A12269" t="s">
        <v>16168</v>
      </c>
      <c r="B12269" s="1" t="str">
        <f>HYPERLINK("https://asmlis.vasa.lt/Dashboard/Served?ServiceDateFrom=2025-11-24&amp;ServiceDateTo=2025-11-24&amp;DumpsterInvNr=13-L-110347", "13-L-110347")</f>
        <v>13-L-110347</v>
      </c>
      <c r="C12269">
        <v>0.24</v>
      </c>
      <c r="D12269" t="s">
        <v>16169</v>
      </c>
      <c r="E12269" t="s">
        <v>11</v>
      </c>
      <c r="F12269" t="s">
        <v>1209</v>
      </c>
      <c r="G12269" t="s">
        <v>430</v>
      </c>
      <c r="H12269" t="s">
        <v>432</v>
      </c>
    </row>
    <row r="12270" spans="1:8" hidden="1" x14ac:dyDescent="0.25">
      <c r="A12270" t="s">
        <v>16168</v>
      </c>
      <c r="B12270" s="1" t="str">
        <f>HYPERLINK("https://asmlis.vasa.lt/Dashboard/Served?ServiceDateFrom=2025-11-24&amp;ServiceDateTo=2025-11-24&amp;DumpsterInvNr=13-S-204990", "13-S-204990")</f>
        <v>13-S-204990</v>
      </c>
      <c r="C12270">
        <v>0.12</v>
      </c>
      <c r="D12270" t="s">
        <v>15833</v>
      </c>
      <c r="E12270" t="s">
        <v>11</v>
      </c>
      <c r="G12270" t="s">
        <v>234</v>
      </c>
      <c r="H12270" t="s">
        <v>14</v>
      </c>
    </row>
    <row r="12271" spans="1:8" hidden="1" x14ac:dyDescent="0.25">
      <c r="A12271" t="s">
        <v>16168</v>
      </c>
      <c r="B12271" s="1" t="str">
        <f>HYPERLINK("https://asmlis.vasa.lt/Dashboard/Served?ServiceDateFrom=2025-11-24&amp;ServiceDateTo=2025-11-24&amp;DumpsterInvNr=13-P-500265", "13-P-500265")</f>
        <v>13-P-500265</v>
      </c>
      <c r="C12271">
        <v>5</v>
      </c>
      <c r="D12271" t="s">
        <v>16170</v>
      </c>
      <c r="E12271" t="s">
        <v>11</v>
      </c>
      <c r="F12271" t="s">
        <v>13</v>
      </c>
      <c r="G12271" t="s">
        <v>2178</v>
      </c>
      <c r="H12271" t="s">
        <v>432</v>
      </c>
    </row>
    <row r="12272" spans="1:8" hidden="1" x14ac:dyDescent="0.25">
      <c r="A12272" t="s">
        <v>16171</v>
      </c>
      <c r="B12272" s="1" t="str">
        <f>HYPERLINK("https://asmlis.vasa.lt/Dashboard/Served?ServiceDateFrom=2025-11-24&amp;ServiceDateTo=2025-11-24&amp;DumpsterInvNr=13-L-124415", "13-L-124415")</f>
        <v>13-L-124415</v>
      </c>
      <c r="C12272">
        <v>1.1000000000000001</v>
      </c>
      <c r="D12272" t="s">
        <v>12839</v>
      </c>
      <c r="E12272" t="s">
        <v>11</v>
      </c>
      <c r="G12272" t="s">
        <v>430</v>
      </c>
      <c r="H12272" t="s">
        <v>432</v>
      </c>
    </row>
    <row r="12273" spans="1:8" hidden="1" x14ac:dyDescent="0.25">
      <c r="A12273" t="s">
        <v>16172</v>
      </c>
      <c r="B12273" s="1" t="str">
        <f>HYPERLINK("https://asmlis.vasa.lt/Dashboard/Served?ServiceDateFrom=2025-11-24&amp;ServiceDateTo=2025-11-24&amp;DumpsterInvNr=13-L-134666", "13-L-134666")</f>
        <v>13-L-134666</v>
      </c>
      <c r="C12273">
        <v>5</v>
      </c>
      <c r="D12273" t="s">
        <v>4599</v>
      </c>
      <c r="E12273" t="s">
        <v>11</v>
      </c>
      <c r="F12273" t="s">
        <v>13</v>
      </c>
      <c r="G12273" t="s">
        <v>1912</v>
      </c>
      <c r="H12273" t="s">
        <v>432</v>
      </c>
    </row>
    <row r="12274" spans="1:8" hidden="1" x14ac:dyDescent="0.25">
      <c r="A12274" t="s">
        <v>16173</v>
      </c>
      <c r="B12274" s="1" t="str">
        <f>HYPERLINK("https://asmlis.vasa.lt/Dashboard/Served?ServiceDateFrom=2025-11-24&amp;ServiceDateTo=2025-11-24&amp;DumpsterInvNr=13-L-137677", "13-L-137677")</f>
        <v>13-L-137677</v>
      </c>
      <c r="C12274">
        <v>0.24</v>
      </c>
      <c r="D12274" t="s">
        <v>16174</v>
      </c>
      <c r="E12274" t="s">
        <v>11</v>
      </c>
      <c r="G12274" t="s">
        <v>430</v>
      </c>
      <c r="H12274" t="s">
        <v>432</v>
      </c>
    </row>
    <row r="12275" spans="1:8" hidden="1" x14ac:dyDescent="0.25">
      <c r="A12275" t="s">
        <v>16175</v>
      </c>
      <c r="B12275" s="1" t="str">
        <f>HYPERLINK("https://asmlis.vasa.lt/Dashboard/Served?ServiceDateFrom=2025-11-24&amp;ServiceDateTo=2025-11-24&amp;DumpsterInvNr=13-P-501870", "13-P-501870")</f>
        <v>13-P-501870</v>
      </c>
      <c r="C12275">
        <v>0.24</v>
      </c>
      <c r="D12275" t="s">
        <v>16176</v>
      </c>
      <c r="E12275" t="s">
        <v>11</v>
      </c>
      <c r="G12275" t="s">
        <v>2178</v>
      </c>
      <c r="H12275" t="s">
        <v>432</v>
      </c>
    </row>
    <row r="12276" spans="1:8" hidden="1" x14ac:dyDescent="0.25">
      <c r="A12276" t="s">
        <v>16177</v>
      </c>
      <c r="B12276" s="1" t="str">
        <f>HYPERLINK("https://asmlis.vasa.lt/Dashboard/Served?ServiceDateFrom=2025-11-24&amp;ServiceDateTo=2025-11-24&amp;DumpsterInvNr=13-L-123403", "13-L-123403")</f>
        <v>13-L-123403</v>
      </c>
      <c r="C12276">
        <v>0.12</v>
      </c>
      <c r="D12276" t="s">
        <v>16176</v>
      </c>
      <c r="E12276" t="s">
        <v>11</v>
      </c>
      <c r="G12276" t="s">
        <v>430</v>
      </c>
      <c r="H12276" t="s">
        <v>432</v>
      </c>
    </row>
    <row r="12277" spans="1:8" hidden="1" x14ac:dyDescent="0.25">
      <c r="A12277" t="s">
        <v>16178</v>
      </c>
      <c r="B12277" s="1" t="str">
        <f>HYPERLINK("https://asmlis.vasa.lt/Dashboard/Served?ServiceDateFrom=2025-11-24&amp;ServiceDateTo=2025-11-24&amp;DumpsterInvNr=13-P-502672", "13-P-502672")</f>
        <v>13-P-502672</v>
      </c>
      <c r="C12277">
        <v>0.24</v>
      </c>
      <c r="D12277" t="s">
        <v>16166</v>
      </c>
      <c r="E12277" t="s">
        <v>11</v>
      </c>
      <c r="G12277" t="s">
        <v>2178</v>
      </c>
      <c r="H12277" t="s">
        <v>432</v>
      </c>
    </row>
    <row r="12278" spans="1:8" hidden="1" x14ac:dyDescent="0.25">
      <c r="A12278" t="s">
        <v>16179</v>
      </c>
      <c r="B12278" s="1" t="str">
        <f>HYPERLINK("https://asmlis.vasa.lt/Dashboard/Served?ServiceDateFrom=2025-11-24&amp;ServiceDateTo=2025-11-24&amp;DumpsterInvNr=13-L-425301", "13-L-425301")</f>
        <v>13-L-425301</v>
      </c>
      <c r="C12278">
        <v>5</v>
      </c>
      <c r="D12278" t="s">
        <v>9858</v>
      </c>
      <c r="E12278" t="s">
        <v>11</v>
      </c>
      <c r="F12278" t="s">
        <v>13</v>
      </c>
      <c r="G12278" t="s">
        <v>74</v>
      </c>
      <c r="H12278" t="s">
        <v>14</v>
      </c>
    </row>
    <row r="12279" spans="1:8" hidden="1" x14ac:dyDescent="0.25">
      <c r="A12279" t="s">
        <v>16180</v>
      </c>
      <c r="B12279" s="1" t="str">
        <f>HYPERLINK("https://asmlis.vasa.lt/Dashboard/Served?ServiceDateFrom=2025-11-24&amp;ServiceDateTo=2025-11-24&amp;DumpsterInvNr=13-L-108743", "13-L-108743")</f>
        <v>13-L-108743</v>
      </c>
      <c r="C12279">
        <v>0.24</v>
      </c>
      <c r="D12279" t="s">
        <v>16181</v>
      </c>
      <c r="E12279" t="s">
        <v>11</v>
      </c>
      <c r="F12279" t="s">
        <v>1209</v>
      </c>
      <c r="G12279" t="s">
        <v>430</v>
      </c>
      <c r="H12279" t="s">
        <v>432</v>
      </c>
    </row>
    <row r="12280" spans="1:8" hidden="1" x14ac:dyDescent="0.25">
      <c r="A12280" t="s">
        <v>16182</v>
      </c>
      <c r="B12280" s="1" t="str">
        <f>HYPERLINK("https://asmlis.vasa.lt/Dashboard/Served?ServiceDateFrom=2025-11-24&amp;ServiceDateTo=2025-11-24&amp;DumpsterInvNr=13-P-204484", "13-P-204484")</f>
        <v>13-P-204484</v>
      </c>
      <c r="C12280">
        <v>0.24</v>
      </c>
      <c r="D12280" t="s">
        <v>14532</v>
      </c>
      <c r="E12280" t="s">
        <v>11</v>
      </c>
      <c r="G12280" t="s">
        <v>234</v>
      </c>
      <c r="H12280" t="s">
        <v>14</v>
      </c>
    </row>
    <row r="12281" spans="1:8" hidden="1" x14ac:dyDescent="0.25">
      <c r="A12281" t="s">
        <v>16183</v>
      </c>
      <c r="B12281" s="1" t="str">
        <f>HYPERLINK("https://asmlis.vasa.lt/Dashboard/Served?ServiceDateFrom=2025-11-24&amp;ServiceDateTo=2025-11-24&amp;DumpsterInvNr=13-P-205472", "13-P-205472")</f>
        <v>13-P-205472</v>
      </c>
      <c r="C12281">
        <v>0.24</v>
      </c>
      <c r="D12281" t="s">
        <v>14512</v>
      </c>
      <c r="E12281" t="s">
        <v>11</v>
      </c>
      <c r="F12281" t="s">
        <v>1209</v>
      </c>
      <c r="G12281" t="s">
        <v>234</v>
      </c>
      <c r="H12281" t="s">
        <v>14</v>
      </c>
    </row>
    <row r="12282" spans="1:8" hidden="1" x14ac:dyDescent="0.25">
      <c r="A12282" t="s">
        <v>16184</v>
      </c>
      <c r="B12282" s="1" t="str">
        <f>HYPERLINK("https://asmlis.vasa.lt/Dashboard/Served?ServiceDateFrom=2025-11-24&amp;ServiceDateTo=2025-11-24&amp;DumpsterInvNr=13-L-314487", "13-L-314487")</f>
        <v>13-L-314487</v>
      </c>
      <c r="C12282">
        <v>1.1000000000000001</v>
      </c>
      <c r="D12282" t="s">
        <v>16185</v>
      </c>
      <c r="E12282" t="s">
        <v>11</v>
      </c>
      <c r="G12282" t="s">
        <v>9</v>
      </c>
      <c r="H12282" t="s">
        <v>14</v>
      </c>
    </row>
    <row r="12283" spans="1:8" hidden="1" x14ac:dyDescent="0.25">
      <c r="A12283" t="s">
        <v>16186</v>
      </c>
      <c r="B12283" s="1" t="str">
        <f>HYPERLINK("https://asmlis.vasa.lt/Dashboard/Served?ServiceDateFrom=2025-11-24&amp;ServiceDateTo=2025-11-24&amp;DumpsterInvNr=13-P-402365", "13-P-402365")</f>
        <v>13-P-402365</v>
      </c>
      <c r="C12283">
        <v>1.1000000000000001</v>
      </c>
      <c r="D12283" t="s">
        <v>16187</v>
      </c>
      <c r="E12283" t="s">
        <v>11</v>
      </c>
      <c r="F12283" t="s">
        <v>13</v>
      </c>
      <c r="G12283" t="s">
        <v>264</v>
      </c>
      <c r="H12283" t="s">
        <v>14</v>
      </c>
    </row>
    <row r="12284" spans="1:8" hidden="1" x14ac:dyDescent="0.25">
      <c r="A12284" t="s">
        <v>16188</v>
      </c>
      <c r="B12284" s="1" t="str">
        <f>HYPERLINK("https://asmlis.vasa.lt/Dashboard/Served?ServiceDateFrom=2025-11-24&amp;ServiceDateTo=2025-11-24&amp;DumpsterInvNr=13-L-318959", "13-L-318959")</f>
        <v>13-L-318959</v>
      </c>
      <c r="C12284">
        <v>0.66</v>
      </c>
      <c r="D12284" t="s">
        <v>16189</v>
      </c>
      <c r="E12284" t="s">
        <v>11</v>
      </c>
      <c r="F12284" t="s">
        <v>13</v>
      </c>
      <c r="G12284" t="s">
        <v>9</v>
      </c>
      <c r="H12284" t="s">
        <v>14</v>
      </c>
    </row>
    <row r="12285" spans="1:8" hidden="1" x14ac:dyDescent="0.25">
      <c r="A12285" t="s">
        <v>16190</v>
      </c>
      <c r="B12285" s="1" t="str">
        <f>HYPERLINK("https://asmlis.vasa.lt/Dashboard/Served?ServiceDateFrom=2025-11-24&amp;ServiceDateTo=2025-11-24&amp;DumpsterInvNr=13-L-203500", "13-L-203500")</f>
        <v>13-L-203500</v>
      </c>
      <c r="C12285">
        <v>0.12</v>
      </c>
      <c r="D12285" t="s">
        <v>16191</v>
      </c>
      <c r="E12285" t="s">
        <v>11</v>
      </c>
      <c r="G12285" t="s">
        <v>936</v>
      </c>
      <c r="H12285" t="s">
        <v>938</v>
      </c>
    </row>
    <row r="12286" spans="1:8" hidden="1" x14ac:dyDescent="0.25">
      <c r="A12286" t="s">
        <v>16192</v>
      </c>
      <c r="B12286" s="1" t="str">
        <f>HYPERLINK("https://asmlis.vasa.lt/Dashboard/Served?ServiceDateFrom=2025-11-24&amp;ServiceDateTo=2025-11-24&amp;DumpsterInvNr=13-L-303230", "13-L-303230")</f>
        <v>13-L-303230</v>
      </c>
      <c r="C12286">
        <v>1.1000000000000001</v>
      </c>
      <c r="D12286" t="s">
        <v>16193</v>
      </c>
      <c r="E12286" t="s">
        <v>11</v>
      </c>
      <c r="G12286" t="s">
        <v>9</v>
      </c>
      <c r="H12286" t="s">
        <v>14</v>
      </c>
    </row>
    <row r="12287" spans="1:8" hidden="1" x14ac:dyDescent="0.25">
      <c r="A12287" t="s">
        <v>16194</v>
      </c>
      <c r="B12287" s="1" t="str">
        <f>HYPERLINK("https://asmlis.vasa.lt/Dashboard/Served?ServiceDateFrom=2025-11-24&amp;ServiceDateTo=2025-11-24&amp;DumpsterInvNr=13-L-144678", "13-L-144678")</f>
        <v>13-L-144678</v>
      </c>
      <c r="C12287">
        <v>0.24</v>
      </c>
      <c r="D12287" t="s">
        <v>16195</v>
      </c>
      <c r="E12287" t="s">
        <v>11</v>
      </c>
      <c r="G12287" t="s">
        <v>430</v>
      </c>
      <c r="H12287" t="s">
        <v>432</v>
      </c>
    </row>
    <row r="12288" spans="1:8" hidden="1" x14ac:dyDescent="0.25">
      <c r="A12288" t="s">
        <v>16196</v>
      </c>
      <c r="B12288" s="1" t="str">
        <f>HYPERLINK("https://asmlis.vasa.lt/Dashboard/Served?ServiceDateFrom=2025-11-24&amp;ServiceDateTo=2025-11-24&amp;DumpsterInvNr=13-L-316618", "13-L-316618")</f>
        <v>13-L-316618</v>
      </c>
      <c r="C12288">
        <v>1.1000000000000001</v>
      </c>
      <c r="D12288" t="s">
        <v>16185</v>
      </c>
      <c r="E12288" t="s">
        <v>11</v>
      </c>
      <c r="G12288" t="s">
        <v>9</v>
      </c>
      <c r="H12288" t="s">
        <v>14</v>
      </c>
    </row>
    <row r="12289" spans="1:8" hidden="1" x14ac:dyDescent="0.25">
      <c r="A12289" t="s">
        <v>16197</v>
      </c>
      <c r="B12289" s="1" t="str">
        <f>HYPERLINK("https://asmlis.vasa.lt/Dashboard/Served?ServiceDateFrom=2025-11-24&amp;ServiceDateTo=2025-11-24&amp;DumpsterInvNr=13-L-109846", "13-L-109846")</f>
        <v>13-L-109846</v>
      </c>
      <c r="C12289">
        <v>0.24</v>
      </c>
      <c r="D12289" t="s">
        <v>16198</v>
      </c>
      <c r="E12289" t="s">
        <v>11</v>
      </c>
      <c r="G12289" t="s">
        <v>430</v>
      </c>
      <c r="H12289" t="s">
        <v>432</v>
      </c>
    </row>
    <row r="12290" spans="1:8" hidden="1" x14ac:dyDescent="0.25">
      <c r="A12290" t="s">
        <v>16199</v>
      </c>
      <c r="B12290" s="1" t="str">
        <f>HYPERLINK("https://asmlis.vasa.lt/Dashboard/Served?ServiceDateFrom=2025-11-24&amp;ServiceDateTo=2025-11-24&amp;DumpsterInvNr=13-P-502669", "13-P-502669")</f>
        <v>13-P-502669</v>
      </c>
      <c r="C12290">
        <v>0.24</v>
      </c>
      <c r="D12290" t="s">
        <v>16198</v>
      </c>
      <c r="E12290" t="s">
        <v>11</v>
      </c>
      <c r="G12290" t="s">
        <v>2178</v>
      </c>
      <c r="H12290" t="s">
        <v>432</v>
      </c>
    </row>
    <row r="12291" spans="1:8" hidden="1" x14ac:dyDescent="0.25">
      <c r="A12291" t="s">
        <v>16200</v>
      </c>
      <c r="B12291" s="1" t="str">
        <f>HYPERLINK("https://asmlis.vasa.lt/Dashboard/Served?ServiceDateFrom=2025-11-24&amp;ServiceDateTo=2025-11-24&amp;DumpsterInvNr=13-P-205395", "13-P-205395")</f>
        <v>13-P-205395</v>
      </c>
      <c r="C12291">
        <v>0.24</v>
      </c>
      <c r="D12291" t="s">
        <v>14495</v>
      </c>
      <c r="E12291" t="s">
        <v>11</v>
      </c>
      <c r="G12291" t="s">
        <v>234</v>
      </c>
      <c r="H12291" t="s">
        <v>14</v>
      </c>
    </row>
    <row r="12292" spans="1:8" hidden="1" x14ac:dyDescent="0.25">
      <c r="A12292" t="s">
        <v>16201</v>
      </c>
      <c r="B12292" s="1" t="str">
        <f>HYPERLINK("https://asmlis.vasa.lt/Dashboard/Served?ServiceDateFrom=2025-11-24&amp;ServiceDateTo=2025-11-24&amp;DumpsterInvNr=13-P-500369", "13-P-500369")</f>
        <v>13-P-500369</v>
      </c>
      <c r="C12292">
        <v>5</v>
      </c>
      <c r="D12292" t="s">
        <v>11015</v>
      </c>
      <c r="E12292" t="s">
        <v>11</v>
      </c>
      <c r="F12292" t="s">
        <v>13</v>
      </c>
      <c r="G12292" t="s">
        <v>2178</v>
      </c>
      <c r="H12292" t="s">
        <v>432</v>
      </c>
    </row>
    <row r="12293" spans="1:8" hidden="1" x14ac:dyDescent="0.25">
      <c r="A12293" t="s">
        <v>16201</v>
      </c>
      <c r="B12293" s="1" t="str">
        <f>HYPERLINK("https://asmlis.vasa.lt/Dashboard/Served?ServiceDateFrom=2025-11-24&amp;ServiceDateTo=2025-11-24&amp;DumpsterInvNr=13-P-506753", "13-P-506753")</f>
        <v>13-P-506753</v>
      </c>
      <c r="C12293">
        <v>0.24</v>
      </c>
      <c r="D12293" t="s">
        <v>16195</v>
      </c>
      <c r="E12293" t="s">
        <v>11</v>
      </c>
      <c r="G12293" t="s">
        <v>2178</v>
      </c>
      <c r="H12293" t="s">
        <v>432</v>
      </c>
    </row>
    <row r="12294" spans="1:8" hidden="1" x14ac:dyDescent="0.25">
      <c r="A12294" t="s">
        <v>16202</v>
      </c>
      <c r="B12294" s="1" t="str">
        <f>HYPERLINK("https://asmlis.vasa.lt/Dashboard/Served?ServiceDateFrom=2025-11-24&amp;ServiceDateTo=2025-11-24&amp;DumpsterInvNr=13-S-204855", "13-S-204855")</f>
        <v>13-S-204855</v>
      </c>
      <c r="C12294">
        <v>0.12</v>
      </c>
      <c r="D12294" t="s">
        <v>14495</v>
      </c>
      <c r="E12294" t="s">
        <v>11</v>
      </c>
      <c r="F12294" t="s">
        <v>1209</v>
      </c>
      <c r="G12294" t="s">
        <v>234</v>
      </c>
      <c r="H12294" t="s">
        <v>14</v>
      </c>
    </row>
    <row r="12295" spans="1:8" hidden="1" x14ac:dyDescent="0.25">
      <c r="A12295" t="s">
        <v>16203</v>
      </c>
      <c r="B12295" s="1" t="str">
        <f>HYPERLINK("https://asmlis.vasa.lt/Dashboard/Served?ServiceDateFrom=2025-11-24&amp;ServiceDateTo=2025-11-24&amp;DumpsterInvNr=13-L-123632", "13-L-123632")</f>
        <v>13-L-123632</v>
      </c>
      <c r="C12295">
        <v>0.77</v>
      </c>
      <c r="D12295" t="s">
        <v>16204</v>
      </c>
      <c r="E12295" t="s">
        <v>11</v>
      </c>
      <c r="G12295" t="s">
        <v>430</v>
      </c>
      <c r="H12295" t="s">
        <v>432</v>
      </c>
    </row>
    <row r="12296" spans="1:8" hidden="1" x14ac:dyDescent="0.25">
      <c r="A12296" t="s">
        <v>16205</v>
      </c>
      <c r="B12296" s="1" t="str">
        <f>HYPERLINK("https://asmlis.vasa.lt/Dashboard/Served?ServiceDateFrom=2025-11-24&amp;ServiceDateTo=2025-11-24&amp;DumpsterInvNr=13-L-212366", "13-L-212366")</f>
        <v>13-L-212366</v>
      </c>
      <c r="C12296">
        <v>0.24</v>
      </c>
      <c r="D12296" t="s">
        <v>16206</v>
      </c>
      <c r="E12296" t="s">
        <v>11</v>
      </c>
      <c r="G12296" t="s">
        <v>936</v>
      </c>
      <c r="H12296" t="s">
        <v>938</v>
      </c>
    </row>
    <row r="12297" spans="1:8" hidden="1" x14ac:dyDescent="0.25">
      <c r="A12297" t="s">
        <v>16207</v>
      </c>
      <c r="B12297" s="1" t="str">
        <f>HYPERLINK("https://asmlis.vasa.lt/Dashboard/Served?ServiceDateFrom=2025-11-24&amp;ServiceDateTo=2025-11-24&amp;DumpsterInvNr=13-L-318939", "13-L-318939")</f>
        <v>13-L-318939</v>
      </c>
      <c r="C12297">
        <v>1.1000000000000001</v>
      </c>
      <c r="D12297" t="s">
        <v>16185</v>
      </c>
      <c r="E12297" t="s">
        <v>11</v>
      </c>
      <c r="F12297" t="s">
        <v>13</v>
      </c>
      <c r="G12297" t="s">
        <v>9</v>
      </c>
      <c r="H12297" t="s">
        <v>14</v>
      </c>
    </row>
    <row r="12298" spans="1:8" hidden="1" x14ac:dyDescent="0.25">
      <c r="A12298" t="s">
        <v>16208</v>
      </c>
      <c r="B12298" s="1" t="str">
        <f>HYPERLINK("https://asmlis.vasa.lt/Dashboard/Served?ServiceDateFrom=2025-11-24&amp;ServiceDateTo=2025-11-24&amp;DumpsterInvNr=13-L-135841", "13-L-135841")</f>
        <v>13-L-135841</v>
      </c>
      <c r="C12298">
        <v>0.24</v>
      </c>
      <c r="D12298" t="s">
        <v>16209</v>
      </c>
      <c r="E12298" t="s">
        <v>11</v>
      </c>
      <c r="G12298" t="s">
        <v>430</v>
      </c>
      <c r="H12298" t="s">
        <v>432</v>
      </c>
    </row>
    <row r="12299" spans="1:8" hidden="1" x14ac:dyDescent="0.25">
      <c r="A12299" t="s">
        <v>16210</v>
      </c>
      <c r="B12299" s="1" t="str">
        <f>HYPERLINK("https://asmlis.vasa.lt/Dashboard/Served?ServiceDateFrom=2025-11-24&amp;ServiceDateTo=2025-11-24&amp;DumpsterInvNr=13-P-204159", "13-P-204159")</f>
        <v>13-P-204159</v>
      </c>
      <c r="C12299">
        <v>0.24</v>
      </c>
      <c r="D12299" t="s">
        <v>14481</v>
      </c>
      <c r="E12299" t="s">
        <v>11</v>
      </c>
      <c r="G12299" t="s">
        <v>234</v>
      </c>
      <c r="H12299" t="s">
        <v>14</v>
      </c>
    </row>
    <row r="12300" spans="1:8" hidden="1" x14ac:dyDescent="0.25">
      <c r="A12300" t="s">
        <v>16210</v>
      </c>
      <c r="B12300" s="1" t="str">
        <f>HYPERLINK("https://asmlis.vasa.lt/Dashboard/Served?ServiceDateFrom=2025-11-24&amp;ServiceDateTo=2025-11-24&amp;DumpsterInvNr=13-P-506952", "13-P-506952")</f>
        <v>13-P-506952</v>
      </c>
      <c r="C12300">
        <v>0.24</v>
      </c>
      <c r="D12300" t="s">
        <v>16209</v>
      </c>
      <c r="E12300" t="s">
        <v>11</v>
      </c>
      <c r="G12300" t="s">
        <v>2178</v>
      </c>
      <c r="H12300" t="s">
        <v>432</v>
      </c>
    </row>
    <row r="12301" spans="1:8" hidden="1" x14ac:dyDescent="0.25">
      <c r="A12301" t="s">
        <v>16211</v>
      </c>
      <c r="B12301" s="1" t="str">
        <f>HYPERLINK("https://asmlis.vasa.lt/Dashboard/Served?ServiceDateFrom=2025-11-24&amp;ServiceDateTo=2025-11-24&amp;DumpsterInvNr=13-L-316614", "13-L-316614")</f>
        <v>13-L-316614</v>
      </c>
      <c r="C12301">
        <v>1.1000000000000001</v>
      </c>
      <c r="D12301" t="s">
        <v>16185</v>
      </c>
      <c r="E12301" t="s">
        <v>11</v>
      </c>
      <c r="F12301" t="s">
        <v>13</v>
      </c>
      <c r="G12301" t="s">
        <v>9</v>
      </c>
      <c r="H12301" t="s">
        <v>14</v>
      </c>
    </row>
    <row r="12302" spans="1:8" hidden="1" x14ac:dyDescent="0.25">
      <c r="A12302" t="s">
        <v>16212</v>
      </c>
      <c r="B12302" s="1" t="str">
        <f>HYPERLINK("https://asmlis.vasa.lt/Dashboard/Served?ServiceDateFrom=2025-11-24&amp;ServiceDateTo=2025-11-24&amp;DumpsterInvNr=13-L-120388", "13-L-120388")</f>
        <v>13-L-120388</v>
      </c>
      <c r="C12302">
        <v>0.12</v>
      </c>
      <c r="D12302" t="s">
        <v>16213</v>
      </c>
      <c r="E12302" t="s">
        <v>11</v>
      </c>
      <c r="G12302" t="s">
        <v>1912</v>
      </c>
      <c r="H12302" t="s">
        <v>432</v>
      </c>
    </row>
    <row r="12303" spans="1:8" hidden="1" x14ac:dyDescent="0.25">
      <c r="A12303" t="s">
        <v>16214</v>
      </c>
      <c r="B12303" s="1" t="str">
        <f>HYPERLINK("https://asmlis.vasa.lt/Dashboard/Served?ServiceDateFrom=2025-11-24&amp;ServiceDateTo=2025-11-24&amp;DumpsterInvNr=13-P-107829", "13-P-107829")</f>
        <v>13-P-107829</v>
      </c>
      <c r="C12303">
        <v>0.12</v>
      </c>
      <c r="D12303" t="s">
        <v>16213</v>
      </c>
      <c r="E12303" t="s">
        <v>11</v>
      </c>
      <c r="G12303" t="s">
        <v>1917</v>
      </c>
      <c r="H12303" t="s">
        <v>432</v>
      </c>
    </row>
    <row r="12304" spans="1:8" hidden="1" x14ac:dyDescent="0.25">
      <c r="A12304" t="s">
        <v>16215</v>
      </c>
      <c r="B12304" s="1" t="str">
        <f>HYPERLINK("https://asmlis.vasa.lt/Dashboard/Served?ServiceDateFrom=2025-11-24&amp;ServiceDateTo=2025-11-24&amp;DumpsterInvNr=13-L-216200", "13-L-216200")</f>
        <v>13-L-216200</v>
      </c>
      <c r="C12304">
        <v>0.24</v>
      </c>
      <c r="D12304" t="s">
        <v>16216</v>
      </c>
      <c r="E12304" t="s">
        <v>11</v>
      </c>
      <c r="F12304" t="s">
        <v>1209</v>
      </c>
      <c r="G12304" t="s">
        <v>936</v>
      </c>
      <c r="H12304" t="s">
        <v>938</v>
      </c>
    </row>
    <row r="12305" spans="1:8" hidden="1" x14ac:dyDescent="0.25">
      <c r="A12305" t="s">
        <v>16142</v>
      </c>
      <c r="B12305" s="1" t="str">
        <f>HYPERLINK("https://asmlis.vasa.lt/Dashboard/Served?ServiceDateFrom=2025-11-24&amp;ServiceDateTo=2025-11-24&amp;DumpsterInvNr=13-L-209958", "13-L-209958")</f>
        <v>13-L-209958</v>
      </c>
      <c r="C12305">
        <v>0.12</v>
      </c>
      <c r="D12305" t="s">
        <v>16217</v>
      </c>
      <c r="E12305" t="s">
        <v>11</v>
      </c>
      <c r="F12305" t="s">
        <v>1209</v>
      </c>
      <c r="G12305" t="s">
        <v>936</v>
      </c>
      <c r="H12305" t="s">
        <v>938</v>
      </c>
    </row>
    <row r="12306" spans="1:8" hidden="1" x14ac:dyDescent="0.25">
      <c r="A12306" t="s">
        <v>16151</v>
      </c>
      <c r="B12306" s="1" t="str">
        <f>HYPERLINK("https://asmlis.vasa.lt/Dashboard/Served?ServiceDateFrom=2025-11-24&amp;ServiceDateTo=2025-11-24&amp;DumpsterInvNr=13-L-109847", "13-L-109847")</f>
        <v>13-L-109847</v>
      </c>
      <c r="C12306">
        <v>0.24</v>
      </c>
      <c r="D12306" t="s">
        <v>16219</v>
      </c>
      <c r="E12306" t="s">
        <v>11</v>
      </c>
      <c r="G12306" t="s">
        <v>430</v>
      </c>
      <c r="H12306" t="s">
        <v>432</v>
      </c>
    </row>
    <row r="12307" spans="1:8" hidden="1" x14ac:dyDescent="0.25">
      <c r="A12307" t="s">
        <v>16221</v>
      </c>
      <c r="B12307" s="1" t="str">
        <f>HYPERLINK("https://asmlis.vasa.lt/Dashboard/Served?ServiceDateFrom=2025-11-24&amp;ServiceDateTo=2025-11-24&amp;DumpsterInvNr=13-P-305419", "13-P-305419")</f>
        <v>13-P-305419</v>
      </c>
      <c r="C12307">
        <v>5</v>
      </c>
      <c r="D12307" t="s">
        <v>323</v>
      </c>
      <c r="E12307" t="s">
        <v>11</v>
      </c>
      <c r="F12307" t="s">
        <v>13</v>
      </c>
      <c r="G12307" t="s">
        <v>412</v>
      </c>
      <c r="H12307" t="s">
        <v>14</v>
      </c>
    </row>
    <row r="12308" spans="1:8" hidden="1" x14ac:dyDescent="0.25">
      <c r="A12308" t="s">
        <v>16221</v>
      </c>
      <c r="B12308" s="1" t="str">
        <f>HYPERLINK("https://asmlis.vasa.lt/Dashboard/Served?ServiceDateFrom=2025-11-24&amp;ServiceDateTo=2025-11-24&amp;DumpsterInvNr=13-P-502670", "13-P-502670")</f>
        <v>13-P-502670</v>
      </c>
      <c r="C12308">
        <v>0.12</v>
      </c>
      <c r="D12308" t="s">
        <v>16219</v>
      </c>
      <c r="E12308" t="s">
        <v>11</v>
      </c>
      <c r="G12308" t="s">
        <v>2178</v>
      </c>
      <c r="H12308" t="s">
        <v>432</v>
      </c>
    </row>
    <row r="12309" spans="1:8" hidden="1" x14ac:dyDescent="0.25">
      <c r="A12309" t="s">
        <v>16222</v>
      </c>
      <c r="B12309" s="1" t="str">
        <f>HYPERLINK("https://asmlis.vasa.lt/Dashboard/Served?ServiceDateFrom=2025-11-24&amp;ServiceDateTo=2025-11-24&amp;DumpsterInvNr=13-L-309797", "13-L-309797")</f>
        <v>13-L-309797</v>
      </c>
      <c r="C12309">
        <v>1.1000000000000001</v>
      </c>
      <c r="D12309" t="s">
        <v>16223</v>
      </c>
      <c r="E12309" t="s">
        <v>11</v>
      </c>
      <c r="G12309" t="s">
        <v>9</v>
      </c>
      <c r="H12309" t="s">
        <v>14</v>
      </c>
    </row>
    <row r="12310" spans="1:8" hidden="1" x14ac:dyDescent="0.25">
      <c r="A12310" t="s">
        <v>16224</v>
      </c>
      <c r="B12310" s="1" t="str">
        <f>HYPERLINK("https://asmlis.vasa.lt/Dashboard/Served?ServiceDateFrom=2025-11-24&amp;ServiceDateTo=2025-11-24&amp;DumpsterInvNr=13-P-204190", "13-P-204190")</f>
        <v>13-P-204190</v>
      </c>
      <c r="C12310">
        <v>0.24</v>
      </c>
      <c r="D12310" t="s">
        <v>14465</v>
      </c>
      <c r="E12310" t="s">
        <v>11</v>
      </c>
      <c r="G12310" t="s">
        <v>234</v>
      </c>
      <c r="H12310" t="s">
        <v>14</v>
      </c>
    </row>
    <row r="12311" spans="1:8" hidden="1" x14ac:dyDescent="0.25">
      <c r="A12311" t="s">
        <v>16225</v>
      </c>
      <c r="B12311" s="1" t="str">
        <f>HYPERLINK("https://asmlis.vasa.lt/Dashboard/Served?ServiceDateFrom=2025-11-24&amp;ServiceDateTo=2025-11-24&amp;DumpsterInvNr=13-L-221157", "13-L-221157")</f>
        <v>13-L-221157</v>
      </c>
      <c r="C12311">
        <v>0.12</v>
      </c>
      <c r="D12311" t="s">
        <v>16226</v>
      </c>
      <c r="E12311" t="s">
        <v>11</v>
      </c>
      <c r="F12311" t="s">
        <v>1209</v>
      </c>
      <c r="G12311" t="s">
        <v>936</v>
      </c>
      <c r="H12311" t="s">
        <v>938</v>
      </c>
    </row>
    <row r="12312" spans="1:8" hidden="1" x14ac:dyDescent="0.25">
      <c r="A12312" t="s">
        <v>16227</v>
      </c>
      <c r="B12312" s="1" t="str">
        <f>HYPERLINK("https://asmlis.vasa.lt/Dashboard/Served?ServiceDateFrom=2025-11-24&amp;ServiceDateTo=2025-11-24&amp;DumpsterInvNr=13-L-310364", "13-L-310364")</f>
        <v>13-L-310364</v>
      </c>
      <c r="C12312">
        <v>5</v>
      </c>
      <c r="D12312" t="s">
        <v>14636</v>
      </c>
      <c r="E12312" t="s">
        <v>11</v>
      </c>
      <c r="G12312" t="s">
        <v>9</v>
      </c>
      <c r="H12312" t="s">
        <v>14</v>
      </c>
    </row>
    <row r="12313" spans="1:8" hidden="1" x14ac:dyDescent="0.25">
      <c r="A12313" t="s">
        <v>16228</v>
      </c>
      <c r="B12313" s="1" t="str">
        <f>HYPERLINK("https://asmlis.vasa.lt/Dashboard/Served?ServiceDateFrom=2025-11-24&amp;ServiceDateTo=2025-11-24&amp;DumpsterInvNr=13-L-120387", "13-L-120387")</f>
        <v>13-L-120387</v>
      </c>
      <c r="C12313">
        <v>0.12</v>
      </c>
      <c r="D12313" t="s">
        <v>16229</v>
      </c>
      <c r="E12313" t="s">
        <v>11</v>
      </c>
      <c r="G12313" t="s">
        <v>1912</v>
      </c>
      <c r="H12313" t="s">
        <v>432</v>
      </c>
    </row>
    <row r="12314" spans="1:8" hidden="1" x14ac:dyDescent="0.25">
      <c r="A12314" t="s">
        <v>16118</v>
      </c>
      <c r="B12314" s="1" t="str">
        <f>HYPERLINK("https://asmlis.vasa.lt/Dashboard/Served?ServiceDateFrom=2025-11-24&amp;ServiceDateTo=2025-11-24&amp;DumpsterInvNr=13-L-139780", "13-L-139780")</f>
        <v>13-L-139780</v>
      </c>
      <c r="C12314">
        <v>5</v>
      </c>
      <c r="D12314" t="s">
        <v>16230</v>
      </c>
      <c r="E12314" t="s">
        <v>11</v>
      </c>
      <c r="F12314" t="s">
        <v>13</v>
      </c>
      <c r="G12314" t="s">
        <v>430</v>
      </c>
      <c r="H12314" t="s">
        <v>432</v>
      </c>
    </row>
    <row r="12315" spans="1:8" hidden="1" x14ac:dyDescent="0.25">
      <c r="A12315" t="s">
        <v>16231</v>
      </c>
      <c r="B12315" s="1" t="str">
        <f>HYPERLINK("https://asmlis.vasa.lt/Dashboard/Served?ServiceDateFrom=2025-11-24&amp;ServiceDateTo=2025-11-24&amp;DumpsterInvNr=13-P-212742", "13-P-212742")</f>
        <v>13-P-212742</v>
      </c>
      <c r="C12315">
        <v>1.1000000000000001</v>
      </c>
      <c r="D12315" t="s">
        <v>16232</v>
      </c>
      <c r="E12315" t="s">
        <v>11</v>
      </c>
      <c r="G12315" t="s">
        <v>234</v>
      </c>
      <c r="H12315" t="s">
        <v>14</v>
      </c>
    </row>
    <row r="12316" spans="1:8" hidden="1" x14ac:dyDescent="0.25">
      <c r="A12316" t="s">
        <v>16231</v>
      </c>
      <c r="B12316" s="1" t="str">
        <f>HYPERLINK("https://asmlis.vasa.lt/Dashboard/Served?ServiceDateFrom=2025-11-24&amp;ServiceDateTo=2025-11-24&amp;DumpsterInvNr=13-P-116040", "13-P-116040")</f>
        <v>13-P-116040</v>
      </c>
      <c r="C12316">
        <v>1.1000000000000001</v>
      </c>
      <c r="D12316" t="s">
        <v>16233</v>
      </c>
      <c r="E12316" t="s">
        <v>11</v>
      </c>
      <c r="G12316" t="s">
        <v>1917</v>
      </c>
      <c r="H12316" t="s">
        <v>432</v>
      </c>
    </row>
    <row r="12317" spans="1:8" hidden="1" x14ac:dyDescent="0.25">
      <c r="A12317" t="s">
        <v>16095</v>
      </c>
      <c r="B12317" s="1" t="str">
        <f>HYPERLINK("https://asmlis.vasa.lt/Dashboard/Served?ServiceDateFrom=2025-11-24&amp;ServiceDateTo=2025-11-24&amp;DumpsterInvNr=13-L-301702", "13-L-301702")</f>
        <v>13-L-301702</v>
      </c>
      <c r="C12317">
        <v>1.1000000000000001</v>
      </c>
      <c r="D12317" t="s">
        <v>16223</v>
      </c>
      <c r="E12317" t="s">
        <v>11</v>
      </c>
      <c r="F12317" t="s">
        <v>13</v>
      </c>
      <c r="G12317" t="s">
        <v>9</v>
      </c>
      <c r="H12317" t="s">
        <v>14</v>
      </c>
    </row>
    <row r="12318" spans="1:8" hidden="1" x14ac:dyDescent="0.25">
      <c r="A12318" t="s">
        <v>16043</v>
      </c>
      <c r="B12318" s="1" t="str">
        <f>HYPERLINK("https://asmlis.vasa.lt/Dashboard/Served?ServiceDateFrom=2025-11-24&amp;ServiceDateTo=2025-11-24&amp;DumpsterInvNr=13-L-138176", "13-L-138176")</f>
        <v>13-L-138176</v>
      </c>
      <c r="C12318">
        <v>0.24</v>
      </c>
      <c r="D12318" t="s">
        <v>16234</v>
      </c>
      <c r="E12318" t="s">
        <v>11</v>
      </c>
      <c r="G12318" t="s">
        <v>1912</v>
      </c>
      <c r="H12318" t="s">
        <v>432</v>
      </c>
    </row>
    <row r="12319" spans="1:8" hidden="1" x14ac:dyDescent="0.25">
      <c r="A12319" t="s">
        <v>16045</v>
      </c>
      <c r="B12319" s="1" t="str">
        <f>HYPERLINK("https://asmlis.vasa.lt/Dashboard/Served?ServiceDateFrom=2025-11-24&amp;ServiceDateTo=2025-11-24&amp;DumpsterInvNr=13-L-215499", "13-L-215499")</f>
        <v>13-L-215499</v>
      </c>
      <c r="C12319">
        <v>0.24</v>
      </c>
      <c r="D12319" t="s">
        <v>16235</v>
      </c>
      <c r="E12319" t="s">
        <v>11</v>
      </c>
      <c r="G12319" t="s">
        <v>936</v>
      </c>
      <c r="H12319" t="s">
        <v>938</v>
      </c>
    </row>
    <row r="12320" spans="1:8" hidden="1" x14ac:dyDescent="0.25">
      <c r="A12320" t="s">
        <v>16052</v>
      </c>
      <c r="B12320" s="1" t="str">
        <f>HYPERLINK("https://asmlis.vasa.lt/Dashboard/Served?ServiceDateFrom=2025-11-24&amp;ServiceDateTo=2025-11-24&amp;DumpsterInvNr=13-P-112186", "13-P-112186")</f>
        <v>13-P-112186</v>
      </c>
      <c r="C12320">
        <v>0.24</v>
      </c>
      <c r="D12320" t="s">
        <v>16234</v>
      </c>
      <c r="E12320" t="s">
        <v>11</v>
      </c>
      <c r="G12320" t="s">
        <v>1917</v>
      </c>
      <c r="H12320" t="s">
        <v>432</v>
      </c>
    </row>
    <row r="12321" spans="1:8" hidden="1" x14ac:dyDescent="0.25">
      <c r="A12321" t="s">
        <v>16073</v>
      </c>
      <c r="B12321" s="1" t="str">
        <f>HYPERLINK("https://asmlis.vasa.lt/Dashboard/Served?ServiceDateFrom=2025-11-24&amp;ServiceDateTo=2025-11-24&amp;DumpsterInvNr=13-L-222549", "13-L-222549")</f>
        <v>13-L-222549</v>
      </c>
      <c r="C12321">
        <v>1.1000000000000001</v>
      </c>
      <c r="D12321" t="s">
        <v>16236</v>
      </c>
      <c r="E12321" t="s">
        <v>11</v>
      </c>
      <c r="F12321" t="s">
        <v>13</v>
      </c>
      <c r="G12321" t="s">
        <v>936</v>
      </c>
      <c r="H12321" t="s">
        <v>938</v>
      </c>
    </row>
    <row r="12322" spans="1:8" hidden="1" x14ac:dyDescent="0.25">
      <c r="A12322" t="s">
        <v>16105</v>
      </c>
      <c r="B12322" s="1" t="str">
        <f>HYPERLINK("https://asmlis.vasa.lt/Dashboard/Served?ServiceDateFrom=2025-11-24&amp;ServiceDateTo=2025-11-24&amp;DumpsterInvNr=13-L-210155", "13-L-210155")</f>
        <v>13-L-210155</v>
      </c>
      <c r="C12322">
        <v>0.12</v>
      </c>
      <c r="D12322" t="s">
        <v>16237</v>
      </c>
      <c r="E12322" t="s">
        <v>11</v>
      </c>
      <c r="F12322" t="s">
        <v>1209</v>
      </c>
      <c r="G12322" t="s">
        <v>936</v>
      </c>
      <c r="H12322" t="s">
        <v>938</v>
      </c>
    </row>
    <row r="12323" spans="1:8" hidden="1" x14ac:dyDescent="0.25">
      <c r="A12323" t="s">
        <v>16128</v>
      </c>
      <c r="B12323" s="1" t="str">
        <f>HYPERLINK("https://asmlis.vasa.lt/Dashboard/Served?ServiceDateFrom=2025-11-24&amp;ServiceDateTo=2025-11-24&amp;DumpsterInvNr=13-P-500266", "13-P-500266")</f>
        <v>13-P-500266</v>
      </c>
      <c r="C12323">
        <v>3</v>
      </c>
      <c r="D12323" t="s">
        <v>16239</v>
      </c>
      <c r="E12323" t="s">
        <v>11</v>
      </c>
      <c r="F12323" t="s">
        <v>13</v>
      </c>
      <c r="G12323" t="s">
        <v>2178</v>
      </c>
      <c r="H12323" t="s">
        <v>432</v>
      </c>
    </row>
    <row r="12324" spans="1:8" hidden="1" x14ac:dyDescent="0.25">
      <c r="A12324" t="s">
        <v>16138</v>
      </c>
      <c r="B12324" s="1" t="str">
        <f>HYPERLINK("https://asmlis.vasa.lt/Dashboard/Served?ServiceDateFrom=2025-11-24&amp;ServiceDateTo=2025-11-24&amp;DumpsterInvNr=13-L-201469", "13-L-201469")</f>
        <v>13-L-201469</v>
      </c>
      <c r="C12324">
        <v>0.12</v>
      </c>
      <c r="D12324" t="s">
        <v>16240</v>
      </c>
      <c r="E12324" t="s">
        <v>11</v>
      </c>
      <c r="F12324" t="s">
        <v>1209</v>
      </c>
      <c r="G12324" t="s">
        <v>936</v>
      </c>
      <c r="H12324" t="s">
        <v>938</v>
      </c>
    </row>
    <row r="12325" spans="1:8" hidden="1" x14ac:dyDescent="0.25">
      <c r="A12325" t="s">
        <v>16241</v>
      </c>
      <c r="B12325" s="1" t="str">
        <f>HYPERLINK("https://asmlis.vasa.lt/Dashboard/Served?ServiceDateFrom=2025-11-24&amp;ServiceDateTo=2025-11-24&amp;DumpsterInvNr=13-S-232011", "13-S-232011")</f>
        <v>13-S-232011</v>
      </c>
      <c r="C12325">
        <v>0.12</v>
      </c>
      <c r="D12325" t="s">
        <v>14466</v>
      </c>
      <c r="E12325" t="s">
        <v>11</v>
      </c>
      <c r="G12325" t="s">
        <v>234</v>
      </c>
      <c r="H12325" t="s">
        <v>14</v>
      </c>
    </row>
    <row r="12326" spans="1:8" hidden="1" x14ac:dyDescent="0.25">
      <c r="A12326" t="s">
        <v>16242</v>
      </c>
      <c r="B12326" s="1" t="str">
        <f>HYPERLINK("https://asmlis.vasa.lt/Dashboard/Served?ServiceDateFrom=2025-11-24&amp;ServiceDateTo=2025-11-24&amp;DumpsterInvNr=13-L-217859", "13-L-217859")</f>
        <v>13-L-217859</v>
      </c>
      <c r="C12326">
        <v>0.24</v>
      </c>
      <c r="D12326" t="s">
        <v>16243</v>
      </c>
      <c r="E12326" t="s">
        <v>11</v>
      </c>
      <c r="F12326" t="s">
        <v>1209</v>
      </c>
      <c r="G12326" t="s">
        <v>936</v>
      </c>
      <c r="H12326" t="s">
        <v>938</v>
      </c>
    </row>
    <row r="12327" spans="1:8" hidden="1" x14ac:dyDescent="0.25">
      <c r="A12327" t="s">
        <v>16244</v>
      </c>
      <c r="B12327" s="1" t="str">
        <f>HYPERLINK("https://asmlis.vasa.lt/Dashboard/Served?ServiceDateFrom=2025-11-24&amp;ServiceDateTo=2025-11-24&amp;DumpsterInvNr=13-L-206178", "13-L-206178")</f>
        <v>13-L-206178</v>
      </c>
      <c r="C12327">
        <v>0.12</v>
      </c>
      <c r="D12327" t="s">
        <v>16245</v>
      </c>
      <c r="E12327" t="s">
        <v>11</v>
      </c>
      <c r="F12327" t="s">
        <v>1209</v>
      </c>
      <c r="G12327" t="s">
        <v>936</v>
      </c>
      <c r="H12327" t="s">
        <v>938</v>
      </c>
    </row>
    <row r="12328" spans="1:8" hidden="1" x14ac:dyDescent="0.25">
      <c r="A12328" t="s">
        <v>16246</v>
      </c>
      <c r="B12328" s="1" t="str">
        <f>HYPERLINK("https://asmlis.vasa.lt/Dashboard/Served?ServiceDateFrom=2025-11-24&amp;ServiceDateTo=2025-11-24&amp;DumpsterInvNr=13-L-136221", "13-L-136221")</f>
        <v>13-L-136221</v>
      </c>
      <c r="C12328">
        <v>5</v>
      </c>
      <c r="D12328" t="s">
        <v>4022</v>
      </c>
      <c r="E12328" t="s">
        <v>11</v>
      </c>
      <c r="F12328" t="s">
        <v>13</v>
      </c>
      <c r="G12328" t="s">
        <v>1912</v>
      </c>
      <c r="H12328" t="s">
        <v>432</v>
      </c>
    </row>
    <row r="12329" spans="1:8" hidden="1" x14ac:dyDescent="0.25">
      <c r="A12329" t="s">
        <v>16247</v>
      </c>
      <c r="B12329" s="1" t="str">
        <f>HYPERLINK("https://asmlis.vasa.lt/Dashboard/Served?ServiceDateFrom=2025-11-24&amp;ServiceDateTo=2025-11-24&amp;DumpsterInvNr=13-L-415208", "13-L-415208")</f>
        <v>13-L-415208</v>
      </c>
      <c r="C12329">
        <v>5</v>
      </c>
      <c r="D12329" t="s">
        <v>10487</v>
      </c>
      <c r="E12329" t="s">
        <v>11</v>
      </c>
      <c r="F12329" t="s">
        <v>13</v>
      </c>
      <c r="G12329" t="s">
        <v>74</v>
      </c>
      <c r="H12329" t="s">
        <v>14</v>
      </c>
    </row>
    <row r="12330" spans="1:8" hidden="1" x14ac:dyDescent="0.25">
      <c r="A12330" t="s">
        <v>16248</v>
      </c>
      <c r="B12330" s="1" t="str">
        <f>HYPERLINK("https://asmlis.vasa.lt/Dashboard/Served?ServiceDateFrom=2025-11-24&amp;ServiceDateTo=2025-11-24&amp;DumpsterInvNr=13-L-203472", "13-L-203472")</f>
        <v>13-L-203472</v>
      </c>
      <c r="C12330">
        <v>0.24</v>
      </c>
      <c r="D12330" t="s">
        <v>12925</v>
      </c>
      <c r="E12330" t="s">
        <v>11</v>
      </c>
      <c r="F12330" t="s">
        <v>1209</v>
      </c>
      <c r="G12330" t="s">
        <v>936</v>
      </c>
      <c r="H12330" t="s">
        <v>938</v>
      </c>
    </row>
    <row r="12331" spans="1:8" hidden="1" x14ac:dyDescent="0.25">
      <c r="A12331" t="s">
        <v>16249</v>
      </c>
      <c r="B12331" s="1" t="str">
        <f>HYPERLINK("https://asmlis.vasa.lt/Dashboard/Served?ServiceDateFrom=2025-11-24&amp;ServiceDateTo=2025-11-24&amp;DumpsterInvNr=13-L-222098", "13-L-222098")</f>
        <v>13-L-222098</v>
      </c>
      <c r="C12331">
        <v>0.24</v>
      </c>
      <c r="D12331" t="s">
        <v>16250</v>
      </c>
      <c r="E12331" t="s">
        <v>11</v>
      </c>
      <c r="G12331" t="s">
        <v>936</v>
      </c>
      <c r="H12331" t="s">
        <v>938</v>
      </c>
    </row>
    <row r="12332" spans="1:8" hidden="1" x14ac:dyDescent="0.25">
      <c r="A12332" t="s">
        <v>16249</v>
      </c>
      <c r="B12332" s="1" t="str">
        <f>HYPERLINK("https://asmlis.vasa.lt/Dashboard/Served?ServiceDateFrom=2025-11-24&amp;ServiceDateTo=2025-11-24&amp;DumpsterInvNr=13-L-141956", "13-L-141956")</f>
        <v>13-L-141956</v>
      </c>
      <c r="C12332">
        <v>0.24</v>
      </c>
      <c r="D12332" t="s">
        <v>16251</v>
      </c>
      <c r="E12332" t="s">
        <v>11</v>
      </c>
      <c r="G12332" t="s">
        <v>430</v>
      </c>
      <c r="H12332" t="s">
        <v>432</v>
      </c>
    </row>
    <row r="12333" spans="1:8" hidden="1" x14ac:dyDescent="0.25">
      <c r="A12333" t="s">
        <v>16252</v>
      </c>
      <c r="B12333" s="1" t="str">
        <f>HYPERLINK("https://asmlis.vasa.lt/Dashboard/Served?ServiceDateFrom=2025-11-24&amp;ServiceDateTo=2025-11-24&amp;DumpsterInvNr=13-P-506751", "13-P-506751")</f>
        <v>13-P-506751</v>
      </c>
      <c r="C12333">
        <v>0.24</v>
      </c>
      <c r="D12333" t="s">
        <v>16253</v>
      </c>
      <c r="E12333" t="s">
        <v>11</v>
      </c>
      <c r="G12333" t="s">
        <v>2178</v>
      </c>
      <c r="H12333" t="s">
        <v>432</v>
      </c>
    </row>
    <row r="12334" spans="1:8" hidden="1" x14ac:dyDescent="0.25">
      <c r="A12334" t="s">
        <v>16254</v>
      </c>
      <c r="B12334" s="1" t="str">
        <f>HYPERLINK("https://asmlis.vasa.lt/Dashboard/Served?ServiceDateFrom=2025-11-24&amp;ServiceDateTo=2025-11-24&amp;DumpsterInvNr=13-P-204294", "13-P-204294")</f>
        <v>13-P-204294</v>
      </c>
      <c r="C12334">
        <v>0.24</v>
      </c>
      <c r="D12334" t="s">
        <v>14466</v>
      </c>
      <c r="E12334" t="s">
        <v>11</v>
      </c>
      <c r="F12334" t="s">
        <v>1209</v>
      </c>
      <c r="G12334" t="s">
        <v>234</v>
      </c>
      <c r="H12334" t="s">
        <v>14</v>
      </c>
    </row>
    <row r="12335" spans="1:8" hidden="1" x14ac:dyDescent="0.25">
      <c r="A12335" t="s">
        <v>16255</v>
      </c>
      <c r="B12335" s="1" t="str">
        <f>HYPERLINK("https://asmlis.vasa.lt/Dashboard/Served?ServiceDateFrom=2025-11-24&amp;ServiceDateTo=2025-11-24&amp;DumpsterInvNr=13-L-141917", "13-L-141917")</f>
        <v>13-L-141917</v>
      </c>
      <c r="C12335">
        <v>0.24</v>
      </c>
      <c r="D12335" t="s">
        <v>16253</v>
      </c>
      <c r="E12335" t="s">
        <v>11</v>
      </c>
      <c r="G12335" t="s">
        <v>430</v>
      </c>
      <c r="H12335" t="s">
        <v>432</v>
      </c>
    </row>
    <row r="12336" spans="1:8" hidden="1" x14ac:dyDescent="0.25">
      <c r="A12336" t="s">
        <v>16256</v>
      </c>
      <c r="B12336" s="1" t="str">
        <f>HYPERLINK("https://asmlis.vasa.lt/Dashboard/Served?ServiceDateFrom=2025-11-24&amp;ServiceDateTo=2025-11-24&amp;DumpsterInvNr=13-P-102487", "13-P-102487")</f>
        <v>13-P-102487</v>
      </c>
      <c r="C12336">
        <v>5</v>
      </c>
      <c r="D12336" t="s">
        <v>6012</v>
      </c>
      <c r="E12336" t="s">
        <v>11</v>
      </c>
      <c r="F12336" t="s">
        <v>13</v>
      </c>
      <c r="G12336" t="s">
        <v>1917</v>
      </c>
      <c r="H12336" t="s">
        <v>432</v>
      </c>
    </row>
    <row r="12337" spans="1:8" hidden="1" x14ac:dyDescent="0.25">
      <c r="A12337" t="s">
        <v>16258</v>
      </c>
      <c r="B12337" s="1" t="str">
        <f>HYPERLINK("https://asmlis.vasa.lt/Dashboard/Served?ServiceDateFrom=2025-11-24&amp;ServiceDateTo=2025-11-24&amp;DumpsterInvNr=13-P-506704", "13-P-506704")</f>
        <v>13-P-506704</v>
      </c>
      <c r="C12337">
        <v>0.24</v>
      </c>
      <c r="D12337" t="s">
        <v>16251</v>
      </c>
      <c r="E12337" t="s">
        <v>11</v>
      </c>
      <c r="F12337" t="s">
        <v>1209</v>
      </c>
      <c r="G12337" t="s">
        <v>2178</v>
      </c>
      <c r="H12337" t="s">
        <v>432</v>
      </c>
    </row>
    <row r="12338" spans="1:8" hidden="1" x14ac:dyDescent="0.25">
      <c r="A12338" t="s">
        <v>16259</v>
      </c>
      <c r="B12338" s="1" t="str">
        <f>HYPERLINK("https://asmlis.vasa.lt/Dashboard/Served?ServiceDateFrom=2025-11-24&amp;ServiceDateTo=2025-11-24&amp;DumpsterInvNr=13-L-146673", "13-L-146673")</f>
        <v>13-L-146673</v>
      </c>
      <c r="C12338">
        <v>0.24</v>
      </c>
      <c r="D12338" t="s">
        <v>16260</v>
      </c>
      <c r="E12338" t="s">
        <v>11</v>
      </c>
      <c r="F12338" t="s">
        <v>1209</v>
      </c>
      <c r="G12338" t="s">
        <v>430</v>
      </c>
      <c r="H12338" t="s">
        <v>432</v>
      </c>
    </row>
    <row r="12339" spans="1:8" hidden="1" x14ac:dyDescent="0.25">
      <c r="A12339" t="s">
        <v>16259</v>
      </c>
      <c r="B12339" s="1" t="str">
        <f>HYPERLINK("https://asmlis.vasa.lt/Dashboard/Served?ServiceDateFrom=2025-11-24&amp;ServiceDateTo=2025-11-24&amp;DumpsterInvNr=13-L-140462", "13-L-140462")</f>
        <v>13-L-140462</v>
      </c>
      <c r="C12339">
        <v>0.24</v>
      </c>
      <c r="D12339" t="s">
        <v>16262</v>
      </c>
      <c r="E12339" t="s">
        <v>11</v>
      </c>
      <c r="G12339" t="s">
        <v>1912</v>
      </c>
      <c r="H12339" t="s">
        <v>432</v>
      </c>
    </row>
    <row r="12340" spans="1:8" hidden="1" x14ac:dyDescent="0.25">
      <c r="A12340" t="s">
        <v>16263</v>
      </c>
      <c r="B12340" s="1" t="str">
        <f>HYPERLINK("https://asmlis.vasa.lt/Dashboard/Served?ServiceDateFrom=2025-11-24&amp;ServiceDateTo=2025-11-24&amp;DumpsterInvNr=13-P-502671", "13-P-502671")</f>
        <v>13-P-502671</v>
      </c>
      <c r="C12340">
        <v>0.24</v>
      </c>
      <c r="D12340" t="s">
        <v>16264</v>
      </c>
      <c r="E12340" t="s">
        <v>11</v>
      </c>
      <c r="F12340" t="s">
        <v>1209</v>
      </c>
      <c r="G12340" t="s">
        <v>2178</v>
      </c>
      <c r="H12340" t="s">
        <v>432</v>
      </c>
    </row>
    <row r="12341" spans="1:8" hidden="1" x14ac:dyDescent="0.25">
      <c r="A12341" t="s">
        <v>16266</v>
      </c>
      <c r="B12341" s="1" t="str">
        <f>HYPERLINK("https://asmlis.vasa.lt/Dashboard/Served?ServiceDateFrom=2025-11-24&amp;ServiceDateTo=2025-11-24&amp;DumpsterInvNr=13-L-139008", "13-L-139008")</f>
        <v>13-L-139008</v>
      </c>
      <c r="C12341">
        <v>0.24</v>
      </c>
      <c r="D12341" t="s">
        <v>16264</v>
      </c>
      <c r="E12341" t="s">
        <v>11</v>
      </c>
      <c r="F12341" t="s">
        <v>1209</v>
      </c>
      <c r="G12341" t="s">
        <v>430</v>
      </c>
      <c r="H12341" t="s">
        <v>432</v>
      </c>
    </row>
    <row r="12342" spans="1:8" hidden="1" x14ac:dyDescent="0.25">
      <c r="A12342" t="s">
        <v>16267</v>
      </c>
      <c r="B12342" s="1" t="str">
        <f>HYPERLINK("https://asmlis.vasa.lt/Dashboard/Served?ServiceDateFrom=2025-11-24&amp;ServiceDateTo=2025-11-24&amp;DumpsterInvNr=13-P-112187", "13-P-112187")</f>
        <v>13-P-112187</v>
      </c>
      <c r="C12342">
        <v>0.24</v>
      </c>
      <c r="D12342" t="s">
        <v>16262</v>
      </c>
      <c r="E12342" t="s">
        <v>11</v>
      </c>
      <c r="G12342" t="s">
        <v>1917</v>
      </c>
      <c r="H12342" t="s">
        <v>432</v>
      </c>
    </row>
    <row r="12343" spans="1:8" hidden="1" x14ac:dyDescent="0.25">
      <c r="A12343" t="s">
        <v>16268</v>
      </c>
      <c r="B12343" s="1" t="str">
        <f>HYPERLINK("https://asmlis.vasa.lt/Dashboard/Served?ServiceDateFrom=2025-11-24&amp;ServiceDateTo=2025-11-24&amp;DumpsterInvNr=13-L-421830", "13-L-421830")</f>
        <v>13-L-421830</v>
      </c>
      <c r="C12343">
        <v>5</v>
      </c>
      <c r="D12343" t="s">
        <v>10508</v>
      </c>
      <c r="E12343" t="s">
        <v>11</v>
      </c>
      <c r="F12343" t="s">
        <v>13</v>
      </c>
      <c r="G12343" t="s">
        <v>74</v>
      </c>
      <c r="H12343" t="s">
        <v>14</v>
      </c>
    </row>
    <row r="12344" spans="1:8" hidden="1" x14ac:dyDescent="0.25">
      <c r="A12344" t="s">
        <v>16269</v>
      </c>
      <c r="B12344" s="1" t="str">
        <f>HYPERLINK("https://asmlis.vasa.lt/Dashboard/Served?ServiceDateFrom=2025-11-24&amp;ServiceDateTo=2025-11-24&amp;DumpsterInvNr=13-L-318129", "13-L-318129")</f>
        <v>13-L-318129</v>
      </c>
      <c r="C12344">
        <v>1.1000000000000001</v>
      </c>
      <c r="D12344" t="s">
        <v>16270</v>
      </c>
      <c r="E12344" t="s">
        <v>11</v>
      </c>
      <c r="G12344" t="s">
        <v>9</v>
      </c>
      <c r="H12344" t="s">
        <v>14</v>
      </c>
    </row>
    <row r="12345" spans="1:8" hidden="1" x14ac:dyDescent="0.25">
      <c r="A12345" t="s">
        <v>16271</v>
      </c>
      <c r="B12345" s="1" t="str">
        <f>HYPERLINK("https://asmlis.vasa.lt/Dashboard/Served?ServiceDateFrom=2025-11-24&amp;ServiceDateTo=2025-11-24&amp;DumpsterInvNr=13-P-305418", "13-P-305418")</f>
        <v>13-P-305418</v>
      </c>
      <c r="C12345">
        <v>5</v>
      </c>
      <c r="D12345" t="s">
        <v>336</v>
      </c>
      <c r="E12345" t="s">
        <v>11</v>
      </c>
      <c r="F12345" t="s">
        <v>13</v>
      </c>
      <c r="G12345" t="s">
        <v>412</v>
      </c>
      <c r="H12345" t="s">
        <v>14</v>
      </c>
    </row>
    <row r="12346" spans="1:8" hidden="1" x14ac:dyDescent="0.25">
      <c r="A12346" t="s">
        <v>16272</v>
      </c>
      <c r="B12346" s="1" t="str">
        <f>HYPERLINK("https://asmlis.vasa.lt/Dashboard/Served?ServiceDateFrom=2025-11-24&amp;ServiceDateTo=2025-11-24&amp;DumpsterInvNr=13-L-318130", "13-L-318130")</f>
        <v>13-L-318130</v>
      </c>
      <c r="C12346">
        <v>1.1000000000000001</v>
      </c>
      <c r="D12346" t="s">
        <v>16270</v>
      </c>
      <c r="E12346" t="s">
        <v>11</v>
      </c>
      <c r="G12346" t="s">
        <v>9</v>
      </c>
      <c r="H12346" t="s">
        <v>14</v>
      </c>
    </row>
    <row r="12347" spans="1:8" hidden="1" x14ac:dyDescent="0.25">
      <c r="A12347" t="s">
        <v>16273</v>
      </c>
      <c r="B12347" s="1" t="str">
        <f>HYPERLINK("https://asmlis.vasa.lt/Dashboard/Served?ServiceDateFrom=2025-11-24&amp;ServiceDateTo=2025-11-24&amp;DumpsterInvNr=13-L-421187", "13-L-421187")</f>
        <v>13-L-421187</v>
      </c>
      <c r="C12347">
        <v>5</v>
      </c>
      <c r="D12347" t="s">
        <v>10608</v>
      </c>
      <c r="E12347" t="s">
        <v>11</v>
      </c>
      <c r="F12347" t="s">
        <v>13</v>
      </c>
      <c r="G12347" t="s">
        <v>74</v>
      </c>
      <c r="H12347" t="s">
        <v>14</v>
      </c>
    </row>
    <row r="12348" spans="1:8" hidden="1" x14ac:dyDescent="0.25">
      <c r="A12348" t="s">
        <v>16274</v>
      </c>
      <c r="B12348" s="1" t="str">
        <f>HYPERLINK("https://asmlis.vasa.lt/Dashboard/Served?ServiceDateFrom=2025-11-24&amp;ServiceDateTo=2025-11-24&amp;DumpsterInvNr=13-P-413822", "13-P-413822")</f>
        <v>13-P-413822</v>
      </c>
      <c r="C12348">
        <v>5</v>
      </c>
      <c r="D12348" t="s">
        <v>16029</v>
      </c>
      <c r="E12348" t="s">
        <v>11</v>
      </c>
      <c r="F12348" t="s">
        <v>13</v>
      </c>
      <c r="G12348" t="s">
        <v>264</v>
      </c>
      <c r="H12348" t="s">
        <v>14</v>
      </c>
    </row>
    <row r="12349" spans="1:8" hidden="1" x14ac:dyDescent="0.25">
      <c r="A12349" t="s">
        <v>16275</v>
      </c>
      <c r="B12349" s="1" t="str">
        <f>HYPERLINK("https://asmlis.vasa.lt/Dashboard/Served?ServiceDateFrom=2025-11-24&amp;ServiceDateTo=2025-11-24&amp;DumpsterInvNr=13-P-413806", "13-P-413806")</f>
        <v>13-P-413806</v>
      </c>
      <c r="C12349">
        <v>5</v>
      </c>
      <c r="D12349" t="s">
        <v>16029</v>
      </c>
      <c r="E12349" t="s">
        <v>11</v>
      </c>
      <c r="F12349" t="s">
        <v>13</v>
      </c>
      <c r="G12349" t="s">
        <v>264</v>
      </c>
      <c r="H12349" t="s">
        <v>14</v>
      </c>
    </row>
    <row r="12350" spans="1:8" hidden="1" x14ac:dyDescent="0.25">
      <c r="A12350" t="s">
        <v>16276</v>
      </c>
      <c r="B12350" s="1" t="str">
        <f>HYPERLINK("https://asmlis.vasa.lt/Dashboard/Served?ServiceDateFrom=2025-11-24&amp;ServiceDateTo=2025-11-24&amp;DumpsterInvNr=13-P-100022", "13-P-100022")</f>
        <v>13-P-100022</v>
      </c>
      <c r="C12350">
        <v>0.24</v>
      </c>
      <c r="D12350" t="s">
        <v>16277</v>
      </c>
      <c r="E12350" t="s">
        <v>11</v>
      </c>
      <c r="G12350" t="s">
        <v>1917</v>
      </c>
      <c r="H12350" t="s">
        <v>432</v>
      </c>
    </row>
    <row r="12351" spans="1:8" hidden="1" x14ac:dyDescent="0.25">
      <c r="A12351" t="s">
        <v>16278</v>
      </c>
      <c r="B12351" s="1" t="str">
        <f>HYPERLINK("https://asmlis.vasa.lt/Dashboard/Served?ServiceDateFrom=2025-11-24&amp;ServiceDateTo=2025-11-24&amp;DumpsterInvNr=13-L-139463", "13-L-139463")</f>
        <v>13-L-139463</v>
      </c>
      <c r="C12351">
        <v>0.24</v>
      </c>
      <c r="D12351" t="s">
        <v>16277</v>
      </c>
      <c r="E12351" t="s">
        <v>11</v>
      </c>
      <c r="G12351" t="s">
        <v>1912</v>
      </c>
      <c r="H12351" t="s">
        <v>432</v>
      </c>
    </row>
    <row r="12352" spans="1:8" hidden="1" x14ac:dyDescent="0.25">
      <c r="A12352" t="s">
        <v>16278</v>
      </c>
      <c r="B12352" s="1" t="str">
        <f>HYPERLINK("https://asmlis.vasa.lt/Dashboard/Served?ServiceDateFrom=2025-11-24&amp;ServiceDateTo=2025-11-24&amp;DumpsterInvNr=13-L-137763", "13-L-137763")</f>
        <v>13-L-137763</v>
      </c>
      <c r="C12352">
        <v>5</v>
      </c>
      <c r="D12352" t="s">
        <v>16279</v>
      </c>
      <c r="E12352" t="s">
        <v>11</v>
      </c>
      <c r="F12352" t="s">
        <v>13</v>
      </c>
      <c r="G12352" t="s">
        <v>430</v>
      </c>
      <c r="H12352" t="s">
        <v>432</v>
      </c>
    </row>
    <row r="12353" spans="1:8" hidden="1" x14ac:dyDescent="0.25">
      <c r="A12353" t="s">
        <v>16123</v>
      </c>
      <c r="B12353" s="1" t="str">
        <f>HYPERLINK("https://asmlis.vasa.lt/Dashboard/Served?ServiceDateFrom=2025-11-24&amp;ServiceDateTo=2025-11-24&amp;DumpsterInvNr=13-L-410373", "13-L-410373")</f>
        <v>13-L-410373</v>
      </c>
      <c r="C12353">
        <v>5</v>
      </c>
      <c r="D12353" t="s">
        <v>10638</v>
      </c>
      <c r="E12353" t="s">
        <v>11</v>
      </c>
      <c r="F12353" t="s">
        <v>13</v>
      </c>
      <c r="G12353" t="s">
        <v>74</v>
      </c>
      <c r="H12353" t="s">
        <v>14</v>
      </c>
    </row>
    <row r="12354" spans="1:8" hidden="1" x14ac:dyDescent="0.25">
      <c r="A12354" t="s">
        <v>16136</v>
      </c>
      <c r="B12354" s="1" t="str">
        <f>HYPERLINK("https://asmlis.vasa.lt/Dashboard/Served?ServiceDateFrom=2025-11-24&amp;ServiceDateTo=2025-11-24&amp;DumpsterInvNr=13-P-502316", "13-P-502316")</f>
        <v>13-P-502316</v>
      </c>
      <c r="C12354">
        <v>1.1000000000000001</v>
      </c>
      <c r="D12354" t="s">
        <v>6645</v>
      </c>
      <c r="E12354" t="s">
        <v>11</v>
      </c>
      <c r="G12354" t="s">
        <v>2178</v>
      </c>
      <c r="H12354" t="s">
        <v>432</v>
      </c>
    </row>
    <row r="12355" spans="1:8" hidden="1" x14ac:dyDescent="0.25">
      <c r="A12355" t="s">
        <v>16281</v>
      </c>
      <c r="B12355" s="1" t="str">
        <f>HYPERLINK("https://asmlis.vasa.lt/Dashboard/Served?ServiceDateFrom=2025-11-24&amp;ServiceDateTo=2025-11-24&amp;DumpsterInvNr=13-L-421190", "13-L-421190")</f>
        <v>13-L-421190</v>
      </c>
      <c r="C12355">
        <v>5</v>
      </c>
      <c r="D12355" t="s">
        <v>10644</v>
      </c>
      <c r="E12355" t="s">
        <v>11</v>
      </c>
      <c r="F12355" t="s">
        <v>13</v>
      </c>
      <c r="G12355" t="s">
        <v>74</v>
      </c>
      <c r="H12355" t="s">
        <v>14</v>
      </c>
    </row>
    <row r="12356" spans="1:8" hidden="1" x14ac:dyDescent="0.25">
      <c r="A12356" t="s">
        <v>16282</v>
      </c>
      <c r="B12356" s="1" t="str">
        <f>HYPERLINK("https://asmlis.vasa.lt/Dashboard/Served?ServiceDateFrom=2025-11-24&amp;ServiceDateTo=2025-11-24&amp;DumpsterInvNr=13-P-209662", "13-P-209662")</f>
        <v>13-P-209662</v>
      </c>
      <c r="C12356">
        <v>0.24</v>
      </c>
      <c r="D12356" t="s">
        <v>16283</v>
      </c>
      <c r="E12356" t="s">
        <v>11</v>
      </c>
      <c r="F12356" t="s">
        <v>1209</v>
      </c>
      <c r="G12356" t="s">
        <v>234</v>
      </c>
      <c r="H12356" t="s">
        <v>14</v>
      </c>
    </row>
    <row r="12357" spans="1:8" hidden="1" x14ac:dyDescent="0.25">
      <c r="A12357" t="s">
        <v>16284</v>
      </c>
      <c r="B12357" s="1" t="str">
        <f>HYPERLINK("https://asmlis.vasa.lt/Dashboard/Served?ServiceDateFrom=2025-11-24&amp;ServiceDateTo=2025-11-24&amp;DumpsterInvNr=13-L-123401", "13-L-123401")</f>
        <v>13-L-123401</v>
      </c>
      <c r="C12357">
        <v>0.12</v>
      </c>
      <c r="D12357" t="s">
        <v>16285</v>
      </c>
      <c r="E12357" t="s">
        <v>11</v>
      </c>
      <c r="G12357" t="s">
        <v>430</v>
      </c>
      <c r="H12357" t="s">
        <v>432</v>
      </c>
    </row>
    <row r="12358" spans="1:8" hidden="1" x14ac:dyDescent="0.25">
      <c r="A12358" t="s">
        <v>16286</v>
      </c>
      <c r="B12358" s="1" t="str">
        <f>HYPERLINK("https://asmlis.vasa.lt/Dashboard/Served?ServiceDateFrom=2025-11-24&amp;ServiceDateTo=2025-11-24&amp;DumpsterInvNr=13-P-502315", "13-P-502315")</f>
        <v>13-P-502315</v>
      </c>
      <c r="C12358">
        <v>1.1000000000000001</v>
      </c>
      <c r="D12358" t="s">
        <v>6645</v>
      </c>
      <c r="E12358" t="s">
        <v>11</v>
      </c>
      <c r="G12358" t="s">
        <v>2178</v>
      </c>
      <c r="H12358" t="s">
        <v>432</v>
      </c>
    </row>
    <row r="12359" spans="1:8" hidden="1" x14ac:dyDescent="0.25">
      <c r="A12359" t="s">
        <v>16287</v>
      </c>
      <c r="B12359" s="1" t="str">
        <f>HYPERLINK("https://asmlis.vasa.lt/Dashboard/Served?ServiceDateFrom=2025-11-24&amp;ServiceDateTo=2025-11-24&amp;DumpsterInvNr=13-P-207556", "13-P-207556")</f>
        <v>13-P-207556</v>
      </c>
      <c r="C12359">
        <v>0.24</v>
      </c>
      <c r="D12359" t="s">
        <v>14312</v>
      </c>
      <c r="E12359" t="s">
        <v>11</v>
      </c>
      <c r="G12359" t="s">
        <v>234</v>
      </c>
      <c r="H12359" t="s">
        <v>14</v>
      </c>
    </row>
    <row r="12360" spans="1:8" hidden="1" x14ac:dyDescent="0.25">
      <c r="A12360" t="s">
        <v>16288</v>
      </c>
      <c r="B12360" s="1" t="str">
        <f>HYPERLINK("https://asmlis.vasa.lt/Dashboard/Served?ServiceDateFrom=2025-11-24&amp;ServiceDateTo=2025-11-24&amp;DumpsterInvNr=13-L-140296", "13-L-140296")</f>
        <v>13-L-140296</v>
      </c>
      <c r="C12360">
        <v>0.24</v>
      </c>
      <c r="D12360" t="s">
        <v>16289</v>
      </c>
      <c r="E12360" t="s">
        <v>11</v>
      </c>
      <c r="G12360" t="s">
        <v>1912</v>
      </c>
      <c r="H12360" t="s">
        <v>432</v>
      </c>
    </row>
    <row r="12361" spans="1:8" hidden="1" x14ac:dyDescent="0.25">
      <c r="A12361" t="s">
        <v>16290</v>
      </c>
      <c r="B12361" s="1" t="str">
        <f>HYPERLINK("https://asmlis.vasa.lt/Dashboard/Served?ServiceDateFrom=2025-11-24&amp;ServiceDateTo=2025-11-24&amp;DumpsterInvNr=13-P-204219", "13-P-204219")</f>
        <v>13-P-204219</v>
      </c>
      <c r="C12361">
        <v>0.24</v>
      </c>
      <c r="D12361" t="s">
        <v>14314</v>
      </c>
      <c r="E12361" t="s">
        <v>11</v>
      </c>
      <c r="F12361" t="s">
        <v>1209</v>
      </c>
      <c r="G12361" t="s">
        <v>234</v>
      </c>
      <c r="H12361" t="s">
        <v>14</v>
      </c>
    </row>
    <row r="12362" spans="1:8" hidden="1" x14ac:dyDescent="0.25">
      <c r="A12362" t="s">
        <v>16291</v>
      </c>
      <c r="B12362" s="1" t="str">
        <f>HYPERLINK("https://asmlis.vasa.lt/Dashboard/Served?ServiceDateFrom=2025-11-24&amp;ServiceDateTo=2025-11-24&amp;DumpsterInvNr=13-P-213452", "13-P-213452")</f>
        <v>13-P-213452</v>
      </c>
      <c r="C12362">
        <v>0.12</v>
      </c>
      <c r="D12362" t="s">
        <v>14323</v>
      </c>
      <c r="E12362" t="s">
        <v>11</v>
      </c>
      <c r="G12362" t="s">
        <v>234</v>
      </c>
      <c r="H12362" t="s">
        <v>14</v>
      </c>
    </row>
    <row r="12363" spans="1:8" hidden="1" x14ac:dyDescent="0.25">
      <c r="A12363" t="s">
        <v>16292</v>
      </c>
      <c r="B12363" s="1" t="str">
        <f>HYPERLINK("https://asmlis.vasa.lt/Dashboard/Served?ServiceDateFrom=2025-11-24&amp;ServiceDateTo=2025-11-24&amp;DumpsterInvNr=13-L-106516", "13-L-106516")</f>
        <v>13-L-106516</v>
      </c>
      <c r="C12363">
        <v>0.24</v>
      </c>
      <c r="D12363" t="s">
        <v>16293</v>
      </c>
      <c r="E12363" t="s">
        <v>11</v>
      </c>
      <c r="G12363" t="s">
        <v>1912</v>
      </c>
      <c r="H12363" t="s">
        <v>432</v>
      </c>
    </row>
    <row r="12364" spans="1:8" hidden="1" x14ac:dyDescent="0.25">
      <c r="A12364" t="s">
        <v>16294</v>
      </c>
      <c r="B12364" s="1" t="str">
        <f>HYPERLINK("https://asmlis.vasa.lt/Dashboard/Served?ServiceDateFrom=2025-11-24&amp;ServiceDateTo=2025-11-24&amp;DumpsterInvNr=13-P-112208", "13-P-112208")</f>
        <v>13-P-112208</v>
      </c>
      <c r="C12364">
        <v>0.24</v>
      </c>
      <c r="D12364" t="s">
        <v>16293</v>
      </c>
      <c r="E12364" t="s">
        <v>11</v>
      </c>
      <c r="G12364" t="s">
        <v>1917</v>
      </c>
      <c r="H12364" t="s">
        <v>432</v>
      </c>
    </row>
    <row r="12365" spans="1:8" hidden="1" x14ac:dyDescent="0.25">
      <c r="A12365" t="s">
        <v>16295</v>
      </c>
      <c r="B12365" s="1" t="str">
        <f>HYPERLINK("https://asmlis.vasa.lt/Dashboard/Served?ServiceDateFrom=2025-11-24&amp;ServiceDateTo=2025-11-24&amp;DumpsterInvNr=13-S-212520", "13-S-212520")</f>
        <v>13-S-212520</v>
      </c>
      <c r="C12365">
        <v>0.12</v>
      </c>
      <c r="D12365" t="s">
        <v>14323</v>
      </c>
      <c r="E12365" t="s">
        <v>11</v>
      </c>
      <c r="F12365" t="s">
        <v>1209</v>
      </c>
      <c r="G12365" t="s">
        <v>234</v>
      </c>
      <c r="H12365" t="s">
        <v>14</v>
      </c>
    </row>
    <row r="12366" spans="1:8" hidden="1" x14ac:dyDescent="0.25">
      <c r="A12366" t="s">
        <v>16296</v>
      </c>
      <c r="B12366" s="1" t="str">
        <f>HYPERLINK("https://asmlis.vasa.lt/Dashboard/Served?ServiceDateFrom=2025-11-24&amp;ServiceDateTo=2025-11-24&amp;DumpsterInvNr=13-L-136685", "13-L-136685")</f>
        <v>13-L-136685</v>
      </c>
      <c r="C12366">
        <v>5</v>
      </c>
      <c r="D12366" t="s">
        <v>16297</v>
      </c>
      <c r="E12366" t="s">
        <v>11</v>
      </c>
      <c r="F12366" t="s">
        <v>13</v>
      </c>
      <c r="G12366" t="s">
        <v>430</v>
      </c>
      <c r="H12366" t="s">
        <v>432</v>
      </c>
    </row>
    <row r="12367" spans="1:8" hidden="1" x14ac:dyDescent="0.25">
      <c r="A12367" t="s">
        <v>15547</v>
      </c>
      <c r="B12367" s="1" t="str">
        <f>HYPERLINK("https://asmlis.vasa.lt/Dashboard/Served?ServiceDateFrom=2025-11-24&amp;ServiceDateTo=2025-11-24&amp;DumpsterInvNr=13-P-306057", "13-P-306057")</f>
        <v>13-P-306057</v>
      </c>
      <c r="C12367">
        <v>5</v>
      </c>
      <c r="D12367" t="s">
        <v>13155</v>
      </c>
      <c r="E12367" t="s">
        <v>11</v>
      </c>
      <c r="F12367" t="s">
        <v>13</v>
      </c>
      <c r="G12367" t="s">
        <v>412</v>
      </c>
      <c r="H12367" t="s">
        <v>14</v>
      </c>
    </row>
    <row r="12368" spans="1:8" hidden="1" x14ac:dyDescent="0.25">
      <c r="A12368" t="s">
        <v>15653</v>
      </c>
      <c r="B12368" s="1" t="str">
        <f>HYPERLINK("https://asmlis.vasa.lt/Dashboard/Served?ServiceDateFrom=2025-11-24&amp;ServiceDateTo=2025-11-24&amp;DumpsterInvNr=13-L-310809", "13-L-310809")</f>
        <v>13-L-310809</v>
      </c>
      <c r="C12368">
        <v>0.77</v>
      </c>
      <c r="D12368" t="s">
        <v>16298</v>
      </c>
      <c r="E12368" t="s">
        <v>11</v>
      </c>
      <c r="G12368" t="s">
        <v>9</v>
      </c>
      <c r="H12368" t="s">
        <v>14</v>
      </c>
    </row>
    <row r="12369" spans="1:8" hidden="1" x14ac:dyDescent="0.25">
      <c r="A12369" t="s">
        <v>16299</v>
      </c>
      <c r="B12369" s="1" t="str">
        <f>HYPERLINK("https://asmlis.vasa.lt/Dashboard/Served?ServiceDateFrom=2025-11-24&amp;ServiceDateTo=2025-11-24&amp;DumpsterInvNr=13-P-304010", "13-P-304010")</f>
        <v>13-P-304010</v>
      </c>
      <c r="C12369">
        <v>5</v>
      </c>
      <c r="D12369" t="s">
        <v>13201</v>
      </c>
      <c r="E12369" t="s">
        <v>11</v>
      </c>
      <c r="F12369" t="s">
        <v>13</v>
      </c>
      <c r="G12369" t="s">
        <v>412</v>
      </c>
      <c r="H12369" t="s">
        <v>14</v>
      </c>
    </row>
    <row r="12370" spans="1:8" hidden="1" x14ac:dyDescent="0.25">
      <c r="A12370" t="s">
        <v>16220</v>
      </c>
      <c r="B12370" s="1" t="str">
        <f>HYPERLINK("https://asmlis.vasa.lt/Dashboard/Served?ServiceDateFrom=2025-11-24&amp;ServiceDateTo=2025-11-24&amp;DumpsterInvNr=13-L-149396", "13-L-149396")</f>
        <v>13-L-149396</v>
      </c>
      <c r="C12370">
        <v>1.1000000000000001</v>
      </c>
      <c r="D12370" t="s">
        <v>13847</v>
      </c>
      <c r="E12370" t="s">
        <v>12</v>
      </c>
      <c r="F12370" t="s">
        <v>13</v>
      </c>
      <c r="H12370" t="s">
        <v>432</v>
      </c>
    </row>
    <row r="12371" spans="1:8" hidden="1" x14ac:dyDescent="0.25">
      <c r="A12371" t="s">
        <v>16300</v>
      </c>
      <c r="B12371" s="1" t="str">
        <f>HYPERLINK("https://asmlis.vasa.lt/Dashboard/Served?ServiceDateFrom=2025-11-24&amp;ServiceDateTo=2025-11-24&amp;DumpsterInvNr=13-L-133844", "13-L-133844")</f>
        <v>13-L-133844</v>
      </c>
      <c r="C12371">
        <v>5</v>
      </c>
      <c r="D12371" t="s">
        <v>16301</v>
      </c>
      <c r="E12371" t="s">
        <v>11</v>
      </c>
      <c r="F12371" t="s">
        <v>13</v>
      </c>
      <c r="G12371" t="s">
        <v>430</v>
      </c>
      <c r="H12371" t="s">
        <v>432</v>
      </c>
    </row>
    <row r="12372" spans="1:8" hidden="1" x14ac:dyDescent="0.25">
      <c r="A12372" t="s">
        <v>16302</v>
      </c>
      <c r="B12372" s="1" t="str">
        <f>HYPERLINK("https://asmlis.vasa.lt/Dashboard/Served?ServiceDateFrom=2025-11-24&amp;ServiceDateTo=2025-11-24&amp;DumpsterInvNr=13-L-149395", "13-L-149395")</f>
        <v>13-L-149395</v>
      </c>
      <c r="C12372">
        <v>1.1000000000000001</v>
      </c>
      <c r="D12372" t="s">
        <v>13847</v>
      </c>
      <c r="E12372" t="s">
        <v>12</v>
      </c>
      <c r="F12372" t="s">
        <v>13</v>
      </c>
      <c r="H12372" t="s">
        <v>432</v>
      </c>
    </row>
    <row r="12373" spans="1:8" hidden="1" x14ac:dyDescent="0.25">
      <c r="A12373" t="s">
        <v>16303</v>
      </c>
      <c r="B12373" s="1" t="str">
        <f>HYPERLINK("https://asmlis.vasa.lt/Dashboard/Served?ServiceDateFrom=2025-11-24&amp;ServiceDateTo=2025-11-24&amp;DumpsterInvNr=13-L-139099", "13-L-139099")</f>
        <v>13-L-139099</v>
      </c>
      <c r="C12373">
        <v>0.12</v>
      </c>
      <c r="D12373" t="s">
        <v>16304</v>
      </c>
      <c r="E12373" t="s">
        <v>11</v>
      </c>
      <c r="G12373" t="s">
        <v>1912</v>
      </c>
      <c r="H12373" t="s">
        <v>432</v>
      </c>
    </row>
    <row r="12374" spans="1:8" hidden="1" x14ac:dyDescent="0.25">
      <c r="A12374" t="s">
        <v>16305</v>
      </c>
      <c r="B12374" s="1" t="str">
        <f>HYPERLINK("https://asmlis.vasa.lt/Dashboard/Served?ServiceDateFrom=2025-11-24&amp;ServiceDateTo=2025-11-24&amp;DumpsterInvNr=13-L-220333", "13-L-220333")</f>
        <v>13-L-220333</v>
      </c>
      <c r="C12374">
        <v>0.24</v>
      </c>
      <c r="D12374" t="s">
        <v>13983</v>
      </c>
      <c r="E12374" t="s">
        <v>11</v>
      </c>
      <c r="G12374" t="s">
        <v>936</v>
      </c>
      <c r="H12374" t="s">
        <v>938</v>
      </c>
    </row>
    <row r="12375" spans="1:8" hidden="1" x14ac:dyDescent="0.25">
      <c r="A12375" t="s">
        <v>16305</v>
      </c>
      <c r="B12375" s="1" t="str">
        <f>HYPERLINK("https://asmlis.vasa.lt/Dashboard/Served?ServiceDateFrom=2025-11-24&amp;ServiceDateTo=2025-11-24&amp;DumpsterInvNr=13-L-213549", "13-L-213549")</f>
        <v>13-L-213549</v>
      </c>
      <c r="C12375">
        <v>0.24</v>
      </c>
      <c r="D12375" t="s">
        <v>13973</v>
      </c>
      <c r="E12375" t="s">
        <v>11</v>
      </c>
      <c r="G12375" t="s">
        <v>936</v>
      </c>
      <c r="H12375" t="s">
        <v>938</v>
      </c>
    </row>
    <row r="12376" spans="1:8" hidden="1" x14ac:dyDescent="0.25">
      <c r="A12376" t="s">
        <v>16306</v>
      </c>
      <c r="B12376" s="1" t="str">
        <f>HYPERLINK("https://asmlis.vasa.lt/Dashboard/Served?ServiceDateFrom=2025-11-24&amp;ServiceDateTo=2025-11-24&amp;DumpsterInvNr=13-L-118622", "13-L-118622")</f>
        <v>13-L-118622</v>
      </c>
      <c r="C12376">
        <v>0.24</v>
      </c>
      <c r="D12376" t="s">
        <v>16307</v>
      </c>
      <c r="E12376" t="s">
        <v>11</v>
      </c>
      <c r="G12376" t="s">
        <v>1912</v>
      </c>
      <c r="H12376" t="s">
        <v>432</v>
      </c>
    </row>
    <row r="12377" spans="1:8" hidden="1" x14ac:dyDescent="0.25">
      <c r="A12377" t="s">
        <v>16308</v>
      </c>
      <c r="B12377" s="1" t="str">
        <f>HYPERLINK("https://asmlis.vasa.lt/Dashboard/Served?ServiceDateFrom=2025-11-24&amp;ServiceDateTo=2025-11-24&amp;DumpsterInvNr=13-L-105784", "13-L-105784")</f>
        <v>13-L-105784</v>
      </c>
      <c r="C12377">
        <v>1.1000000000000001</v>
      </c>
      <c r="D12377" t="s">
        <v>16309</v>
      </c>
      <c r="E12377" t="s">
        <v>11</v>
      </c>
      <c r="G12377" t="s">
        <v>430</v>
      </c>
      <c r="H12377" t="s">
        <v>432</v>
      </c>
    </row>
    <row r="12378" spans="1:8" hidden="1" x14ac:dyDescent="0.25">
      <c r="A12378" t="s">
        <v>16310</v>
      </c>
      <c r="B12378" s="1" t="str">
        <f>HYPERLINK("https://asmlis.vasa.lt/Dashboard/Served?ServiceDateFrom=2025-11-24&amp;ServiceDateTo=2025-11-24&amp;DumpsterInvNr=13-P-101151", "13-P-101151")</f>
        <v>13-P-101151</v>
      </c>
      <c r="C12378">
        <v>0.24</v>
      </c>
      <c r="D12378" t="s">
        <v>16307</v>
      </c>
      <c r="E12378" t="s">
        <v>11</v>
      </c>
      <c r="G12378" t="s">
        <v>1917</v>
      </c>
      <c r="H12378" t="s">
        <v>432</v>
      </c>
    </row>
    <row r="12379" spans="1:8" hidden="1" x14ac:dyDescent="0.25">
      <c r="A12379" t="s">
        <v>16312</v>
      </c>
      <c r="B12379" s="1" t="str">
        <f>HYPERLINK("https://asmlis.vasa.lt/Dashboard/Served?ServiceDateFrom=2025-11-24&amp;ServiceDateTo=2025-11-24&amp;DumpsterInvNr=13-P-402250", "13-P-402250")</f>
        <v>13-P-402250</v>
      </c>
      <c r="C12379">
        <v>1.1000000000000001</v>
      </c>
      <c r="D12379" t="s">
        <v>16313</v>
      </c>
      <c r="E12379" t="s">
        <v>11</v>
      </c>
      <c r="F12379" t="s">
        <v>13</v>
      </c>
      <c r="G12379" t="s">
        <v>264</v>
      </c>
      <c r="H12379" t="s">
        <v>14</v>
      </c>
    </row>
    <row r="12380" spans="1:8" hidden="1" x14ac:dyDescent="0.25">
      <c r="A12380" t="s">
        <v>16314</v>
      </c>
      <c r="B12380" s="1" t="str">
        <f>HYPERLINK("https://asmlis.vasa.lt/Dashboard/Served?ServiceDateFrom=2025-11-24&amp;ServiceDateTo=2025-11-24&amp;DumpsterInvNr=13-S-207895", "13-S-207895")</f>
        <v>13-S-207895</v>
      </c>
      <c r="C12380">
        <v>3</v>
      </c>
      <c r="D12380" t="s">
        <v>2395</v>
      </c>
      <c r="E12380" t="s">
        <v>11</v>
      </c>
      <c r="G12380" t="s">
        <v>234</v>
      </c>
      <c r="H12380" t="s">
        <v>14</v>
      </c>
    </row>
    <row r="12381" spans="1:8" hidden="1" x14ac:dyDescent="0.25">
      <c r="A12381" t="s">
        <v>16315</v>
      </c>
      <c r="B12381" s="1" t="str">
        <f>HYPERLINK("https://asmlis.vasa.lt/Dashboard/Served?ServiceDateFrom=2025-11-24&amp;ServiceDateTo=2025-11-24&amp;DumpsterInvNr=13-P-212276", "13-P-212276")</f>
        <v>13-P-212276</v>
      </c>
      <c r="C12381">
        <v>0.24</v>
      </c>
      <c r="D12381" t="s">
        <v>14342</v>
      </c>
      <c r="E12381" t="s">
        <v>11</v>
      </c>
      <c r="G12381" t="s">
        <v>234</v>
      </c>
      <c r="H12381" t="s">
        <v>14</v>
      </c>
    </row>
    <row r="12382" spans="1:8" hidden="1" x14ac:dyDescent="0.25">
      <c r="A12382" t="s">
        <v>16316</v>
      </c>
      <c r="B12382" s="1" t="str">
        <f>HYPERLINK("https://asmlis.vasa.lt/Dashboard/Served?ServiceDateFrom=2025-11-24&amp;ServiceDateTo=2025-11-24&amp;DumpsterInvNr=13-L-316458", "13-L-316458")</f>
        <v>13-L-316458</v>
      </c>
      <c r="C12382">
        <v>0.24</v>
      </c>
      <c r="D12382" t="s">
        <v>16298</v>
      </c>
      <c r="E12382" t="s">
        <v>11</v>
      </c>
      <c r="F12382" t="s">
        <v>13</v>
      </c>
      <c r="G12382" t="s">
        <v>9</v>
      </c>
      <c r="H12382" t="s">
        <v>14</v>
      </c>
    </row>
    <row r="12383" spans="1:8" hidden="1" x14ac:dyDescent="0.25">
      <c r="A12383" t="s">
        <v>16317</v>
      </c>
      <c r="B12383" s="1" t="str">
        <f>HYPERLINK("https://asmlis.vasa.lt/Dashboard/Served?ServiceDateFrom=2025-11-24&amp;ServiceDateTo=2025-11-24&amp;DumpsterInvNr=13-L-315945", "13-L-315945")</f>
        <v>13-L-315945</v>
      </c>
      <c r="C12383">
        <v>0.24</v>
      </c>
      <c r="D12383" t="s">
        <v>16298</v>
      </c>
      <c r="E12383" t="s">
        <v>11</v>
      </c>
      <c r="F12383" t="s">
        <v>13</v>
      </c>
      <c r="G12383" t="s">
        <v>9</v>
      </c>
      <c r="H12383" t="s">
        <v>14</v>
      </c>
    </row>
    <row r="12384" spans="1:8" hidden="1" x14ac:dyDescent="0.25">
      <c r="A12384" t="s">
        <v>16317</v>
      </c>
      <c r="B12384" s="1" t="str">
        <f>HYPERLINK("https://asmlis.vasa.lt/Dashboard/Served?ServiceDateFrom=2025-11-24&amp;ServiceDateTo=2025-11-24&amp;DumpsterInvNr=13-L-123912", "13-L-123912")</f>
        <v>13-L-123912</v>
      </c>
      <c r="C12384">
        <v>0.24</v>
      </c>
      <c r="D12384" t="s">
        <v>16318</v>
      </c>
      <c r="E12384" t="s">
        <v>11</v>
      </c>
      <c r="G12384" t="s">
        <v>1912</v>
      </c>
      <c r="H12384" t="s">
        <v>432</v>
      </c>
    </row>
    <row r="12385" spans="1:8" hidden="1" x14ac:dyDescent="0.25">
      <c r="A12385" t="s">
        <v>15579</v>
      </c>
      <c r="B12385" s="1" t="str">
        <f>HYPERLINK("https://asmlis.vasa.lt/Dashboard/Served?ServiceDateFrom=2025-11-24&amp;ServiceDateTo=2025-11-24&amp;DumpsterInvNr=13-S-208256", "13-S-208256")</f>
        <v>13-S-208256</v>
      </c>
      <c r="C12385">
        <v>0.12</v>
      </c>
      <c r="D12385" t="s">
        <v>14342</v>
      </c>
      <c r="E12385" t="s">
        <v>11</v>
      </c>
      <c r="F12385" t="s">
        <v>1209</v>
      </c>
      <c r="G12385" t="s">
        <v>234</v>
      </c>
      <c r="H12385" t="s">
        <v>14</v>
      </c>
    </row>
    <row r="12386" spans="1:8" hidden="1" x14ac:dyDescent="0.25">
      <c r="A12386" t="s">
        <v>16319</v>
      </c>
      <c r="B12386" s="1" t="str">
        <f>HYPERLINK("https://asmlis.vasa.lt/Dashboard/Served?ServiceDateFrom=2025-11-24&amp;ServiceDateTo=2025-11-24&amp;DumpsterInvNr=13-P-102488", "13-P-102488")</f>
        <v>13-P-102488</v>
      </c>
      <c r="C12386">
        <v>5</v>
      </c>
      <c r="D12386" t="s">
        <v>16320</v>
      </c>
      <c r="E12386" t="s">
        <v>11</v>
      </c>
      <c r="F12386" t="s">
        <v>13</v>
      </c>
      <c r="G12386" t="s">
        <v>1917</v>
      </c>
      <c r="H12386" t="s">
        <v>432</v>
      </c>
    </row>
    <row r="12387" spans="1:8" hidden="1" x14ac:dyDescent="0.25">
      <c r="A12387" t="s">
        <v>16321</v>
      </c>
      <c r="B12387" s="1" t="str">
        <f>HYPERLINK("https://asmlis.vasa.lt/Dashboard/Served?ServiceDateFrom=2025-11-24&amp;ServiceDateTo=2025-11-24&amp;DumpsterInvNr=13-L-315946", "13-L-315946")</f>
        <v>13-L-315946</v>
      </c>
      <c r="C12387">
        <v>0.24</v>
      </c>
      <c r="D12387" t="s">
        <v>16298</v>
      </c>
      <c r="E12387" t="s">
        <v>11</v>
      </c>
      <c r="F12387" t="s">
        <v>13</v>
      </c>
      <c r="G12387" t="s">
        <v>9</v>
      </c>
      <c r="H12387" t="s">
        <v>14</v>
      </c>
    </row>
    <row r="12388" spans="1:8" hidden="1" x14ac:dyDescent="0.25">
      <c r="A12388" t="s">
        <v>16322</v>
      </c>
      <c r="B12388" s="1" t="str">
        <f>HYPERLINK("https://asmlis.vasa.lt/Dashboard/Served?ServiceDateFrom=2025-11-24&amp;ServiceDateTo=2025-11-24&amp;DumpsterInvNr=13-P-101152", "13-P-101152")</f>
        <v>13-P-101152</v>
      </c>
      <c r="C12388">
        <v>0.24</v>
      </c>
      <c r="D12388" t="s">
        <v>16318</v>
      </c>
      <c r="E12388" t="s">
        <v>11</v>
      </c>
      <c r="G12388" t="s">
        <v>1917</v>
      </c>
      <c r="H12388" t="s">
        <v>432</v>
      </c>
    </row>
    <row r="12389" spans="1:8" hidden="1" x14ac:dyDescent="0.25">
      <c r="A12389" t="s">
        <v>16323</v>
      </c>
      <c r="B12389" s="1" t="str">
        <f>HYPERLINK("https://asmlis.vasa.lt/Dashboard/Served?ServiceDateFrom=2025-11-24&amp;ServiceDateTo=2025-11-24&amp;DumpsterInvNr=13-L-149394", "13-L-149394")</f>
        <v>13-L-149394</v>
      </c>
      <c r="C12389">
        <v>1.1000000000000001</v>
      </c>
      <c r="D12389" t="s">
        <v>13847</v>
      </c>
      <c r="E12389" t="s">
        <v>12</v>
      </c>
      <c r="F12389" t="s">
        <v>13</v>
      </c>
      <c r="H12389" t="s">
        <v>432</v>
      </c>
    </row>
    <row r="12390" spans="1:8" hidden="1" x14ac:dyDescent="0.25">
      <c r="A12390" t="s">
        <v>16324</v>
      </c>
      <c r="B12390" s="1" t="str">
        <f>HYPERLINK("https://asmlis.vasa.lt/Dashboard/Served?ServiceDateFrom=2025-11-24&amp;ServiceDateTo=2025-11-24&amp;DumpsterInvNr=13-P-500502", "13-P-500502")</f>
        <v>13-P-500502</v>
      </c>
      <c r="C12390">
        <v>2.5</v>
      </c>
      <c r="D12390" t="s">
        <v>16325</v>
      </c>
      <c r="E12390" t="s">
        <v>11</v>
      </c>
      <c r="F12390" t="s">
        <v>13</v>
      </c>
      <c r="G12390" t="s">
        <v>2178</v>
      </c>
      <c r="H12390" t="s">
        <v>432</v>
      </c>
    </row>
    <row r="12391" spans="1:8" hidden="1" x14ac:dyDescent="0.25">
      <c r="A12391" t="s">
        <v>16326</v>
      </c>
      <c r="B12391" s="1" t="str">
        <f>HYPERLINK("https://asmlis.vasa.lt/Dashboard/Served?ServiceDateFrom=2025-11-24&amp;ServiceDateTo=2025-11-24&amp;DumpsterInvNr=13-L-132659", "13-L-132659")</f>
        <v>13-L-132659</v>
      </c>
      <c r="C12391">
        <v>0.24</v>
      </c>
      <c r="D12391" t="s">
        <v>16327</v>
      </c>
      <c r="E12391" t="s">
        <v>11</v>
      </c>
      <c r="G12391" t="s">
        <v>430</v>
      </c>
      <c r="H12391" t="s">
        <v>432</v>
      </c>
    </row>
    <row r="12392" spans="1:8" hidden="1" x14ac:dyDescent="0.25">
      <c r="A12392" t="s">
        <v>16328</v>
      </c>
      <c r="B12392" s="1" t="str">
        <f>HYPERLINK("https://asmlis.vasa.lt/Dashboard/Served?ServiceDateFrom=2025-11-24&amp;ServiceDateTo=2025-11-24&amp;DumpsterInvNr=13-L-132641", "13-L-132641")</f>
        <v>13-L-132641</v>
      </c>
      <c r="C12392">
        <v>0.24</v>
      </c>
      <c r="D12392" t="s">
        <v>16327</v>
      </c>
      <c r="E12392" t="s">
        <v>11</v>
      </c>
      <c r="G12392" t="s">
        <v>430</v>
      </c>
      <c r="H12392" t="s">
        <v>432</v>
      </c>
    </row>
    <row r="12393" spans="1:8" hidden="1" x14ac:dyDescent="0.25">
      <c r="A12393" t="s">
        <v>16329</v>
      </c>
      <c r="B12393" s="1" t="str">
        <f>HYPERLINK("https://asmlis.vasa.lt/Dashboard/Served?ServiceDateFrom=2025-11-24&amp;ServiceDateTo=2025-11-24&amp;DumpsterInvNr=13-L-316708", "13-L-316708")</f>
        <v>13-L-316708</v>
      </c>
      <c r="C12393">
        <v>1.1000000000000001</v>
      </c>
      <c r="D12393" t="s">
        <v>237</v>
      </c>
      <c r="E12393" t="s">
        <v>11</v>
      </c>
      <c r="G12393" t="s">
        <v>9</v>
      </c>
      <c r="H12393" t="s">
        <v>14</v>
      </c>
    </row>
    <row r="12394" spans="1:8" hidden="1" x14ac:dyDescent="0.25">
      <c r="A12394" t="s">
        <v>16330</v>
      </c>
      <c r="B12394" s="1" t="str">
        <f>HYPERLINK("https://asmlis.vasa.lt/Dashboard/Served?ServiceDateFrom=2025-11-24&amp;ServiceDateTo=2025-11-24&amp;DumpsterInvNr=13-L-203485", "13-L-203485")</f>
        <v>13-L-203485</v>
      </c>
      <c r="C12394">
        <v>0.12</v>
      </c>
      <c r="D12394" t="s">
        <v>14013</v>
      </c>
      <c r="E12394" t="s">
        <v>11</v>
      </c>
      <c r="G12394" t="s">
        <v>936</v>
      </c>
      <c r="H12394" t="s">
        <v>938</v>
      </c>
    </row>
    <row r="12395" spans="1:8" hidden="1" x14ac:dyDescent="0.25">
      <c r="A12395" t="s">
        <v>16331</v>
      </c>
      <c r="B12395" s="1" t="str">
        <f>HYPERLINK("https://asmlis.vasa.lt/Dashboard/Served?ServiceDateFrom=2025-11-24&amp;ServiceDateTo=2025-11-24&amp;DumpsterInvNr=13-P-208257", "13-P-208257")</f>
        <v>13-P-208257</v>
      </c>
      <c r="C12395">
        <v>0.24</v>
      </c>
      <c r="D12395" t="s">
        <v>14366</v>
      </c>
      <c r="E12395" t="s">
        <v>11</v>
      </c>
      <c r="G12395" t="s">
        <v>234</v>
      </c>
      <c r="H12395" t="s">
        <v>14</v>
      </c>
    </row>
    <row r="12396" spans="1:8" hidden="1" x14ac:dyDescent="0.25">
      <c r="A12396" t="s">
        <v>16332</v>
      </c>
      <c r="B12396" s="1" t="str">
        <f>HYPERLINK("https://asmlis.vasa.lt/Dashboard/Served?ServiceDateFrom=2025-11-24&amp;ServiceDateTo=2025-11-24&amp;DumpsterInvNr=13-L-316100", "13-L-316100")</f>
        <v>13-L-316100</v>
      </c>
      <c r="C12396">
        <v>1.1000000000000001</v>
      </c>
      <c r="D12396" t="s">
        <v>237</v>
      </c>
      <c r="E12396" t="s">
        <v>11</v>
      </c>
      <c r="G12396" t="s">
        <v>9</v>
      </c>
      <c r="H12396" t="s">
        <v>14</v>
      </c>
    </row>
    <row r="12397" spans="1:8" hidden="1" x14ac:dyDescent="0.25">
      <c r="A12397" t="s">
        <v>16333</v>
      </c>
      <c r="B12397" s="1" t="str">
        <f>HYPERLINK("https://asmlis.vasa.lt/Dashboard/Served?ServiceDateFrom=2025-11-24&amp;ServiceDateTo=2025-11-24&amp;DumpsterInvNr=13-L-124981", "13-L-124981")</f>
        <v>13-L-124981</v>
      </c>
      <c r="C12397">
        <v>0.24</v>
      </c>
      <c r="D12397" t="s">
        <v>16327</v>
      </c>
      <c r="E12397" t="s">
        <v>11</v>
      </c>
      <c r="F12397" t="s">
        <v>1209</v>
      </c>
      <c r="G12397" t="s">
        <v>430</v>
      </c>
      <c r="H12397" t="s">
        <v>432</v>
      </c>
    </row>
    <row r="12398" spans="1:8" hidden="1" x14ac:dyDescent="0.25">
      <c r="A12398" t="s">
        <v>16334</v>
      </c>
      <c r="B12398" s="1" t="str">
        <f>HYPERLINK("https://asmlis.vasa.lt/Dashboard/Served?ServiceDateFrom=2025-11-24&amp;ServiceDateTo=2025-11-24&amp;DumpsterInvNr=13-P-204125", "13-P-204125")</f>
        <v>13-P-204125</v>
      </c>
      <c r="C12398">
        <v>0.24</v>
      </c>
      <c r="D12398" t="s">
        <v>14366</v>
      </c>
      <c r="E12398" t="s">
        <v>11</v>
      </c>
      <c r="G12398" t="s">
        <v>234</v>
      </c>
      <c r="H12398" t="s">
        <v>14</v>
      </c>
    </row>
    <row r="12399" spans="1:8" hidden="1" x14ac:dyDescent="0.25">
      <c r="A12399" t="s">
        <v>16335</v>
      </c>
      <c r="B12399" s="1" t="str">
        <f>HYPERLINK("https://asmlis.vasa.lt/Dashboard/Served?ServiceDateFrom=2025-11-24&amp;ServiceDateTo=2025-11-24&amp;DumpsterInvNr=13-L-132642", "13-L-132642")</f>
        <v>13-L-132642</v>
      </c>
      <c r="C12399">
        <v>0.24</v>
      </c>
      <c r="D12399" t="s">
        <v>16327</v>
      </c>
      <c r="E12399" t="s">
        <v>11</v>
      </c>
      <c r="F12399" t="s">
        <v>1209</v>
      </c>
      <c r="G12399" t="s">
        <v>430</v>
      </c>
      <c r="H12399" t="s">
        <v>432</v>
      </c>
    </row>
    <row r="12400" spans="1:8" hidden="1" x14ac:dyDescent="0.25">
      <c r="A12400" t="s">
        <v>16335</v>
      </c>
      <c r="B12400" s="1" t="str">
        <f>HYPERLINK("https://asmlis.vasa.lt/Dashboard/Served?ServiceDateFrom=2025-11-24&amp;ServiceDateTo=2025-11-24&amp;DumpsterInvNr=13-L-304383", "13-L-304383")</f>
        <v>13-L-304383</v>
      </c>
      <c r="C12400">
        <v>3</v>
      </c>
      <c r="D12400" t="s">
        <v>16336</v>
      </c>
      <c r="E12400" t="s">
        <v>11</v>
      </c>
      <c r="G12400" t="s">
        <v>9</v>
      </c>
      <c r="H12400" t="s">
        <v>14</v>
      </c>
    </row>
    <row r="12401" spans="1:8" hidden="1" x14ac:dyDescent="0.25">
      <c r="A12401" t="s">
        <v>16337</v>
      </c>
      <c r="B12401" s="1" t="str">
        <f>HYPERLINK("https://asmlis.vasa.lt/Dashboard/Served?ServiceDateFrom=2025-11-24&amp;ServiceDateTo=2025-11-24&amp;DumpsterInvNr=13-L-139130", "13-L-139130")</f>
        <v>13-L-139130</v>
      </c>
      <c r="C12401">
        <v>5</v>
      </c>
      <c r="D12401" t="s">
        <v>13776</v>
      </c>
      <c r="E12401" t="s">
        <v>11</v>
      </c>
      <c r="F12401" t="s">
        <v>13</v>
      </c>
      <c r="G12401" t="s">
        <v>1912</v>
      </c>
      <c r="H12401" t="s">
        <v>432</v>
      </c>
    </row>
    <row r="12402" spans="1:8" hidden="1" x14ac:dyDescent="0.25">
      <c r="A12402" t="s">
        <v>16337</v>
      </c>
      <c r="B12402" s="1" t="str">
        <f>HYPERLINK("https://asmlis.vasa.lt/Dashboard/Served?ServiceDateFrom=2025-11-24&amp;ServiceDateTo=2025-11-24&amp;DumpsterInvNr=13-P-502666", "13-P-502666")</f>
        <v>13-P-502666</v>
      </c>
      <c r="C12402">
        <v>0.24</v>
      </c>
      <c r="D12402" t="s">
        <v>16327</v>
      </c>
      <c r="E12402" t="s">
        <v>11</v>
      </c>
      <c r="F12402" t="s">
        <v>1209</v>
      </c>
      <c r="G12402" t="s">
        <v>2178</v>
      </c>
      <c r="H12402" t="s">
        <v>432</v>
      </c>
    </row>
    <row r="12403" spans="1:8" hidden="1" x14ac:dyDescent="0.25">
      <c r="A12403" t="s">
        <v>16338</v>
      </c>
      <c r="B12403" s="1" t="str">
        <f>HYPERLINK("https://asmlis.vasa.lt/Dashboard/Served?ServiceDateFrom=2025-11-24&amp;ServiceDateTo=2025-11-24&amp;DumpsterInvNr=13-L-108267", "13-L-108267")</f>
        <v>13-L-108267</v>
      </c>
      <c r="C12403">
        <v>0.12</v>
      </c>
      <c r="D12403" t="s">
        <v>16339</v>
      </c>
      <c r="E12403" t="s">
        <v>11</v>
      </c>
      <c r="G12403" t="s">
        <v>430</v>
      </c>
      <c r="H12403" t="s">
        <v>432</v>
      </c>
    </row>
    <row r="12404" spans="1:8" hidden="1" x14ac:dyDescent="0.25">
      <c r="A12404" t="s">
        <v>16340</v>
      </c>
      <c r="B12404" s="1" t="str">
        <f>HYPERLINK("https://asmlis.vasa.lt/Dashboard/Served?ServiceDateFrom=2025-11-24&amp;ServiceDateTo=2025-11-24&amp;DumpsterInvNr=13-S-204991", "13-S-204991")</f>
        <v>13-S-204991</v>
      </c>
      <c r="C12404">
        <v>0.12</v>
      </c>
      <c r="D12404" t="s">
        <v>14366</v>
      </c>
      <c r="E12404" t="s">
        <v>11</v>
      </c>
      <c r="F12404" t="s">
        <v>1209</v>
      </c>
      <c r="G12404" t="s">
        <v>234</v>
      </c>
      <c r="H12404" t="s">
        <v>14</v>
      </c>
    </row>
    <row r="12405" spans="1:8" hidden="1" x14ac:dyDescent="0.25">
      <c r="A12405" t="s">
        <v>16341</v>
      </c>
      <c r="B12405" s="1" t="str">
        <f>HYPERLINK("https://asmlis.vasa.lt/Dashboard/Served?ServiceDateFrom=2025-11-24&amp;ServiceDateTo=2025-11-24&amp;DumpsterInvNr=13-T-000151", "13-T-000151")</f>
        <v>13-T-000151</v>
      </c>
      <c r="C12405">
        <v>2.5</v>
      </c>
      <c r="D12405" t="s">
        <v>16342</v>
      </c>
      <c r="E12405" t="s">
        <v>11</v>
      </c>
      <c r="F12405" t="s">
        <v>13</v>
      </c>
      <c r="G12405" t="s">
        <v>1899</v>
      </c>
      <c r="H12405" t="s">
        <v>432</v>
      </c>
    </row>
    <row r="12406" spans="1:8" hidden="1" x14ac:dyDescent="0.25">
      <c r="A12406" t="s">
        <v>16343</v>
      </c>
      <c r="B12406" s="1" t="str">
        <f>HYPERLINK("https://asmlis.vasa.lt/Dashboard/Served?ServiceDateFrom=2025-11-24&amp;ServiceDateTo=2025-11-24&amp;DumpsterInvNr=13-P-101244", "13-P-101244")</f>
        <v>13-P-101244</v>
      </c>
      <c r="C12406">
        <v>0.24</v>
      </c>
      <c r="D12406" t="s">
        <v>16344</v>
      </c>
      <c r="E12406" t="s">
        <v>11</v>
      </c>
      <c r="G12406" t="s">
        <v>1917</v>
      </c>
      <c r="H12406" t="s">
        <v>432</v>
      </c>
    </row>
    <row r="12407" spans="1:8" hidden="1" x14ac:dyDescent="0.25">
      <c r="A12407" t="s">
        <v>16345</v>
      </c>
      <c r="B12407" s="1" t="str">
        <f>HYPERLINK("https://asmlis.vasa.lt/Dashboard/Served?ServiceDateFrom=2025-11-24&amp;ServiceDateTo=2025-11-24&amp;DumpsterInvNr=13-L-218971", "13-L-218971")</f>
        <v>13-L-218971</v>
      </c>
      <c r="C12407">
        <v>0.24</v>
      </c>
      <c r="D12407" t="s">
        <v>14032</v>
      </c>
      <c r="E12407" t="s">
        <v>11</v>
      </c>
      <c r="G12407" t="s">
        <v>936</v>
      </c>
      <c r="H12407" t="s">
        <v>938</v>
      </c>
    </row>
    <row r="12408" spans="1:8" hidden="1" x14ac:dyDescent="0.25">
      <c r="A12408" t="s">
        <v>16346</v>
      </c>
      <c r="B12408" s="1" t="str">
        <f>HYPERLINK("https://asmlis.vasa.lt/Dashboard/Served?ServiceDateFrom=2025-11-24&amp;ServiceDateTo=2025-11-24&amp;DumpsterInvNr=13-L-109844", "13-L-109844")</f>
        <v>13-L-109844</v>
      </c>
      <c r="C12408">
        <v>0.12</v>
      </c>
      <c r="D12408" t="s">
        <v>16347</v>
      </c>
      <c r="E12408" t="s">
        <v>11</v>
      </c>
      <c r="G12408" t="s">
        <v>430</v>
      </c>
      <c r="H12408" t="s">
        <v>432</v>
      </c>
    </row>
    <row r="12409" spans="1:8" hidden="1" x14ac:dyDescent="0.25">
      <c r="A12409" t="s">
        <v>16348</v>
      </c>
      <c r="B12409" s="1" t="str">
        <f>HYPERLINK("https://asmlis.vasa.lt/Dashboard/Served?ServiceDateFrom=2025-11-24&amp;ServiceDateTo=2025-11-24&amp;DumpsterInvNr=13-T-000136", "13-T-000136")</f>
        <v>13-T-000136</v>
      </c>
      <c r="C12409">
        <v>2.5</v>
      </c>
      <c r="D12409" t="s">
        <v>16342</v>
      </c>
      <c r="E12409" t="s">
        <v>11</v>
      </c>
      <c r="F12409" t="s">
        <v>13</v>
      </c>
      <c r="G12409" t="s">
        <v>1899</v>
      </c>
      <c r="H12409" t="s">
        <v>432</v>
      </c>
    </row>
    <row r="12410" spans="1:8" hidden="1" x14ac:dyDescent="0.25">
      <c r="A12410" t="s">
        <v>16349</v>
      </c>
      <c r="B12410" s="1" t="str">
        <f>HYPERLINK("https://asmlis.vasa.lt/Dashboard/Served?ServiceDateFrom=2025-11-24&amp;ServiceDateTo=2025-11-24&amp;DumpsterInvNr=13-P-113363", "13-P-113363")</f>
        <v>13-P-113363</v>
      </c>
      <c r="C12410">
        <v>0.24</v>
      </c>
      <c r="D12410" t="s">
        <v>16344</v>
      </c>
      <c r="E12410" t="s">
        <v>11</v>
      </c>
      <c r="F12410" t="s">
        <v>1209</v>
      </c>
      <c r="G12410" t="s">
        <v>1917</v>
      </c>
      <c r="H12410" t="s">
        <v>432</v>
      </c>
    </row>
    <row r="12411" spans="1:8" hidden="1" x14ac:dyDescent="0.25">
      <c r="A12411" t="s">
        <v>16350</v>
      </c>
      <c r="B12411" s="1" t="str">
        <f>HYPERLINK("https://asmlis.vasa.lt/Dashboard/Served?ServiceDateFrom=2025-11-24&amp;ServiceDateTo=2025-11-24&amp;DumpsterInvNr=13-L-143126", "13-L-143126")</f>
        <v>13-L-143126</v>
      </c>
      <c r="C12411">
        <v>5</v>
      </c>
      <c r="D12411" t="s">
        <v>16351</v>
      </c>
      <c r="E12411" t="s">
        <v>11</v>
      </c>
      <c r="F12411" t="s">
        <v>13</v>
      </c>
      <c r="G12411" t="s">
        <v>430</v>
      </c>
      <c r="H12411" t="s">
        <v>432</v>
      </c>
    </row>
    <row r="12412" spans="1:8" hidden="1" x14ac:dyDescent="0.25">
      <c r="A12412" t="s">
        <v>16352</v>
      </c>
      <c r="B12412" s="1" t="str">
        <f>HYPERLINK("https://asmlis.vasa.lt/Dashboard/Served?ServiceDateFrom=2025-11-24&amp;ServiceDateTo=2025-11-24&amp;DumpsterInvNr=13-P-212390", "13-P-212390")</f>
        <v>13-P-212390</v>
      </c>
      <c r="C12412">
        <v>1.1000000000000001</v>
      </c>
      <c r="D12412" t="s">
        <v>16353</v>
      </c>
      <c r="E12412" t="s">
        <v>11</v>
      </c>
      <c r="F12412" t="s">
        <v>712</v>
      </c>
      <c r="G12412" t="s">
        <v>234</v>
      </c>
      <c r="H12412" t="s">
        <v>14</v>
      </c>
    </row>
    <row r="12413" spans="1:8" hidden="1" x14ac:dyDescent="0.25">
      <c r="A12413" t="s">
        <v>16354</v>
      </c>
      <c r="B12413" s="1" t="str">
        <f>HYPERLINK("https://asmlis.vasa.lt/Dashboard/Served?ServiceDateFrom=2025-11-24&amp;ServiceDateTo=2025-11-24&amp;DumpsterInvNr=13-L-208358", "13-L-208358")</f>
        <v>13-L-208358</v>
      </c>
      <c r="C12413">
        <v>0.24</v>
      </c>
      <c r="D12413" t="s">
        <v>14028</v>
      </c>
      <c r="E12413" t="s">
        <v>11</v>
      </c>
      <c r="G12413" t="s">
        <v>936</v>
      </c>
      <c r="H12413" t="s">
        <v>938</v>
      </c>
    </row>
    <row r="12414" spans="1:8" hidden="1" x14ac:dyDescent="0.25">
      <c r="A12414" t="s">
        <v>16355</v>
      </c>
      <c r="B12414" s="1" t="str">
        <f>HYPERLINK("https://asmlis.vasa.lt/Dashboard/Served?ServiceDateFrom=2025-11-24&amp;ServiceDateTo=2025-11-24&amp;DumpsterInvNr=13-P-500403", "13-P-500403")</f>
        <v>13-P-500403</v>
      </c>
      <c r="C12414">
        <v>5</v>
      </c>
      <c r="D12414" t="s">
        <v>15730</v>
      </c>
      <c r="E12414" t="s">
        <v>11</v>
      </c>
      <c r="F12414" t="s">
        <v>13</v>
      </c>
      <c r="G12414" t="s">
        <v>2178</v>
      </c>
      <c r="H12414" t="s">
        <v>432</v>
      </c>
    </row>
    <row r="12415" spans="1:8" hidden="1" x14ac:dyDescent="0.25">
      <c r="A12415" t="s">
        <v>16356</v>
      </c>
      <c r="B12415" s="1" t="str">
        <f>HYPERLINK("https://asmlis.vasa.lt/Dashboard/Served?ServiceDateFrom=2025-11-24&amp;ServiceDateTo=2025-11-24&amp;DumpsterInvNr=13-P-506740", "13-P-506740")</f>
        <v>13-P-506740</v>
      </c>
      <c r="C12415">
        <v>0.24</v>
      </c>
      <c r="D12415" t="s">
        <v>16357</v>
      </c>
      <c r="E12415" t="s">
        <v>11</v>
      </c>
      <c r="G12415" t="s">
        <v>2178</v>
      </c>
      <c r="H12415" t="s">
        <v>432</v>
      </c>
    </row>
    <row r="12416" spans="1:8" hidden="1" x14ac:dyDescent="0.25">
      <c r="A12416" t="s">
        <v>16358</v>
      </c>
      <c r="B12416" s="1" t="str">
        <f>HYPERLINK("https://asmlis.vasa.lt/Dashboard/Served?ServiceDateFrom=2025-11-24&amp;ServiceDateTo=2025-11-24&amp;DumpsterInvNr=13-L-108251", "13-L-108251")</f>
        <v>13-L-108251</v>
      </c>
      <c r="C12416">
        <v>0.24</v>
      </c>
      <c r="D12416" t="s">
        <v>16357</v>
      </c>
      <c r="E12416" t="s">
        <v>11</v>
      </c>
      <c r="G12416" t="s">
        <v>430</v>
      </c>
      <c r="H12416" t="s">
        <v>432</v>
      </c>
    </row>
    <row r="12417" spans="1:8" hidden="1" x14ac:dyDescent="0.25">
      <c r="A12417" t="s">
        <v>16359</v>
      </c>
      <c r="B12417" s="1" t="str">
        <f>HYPERLINK("https://asmlis.vasa.lt/Dashboard/Served?ServiceDateFrom=2025-11-24&amp;ServiceDateTo=2025-11-24&amp;DumpsterInvNr=13-L-114184", "13-L-114184")</f>
        <v>13-L-114184</v>
      </c>
      <c r="C12417">
        <v>0.12</v>
      </c>
      <c r="D12417" t="s">
        <v>16360</v>
      </c>
      <c r="E12417" t="s">
        <v>11</v>
      </c>
      <c r="G12417" t="s">
        <v>430</v>
      </c>
      <c r="H12417" t="s">
        <v>432</v>
      </c>
    </row>
    <row r="12418" spans="1:8" hidden="1" x14ac:dyDescent="0.25">
      <c r="A12418" t="s">
        <v>16359</v>
      </c>
      <c r="B12418" s="1" t="str">
        <f>HYPERLINK("https://asmlis.vasa.lt/Dashboard/Served?ServiceDateFrom=2025-11-24&amp;ServiceDateTo=2025-11-24&amp;DumpsterInvNr=13-P-504919", "13-P-504919")</f>
        <v>13-P-504919</v>
      </c>
      <c r="C12418">
        <v>0.12</v>
      </c>
      <c r="D12418" t="s">
        <v>16360</v>
      </c>
      <c r="E12418" t="s">
        <v>11</v>
      </c>
      <c r="G12418" t="s">
        <v>2178</v>
      </c>
      <c r="H12418" t="s">
        <v>432</v>
      </c>
    </row>
    <row r="12419" spans="1:8" hidden="1" x14ac:dyDescent="0.25">
      <c r="A12419" t="s">
        <v>16361</v>
      </c>
      <c r="B12419" s="1" t="str">
        <f>HYPERLINK("https://asmlis.vasa.lt/Dashboard/Served?ServiceDateFrom=2025-11-24&amp;ServiceDateTo=2025-11-24&amp;DumpsterInvNr=13-L-140936", "13-L-140936")</f>
        <v>13-L-140936</v>
      </c>
      <c r="C12419">
        <v>0.12</v>
      </c>
      <c r="D12419" t="s">
        <v>16362</v>
      </c>
      <c r="E12419" t="s">
        <v>11</v>
      </c>
      <c r="G12419" t="s">
        <v>1912</v>
      </c>
      <c r="H12419" t="s">
        <v>432</v>
      </c>
    </row>
    <row r="12420" spans="1:8" hidden="1" x14ac:dyDescent="0.25">
      <c r="A12420" t="s">
        <v>16363</v>
      </c>
      <c r="B12420" s="1" t="str">
        <f>HYPERLINK("https://asmlis.vasa.lt/Dashboard/Served?ServiceDateFrom=2025-11-24&amp;ServiceDateTo=2025-11-24&amp;DumpsterInvNr=13-P-112249", "13-P-112249")</f>
        <v>13-P-112249</v>
      </c>
      <c r="C12420">
        <v>0.24</v>
      </c>
      <c r="D12420" t="s">
        <v>16362</v>
      </c>
      <c r="E12420" t="s">
        <v>11</v>
      </c>
      <c r="G12420" t="s">
        <v>1917</v>
      </c>
      <c r="H12420" t="s">
        <v>432</v>
      </c>
    </row>
    <row r="12421" spans="1:8" hidden="1" x14ac:dyDescent="0.25">
      <c r="A12421" t="s">
        <v>16364</v>
      </c>
      <c r="B12421" s="1" t="str">
        <f>HYPERLINK("https://asmlis.vasa.lt/Dashboard/Served?ServiceDateFrom=2025-11-24&amp;ServiceDateTo=2025-11-24&amp;DumpsterInvNr=13-P-502740", "13-P-502740")</f>
        <v>13-P-502740</v>
      </c>
      <c r="C12421">
        <v>0.24</v>
      </c>
      <c r="D12421" t="s">
        <v>16365</v>
      </c>
      <c r="E12421" t="s">
        <v>11</v>
      </c>
      <c r="G12421" t="s">
        <v>2178</v>
      </c>
      <c r="H12421" t="s">
        <v>432</v>
      </c>
    </row>
    <row r="12422" spans="1:8" hidden="1" x14ac:dyDescent="0.25">
      <c r="A12422" t="s">
        <v>16366</v>
      </c>
      <c r="B12422" s="1" t="str">
        <f>HYPERLINK("https://asmlis.vasa.lt/Dashboard/Served?ServiceDateFrom=2025-11-24&amp;ServiceDateTo=2025-11-24&amp;DumpsterInvNr=13-P-208625", "13-P-208625")</f>
        <v>13-P-208625</v>
      </c>
      <c r="C12422">
        <v>0.24</v>
      </c>
      <c r="D12422" t="s">
        <v>15939</v>
      </c>
      <c r="E12422" t="s">
        <v>11</v>
      </c>
      <c r="G12422" t="s">
        <v>234</v>
      </c>
      <c r="H12422" t="s">
        <v>14</v>
      </c>
    </row>
    <row r="12423" spans="1:8" hidden="1" x14ac:dyDescent="0.25">
      <c r="A12423" t="s">
        <v>16367</v>
      </c>
      <c r="B12423" s="1" t="str">
        <f>HYPERLINK("https://asmlis.vasa.lt/Dashboard/Served?ServiceDateFrom=2025-11-24&amp;ServiceDateTo=2025-11-24&amp;DumpsterInvNr=13-L-123396", "13-L-123396")</f>
        <v>13-L-123396</v>
      </c>
      <c r="C12423">
        <v>0.24</v>
      </c>
      <c r="D12423" t="s">
        <v>16365</v>
      </c>
      <c r="E12423" t="s">
        <v>11</v>
      </c>
      <c r="G12423" t="s">
        <v>430</v>
      </c>
      <c r="H12423" t="s">
        <v>432</v>
      </c>
    </row>
    <row r="12424" spans="1:8" hidden="1" x14ac:dyDescent="0.25">
      <c r="A12424" t="s">
        <v>16368</v>
      </c>
      <c r="B12424" s="1" t="str">
        <f>HYPERLINK("https://asmlis.vasa.lt/Dashboard/Served?ServiceDateFrom=2025-11-24&amp;ServiceDateTo=2025-11-24&amp;DumpsterInvNr=13-L-144197", "13-L-144197")</f>
        <v>13-L-144197</v>
      </c>
      <c r="C12424">
        <v>0.24</v>
      </c>
      <c r="D12424" t="s">
        <v>16369</v>
      </c>
      <c r="E12424" t="s">
        <v>11</v>
      </c>
      <c r="G12424" t="s">
        <v>1912</v>
      </c>
      <c r="H12424" t="s">
        <v>432</v>
      </c>
    </row>
    <row r="12425" spans="1:8" hidden="1" x14ac:dyDescent="0.25">
      <c r="A12425" t="s">
        <v>16368</v>
      </c>
      <c r="B12425" s="1" t="str">
        <f>HYPERLINK("https://asmlis.vasa.lt/Dashboard/Served?ServiceDateFrom=2025-11-24&amp;ServiceDateTo=2025-11-24&amp;DumpsterInvNr=13-P-112192", "13-P-112192")</f>
        <v>13-P-112192</v>
      </c>
      <c r="C12425">
        <v>0.24</v>
      </c>
      <c r="D12425" t="s">
        <v>16369</v>
      </c>
      <c r="E12425" t="s">
        <v>11</v>
      </c>
      <c r="G12425" t="s">
        <v>1917</v>
      </c>
      <c r="H12425" t="s">
        <v>432</v>
      </c>
    </row>
    <row r="12426" spans="1:8" hidden="1" x14ac:dyDescent="0.25">
      <c r="A12426" t="s">
        <v>16370</v>
      </c>
      <c r="B12426" s="1" t="str">
        <f>HYPERLINK("https://asmlis.vasa.lt/Dashboard/Served?ServiceDateFrom=2025-11-24&amp;ServiceDateTo=2025-11-24&amp;DumpsterInvNr=13-L-318916", "13-L-318916")</f>
        <v>13-L-318916</v>
      </c>
      <c r="C12426">
        <v>5</v>
      </c>
      <c r="D12426" t="s">
        <v>14966</v>
      </c>
      <c r="E12426" t="s">
        <v>11</v>
      </c>
      <c r="G12426" t="s">
        <v>9</v>
      </c>
      <c r="H12426" t="s">
        <v>14</v>
      </c>
    </row>
    <row r="12427" spans="1:8" hidden="1" x14ac:dyDescent="0.25">
      <c r="A12427" t="s">
        <v>16371</v>
      </c>
      <c r="B12427" s="1" t="str">
        <f>HYPERLINK("https://asmlis.vasa.lt/Dashboard/Served?ServiceDateFrom=2025-11-24&amp;ServiceDateTo=2025-11-24&amp;DumpsterInvNr=13-P-209730", "13-P-209730")</f>
        <v>13-P-209730</v>
      </c>
      <c r="C12427">
        <v>0.24</v>
      </c>
      <c r="D12427" t="s">
        <v>15961</v>
      </c>
      <c r="E12427" t="s">
        <v>11</v>
      </c>
      <c r="G12427" t="s">
        <v>234</v>
      </c>
      <c r="H12427" t="s">
        <v>14</v>
      </c>
    </row>
    <row r="12428" spans="1:8" hidden="1" x14ac:dyDescent="0.25">
      <c r="A12428" t="s">
        <v>16371</v>
      </c>
      <c r="B12428" s="1" t="str">
        <f>HYPERLINK("https://asmlis.vasa.lt/Dashboard/Served?ServiceDateFrom=2025-11-24&amp;ServiceDateTo=2025-11-24&amp;DumpsterInvNr=13-L-139685", "13-L-139685")</f>
        <v>13-L-139685</v>
      </c>
      <c r="C12428">
        <v>5</v>
      </c>
      <c r="D12428" t="s">
        <v>3723</v>
      </c>
      <c r="E12428" t="s">
        <v>11</v>
      </c>
      <c r="F12428" t="s">
        <v>13</v>
      </c>
      <c r="G12428" t="s">
        <v>1912</v>
      </c>
      <c r="H12428" t="s">
        <v>432</v>
      </c>
    </row>
    <row r="12429" spans="1:8" hidden="1" x14ac:dyDescent="0.25">
      <c r="A12429" t="s">
        <v>16372</v>
      </c>
      <c r="B12429" s="1" t="str">
        <f>HYPERLINK("https://asmlis.vasa.lt/Dashboard/Served?ServiceDateFrom=2025-11-24&amp;ServiceDateTo=2025-11-24&amp;DumpsterInvNr=13-S-207391", "13-S-207391")</f>
        <v>13-S-207391</v>
      </c>
      <c r="C12429">
        <v>3</v>
      </c>
      <c r="D12429" t="s">
        <v>2526</v>
      </c>
      <c r="E12429" t="s">
        <v>11</v>
      </c>
      <c r="G12429" t="s">
        <v>234</v>
      </c>
      <c r="H12429" t="s">
        <v>14</v>
      </c>
    </row>
    <row r="12430" spans="1:8" hidden="1" x14ac:dyDescent="0.25">
      <c r="A12430" t="s">
        <v>16373</v>
      </c>
      <c r="B12430" s="1" t="str">
        <f>HYPERLINK("https://asmlis.vasa.lt/Dashboard/Served?ServiceDateFrom=2025-11-24&amp;ServiceDateTo=2025-11-24&amp;DumpsterInvNr=13-P-304009", "13-P-304009")</f>
        <v>13-P-304009</v>
      </c>
      <c r="C12430">
        <v>5</v>
      </c>
      <c r="D12430" t="s">
        <v>13201</v>
      </c>
      <c r="E12430" t="s">
        <v>11</v>
      </c>
      <c r="F12430" t="s">
        <v>13</v>
      </c>
      <c r="G12430" t="s">
        <v>412</v>
      </c>
      <c r="H12430" t="s">
        <v>14</v>
      </c>
    </row>
    <row r="12431" spans="1:8" hidden="1" x14ac:dyDescent="0.25">
      <c r="A12431" t="s">
        <v>16374</v>
      </c>
      <c r="B12431" s="1" t="str">
        <f>HYPERLINK("https://asmlis.vasa.lt/Dashboard/Served?ServiceDateFrom=2025-11-24&amp;ServiceDateTo=2025-11-24&amp;DumpsterInvNr=13-S-208654", "13-S-208654")</f>
        <v>13-S-208654</v>
      </c>
      <c r="C12431">
        <v>0.12</v>
      </c>
      <c r="D12431" t="s">
        <v>15939</v>
      </c>
      <c r="E12431" t="s">
        <v>11</v>
      </c>
      <c r="F12431" t="s">
        <v>1209</v>
      </c>
      <c r="G12431" t="s">
        <v>234</v>
      </c>
      <c r="H12431" t="s">
        <v>14</v>
      </c>
    </row>
    <row r="12432" spans="1:8" hidden="1" x14ac:dyDescent="0.25">
      <c r="A12432" t="s">
        <v>16374</v>
      </c>
      <c r="B12432" s="1" t="str">
        <f>HYPERLINK("https://asmlis.vasa.lt/Dashboard/Served?ServiceDateFrom=2025-11-24&amp;ServiceDateTo=2025-11-24&amp;DumpsterInvNr=13-P-115704", "13-P-115704")</f>
        <v>13-P-115704</v>
      </c>
      <c r="C12432">
        <v>1.1000000000000001</v>
      </c>
      <c r="D12432" t="s">
        <v>16375</v>
      </c>
      <c r="E12432" t="s">
        <v>11</v>
      </c>
      <c r="G12432" t="s">
        <v>1917</v>
      </c>
      <c r="H12432" t="s">
        <v>432</v>
      </c>
    </row>
    <row r="12433" spans="1:8" hidden="1" x14ac:dyDescent="0.25">
      <c r="A12433" t="s">
        <v>16376</v>
      </c>
      <c r="B12433" s="1" t="str">
        <f>HYPERLINK("https://asmlis.vasa.lt/Dashboard/Served?ServiceDateFrom=2025-11-24&amp;ServiceDateTo=2025-11-24&amp;DumpsterInvNr=13-L-137336", "13-L-137336")</f>
        <v>13-L-137336</v>
      </c>
      <c r="C12433">
        <v>0.24</v>
      </c>
      <c r="D12433" t="s">
        <v>16377</v>
      </c>
      <c r="E12433" t="s">
        <v>11</v>
      </c>
      <c r="G12433" t="s">
        <v>430</v>
      </c>
      <c r="H12433" t="s">
        <v>432</v>
      </c>
    </row>
    <row r="12434" spans="1:8" hidden="1" x14ac:dyDescent="0.25">
      <c r="A12434" t="s">
        <v>16378</v>
      </c>
      <c r="B12434" s="1" t="str">
        <f>HYPERLINK("https://asmlis.vasa.lt/Dashboard/Served?ServiceDateFrom=2025-11-24&amp;ServiceDateTo=2025-11-24&amp;DumpsterInvNr=13-P-506761", "13-P-506761")</f>
        <v>13-P-506761</v>
      </c>
      <c r="C12434">
        <v>0.24</v>
      </c>
      <c r="D12434" t="s">
        <v>16377</v>
      </c>
      <c r="E12434" t="s">
        <v>11</v>
      </c>
      <c r="G12434" t="s">
        <v>2178</v>
      </c>
      <c r="H12434" t="s">
        <v>432</v>
      </c>
    </row>
    <row r="12435" spans="1:8" hidden="1" x14ac:dyDescent="0.25">
      <c r="A12435" t="s">
        <v>16379</v>
      </c>
      <c r="B12435" s="1" t="str">
        <f>HYPERLINK("https://asmlis.vasa.lt/Dashboard/Served?ServiceDateFrom=2025-11-24&amp;ServiceDateTo=2025-11-24&amp;DumpsterInvNr=13-S-205004", "13-S-205004")</f>
        <v>13-S-205004</v>
      </c>
      <c r="C12435">
        <v>0.12</v>
      </c>
      <c r="D12435" t="s">
        <v>15925</v>
      </c>
      <c r="E12435" t="s">
        <v>11</v>
      </c>
      <c r="G12435" t="s">
        <v>234</v>
      </c>
      <c r="H12435" t="s">
        <v>14</v>
      </c>
    </row>
    <row r="12436" spans="1:8" hidden="1" x14ac:dyDescent="0.25">
      <c r="A12436" t="s">
        <v>16380</v>
      </c>
      <c r="B12436" s="1" t="str">
        <f>HYPERLINK("https://asmlis.vasa.lt/Dashboard/Served?ServiceDateFrom=2025-11-24&amp;ServiceDateTo=2025-11-24&amp;DumpsterInvNr=13-P-505953", "13-P-505953")</f>
        <v>13-P-505953</v>
      </c>
      <c r="C12436">
        <v>0.24</v>
      </c>
      <c r="D12436" t="s">
        <v>16381</v>
      </c>
      <c r="E12436" t="s">
        <v>11</v>
      </c>
      <c r="G12436" t="s">
        <v>2178</v>
      </c>
      <c r="H12436" t="s">
        <v>432</v>
      </c>
    </row>
    <row r="12437" spans="1:8" hidden="1" x14ac:dyDescent="0.25">
      <c r="A12437" t="s">
        <v>16382</v>
      </c>
      <c r="B12437" s="1" t="str">
        <f>HYPERLINK("https://asmlis.vasa.lt/Dashboard/Served?ServiceDateFrom=2025-11-24&amp;ServiceDateTo=2025-11-24&amp;DumpsterInvNr=13-L-420934", "13-L-420934")</f>
        <v>13-L-420934</v>
      </c>
      <c r="C12437">
        <v>5</v>
      </c>
      <c r="D12437" t="s">
        <v>10813</v>
      </c>
      <c r="E12437" t="s">
        <v>11</v>
      </c>
      <c r="F12437" t="s">
        <v>13</v>
      </c>
      <c r="G12437" t="s">
        <v>74</v>
      </c>
      <c r="H12437" t="s">
        <v>14</v>
      </c>
    </row>
    <row r="12438" spans="1:8" hidden="1" x14ac:dyDescent="0.25">
      <c r="A12438" t="s">
        <v>16383</v>
      </c>
      <c r="B12438" s="1" t="str">
        <f>HYPERLINK("https://asmlis.vasa.lt/Dashboard/Served?ServiceDateFrom=2025-11-24&amp;ServiceDateTo=2025-11-24&amp;DumpsterInvNr=13-P-204175", "13-P-204175")</f>
        <v>13-P-204175</v>
      </c>
      <c r="C12438">
        <v>0.24</v>
      </c>
      <c r="D12438" t="s">
        <v>15925</v>
      </c>
      <c r="E12438" t="s">
        <v>11</v>
      </c>
      <c r="G12438" t="s">
        <v>234</v>
      </c>
      <c r="H12438" t="s">
        <v>14</v>
      </c>
    </row>
    <row r="12439" spans="1:8" hidden="1" x14ac:dyDescent="0.25">
      <c r="A12439" t="s">
        <v>16384</v>
      </c>
      <c r="B12439" s="1" t="str">
        <f>HYPERLINK("https://asmlis.vasa.lt/Dashboard/Served?ServiceDateFrom=2025-11-24&amp;ServiceDateTo=2025-11-24&amp;DumpsterInvNr=13-P-305421", "13-P-305421")</f>
        <v>13-P-305421</v>
      </c>
      <c r="C12439">
        <v>5</v>
      </c>
      <c r="D12439" t="s">
        <v>13310</v>
      </c>
      <c r="E12439" t="s">
        <v>11</v>
      </c>
      <c r="F12439" t="s">
        <v>13</v>
      </c>
      <c r="G12439" t="s">
        <v>412</v>
      </c>
      <c r="H12439" t="s">
        <v>14</v>
      </c>
    </row>
    <row r="12440" spans="1:8" hidden="1" x14ac:dyDescent="0.25">
      <c r="A12440" t="s">
        <v>16385</v>
      </c>
      <c r="B12440" s="1" t="str">
        <f>HYPERLINK("https://asmlis.vasa.lt/Dashboard/Served?ServiceDateFrom=2025-11-24&amp;ServiceDateTo=2025-11-24&amp;DumpsterInvNr=13-P-213481", "13-P-213481")</f>
        <v>13-P-213481</v>
      </c>
      <c r="C12440">
        <v>1.1000000000000001</v>
      </c>
      <c r="D12440" t="s">
        <v>16386</v>
      </c>
      <c r="E12440" t="s">
        <v>11</v>
      </c>
      <c r="G12440" t="s">
        <v>234</v>
      </c>
      <c r="H12440" t="s">
        <v>14</v>
      </c>
    </row>
    <row r="12441" spans="1:8" hidden="1" x14ac:dyDescent="0.25">
      <c r="A12441" t="s">
        <v>16218</v>
      </c>
      <c r="B12441" s="1" t="str">
        <f>HYPERLINK("https://asmlis.vasa.lt/Dashboard/Served?ServiceDateFrom=2025-11-24&amp;ServiceDateTo=2025-11-24&amp;DumpsterInvNr=13-L-112055", "13-L-112055")</f>
        <v>13-L-112055</v>
      </c>
      <c r="C12441">
        <v>0.24</v>
      </c>
      <c r="D12441" t="s">
        <v>16387</v>
      </c>
      <c r="E12441" t="s">
        <v>11</v>
      </c>
      <c r="G12441" t="s">
        <v>430</v>
      </c>
      <c r="H12441" t="s">
        <v>432</v>
      </c>
    </row>
    <row r="12442" spans="1:8" hidden="1" x14ac:dyDescent="0.25">
      <c r="A12442" t="s">
        <v>16388</v>
      </c>
      <c r="B12442" s="1" t="str">
        <f>HYPERLINK("https://asmlis.vasa.lt/Dashboard/Served?ServiceDateFrom=2025-11-24&amp;ServiceDateTo=2025-11-24&amp;DumpsterInvNr=13-L-146173", "13-L-146173")</f>
        <v>13-L-146173</v>
      </c>
      <c r="C12442">
        <v>0.24</v>
      </c>
      <c r="D12442" t="s">
        <v>16381</v>
      </c>
      <c r="E12442" t="s">
        <v>11</v>
      </c>
      <c r="G12442" t="s">
        <v>430</v>
      </c>
      <c r="H12442" t="s">
        <v>432</v>
      </c>
    </row>
    <row r="12443" spans="1:8" hidden="1" x14ac:dyDescent="0.25">
      <c r="A12443" t="s">
        <v>16388</v>
      </c>
      <c r="B12443" s="1" t="str">
        <f>HYPERLINK("https://asmlis.vasa.lt/Dashboard/Served?ServiceDateFrom=2025-11-24&amp;ServiceDateTo=2025-11-24&amp;DumpsterInvNr=13-P-506739", "13-P-506739")</f>
        <v>13-P-506739</v>
      </c>
      <c r="C12443">
        <v>0.24</v>
      </c>
      <c r="D12443" t="s">
        <v>16387</v>
      </c>
      <c r="E12443" t="s">
        <v>11</v>
      </c>
      <c r="G12443" t="s">
        <v>2178</v>
      </c>
      <c r="H12443" t="s">
        <v>432</v>
      </c>
    </row>
    <row r="12444" spans="1:8" hidden="1" x14ac:dyDescent="0.25">
      <c r="A12444" t="s">
        <v>16238</v>
      </c>
      <c r="B12444" s="1" t="str">
        <f>HYPERLINK("https://asmlis.vasa.lt/Dashboard/Served?ServiceDateFrom=2025-11-24&amp;ServiceDateTo=2025-11-24&amp;DumpsterInvNr=13-L-136060", "13-L-136060")</f>
        <v>13-L-136060</v>
      </c>
      <c r="C12444">
        <v>5</v>
      </c>
      <c r="D12444" t="s">
        <v>16389</v>
      </c>
      <c r="E12444" t="s">
        <v>11</v>
      </c>
      <c r="F12444" t="s">
        <v>13</v>
      </c>
      <c r="G12444" t="s">
        <v>430</v>
      </c>
      <c r="H12444" t="s">
        <v>432</v>
      </c>
    </row>
    <row r="12445" spans="1:8" hidden="1" x14ac:dyDescent="0.25">
      <c r="A12445" t="s">
        <v>16391</v>
      </c>
      <c r="B12445" s="1" t="str">
        <f>HYPERLINK("https://asmlis.vasa.lt/Dashboard/Served?ServiceDateFrom=2025-11-24&amp;ServiceDateTo=2025-11-24&amp;DumpsterInvNr=13-L-113433", "13-L-113433")</f>
        <v>13-L-113433</v>
      </c>
      <c r="C12445">
        <v>0.24</v>
      </c>
      <c r="D12445" t="s">
        <v>16392</v>
      </c>
      <c r="E12445" t="s">
        <v>11</v>
      </c>
      <c r="F12445" t="s">
        <v>1209</v>
      </c>
      <c r="G12445" t="s">
        <v>430</v>
      </c>
      <c r="H12445" t="s">
        <v>432</v>
      </c>
    </row>
    <row r="12446" spans="1:8" hidden="1" x14ac:dyDescent="0.25">
      <c r="A12446" t="s">
        <v>16391</v>
      </c>
      <c r="B12446" s="1" t="str">
        <f>HYPERLINK("https://asmlis.vasa.lt/Dashboard/Served?ServiceDateFrom=2025-11-24&amp;ServiceDateTo=2025-11-24&amp;DumpsterInvNr=13-P-409117", "13-P-409117")</f>
        <v>13-P-409117</v>
      </c>
      <c r="C12446">
        <v>1.1000000000000001</v>
      </c>
      <c r="D12446" t="s">
        <v>16393</v>
      </c>
      <c r="E12446" t="s">
        <v>11</v>
      </c>
      <c r="G12446" t="s">
        <v>264</v>
      </c>
      <c r="H12446" t="s">
        <v>14</v>
      </c>
    </row>
    <row r="12447" spans="1:8" hidden="1" x14ac:dyDescent="0.25">
      <c r="A12447" t="s">
        <v>16394</v>
      </c>
      <c r="B12447" s="1" t="str">
        <f>HYPERLINK("https://asmlis.vasa.lt/Dashboard/Served?ServiceDateFrom=2025-11-24&amp;ServiceDateTo=2025-11-24&amp;DumpsterInvNr=13-P-500404", "13-P-500404")</f>
        <v>13-P-500404</v>
      </c>
      <c r="C12447">
        <v>5</v>
      </c>
      <c r="D12447" t="s">
        <v>15666</v>
      </c>
      <c r="E12447" t="s">
        <v>11</v>
      </c>
      <c r="F12447" t="s">
        <v>13</v>
      </c>
      <c r="G12447" t="s">
        <v>2178</v>
      </c>
      <c r="H12447" t="s">
        <v>432</v>
      </c>
    </row>
    <row r="12448" spans="1:8" hidden="1" x14ac:dyDescent="0.25">
      <c r="A12448" t="s">
        <v>16395</v>
      </c>
      <c r="B12448" s="1" t="str">
        <f>HYPERLINK("https://asmlis.vasa.lt/Dashboard/Served?ServiceDateFrom=2025-11-24&amp;ServiceDateTo=2025-11-24&amp;DumpsterInvNr=13-L-114686", "13-L-114686")</f>
        <v>13-L-114686</v>
      </c>
      <c r="C12448">
        <v>0.12</v>
      </c>
      <c r="D12448" t="s">
        <v>16396</v>
      </c>
      <c r="E12448" t="s">
        <v>11</v>
      </c>
      <c r="G12448" t="s">
        <v>430</v>
      </c>
      <c r="H12448" t="s">
        <v>432</v>
      </c>
    </row>
    <row r="12449" spans="1:10" hidden="1" x14ac:dyDescent="0.25">
      <c r="A12449" t="s">
        <v>16395</v>
      </c>
      <c r="B12449" s="1" t="str">
        <f>HYPERLINK("https://asmlis.vasa.lt/Dashboard/Served?ServiceDateFrom=2025-11-24&amp;ServiceDateTo=2025-11-24&amp;DumpsterInvNr=13-P-506698", "13-P-506698")</f>
        <v>13-P-506698</v>
      </c>
      <c r="C12449">
        <v>0.24</v>
      </c>
      <c r="D12449" t="s">
        <v>16396</v>
      </c>
      <c r="E12449" t="s">
        <v>11</v>
      </c>
      <c r="G12449" t="s">
        <v>2178</v>
      </c>
      <c r="H12449" t="s">
        <v>432</v>
      </c>
    </row>
    <row r="12450" spans="1:10" hidden="1" x14ac:dyDescent="0.25">
      <c r="A12450" t="s">
        <v>16397</v>
      </c>
      <c r="B12450" s="1" t="str">
        <f>HYPERLINK("https://asmlis.vasa.lt/Dashboard/Served?ServiceDateFrom=2025-11-24&amp;ServiceDateTo=2025-11-24&amp;DumpsterInvNr=13-P-207472", "13-P-207472")</f>
        <v>13-P-207472</v>
      </c>
      <c r="C12450">
        <v>0.24</v>
      </c>
      <c r="D12450" t="s">
        <v>15963</v>
      </c>
      <c r="E12450" t="s">
        <v>11</v>
      </c>
      <c r="F12450" t="s">
        <v>1209</v>
      </c>
      <c r="G12450" t="s">
        <v>234</v>
      </c>
      <c r="H12450" t="s">
        <v>14</v>
      </c>
    </row>
    <row r="12451" spans="1:10" hidden="1" x14ac:dyDescent="0.25">
      <c r="A12451" t="s">
        <v>16398</v>
      </c>
      <c r="B12451" s="1" t="str">
        <f>HYPERLINK("https://asmlis.vasa.lt/Dashboard/Served?ServiceDateFrom=2025-11-24&amp;ServiceDateTo=2025-11-24&amp;DumpsterInvNr=13-P-205531", "13-P-205531")</f>
        <v>13-P-205531</v>
      </c>
      <c r="C12451">
        <v>0.24</v>
      </c>
      <c r="D12451" t="s">
        <v>15963</v>
      </c>
      <c r="E12451" t="s">
        <v>11</v>
      </c>
      <c r="F12451" t="s">
        <v>1209</v>
      </c>
      <c r="G12451" t="s">
        <v>234</v>
      </c>
      <c r="H12451" t="s">
        <v>14</v>
      </c>
    </row>
    <row r="12452" spans="1:10" hidden="1" x14ac:dyDescent="0.25">
      <c r="A12452" t="s">
        <v>16400</v>
      </c>
      <c r="B12452" s="1" t="str">
        <f>HYPERLINK("https://asmlis.vasa.lt/Dashboard/Served?ServiceDateFrom=2025-11-24&amp;ServiceDateTo=2025-11-24&amp;DumpsterInvNr=13-L-137137", "13-L-137137")</f>
        <v>13-L-137137</v>
      </c>
      <c r="C12452">
        <v>0.24</v>
      </c>
      <c r="D12452" t="s">
        <v>16401</v>
      </c>
      <c r="E12452" t="s">
        <v>11</v>
      </c>
      <c r="G12452" t="s">
        <v>1912</v>
      </c>
      <c r="H12452" t="s">
        <v>432</v>
      </c>
    </row>
    <row r="12453" spans="1:10" hidden="1" x14ac:dyDescent="0.25">
      <c r="A12453" t="s">
        <v>16400</v>
      </c>
      <c r="B12453" s="1" t="str">
        <f>HYPERLINK("https://asmlis.vasa.lt/Dashboard/Served?ServiceDateFrom=2025-11-24&amp;ServiceDateTo=2025-11-24&amp;DumpsterInvNr=13-P-112250", "13-P-112250")</f>
        <v>13-P-112250</v>
      </c>
      <c r="C12453">
        <v>0.24</v>
      </c>
      <c r="D12453" t="s">
        <v>16401</v>
      </c>
      <c r="E12453" t="s">
        <v>11</v>
      </c>
      <c r="G12453" t="s">
        <v>1917</v>
      </c>
      <c r="H12453" t="s">
        <v>432</v>
      </c>
    </row>
    <row r="12454" spans="1:10" hidden="1" x14ac:dyDescent="0.25">
      <c r="A12454" t="s">
        <v>16400</v>
      </c>
      <c r="B12454" s="1" t="str">
        <f>HYPERLINK("https://asmlis.vasa.lt/Dashboard/Served?ServiceDateFrom=2025-11-24&amp;ServiceDateTo=2025-11-24&amp;DumpsterInvNr=13-L-125906", "13-L-125906")</f>
        <v>13-L-125906</v>
      </c>
      <c r="C12454">
        <v>0.24</v>
      </c>
      <c r="D12454" t="s">
        <v>16402</v>
      </c>
      <c r="E12454" t="s">
        <v>11</v>
      </c>
      <c r="F12454" t="s">
        <v>1209</v>
      </c>
      <c r="G12454" t="s">
        <v>430</v>
      </c>
      <c r="H12454" t="s">
        <v>432</v>
      </c>
    </row>
    <row r="12455" spans="1:10" hidden="1" x14ac:dyDescent="0.25">
      <c r="A12455" t="s">
        <v>16403</v>
      </c>
      <c r="B12455" s="1" t="str">
        <f>HYPERLINK("https://asmlis.vasa.lt/Dashboard/Served?ServiceDateFrom=2025-11-24&amp;ServiceDateTo=2025-11-24&amp;DumpsterInvNr=13-P-506699", "13-P-506699")</f>
        <v>13-P-506699</v>
      </c>
      <c r="C12455">
        <v>0.24</v>
      </c>
      <c r="D12455" t="s">
        <v>16402</v>
      </c>
      <c r="E12455" t="s">
        <v>11</v>
      </c>
      <c r="F12455" t="s">
        <v>1209</v>
      </c>
      <c r="G12455" t="s">
        <v>2178</v>
      </c>
      <c r="H12455" t="s">
        <v>432</v>
      </c>
    </row>
    <row r="12456" spans="1:10" hidden="1" x14ac:dyDescent="0.25">
      <c r="A12456" t="s">
        <v>16406</v>
      </c>
      <c r="B12456" s="1" t="str">
        <f>HYPERLINK("https://asmlis.vasa.lt/Dashboard/Served?ServiceDateFrom=2025-11-24&amp;ServiceDateTo=2025-11-24&amp;DumpsterInvNr=13-P-207191", "13-P-207191")</f>
        <v>13-P-207191</v>
      </c>
      <c r="C12456">
        <v>0.24</v>
      </c>
      <c r="D12456" t="s">
        <v>15957</v>
      </c>
      <c r="E12456" t="s">
        <v>11</v>
      </c>
      <c r="G12456" t="s">
        <v>234</v>
      </c>
      <c r="H12456" t="s">
        <v>14</v>
      </c>
    </row>
    <row r="12457" spans="1:10" hidden="1" x14ac:dyDescent="0.25">
      <c r="A12457" t="s">
        <v>16407</v>
      </c>
      <c r="B12457" s="1" t="str">
        <f>HYPERLINK("https://asmlis.vasa.lt/Dashboard/Served?ServiceDateFrom=2025-11-24&amp;ServiceDateTo=2025-11-24&amp;DumpsterInvNr=13-L-140414", "13-L-140414")</f>
        <v>13-L-140414</v>
      </c>
      <c r="C12457">
        <v>0.24</v>
      </c>
      <c r="D12457" t="s">
        <v>16408</v>
      </c>
      <c r="E12457" t="s">
        <v>11</v>
      </c>
      <c r="G12457" t="s">
        <v>1912</v>
      </c>
      <c r="H12457" t="s">
        <v>432</v>
      </c>
    </row>
    <row r="12458" spans="1:10" hidden="1" x14ac:dyDescent="0.25">
      <c r="A12458" t="s">
        <v>16410</v>
      </c>
      <c r="B12458" s="1" t="str">
        <f>HYPERLINK("https://asmlis.vasa.lt/Dashboard/Served?ServiceDateFrom=2025-11-24&amp;ServiceDateTo=2025-11-24&amp;DumpsterInvNr=13-L-318657", "13-L-318657")</f>
        <v>13-L-318657</v>
      </c>
      <c r="C12458">
        <v>0.66</v>
      </c>
      <c r="D12458" t="s">
        <v>16411</v>
      </c>
      <c r="E12458" t="s">
        <v>11</v>
      </c>
      <c r="G12458" t="s">
        <v>9</v>
      </c>
      <c r="H12458" t="s">
        <v>14</v>
      </c>
    </row>
    <row r="12459" spans="1:10" hidden="1" x14ac:dyDescent="0.25">
      <c r="A12459" t="s">
        <v>16410</v>
      </c>
      <c r="B12459" s="1" t="str">
        <f>HYPERLINK("https://asmlis.vasa.lt/Dashboard/Served?ServiceDateFrom=2025-11-24&amp;ServiceDateTo=2025-11-24&amp;DumpsterInvNr=13-L-125907", "13-L-125907")</f>
        <v>13-L-125907</v>
      </c>
      <c r="C12459">
        <v>0.24</v>
      </c>
      <c r="D12459" t="s">
        <v>16412</v>
      </c>
      <c r="E12459" t="s">
        <v>11</v>
      </c>
      <c r="G12459" t="s">
        <v>430</v>
      </c>
      <c r="H12459" t="s">
        <v>432</v>
      </c>
    </row>
    <row r="12460" spans="1:10" x14ac:dyDescent="0.25">
      <c r="A12460" t="s">
        <v>16413</v>
      </c>
      <c r="B12460" s="1" t="str">
        <f>HYPERLINK("https://asmlis.vasa.lt/Dashboard/Served?ServiceDateFrom=2025-11-24&amp;ServiceDateTo=2025-11-24&amp;DumpsterInvNr=13-P-102489", "13-P-102489")</f>
        <v>13-P-102489</v>
      </c>
      <c r="C12460">
        <v>5</v>
      </c>
      <c r="D12460" t="s">
        <v>13710</v>
      </c>
      <c r="E12460" t="s">
        <v>11</v>
      </c>
      <c r="F12460" t="s">
        <v>12664</v>
      </c>
      <c r="G12460" t="s">
        <v>1917</v>
      </c>
      <c r="H12460" t="s">
        <v>432</v>
      </c>
      <c r="J12460" t="s">
        <v>17511</v>
      </c>
    </row>
    <row r="12461" spans="1:10" hidden="1" x14ac:dyDescent="0.25">
      <c r="A12461" t="s">
        <v>16414</v>
      </c>
      <c r="B12461" s="1" t="str">
        <f>HYPERLINK("https://asmlis.vasa.lt/Dashboard/Served?ServiceDateFrom=2025-11-24&amp;ServiceDateTo=2025-11-24&amp;DumpsterInvNr=13-L-143408", "13-L-143408")</f>
        <v>13-L-143408</v>
      </c>
      <c r="C12461">
        <v>5</v>
      </c>
      <c r="D12461" t="s">
        <v>16415</v>
      </c>
      <c r="E12461" t="s">
        <v>11</v>
      </c>
      <c r="F12461" t="s">
        <v>13</v>
      </c>
      <c r="G12461" t="s">
        <v>430</v>
      </c>
      <c r="H12461" t="s">
        <v>432</v>
      </c>
    </row>
    <row r="12462" spans="1:10" hidden="1" x14ac:dyDescent="0.25">
      <c r="A12462" t="s">
        <v>16416</v>
      </c>
      <c r="B12462" s="1" t="str">
        <f>HYPERLINK("https://asmlis.vasa.lt/Dashboard/Served?ServiceDateFrom=2025-11-24&amp;ServiceDateTo=2025-11-24&amp;DumpsterInvNr=13-S-210779", "13-S-210779")</f>
        <v>13-S-210779</v>
      </c>
      <c r="C12462">
        <v>0.12</v>
      </c>
      <c r="D12462" t="s">
        <v>15957</v>
      </c>
      <c r="E12462" t="s">
        <v>11</v>
      </c>
      <c r="F12462" t="s">
        <v>1209</v>
      </c>
      <c r="G12462" t="s">
        <v>234</v>
      </c>
      <c r="H12462" t="s">
        <v>14</v>
      </c>
    </row>
    <row r="12463" spans="1:10" hidden="1" x14ac:dyDescent="0.25">
      <c r="A12463" t="s">
        <v>16417</v>
      </c>
      <c r="B12463" s="1" t="str">
        <f>HYPERLINK("https://asmlis.vasa.lt/Dashboard/Served?ServiceDateFrom=2025-11-24&amp;ServiceDateTo=2025-11-24&amp;DumpsterInvNr=13-P-112709", "13-P-112709")</f>
        <v>13-P-112709</v>
      </c>
      <c r="C12463">
        <v>0.24</v>
      </c>
      <c r="D12463" t="s">
        <v>16418</v>
      </c>
      <c r="E12463" t="s">
        <v>11</v>
      </c>
      <c r="G12463" t="s">
        <v>1917</v>
      </c>
      <c r="H12463" t="s">
        <v>432</v>
      </c>
    </row>
    <row r="12464" spans="1:10" hidden="1" x14ac:dyDescent="0.25">
      <c r="A12464" t="s">
        <v>16419</v>
      </c>
      <c r="B12464" s="1" t="str">
        <f>HYPERLINK("https://asmlis.vasa.lt/Dashboard/Served?ServiceDateFrom=2025-11-24&amp;ServiceDateTo=2025-11-24&amp;DumpsterInvNr=13-P-208776", "13-P-208776")</f>
        <v>13-P-208776</v>
      </c>
      <c r="C12464">
        <v>0.24</v>
      </c>
      <c r="D12464" t="s">
        <v>15971</v>
      </c>
      <c r="E12464" t="s">
        <v>11</v>
      </c>
      <c r="F12464" t="s">
        <v>1209</v>
      </c>
      <c r="G12464" t="s">
        <v>234</v>
      </c>
      <c r="H12464" t="s">
        <v>14</v>
      </c>
    </row>
    <row r="12465" spans="1:8" hidden="1" x14ac:dyDescent="0.25">
      <c r="A12465" t="s">
        <v>16421</v>
      </c>
      <c r="B12465" s="1" t="str">
        <f>HYPERLINK("https://asmlis.vasa.lt/Dashboard/Served?ServiceDateFrom=2025-11-24&amp;ServiceDateTo=2025-11-24&amp;DumpsterInvNr=13-S-211280", "13-S-211280")</f>
        <v>13-S-211280</v>
      </c>
      <c r="C12465">
        <v>3</v>
      </c>
      <c r="D12465" t="s">
        <v>2466</v>
      </c>
      <c r="E12465" t="s">
        <v>11</v>
      </c>
      <c r="G12465" t="s">
        <v>234</v>
      </c>
      <c r="H12465" t="s">
        <v>14</v>
      </c>
    </row>
    <row r="12466" spans="1:8" hidden="1" x14ac:dyDescent="0.25">
      <c r="A12466" t="s">
        <v>16423</v>
      </c>
      <c r="B12466" s="1" t="str">
        <f>HYPERLINK("https://asmlis.vasa.lt/Dashboard/Served?ServiceDateFrom=2025-11-24&amp;ServiceDateTo=2025-11-24&amp;DumpsterInvNr=13-L-118359", "13-L-118359")</f>
        <v>13-L-118359</v>
      </c>
      <c r="C12466">
        <v>0.12</v>
      </c>
      <c r="D12466" t="s">
        <v>16418</v>
      </c>
      <c r="E12466" t="s">
        <v>11</v>
      </c>
      <c r="G12466" t="s">
        <v>1912</v>
      </c>
      <c r="H12466" t="s">
        <v>432</v>
      </c>
    </row>
    <row r="12467" spans="1:8" hidden="1" x14ac:dyDescent="0.25">
      <c r="A12467" t="s">
        <v>16424</v>
      </c>
      <c r="B12467" s="1" t="str">
        <f>HYPERLINK("https://asmlis.vasa.lt/Dashboard/Served?ServiceDateFrom=2025-11-24&amp;ServiceDateTo=2025-11-24&amp;DumpsterInvNr=13-L-108260", "13-L-108260")</f>
        <v>13-L-108260</v>
      </c>
      <c r="C12467">
        <v>0.12</v>
      </c>
      <c r="D12467" t="s">
        <v>16425</v>
      </c>
      <c r="E12467" t="s">
        <v>11</v>
      </c>
      <c r="G12467" t="s">
        <v>430</v>
      </c>
      <c r="H12467" t="s">
        <v>432</v>
      </c>
    </row>
    <row r="12468" spans="1:8" hidden="1" x14ac:dyDescent="0.25">
      <c r="A12468" t="s">
        <v>16426</v>
      </c>
      <c r="B12468" s="1" t="str">
        <f>HYPERLINK("https://asmlis.vasa.lt/Dashboard/Served?ServiceDateFrom=2025-11-24&amp;ServiceDateTo=2025-11-24&amp;DumpsterInvNr=13-S-210688", "13-S-210688")</f>
        <v>13-S-210688</v>
      </c>
      <c r="C12468">
        <v>0.12</v>
      </c>
      <c r="D12468" t="s">
        <v>16022</v>
      </c>
      <c r="E12468" t="s">
        <v>11</v>
      </c>
      <c r="F12468" t="s">
        <v>1209</v>
      </c>
      <c r="G12468" t="s">
        <v>234</v>
      </c>
      <c r="H12468" t="s">
        <v>14</v>
      </c>
    </row>
    <row r="12469" spans="1:8" hidden="1" x14ac:dyDescent="0.25">
      <c r="A12469" t="s">
        <v>16427</v>
      </c>
      <c r="B12469" s="1" t="str">
        <f>HYPERLINK("https://asmlis.vasa.lt/Dashboard/Served?ServiceDateFrom=2025-11-24&amp;ServiceDateTo=2025-11-24&amp;DumpsterInvNr=13-P-304031", "13-P-304031")</f>
        <v>13-P-304031</v>
      </c>
      <c r="C12469">
        <v>3</v>
      </c>
      <c r="D12469" t="s">
        <v>13492</v>
      </c>
      <c r="E12469" t="s">
        <v>11</v>
      </c>
      <c r="G12469" t="s">
        <v>412</v>
      </c>
      <c r="H12469" t="s">
        <v>14</v>
      </c>
    </row>
    <row r="12470" spans="1:8" hidden="1" x14ac:dyDescent="0.25">
      <c r="A12470" t="s">
        <v>16428</v>
      </c>
      <c r="B12470" s="1" t="str">
        <f>HYPERLINK("https://asmlis.vasa.lt/Dashboard/Served?ServiceDateFrom=2025-11-24&amp;ServiceDateTo=2025-11-24&amp;DumpsterInvNr=13-P-112207", "13-P-112207")</f>
        <v>13-P-112207</v>
      </c>
      <c r="C12470">
        <v>0.24</v>
      </c>
      <c r="D12470" t="s">
        <v>15978</v>
      </c>
      <c r="E12470" t="s">
        <v>11</v>
      </c>
      <c r="G12470" t="s">
        <v>1917</v>
      </c>
      <c r="H12470" t="s">
        <v>432</v>
      </c>
    </row>
    <row r="12471" spans="1:8" hidden="1" x14ac:dyDescent="0.25">
      <c r="A12471" t="s">
        <v>16429</v>
      </c>
      <c r="B12471" s="1" t="str">
        <f>HYPERLINK("https://asmlis.vasa.lt/Dashboard/Served?ServiceDateFrom=2025-11-24&amp;ServiceDateTo=2025-11-24&amp;DumpsterInvNr=13-P-204138", "13-P-204138")</f>
        <v>13-P-204138</v>
      </c>
      <c r="C12471">
        <v>0.24</v>
      </c>
      <c r="D12471" t="s">
        <v>15991</v>
      </c>
      <c r="E12471" t="s">
        <v>11</v>
      </c>
      <c r="G12471" t="s">
        <v>234</v>
      </c>
      <c r="H12471" t="s">
        <v>14</v>
      </c>
    </row>
    <row r="12472" spans="1:8" hidden="1" x14ac:dyDescent="0.25">
      <c r="A12472" t="s">
        <v>16430</v>
      </c>
      <c r="B12472" s="1" t="str">
        <f>HYPERLINK("https://asmlis.vasa.lt/Dashboard/Served?ServiceDateFrom=2025-11-24&amp;ServiceDateTo=2025-11-24&amp;DumpsterInvNr=13-L-318459", "13-L-318459")</f>
        <v>13-L-318459</v>
      </c>
      <c r="C12472">
        <v>1.1000000000000001</v>
      </c>
      <c r="D12472" t="s">
        <v>16431</v>
      </c>
      <c r="E12472" t="s">
        <v>11</v>
      </c>
      <c r="G12472" t="s">
        <v>9</v>
      </c>
      <c r="H12472" t="s">
        <v>14</v>
      </c>
    </row>
    <row r="12473" spans="1:8" hidden="1" x14ac:dyDescent="0.25">
      <c r="A12473" t="s">
        <v>16430</v>
      </c>
      <c r="B12473" s="1" t="str">
        <f>HYPERLINK("https://asmlis.vasa.lt/Dashboard/Served?ServiceDateFrom=2025-11-24&amp;ServiceDateTo=2025-11-24&amp;DumpsterInvNr=13-P-207392", "13-P-207392")</f>
        <v>13-P-207392</v>
      </c>
      <c r="C12473">
        <v>0.24</v>
      </c>
      <c r="D12473" t="s">
        <v>16022</v>
      </c>
      <c r="E12473" t="s">
        <v>11</v>
      </c>
      <c r="F12473" t="s">
        <v>1209</v>
      </c>
      <c r="G12473" t="s">
        <v>234</v>
      </c>
      <c r="H12473" t="s">
        <v>14</v>
      </c>
    </row>
    <row r="12474" spans="1:8" hidden="1" x14ac:dyDescent="0.25">
      <c r="A12474" t="s">
        <v>16432</v>
      </c>
      <c r="B12474" s="1" t="str">
        <f>HYPERLINK("https://asmlis.vasa.lt/Dashboard/Served?ServiceDateFrom=2025-11-24&amp;ServiceDateTo=2025-11-24&amp;DumpsterInvNr=13-L-117624", "13-L-117624")</f>
        <v>13-L-117624</v>
      </c>
      <c r="C12474">
        <v>0.12</v>
      </c>
      <c r="D12474" t="s">
        <v>16433</v>
      </c>
      <c r="E12474" t="s">
        <v>11</v>
      </c>
      <c r="G12474" t="s">
        <v>1912</v>
      </c>
      <c r="H12474" t="s">
        <v>432</v>
      </c>
    </row>
    <row r="12475" spans="1:8" hidden="1" x14ac:dyDescent="0.25">
      <c r="A12475" t="s">
        <v>16434</v>
      </c>
      <c r="B12475" s="1" t="str">
        <f>HYPERLINK("https://asmlis.vasa.lt/Dashboard/Served?ServiceDateFrom=2025-11-24&amp;ServiceDateTo=2025-11-24&amp;DumpsterInvNr=13-S-205057", "13-S-205057")</f>
        <v>13-S-205057</v>
      </c>
      <c r="C12475">
        <v>0.12</v>
      </c>
      <c r="D12475" t="s">
        <v>15991</v>
      </c>
      <c r="E12475" t="s">
        <v>11</v>
      </c>
      <c r="F12475" t="s">
        <v>1209</v>
      </c>
      <c r="G12475" t="s">
        <v>234</v>
      </c>
      <c r="H12475" t="s">
        <v>14</v>
      </c>
    </row>
    <row r="12476" spans="1:8" hidden="1" x14ac:dyDescent="0.25">
      <c r="A12476" t="s">
        <v>16435</v>
      </c>
      <c r="B12476" s="1" t="str">
        <f>HYPERLINK("https://asmlis.vasa.lt/Dashboard/Served?ServiceDateFrom=2025-11-24&amp;ServiceDateTo=2025-11-24&amp;DumpsterInvNr=13-L-123399", "13-L-123399")</f>
        <v>13-L-123399</v>
      </c>
      <c r="C12476">
        <v>0.24</v>
      </c>
      <c r="D12476" t="s">
        <v>16436</v>
      </c>
      <c r="E12476" t="s">
        <v>11</v>
      </c>
      <c r="G12476" t="s">
        <v>430</v>
      </c>
      <c r="H12476" t="s">
        <v>432</v>
      </c>
    </row>
    <row r="12477" spans="1:8" hidden="1" x14ac:dyDescent="0.25">
      <c r="A12477" t="s">
        <v>16437</v>
      </c>
      <c r="B12477" s="1" t="str">
        <f>HYPERLINK("https://asmlis.vasa.lt/Dashboard/Served?ServiceDateFrom=2025-11-24&amp;ServiceDateTo=2025-11-24&amp;DumpsterInvNr=13-L-139684", "13-L-139684")</f>
        <v>13-L-139684</v>
      </c>
      <c r="C12477">
        <v>5</v>
      </c>
      <c r="D12477" t="s">
        <v>3881</v>
      </c>
      <c r="E12477" t="s">
        <v>11</v>
      </c>
      <c r="F12477" t="s">
        <v>13</v>
      </c>
      <c r="G12477" t="s">
        <v>1912</v>
      </c>
      <c r="H12477" t="s">
        <v>432</v>
      </c>
    </row>
    <row r="12478" spans="1:8" hidden="1" x14ac:dyDescent="0.25">
      <c r="A12478" t="s">
        <v>16438</v>
      </c>
      <c r="B12478" s="1" t="str">
        <f>HYPERLINK("https://asmlis.vasa.lt/Dashboard/Served?ServiceDateFrom=2025-11-24&amp;ServiceDateTo=2025-11-24&amp;DumpsterInvNr=13-P-102490", "13-P-102490")</f>
        <v>13-P-102490</v>
      </c>
      <c r="C12478">
        <v>5</v>
      </c>
      <c r="D12478" t="s">
        <v>13767</v>
      </c>
      <c r="E12478" t="s">
        <v>11</v>
      </c>
      <c r="F12478" t="s">
        <v>13</v>
      </c>
      <c r="G12478" t="s">
        <v>1917</v>
      </c>
      <c r="H12478" t="s">
        <v>432</v>
      </c>
    </row>
    <row r="12479" spans="1:8" hidden="1" x14ac:dyDescent="0.25">
      <c r="A12479" t="s">
        <v>16439</v>
      </c>
      <c r="B12479" s="1" t="str">
        <f>HYPERLINK("https://asmlis.vasa.lt/Dashboard/Served?ServiceDateFrom=2025-11-24&amp;ServiceDateTo=2025-11-24&amp;DumpsterInvNr=13-P-101063", "13-P-101063")</f>
        <v>13-P-101063</v>
      </c>
      <c r="C12479">
        <v>1.1000000000000001</v>
      </c>
      <c r="D12479" t="s">
        <v>16440</v>
      </c>
      <c r="E12479" t="s">
        <v>11</v>
      </c>
      <c r="G12479" t="s">
        <v>1917</v>
      </c>
      <c r="H12479" t="s">
        <v>432</v>
      </c>
    </row>
    <row r="12480" spans="1:8" hidden="1" x14ac:dyDescent="0.25">
      <c r="A12480" t="s">
        <v>16442</v>
      </c>
      <c r="B12480" s="1" t="str">
        <f>HYPERLINK("https://asmlis.vasa.lt/Dashboard/Served?ServiceDateFrom=2025-11-24&amp;ServiceDateTo=2025-11-24&amp;DumpsterInvNr=13-L-146243", "13-L-146243")</f>
        <v>13-L-146243</v>
      </c>
      <c r="C12480">
        <v>5</v>
      </c>
      <c r="D12480" t="s">
        <v>16443</v>
      </c>
      <c r="E12480" t="s">
        <v>11</v>
      </c>
      <c r="F12480" t="s">
        <v>13</v>
      </c>
      <c r="G12480" t="s">
        <v>430</v>
      </c>
      <c r="H12480" t="s">
        <v>432</v>
      </c>
    </row>
    <row r="12481" spans="1:8" hidden="1" x14ac:dyDescent="0.25">
      <c r="A12481" t="s">
        <v>16444</v>
      </c>
      <c r="B12481" s="1" t="str">
        <f>HYPERLINK("https://asmlis.vasa.lt/Dashboard/Served?ServiceDateFrom=2025-11-24&amp;ServiceDateTo=2025-11-24&amp;DumpsterInvNr=13-L-118358", "13-L-118358")</f>
        <v>13-L-118358</v>
      </c>
      <c r="C12481">
        <v>0.12</v>
      </c>
      <c r="D12481" t="s">
        <v>16445</v>
      </c>
      <c r="E12481" t="s">
        <v>11</v>
      </c>
      <c r="F12481" t="s">
        <v>1209</v>
      </c>
      <c r="G12481" t="s">
        <v>1912</v>
      </c>
      <c r="H12481" t="s">
        <v>432</v>
      </c>
    </row>
    <row r="12482" spans="1:8" hidden="1" x14ac:dyDescent="0.25">
      <c r="A12482" t="s">
        <v>16444</v>
      </c>
      <c r="B12482" s="1" t="str">
        <f>HYPERLINK("https://asmlis.vasa.lt/Dashboard/Served?ServiceDateFrom=2025-11-24&amp;ServiceDateTo=2025-11-24&amp;DumpsterInvNr=13-L-305158", "13-L-305158")</f>
        <v>13-L-305158</v>
      </c>
      <c r="C12482">
        <v>1.1000000000000001</v>
      </c>
      <c r="D12482" t="s">
        <v>16431</v>
      </c>
      <c r="E12482" t="s">
        <v>11</v>
      </c>
      <c r="G12482" t="s">
        <v>9</v>
      </c>
      <c r="H12482" t="s">
        <v>14</v>
      </c>
    </row>
    <row r="12483" spans="1:8" hidden="1" x14ac:dyDescent="0.25">
      <c r="A12483" t="s">
        <v>16446</v>
      </c>
      <c r="B12483" s="1" t="str">
        <f>HYPERLINK("https://asmlis.vasa.lt/Dashboard/Served?ServiceDateFrom=2025-11-24&amp;ServiceDateTo=2025-11-24&amp;DumpsterInvNr=13-L-148906", "13-L-148906")</f>
        <v>13-L-148906</v>
      </c>
      <c r="C12483">
        <v>0.24</v>
      </c>
      <c r="D12483" t="s">
        <v>16447</v>
      </c>
      <c r="E12483" t="s">
        <v>11</v>
      </c>
      <c r="F12483" t="s">
        <v>1209</v>
      </c>
      <c r="G12483" t="s">
        <v>1912</v>
      </c>
      <c r="H12483" t="s">
        <v>432</v>
      </c>
    </row>
    <row r="12484" spans="1:8" hidden="1" x14ac:dyDescent="0.25">
      <c r="A12484" t="s">
        <v>16448</v>
      </c>
      <c r="B12484" s="1" t="str">
        <f>HYPERLINK("https://asmlis.vasa.lt/Dashboard/Served?ServiceDateFrom=2025-11-24&amp;ServiceDateTo=2025-11-24&amp;DumpsterInvNr=13-P-116293", "13-P-116293")</f>
        <v>13-P-116293</v>
      </c>
      <c r="C12484">
        <v>0.24</v>
      </c>
      <c r="D12484" t="s">
        <v>16447</v>
      </c>
      <c r="E12484" t="s">
        <v>11</v>
      </c>
      <c r="F12484" t="s">
        <v>1209</v>
      </c>
      <c r="G12484" t="s">
        <v>1917</v>
      </c>
      <c r="H12484" t="s">
        <v>432</v>
      </c>
    </row>
    <row r="12485" spans="1:8" hidden="1" x14ac:dyDescent="0.25">
      <c r="A12485" t="s">
        <v>16449</v>
      </c>
      <c r="B12485" s="1" t="str">
        <f>HYPERLINK("https://asmlis.vasa.lt/Dashboard/Served?ServiceDateFrom=2025-11-24&amp;ServiceDateTo=2025-11-24&amp;DumpsterInvNr=13-L-145600", "13-L-145600")</f>
        <v>13-L-145600</v>
      </c>
      <c r="C12485">
        <v>0.24</v>
      </c>
      <c r="D12485" t="s">
        <v>16401</v>
      </c>
      <c r="E12485" t="s">
        <v>11</v>
      </c>
      <c r="F12485" t="s">
        <v>1209</v>
      </c>
      <c r="G12485" t="s">
        <v>1912</v>
      </c>
      <c r="H12485" t="s">
        <v>432</v>
      </c>
    </row>
    <row r="12486" spans="1:8" hidden="1" x14ac:dyDescent="0.25">
      <c r="A12486" t="s">
        <v>16450</v>
      </c>
      <c r="B12486" s="1" t="str">
        <f>HYPERLINK("https://asmlis.vasa.lt/Dashboard/Served?ServiceDateFrom=2025-11-24&amp;ServiceDateTo=2025-11-24&amp;DumpsterInvNr=13-P-500405", "13-P-500405")</f>
        <v>13-P-500405</v>
      </c>
      <c r="C12486">
        <v>5</v>
      </c>
      <c r="D12486" t="s">
        <v>15628</v>
      </c>
      <c r="E12486" t="s">
        <v>11</v>
      </c>
      <c r="F12486" t="s">
        <v>13</v>
      </c>
      <c r="G12486" t="s">
        <v>2178</v>
      </c>
      <c r="H12486" t="s">
        <v>432</v>
      </c>
    </row>
    <row r="12487" spans="1:8" hidden="1" x14ac:dyDescent="0.25">
      <c r="A12487" t="s">
        <v>16451</v>
      </c>
      <c r="B12487" s="1" t="str">
        <f>HYPERLINK("https://asmlis.vasa.lt/Dashboard/Served?ServiceDateFrom=2025-11-24&amp;ServiceDateTo=2025-11-24&amp;DumpsterInvNr=13-P-101062", "13-P-101062")</f>
        <v>13-P-101062</v>
      </c>
      <c r="C12487">
        <v>1.1000000000000001</v>
      </c>
      <c r="D12487" t="s">
        <v>16440</v>
      </c>
      <c r="E12487" t="s">
        <v>11</v>
      </c>
      <c r="G12487" t="s">
        <v>1917</v>
      </c>
      <c r="H12487" t="s">
        <v>432</v>
      </c>
    </row>
    <row r="12488" spans="1:8" hidden="1" x14ac:dyDescent="0.25">
      <c r="A12488" t="s">
        <v>16452</v>
      </c>
      <c r="B12488" s="1" t="str">
        <f>HYPERLINK("https://asmlis.vasa.lt/Dashboard/Served?ServiceDateFrom=2025-11-24&amp;ServiceDateTo=2025-11-24&amp;DumpsterInvNr=13-P-204206", "13-P-204206")</f>
        <v>13-P-204206</v>
      </c>
      <c r="C12488">
        <v>0.24</v>
      </c>
      <c r="D12488" t="s">
        <v>16004</v>
      </c>
      <c r="E12488" t="s">
        <v>11</v>
      </c>
      <c r="G12488" t="s">
        <v>234</v>
      </c>
      <c r="H12488" t="s">
        <v>14</v>
      </c>
    </row>
    <row r="12489" spans="1:8" hidden="1" x14ac:dyDescent="0.25">
      <c r="A12489" t="s">
        <v>16453</v>
      </c>
      <c r="B12489" s="1" t="str">
        <f>HYPERLINK("https://asmlis.vasa.lt/Dashboard/Served?ServiceDateFrom=2025-11-24&amp;ServiceDateTo=2025-11-24&amp;DumpsterInvNr=13-L-148234", "13-L-148234")</f>
        <v>13-L-148234</v>
      </c>
      <c r="C12489">
        <v>0.12</v>
      </c>
      <c r="D12489" t="s">
        <v>16454</v>
      </c>
      <c r="E12489" t="s">
        <v>11</v>
      </c>
      <c r="G12489" t="s">
        <v>430</v>
      </c>
      <c r="H12489" t="s">
        <v>432</v>
      </c>
    </row>
    <row r="12490" spans="1:8" hidden="1" x14ac:dyDescent="0.25">
      <c r="A12490" t="s">
        <v>16455</v>
      </c>
      <c r="B12490" s="1" t="str">
        <f>HYPERLINK("https://asmlis.vasa.lt/Dashboard/Served?ServiceDateFrom=2025-11-24&amp;ServiceDateTo=2025-11-24&amp;DumpsterInvNr=13-P-509587", "13-P-509587")</f>
        <v>13-P-509587</v>
      </c>
      <c r="C12490">
        <v>0.24</v>
      </c>
      <c r="D12490" t="s">
        <v>16454</v>
      </c>
      <c r="E12490" t="s">
        <v>11</v>
      </c>
      <c r="F12490" t="s">
        <v>1209</v>
      </c>
      <c r="G12490" t="s">
        <v>2178</v>
      </c>
      <c r="H12490" t="s">
        <v>432</v>
      </c>
    </row>
    <row r="12491" spans="1:8" hidden="1" x14ac:dyDescent="0.25">
      <c r="A12491" t="s">
        <v>16456</v>
      </c>
      <c r="B12491" s="1" t="str">
        <f>HYPERLINK("https://asmlis.vasa.lt/Dashboard/Served?ServiceDateFrom=2025-11-24&amp;ServiceDateTo=2025-11-24&amp;DumpsterInvNr=13-L-312833", "13-L-312833")</f>
        <v>13-L-312833</v>
      </c>
      <c r="C12491">
        <v>5</v>
      </c>
      <c r="D12491" t="s">
        <v>14985</v>
      </c>
      <c r="E12491" t="s">
        <v>11</v>
      </c>
      <c r="F12491" t="s">
        <v>13</v>
      </c>
      <c r="G12491" t="s">
        <v>9</v>
      </c>
      <c r="H12491" t="s">
        <v>14</v>
      </c>
    </row>
    <row r="12492" spans="1:8" hidden="1" x14ac:dyDescent="0.25">
      <c r="A12492" t="s">
        <v>16457</v>
      </c>
      <c r="B12492" s="1" t="str">
        <f>HYPERLINK("https://asmlis.vasa.lt/Dashboard/Served?ServiceDateFrom=2025-11-24&amp;ServiceDateTo=2025-11-24&amp;DumpsterInvNr=13-S-207486", "13-S-207486")</f>
        <v>13-S-207486</v>
      </c>
      <c r="C12492">
        <v>0.12</v>
      </c>
      <c r="D12492" t="s">
        <v>14369</v>
      </c>
      <c r="E12492" t="s">
        <v>11</v>
      </c>
      <c r="F12492" t="s">
        <v>1209</v>
      </c>
      <c r="G12492" t="s">
        <v>234</v>
      </c>
      <c r="H12492" t="s">
        <v>14</v>
      </c>
    </row>
    <row r="12493" spans="1:8" hidden="1" x14ac:dyDescent="0.25">
      <c r="A12493" t="s">
        <v>16458</v>
      </c>
      <c r="B12493" s="1" t="str">
        <f>HYPERLINK("https://asmlis.vasa.lt/Dashboard/Served?ServiceDateFrom=2025-11-24&amp;ServiceDateTo=2025-11-24&amp;DumpsterInvNr=13-P-109757", "13-P-109757")</f>
        <v>13-P-109757</v>
      </c>
      <c r="C12493">
        <v>0.24</v>
      </c>
      <c r="D12493" t="s">
        <v>9228</v>
      </c>
      <c r="E12493" t="s">
        <v>11</v>
      </c>
      <c r="G12493" t="s">
        <v>1917</v>
      </c>
      <c r="H12493" t="s">
        <v>432</v>
      </c>
    </row>
    <row r="12494" spans="1:8" hidden="1" x14ac:dyDescent="0.25">
      <c r="A12494" t="s">
        <v>16458</v>
      </c>
      <c r="B12494" s="1" t="str">
        <f>HYPERLINK("https://asmlis.vasa.lt/Dashboard/Served?ServiceDateFrom=2025-11-24&amp;ServiceDateTo=2025-11-24&amp;DumpsterInvNr=13-L-100437", "13-L-100437")</f>
        <v>13-L-100437</v>
      </c>
      <c r="C12494">
        <v>1.1000000000000001</v>
      </c>
      <c r="D12494" t="s">
        <v>16459</v>
      </c>
      <c r="E12494" t="s">
        <v>11</v>
      </c>
      <c r="G12494" t="s">
        <v>430</v>
      </c>
      <c r="H12494" t="s">
        <v>432</v>
      </c>
    </row>
    <row r="12495" spans="1:8" hidden="1" x14ac:dyDescent="0.25">
      <c r="A12495" t="s">
        <v>16460</v>
      </c>
      <c r="B12495" s="1" t="str">
        <f>HYPERLINK("https://asmlis.vasa.lt/Dashboard/Served?ServiceDateFrom=2025-11-24&amp;ServiceDateTo=2025-11-24&amp;DumpsterInvNr=13-P-101064", "13-P-101064")</f>
        <v>13-P-101064</v>
      </c>
      <c r="C12495">
        <v>1.1000000000000001</v>
      </c>
      <c r="D12495" t="s">
        <v>16440</v>
      </c>
      <c r="E12495" t="s">
        <v>11</v>
      </c>
      <c r="G12495" t="s">
        <v>1917</v>
      </c>
      <c r="H12495" t="s">
        <v>432</v>
      </c>
    </row>
    <row r="12496" spans="1:8" hidden="1" x14ac:dyDescent="0.25">
      <c r="A12496" t="s">
        <v>16462</v>
      </c>
      <c r="B12496" s="1" t="str">
        <f>HYPERLINK("https://asmlis.vasa.lt/Dashboard/Served?ServiceDateFrom=2025-11-24&amp;ServiceDateTo=2025-11-24&amp;DumpsterInvNr=13-P-208356", "13-P-208356")</f>
        <v>13-P-208356</v>
      </c>
      <c r="C12496">
        <v>0.24</v>
      </c>
      <c r="D12496" t="s">
        <v>14369</v>
      </c>
      <c r="E12496" t="s">
        <v>11</v>
      </c>
      <c r="F12496" t="s">
        <v>1209</v>
      </c>
      <c r="G12496" t="s">
        <v>234</v>
      </c>
      <c r="H12496" t="s">
        <v>14</v>
      </c>
    </row>
    <row r="12497" spans="1:8" hidden="1" x14ac:dyDescent="0.25">
      <c r="A12497" t="s">
        <v>16257</v>
      </c>
      <c r="B12497" s="1" t="str">
        <f>HYPERLINK("https://asmlis.vasa.lt/Dashboard/Served?ServiceDateFrom=2025-11-24&amp;ServiceDateTo=2025-11-24&amp;DumpsterInvNr=13-L-123397", "13-L-123397")</f>
        <v>13-L-123397</v>
      </c>
      <c r="C12497">
        <v>0.12</v>
      </c>
      <c r="D12497" t="s">
        <v>16463</v>
      </c>
      <c r="E12497" t="s">
        <v>11</v>
      </c>
      <c r="G12497" t="s">
        <v>430</v>
      </c>
      <c r="H12497" t="s">
        <v>432</v>
      </c>
    </row>
    <row r="12498" spans="1:8" hidden="1" x14ac:dyDescent="0.25">
      <c r="A12498" t="s">
        <v>16257</v>
      </c>
      <c r="B12498" s="1" t="str">
        <f>HYPERLINK("https://asmlis.vasa.lt/Dashboard/Served?ServiceDateFrom=2025-11-24&amp;ServiceDateTo=2025-11-24&amp;DumpsterInvNr=13-P-500501", "13-P-500501")</f>
        <v>13-P-500501</v>
      </c>
      <c r="C12498">
        <v>3</v>
      </c>
      <c r="D12498" t="s">
        <v>2165</v>
      </c>
      <c r="E12498" t="s">
        <v>11</v>
      </c>
      <c r="F12498" t="s">
        <v>13</v>
      </c>
      <c r="G12498" t="s">
        <v>2178</v>
      </c>
      <c r="H12498" t="s">
        <v>432</v>
      </c>
    </row>
    <row r="12499" spans="1:8" hidden="1" x14ac:dyDescent="0.25">
      <c r="A12499" t="s">
        <v>16464</v>
      </c>
      <c r="B12499" s="1" t="str">
        <f>HYPERLINK("https://asmlis.vasa.lt/Dashboard/Served?ServiceDateFrom=2025-11-24&amp;ServiceDateTo=2025-11-24&amp;DumpsterInvNr=13-P-508380", "13-P-508380")</f>
        <v>13-P-508380</v>
      </c>
      <c r="C12499">
        <v>0.12</v>
      </c>
      <c r="D12499" t="s">
        <v>16463</v>
      </c>
      <c r="E12499" t="s">
        <v>11</v>
      </c>
      <c r="G12499" t="s">
        <v>2178</v>
      </c>
      <c r="H12499" t="s">
        <v>432</v>
      </c>
    </row>
    <row r="12500" spans="1:8" hidden="1" x14ac:dyDescent="0.25">
      <c r="A12500" t="s">
        <v>16261</v>
      </c>
      <c r="B12500" s="1" t="str">
        <f>HYPERLINK("https://asmlis.vasa.lt/Dashboard/Served?ServiceDateFrom=2025-11-24&amp;ServiceDateTo=2025-11-24&amp;DumpsterInvNr=13-L-136019", "13-L-136019")</f>
        <v>13-L-136019</v>
      </c>
      <c r="C12500">
        <v>5</v>
      </c>
      <c r="D12500" t="s">
        <v>16465</v>
      </c>
      <c r="E12500" t="s">
        <v>11</v>
      </c>
      <c r="F12500" t="s">
        <v>13</v>
      </c>
      <c r="G12500" t="s">
        <v>430</v>
      </c>
      <c r="H12500" t="s">
        <v>432</v>
      </c>
    </row>
    <row r="12501" spans="1:8" hidden="1" x14ac:dyDescent="0.25">
      <c r="A12501" t="s">
        <v>16265</v>
      </c>
      <c r="B12501" s="1" t="str">
        <f>HYPERLINK("https://asmlis.vasa.lt/Dashboard/Served?ServiceDateFrom=2025-11-24&amp;ServiceDateTo=2025-11-24&amp;DumpsterInvNr=13-S-211276", "13-S-211276")</f>
        <v>13-S-211276</v>
      </c>
      <c r="C12501">
        <v>3</v>
      </c>
      <c r="D12501" t="s">
        <v>2562</v>
      </c>
      <c r="E12501" t="s">
        <v>11</v>
      </c>
      <c r="G12501" t="s">
        <v>234</v>
      </c>
      <c r="H12501" t="s">
        <v>14</v>
      </c>
    </row>
    <row r="12502" spans="1:8" hidden="1" x14ac:dyDescent="0.25">
      <c r="A12502" t="s">
        <v>16311</v>
      </c>
      <c r="B12502" s="1" t="str">
        <f>HYPERLINK("https://asmlis.vasa.lt/Dashboard/Served?ServiceDateFrom=2025-11-24&amp;ServiceDateTo=2025-11-24&amp;DumpsterInvNr=13-P-408900", "13-P-408900")</f>
        <v>13-P-408900</v>
      </c>
      <c r="C12502">
        <v>1.1000000000000001</v>
      </c>
      <c r="D12502" t="s">
        <v>16466</v>
      </c>
      <c r="E12502" t="s">
        <v>11</v>
      </c>
      <c r="G12502" t="s">
        <v>264</v>
      </c>
      <c r="H12502" t="s">
        <v>14</v>
      </c>
    </row>
    <row r="12503" spans="1:8" hidden="1" x14ac:dyDescent="0.25">
      <c r="A12503" t="s">
        <v>16467</v>
      </c>
      <c r="B12503" s="1" t="str">
        <f>HYPERLINK("https://asmlis.vasa.lt/Dashboard/Served?ServiceDateFrom=2025-11-24&amp;ServiceDateTo=2025-11-24&amp;DumpsterInvNr=13-L-123400", "13-L-123400")</f>
        <v>13-L-123400</v>
      </c>
      <c r="C12503">
        <v>0.12</v>
      </c>
      <c r="D12503" t="s">
        <v>16468</v>
      </c>
      <c r="E12503" t="s">
        <v>11</v>
      </c>
      <c r="G12503" t="s">
        <v>430</v>
      </c>
      <c r="H12503" t="s">
        <v>432</v>
      </c>
    </row>
    <row r="12504" spans="1:8" hidden="1" x14ac:dyDescent="0.25">
      <c r="A12504" t="s">
        <v>16469</v>
      </c>
      <c r="B12504" s="1" t="str">
        <f>HYPERLINK("https://asmlis.vasa.lt/Dashboard/Served?ServiceDateFrom=2025-11-24&amp;ServiceDateTo=2025-11-24&amp;DumpsterInvNr=13-P-502737", "13-P-502737")</f>
        <v>13-P-502737</v>
      </c>
      <c r="C12504">
        <v>0.24</v>
      </c>
      <c r="D12504" t="s">
        <v>16468</v>
      </c>
      <c r="E12504" t="s">
        <v>11</v>
      </c>
      <c r="G12504" t="s">
        <v>2178</v>
      </c>
      <c r="H12504" t="s">
        <v>432</v>
      </c>
    </row>
    <row r="12505" spans="1:8" hidden="1" x14ac:dyDescent="0.25">
      <c r="A12505" t="s">
        <v>16390</v>
      </c>
      <c r="B12505" s="1" t="str">
        <f>HYPERLINK("https://asmlis.vasa.lt/Dashboard/Served?ServiceDateFrom=2025-11-24&amp;ServiceDateTo=2025-11-24&amp;DumpsterInvNr=13-L-424115", "13-L-424115")</f>
        <v>13-L-424115</v>
      </c>
      <c r="C12505">
        <v>5</v>
      </c>
      <c r="D12505" t="s">
        <v>11230</v>
      </c>
      <c r="E12505" t="s">
        <v>11</v>
      </c>
      <c r="F12505" t="s">
        <v>13</v>
      </c>
      <c r="G12505" t="s">
        <v>74</v>
      </c>
      <c r="H12505" t="s">
        <v>14</v>
      </c>
    </row>
    <row r="12506" spans="1:8" hidden="1" x14ac:dyDescent="0.25">
      <c r="A12506" t="s">
        <v>16390</v>
      </c>
      <c r="B12506" s="1" t="str">
        <f>HYPERLINK("https://asmlis.vasa.lt/Dashboard/Served?ServiceDateFrom=2025-11-24&amp;ServiceDateTo=2025-11-24&amp;DumpsterInvNr=13-P-500367", "13-P-500367")</f>
        <v>13-P-500367</v>
      </c>
      <c r="C12506">
        <v>5</v>
      </c>
      <c r="D12506" t="s">
        <v>10852</v>
      </c>
      <c r="E12506" t="s">
        <v>11</v>
      </c>
      <c r="F12506" t="s">
        <v>13</v>
      </c>
      <c r="G12506" t="s">
        <v>2178</v>
      </c>
      <c r="H12506" t="s">
        <v>432</v>
      </c>
    </row>
    <row r="12507" spans="1:8" hidden="1" x14ac:dyDescent="0.25">
      <c r="A12507" t="s">
        <v>16470</v>
      </c>
      <c r="B12507" s="1" t="str">
        <f>HYPERLINK("https://asmlis.vasa.lt/Dashboard/Served?ServiceDateFrom=2025-11-24&amp;ServiceDateTo=2025-11-24&amp;DumpsterInvNr=13-P-305422", "13-P-305422")</f>
        <v>13-P-305422</v>
      </c>
      <c r="C12507">
        <v>5</v>
      </c>
      <c r="D12507" t="s">
        <v>13367</v>
      </c>
      <c r="E12507" t="s">
        <v>11</v>
      </c>
      <c r="G12507" t="s">
        <v>412</v>
      </c>
      <c r="H12507" t="s">
        <v>14</v>
      </c>
    </row>
    <row r="12508" spans="1:8" hidden="1" x14ac:dyDescent="0.25">
      <c r="A12508" t="s">
        <v>16471</v>
      </c>
      <c r="B12508" s="1" t="str">
        <f>HYPERLINK("https://asmlis.vasa.lt/Dashboard/Served?ServiceDateFrom=2025-11-24&amp;ServiceDateTo=2025-11-24&amp;DumpsterInvNr=13-L-424301", "13-L-424301")</f>
        <v>13-L-424301</v>
      </c>
      <c r="C12508">
        <v>5</v>
      </c>
      <c r="D12508" t="s">
        <v>11274</v>
      </c>
      <c r="E12508" t="s">
        <v>11</v>
      </c>
      <c r="F12508" t="s">
        <v>13</v>
      </c>
      <c r="G12508" t="s">
        <v>74</v>
      </c>
      <c r="H12508" t="s">
        <v>14</v>
      </c>
    </row>
    <row r="12509" spans="1:8" hidden="1" x14ac:dyDescent="0.25">
      <c r="A12509" t="s">
        <v>16472</v>
      </c>
      <c r="B12509" s="1" t="str">
        <f>HYPERLINK("https://asmlis.vasa.lt/Dashboard/Served?ServiceDateFrom=2025-11-24&amp;ServiceDateTo=2025-11-24&amp;DumpsterInvNr=13-L-424433", "13-L-424433")</f>
        <v>13-L-424433</v>
      </c>
      <c r="C12509">
        <v>5</v>
      </c>
      <c r="D12509" t="s">
        <v>11276</v>
      </c>
      <c r="E12509" t="s">
        <v>11</v>
      </c>
      <c r="F12509" t="s">
        <v>13</v>
      </c>
      <c r="G12509" t="s">
        <v>74</v>
      </c>
      <c r="H12509" t="s">
        <v>14</v>
      </c>
    </row>
    <row r="12510" spans="1:8" hidden="1" x14ac:dyDescent="0.25">
      <c r="A12510" t="s">
        <v>16280</v>
      </c>
      <c r="B12510" s="1" t="str">
        <f>HYPERLINK("https://asmlis.vasa.lt/Dashboard/Served?ServiceDateFrom=2025-11-24&amp;ServiceDateTo=2025-11-24&amp;DumpsterInvNr=13-L-314166", "13-L-314166")</f>
        <v>13-L-314166</v>
      </c>
      <c r="C12510">
        <v>2.5</v>
      </c>
      <c r="D12510" t="s">
        <v>15048</v>
      </c>
      <c r="E12510" t="s">
        <v>11</v>
      </c>
      <c r="G12510" t="s">
        <v>9</v>
      </c>
      <c r="H12510" t="s">
        <v>14</v>
      </c>
    </row>
    <row r="12511" spans="1:8" hidden="1" x14ac:dyDescent="0.25">
      <c r="A12511" t="s">
        <v>16405</v>
      </c>
      <c r="B12511" s="1" t="str">
        <f>HYPERLINK("https://asmlis.vasa.lt/Dashboard/Served?ServiceDateFrom=2025-11-24&amp;ServiceDateTo=2025-11-24&amp;DumpsterInvNr=13-S-204809", "13-S-204809")</f>
        <v>13-S-204809</v>
      </c>
      <c r="C12511">
        <v>0.12</v>
      </c>
      <c r="D12511" t="s">
        <v>16081</v>
      </c>
      <c r="E12511" t="s">
        <v>11</v>
      </c>
      <c r="G12511" t="s">
        <v>234</v>
      </c>
      <c r="H12511" t="s">
        <v>14</v>
      </c>
    </row>
    <row r="12512" spans="1:8" hidden="1" x14ac:dyDescent="0.25">
      <c r="A12512" t="s">
        <v>16473</v>
      </c>
      <c r="B12512" s="1" t="str">
        <f>HYPERLINK("https://asmlis.vasa.lt/Dashboard/Served?ServiceDateFrom=2025-11-24&amp;ServiceDateTo=2025-11-24&amp;DumpsterInvNr=13-L-143386", "13-L-143386")</f>
        <v>13-L-143386</v>
      </c>
      <c r="C12512">
        <v>5</v>
      </c>
      <c r="D12512" t="s">
        <v>16474</v>
      </c>
      <c r="E12512" t="s">
        <v>11</v>
      </c>
      <c r="F12512" t="s">
        <v>13</v>
      </c>
      <c r="G12512" t="s">
        <v>430</v>
      </c>
      <c r="H12512" t="s">
        <v>432</v>
      </c>
    </row>
    <row r="12513" spans="1:8" hidden="1" x14ac:dyDescent="0.25">
      <c r="A12513" t="s">
        <v>16475</v>
      </c>
      <c r="B12513" s="1" t="str">
        <f>HYPERLINK("https://asmlis.vasa.lt/Dashboard/Served?ServiceDateFrom=2025-11-24&amp;ServiceDateTo=2025-11-24&amp;DumpsterInvNr=13-P-212522", "13-P-212522")</f>
        <v>13-P-212522</v>
      </c>
      <c r="C12513">
        <v>1.1000000000000001</v>
      </c>
      <c r="D12513" t="s">
        <v>16476</v>
      </c>
      <c r="E12513" t="s">
        <v>11</v>
      </c>
      <c r="F12513" t="s">
        <v>13</v>
      </c>
      <c r="G12513" t="s">
        <v>234</v>
      </c>
      <c r="H12513" t="s">
        <v>14</v>
      </c>
    </row>
    <row r="12514" spans="1:8" hidden="1" x14ac:dyDescent="0.25">
      <c r="A12514" t="s">
        <v>16477</v>
      </c>
      <c r="B12514" s="1" t="str">
        <f>HYPERLINK("https://asmlis.vasa.lt/Dashboard/Served?ServiceDateFrom=2025-11-24&amp;ServiceDateTo=2025-11-24&amp;DumpsterInvNr=13-L-136124", "13-L-136124")</f>
        <v>13-L-136124</v>
      </c>
      <c r="C12514">
        <v>5</v>
      </c>
      <c r="D12514" t="s">
        <v>16478</v>
      </c>
      <c r="E12514" t="s">
        <v>11</v>
      </c>
      <c r="F12514" t="s">
        <v>13</v>
      </c>
      <c r="G12514" t="s">
        <v>430</v>
      </c>
      <c r="H12514" t="s">
        <v>432</v>
      </c>
    </row>
    <row r="12515" spans="1:8" hidden="1" x14ac:dyDescent="0.25">
      <c r="A12515" t="s">
        <v>16479</v>
      </c>
      <c r="B12515" s="1" t="str">
        <f>HYPERLINK("https://asmlis.vasa.lt/Dashboard/Served?ServiceDateFrom=2025-11-24&amp;ServiceDateTo=2025-11-24&amp;DumpsterInvNr=13-L-100402", "13-L-100402")</f>
        <v>13-L-100402</v>
      </c>
      <c r="C12515">
        <v>1.1000000000000001</v>
      </c>
      <c r="D12515" t="s">
        <v>2455</v>
      </c>
      <c r="E12515" t="s">
        <v>11</v>
      </c>
      <c r="G12515" t="s">
        <v>430</v>
      </c>
      <c r="H12515" t="s">
        <v>432</v>
      </c>
    </row>
    <row r="12516" spans="1:8" hidden="1" x14ac:dyDescent="0.25">
      <c r="A12516" t="s">
        <v>16480</v>
      </c>
      <c r="B12516" s="1" t="str">
        <f>HYPERLINK("https://asmlis.vasa.lt/Dashboard/Served?ServiceDateFrom=2025-11-24&amp;ServiceDateTo=2025-11-24&amp;DumpsterInvNr=13-P-506949", "13-P-506949")</f>
        <v>13-P-506949</v>
      </c>
      <c r="C12516">
        <v>0.24</v>
      </c>
      <c r="D12516" t="s">
        <v>16481</v>
      </c>
      <c r="E12516" t="s">
        <v>11</v>
      </c>
      <c r="F12516" t="s">
        <v>1209</v>
      </c>
      <c r="G12516" t="s">
        <v>2178</v>
      </c>
      <c r="H12516" t="s">
        <v>432</v>
      </c>
    </row>
    <row r="12517" spans="1:8" hidden="1" x14ac:dyDescent="0.25">
      <c r="A12517" t="s">
        <v>16482</v>
      </c>
      <c r="B12517" s="1" t="str">
        <f>HYPERLINK("https://asmlis.vasa.lt/Dashboard/Served?ServiceDateFrom=2025-11-24&amp;ServiceDateTo=2025-11-24&amp;DumpsterInvNr=13-L-140687", "13-L-140687")</f>
        <v>13-L-140687</v>
      </c>
      <c r="C12517">
        <v>0.24</v>
      </c>
      <c r="D12517" t="s">
        <v>16481</v>
      </c>
      <c r="E12517" t="s">
        <v>11</v>
      </c>
      <c r="F12517" t="s">
        <v>1209</v>
      </c>
      <c r="G12517" t="s">
        <v>430</v>
      </c>
      <c r="H12517" t="s">
        <v>432</v>
      </c>
    </row>
    <row r="12518" spans="1:8" hidden="1" x14ac:dyDescent="0.25">
      <c r="A12518" t="s">
        <v>16484</v>
      </c>
      <c r="B12518" s="1" t="str">
        <f>HYPERLINK("https://asmlis.vasa.lt/Dashboard/Served?ServiceDateFrom=2025-11-24&amp;ServiceDateTo=2025-11-24&amp;DumpsterInvNr=13-P-102491", "13-P-102491")</f>
        <v>13-P-102491</v>
      </c>
      <c r="C12518">
        <v>5</v>
      </c>
      <c r="D12518" t="s">
        <v>13847</v>
      </c>
      <c r="E12518" t="s">
        <v>11</v>
      </c>
      <c r="F12518" t="s">
        <v>13</v>
      </c>
      <c r="G12518" t="s">
        <v>1917</v>
      </c>
      <c r="H12518" t="s">
        <v>432</v>
      </c>
    </row>
    <row r="12519" spans="1:8" hidden="1" x14ac:dyDescent="0.25">
      <c r="A12519" t="s">
        <v>16484</v>
      </c>
      <c r="B12519" s="1" t="str">
        <f>HYPERLINK("https://asmlis.vasa.lt/Dashboard/Served?ServiceDateFrom=2025-11-24&amp;ServiceDateTo=2025-11-24&amp;DumpsterInvNr=13-L-138050", "13-L-138050")</f>
        <v>13-L-138050</v>
      </c>
      <c r="C12519">
        <v>5</v>
      </c>
      <c r="D12519" t="s">
        <v>13563</v>
      </c>
      <c r="E12519" t="s">
        <v>11</v>
      </c>
      <c r="F12519" t="s">
        <v>13</v>
      </c>
      <c r="G12519" t="s">
        <v>1912</v>
      </c>
      <c r="H12519" t="s">
        <v>432</v>
      </c>
    </row>
    <row r="12520" spans="1:8" hidden="1" x14ac:dyDescent="0.25">
      <c r="A12520" t="s">
        <v>16485</v>
      </c>
      <c r="B12520" s="1" t="str">
        <f>HYPERLINK("https://asmlis.vasa.lt/Dashboard/Served?ServiceDateFrom=2025-11-24&amp;ServiceDateTo=2025-11-24&amp;DumpsterInvNr=13-S-207868", "13-S-207868")</f>
        <v>13-S-207868</v>
      </c>
      <c r="C12520">
        <v>3</v>
      </c>
      <c r="D12520" t="s">
        <v>2606</v>
      </c>
      <c r="E12520" t="s">
        <v>11</v>
      </c>
      <c r="G12520" t="s">
        <v>234</v>
      </c>
      <c r="H12520" t="s">
        <v>14</v>
      </c>
    </row>
    <row r="12521" spans="1:8" hidden="1" x14ac:dyDescent="0.25">
      <c r="A12521" t="s">
        <v>16486</v>
      </c>
      <c r="B12521" s="1" t="str">
        <f>HYPERLINK("https://asmlis.vasa.lt/Dashboard/Served?ServiceDateFrom=2025-11-24&amp;ServiceDateTo=2025-11-24&amp;DumpsterInvNr=13-L-140744", "13-L-140744")</f>
        <v>13-L-140744</v>
      </c>
      <c r="C12521">
        <v>0.24</v>
      </c>
      <c r="D12521" t="s">
        <v>16487</v>
      </c>
      <c r="E12521" t="s">
        <v>11</v>
      </c>
      <c r="G12521" t="s">
        <v>430</v>
      </c>
      <c r="H12521" t="s">
        <v>432</v>
      </c>
    </row>
    <row r="12522" spans="1:8" hidden="1" x14ac:dyDescent="0.25">
      <c r="A12522" t="s">
        <v>16486</v>
      </c>
      <c r="B12522" s="1" t="str">
        <f>HYPERLINK("https://asmlis.vasa.lt/Dashboard/Served?ServiceDateFrom=2025-11-24&amp;ServiceDateTo=2025-11-24&amp;DumpsterInvNr=13-L-125905", "13-L-125905")</f>
        <v>13-L-125905</v>
      </c>
      <c r="C12522">
        <v>0.24</v>
      </c>
      <c r="D12522" t="s">
        <v>16488</v>
      </c>
      <c r="E12522" t="s">
        <v>11</v>
      </c>
      <c r="G12522" t="s">
        <v>430</v>
      </c>
      <c r="H12522" t="s">
        <v>432</v>
      </c>
    </row>
    <row r="12523" spans="1:8" hidden="1" x14ac:dyDescent="0.25">
      <c r="A12523" t="s">
        <v>16489</v>
      </c>
      <c r="B12523" s="1" t="str">
        <f>HYPERLINK("https://asmlis.vasa.lt/Dashboard/Served?ServiceDateFrom=2025-11-24&amp;ServiceDateTo=2025-11-24&amp;DumpsterInvNr=13-P-302376", "13-P-302376")</f>
        <v>13-P-302376</v>
      </c>
      <c r="C12523">
        <v>5</v>
      </c>
      <c r="D12523" t="s">
        <v>13434</v>
      </c>
      <c r="E12523" t="s">
        <v>11</v>
      </c>
      <c r="F12523" t="s">
        <v>13</v>
      </c>
      <c r="G12523" t="s">
        <v>412</v>
      </c>
      <c r="H12523" t="s">
        <v>14</v>
      </c>
    </row>
    <row r="12524" spans="1:8" hidden="1" x14ac:dyDescent="0.25">
      <c r="A12524" t="s">
        <v>16490</v>
      </c>
      <c r="B12524" s="1" t="str">
        <f>HYPERLINK("https://asmlis.vasa.lt/Dashboard/Served?ServiceDateFrom=2025-11-24&amp;ServiceDateTo=2025-11-24&amp;DumpsterInvNr=13-S-212489", "13-S-212489")</f>
        <v>13-S-212489</v>
      </c>
      <c r="C12524">
        <v>0.12</v>
      </c>
      <c r="D12524" t="s">
        <v>12778</v>
      </c>
      <c r="E12524" t="s">
        <v>11</v>
      </c>
      <c r="F12524" t="s">
        <v>1209</v>
      </c>
      <c r="G12524" t="s">
        <v>234</v>
      </c>
      <c r="H12524" t="s">
        <v>14</v>
      </c>
    </row>
    <row r="12525" spans="1:8" hidden="1" x14ac:dyDescent="0.25">
      <c r="A12525" t="s">
        <v>16491</v>
      </c>
      <c r="B12525" s="1" t="str">
        <f>HYPERLINK("https://asmlis.vasa.lt/Dashboard/Served?ServiceDateFrom=2025-11-24&amp;ServiceDateTo=2025-11-24&amp;DumpsterInvNr=13-P-204234", "13-P-204234")</f>
        <v>13-P-204234</v>
      </c>
      <c r="C12525">
        <v>0.24</v>
      </c>
      <c r="D12525" t="s">
        <v>16066</v>
      </c>
      <c r="E12525" t="s">
        <v>11</v>
      </c>
      <c r="G12525" t="s">
        <v>234</v>
      </c>
      <c r="H12525" t="s">
        <v>14</v>
      </c>
    </row>
    <row r="12526" spans="1:8" hidden="1" x14ac:dyDescent="0.25">
      <c r="A12526" t="s">
        <v>16491</v>
      </c>
      <c r="B12526" s="1" t="str">
        <f>HYPERLINK("https://asmlis.vasa.lt/Dashboard/Served?ServiceDateFrom=2025-11-24&amp;ServiceDateTo=2025-11-24&amp;DumpsterInvNr=13-P-212910", "13-P-212910")</f>
        <v>13-P-212910</v>
      </c>
      <c r="C12526">
        <v>0.24</v>
      </c>
      <c r="D12526" t="s">
        <v>12778</v>
      </c>
      <c r="E12526" t="s">
        <v>11</v>
      </c>
      <c r="F12526" t="s">
        <v>1209</v>
      </c>
      <c r="G12526" t="s">
        <v>234</v>
      </c>
      <c r="H12526" t="s">
        <v>14</v>
      </c>
    </row>
    <row r="12527" spans="1:8" hidden="1" x14ac:dyDescent="0.25">
      <c r="A12527" t="s">
        <v>16492</v>
      </c>
      <c r="B12527" s="1" t="str">
        <f>HYPERLINK("https://asmlis.vasa.lt/Dashboard/Served?ServiceDateFrom=2025-11-24&amp;ServiceDateTo=2025-11-24&amp;DumpsterInvNr=13-P-502664", "13-P-502664")</f>
        <v>13-P-502664</v>
      </c>
      <c r="C12527">
        <v>0.24</v>
      </c>
      <c r="D12527" t="s">
        <v>16488</v>
      </c>
      <c r="E12527" t="s">
        <v>11</v>
      </c>
      <c r="G12527" t="s">
        <v>2178</v>
      </c>
      <c r="H12527" t="s">
        <v>432</v>
      </c>
    </row>
    <row r="12528" spans="1:8" hidden="1" x14ac:dyDescent="0.25">
      <c r="A12528" t="s">
        <v>16493</v>
      </c>
      <c r="B12528" s="1" t="str">
        <f>HYPERLINK("https://asmlis.vasa.lt/Dashboard/Served?ServiceDateFrom=2025-11-24&amp;ServiceDateTo=2025-11-24&amp;DumpsterInvNr=13-S-204841", "13-S-204841")</f>
        <v>13-S-204841</v>
      </c>
      <c r="C12528">
        <v>0.12</v>
      </c>
      <c r="D12528" t="s">
        <v>16066</v>
      </c>
      <c r="E12528" t="s">
        <v>11</v>
      </c>
      <c r="F12528" t="s">
        <v>1209</v>
      </c>
      <c r="G12528" t="s">
        <v>234</v>
      </c>
      <c r="H12528" t="s">
        <v>14</v>
      </c>
    </row>
    <row r="12529" spans="1:8" hidden="1" x14ac:dyDescent="0.25">
      <c r="A12529" t="s">
        <v>16494</v>
      </c>
      <c r="B12529" s="1" t="str">
        <f>HYPERLINK("https://asmlis.vasa.lt/Dashboard/Served?ServiceDateFrom=2025-11-24&amp;ServiceDateTo=2025-11-24&amp;DumpsterInvNr=13-L-424438", "13-L-424438")</f>
        <v>13-L-424438</v>
      </c>
      <c r="C12529">
        <v>5</v>
      </c>
      <c r="D12529" t="s">
        <v>11413</v>
      </c>
      <c r="E12529" t="s">
        <v>11</v>
      </c>
      <c r="F12529" t="s">
        <v>13</v>
      </c>
      <c r="G12529" t="s">
        <v>74</v>
      </c>
      <c r="H12529" t="s">
        <v>14</v>
      </c>
    </row>
    <row r="12530" spans="1:8" hidden="1" x14ac:dyDescent="0.25">
      <c r="A12530" t="s">
        <v>16494</v>
      </c>
      <c r="B12530" s="1" t="str">
        <f>HYPERLINK("https://asmlis.vasa.lt/Dashboard/Served?ServiceDateFrom=2025-11-24&amp;ServiceDateTo=2025-11-24&amp;DumpsterInvNr=13-P-409116", "13-P-409116")</f>
        <v>13-P-409116</v>
      </c>
      <c r="C12530">
        <v>1.1000000000000001</v>
      </c>
      <c r="D12530" t="s">
        <v>16495</v>
      </c>
      <c r="E12530" t="s">
        <v>11</v>
      </c>
      <c r="F12530" t="s">
        <v>13</v>
      </c>
      <c r="G12530" t="s">
        <v>264</v>
      </c>
      <c r="H12530" t="s">
        <v>14</v>
      </c>
    </row>
    <row r="12531" spans="1:8" hidden="1" x14ac:dyDescent="0.25">
      <c r="A12531" t="s">
        <v>16496</v>
      </c>
      <c r="B12531" s="1" t="str">
        <f>HYPERLINK("https://asmlis.vasa.lt/Dashboard/Served?ServiceDateFrom=2025-11-24&amp;ServiceDateTo=2025-11-24&amp;DumpsterInvNr=13-P-112463", "13-P-112463")</f>
        <v>13-P-112463</v>
      </c>
      <c r="C12531">
        <v>0.24</v>
      </c>
      <c r="D12531" t="s">
        <v>16497</v>
      </c>
      <c r="E12531" t="s">
        <v>11</v>
      </c>
      <c r="F12531" t="s">
        <v>1209</v>
      </c>
      <c r="G12531" t="s">
        <v>1917</v>
      </c>
      <c r="H12531" t="s">
        <v>432</v>
      </c>
    </row>
    <row r="12532" spans="1:8" hidden="1" x14ac:dyDescent="0.25">
      <c r="A12532" t="s">
        <v>16498</v>
      </c>
      <c r="B12532" s="1" t="str">
        <f>HYPERLINK("https://asmlis.vasa.lt/Dashboard/Served?ServiceDateFrom=2025-11-24&amp;ServiceDateTo=2025-11-24&amp;DumpsterInvNr=13-L-135128", "13-L-135128")</f>
        <v>13-L-135128</v>
      </c>
      <c r="C12532">
        <v>0.24</v>
      </c>
      <c r="D12532" t="s">
        <v>16497</v>
      </c>
      <c r="E12532" t="s">
        <v>11</v>
      </c>
      <c r="F12532" t="s">
        <v>1209</v>
      </c>
      <c r="G12532" t="s">
        <v>1912</v>
      </c>
      <c r="H12532" t="s">
        <v>432</v>
      </c>
    </row>
    <row r="12533" spans="1:8" hidden="1" x14ac:dyDescent="0.25">
      <c r="A12533" t="s">
        <v>16499</v>
      </c>
      <c r="B12533" s="1" t="str">
        <f>HYPERLINK("https://asmlis.vasa.lt/Dashboard/Served?ServiceDateFrom=2025-11-24&amp;ServiceDateTo=2025-11-24&amp;DumpsterInvNr=13-P-408928", "13-P-408928")</f>
        <v>13-P-408928</v>
      </c>
      <c r="C12533">
        <v>1.1000000000000001</v>
      </c>
      <c r="D12533" t="s">
        <v>16500</v>
      </c>
      <c r="E12533" t="s">
        <v>11</v>
      </c>
      <c r="F12533" t="s">
        <v>13</v>
      </c>
      <c r="G12533" t="s">
        <v>264</v>
      </c>
      <c r="H12533" t="s">
        <v>14</v>
      </c>
    </row>
    <row r="12534" spans="1:8" hidden="1" x14ac:dyDescent="0.25">
      <c r="A12534" t="s">
        <v>16501</v>
      </c>
      <c r="B12534" s="1" t="str">
        <f>HYPERLINK("https://asmlis.vasa.lt/Dashboard/Served?ServiceDateFrom=2025-11-24&amp;ServiceDateTo=2025-11-24&amp;DumpsterInvNr=13-P-401061", "13-P-401061")</f>
        <v>13-P-401061</v>
      </c>
      <c r="C12534">
        <v>1.1000000000000001</v>
      </c>
      <c r="D12534" t="s">
        <v>16502</v>
      </c>
      <c r="E12534" t="s">
        <v>11</v>
      </c>
      <c r="F12534" t="s">
        <v>13</v>
      </c>
      <c r="G12534" t="s">
        <v>264</v>
      </c>
      <c r="H12534" t="s">
        <v>14</v>
      </c>
    </row>
    <row r="12535" spans="1:8" hidden="1" x14ac:dyDescent="0.25">
      <c r="A12535" t="s">
        <v>16441</v>
      </c>
      <c r="B12535" s="1" t="str">
        <f>HYPERLINK("https://asmlis.vasa.lt/Dashboard/Served?ServiceDateFrom=2025-11-24&amp;ServiceDateTo=2025-11-24&amp;DumpsterInvNr=13-L-302953", "13-L-302953")</f>
        <v>13-L-302953</v>
      </c>
      <c r="C12535">
        <v>1.1000000000000001</v>
      </c>
      <c r="D12535" t="s">
        <v>12459</v>
      </c>
      <c r="E12535" t="s">
        <v>11</v>
      </c>
      <c r="G12535" t="s">
        <v>9</v>
      </c>
      <c r="H12535" t="s">
        <v>14</v>
      </c>
    </row>
    <row r="12536" spans="1:8" hidden="1" x14ac:dyDescent="0.25">
      <c r="A12536" t="s">
        <v>16441</v>
      </c>
      <c r="B12536" s="1" t="str">
        <f>HYPERLINK("https://asmlis.vasa.lt/Dashboard/Served?ServiceDateFrom=2025-11-24&amp;ServiceDateTo=2025-11-24&amp;DumpsterInvNr=13-P-502663", "13-P-502663")</f>
        <v>13-P-502663</v>
      </c>
      <c r="C12536">
        <v>0.24</v>
      </c>
      <c r="D12536" t="s">
        <v>16503</v>
      </c>
      <c r="E12536" t="s">
        <v>11</v>
      </c>
      <c r="G12536" t="s">
        <v>2178</v>
      </c>
      <c r="H12536" t="s">
        <v>432</v>
      </c>
    </row>
    <row r="12537" spans="1:8" hidden="1" x14ac:dyDescent="0.25">
      <c r="A12537" t="s">
        <v>16461</v>
      </c>
      <c r="B12537" s="1" t="str">
        <f>HYPERLINK("https://asmlis.vasa.lt/Dashboard/Served?ServiceDateFrom=2025-11-24&amp;ServiceDateTo=2025-11-24&amp;DumpsterInvNr=13-L-133424", "13-L-133424")</f>
        <v>13-L-133424</v>
      </c>
      <c r="C12537">
        <v>0.24</v>
      </c>
      <c r="D12537" t="s">
        <v>16503</v>
      </c>
      <c r="E12537" t="s">
        <v>11</v>
      </c>
      <c r="G12537" t="s">
        <v>430</v>
      </c>
      <c r="H12537" t="s">
        <v>432</v>
      </c>
    </row>
    <row r="12538" spans="1:8" hidden="1" x14ac:dyDescent="0.25">
      <c r="A12538" t="s">
        <v>16504</v>
      </c>
      <c r="B12538" s="1" t="str">
        <f>HYPERLINK("https://asmlis.vasa.lt/Dashboard/Served?ServiceDateFrom=2025-11-24&amp;ServiceDateTo=2025-11-24&amp;DumpsterInvNr=13-L-308774", "13-L-308774")</f>
        <v>13-L-308774</v>
      </c>
      <c r="C12538">
        <v>1.1000000000000001</v>
      </c>
      <c r="D12538" t="s">
        <v>12459</v>
      </c>
      <c r="E12538" t="s">
        <v>11</v>
      </c>
      <c r="G12538" t="s">
        <v>9</v>
      </c>
      <c r="H12538" t="s">
        <v>14</v>
      </c>
    </row>
    <row r="12539" spans="1:8" hidden="1" x14ac:dyDescent="0.25">
      <c r="A12539" t="s">
        <v>16504</v>
      </c>
      <c r="B12539" s="1" t="str">
        <f>HYPERLINK("https://asmlis.vasa.lt/Dashboard/Served?ServiceDateFrom=2025-11-24&amp;ServiceDateTo=2025-11-24&amp;DumpsterInvNr=13-P-501857", "13-P-501857")</f>
        <v>13-P-501857</v>
      </c>
      <c r="C12539">
        <v>5</v>
      </c>
      <c r="D12539" t="s">
        <v>10778</v>
      </c>
      <c r="E12539" t="s">
        <v>11</v>
      </c>
      <c r="F12539" t="s">
        <v>13</v>
      </c>
      <c r="G12539" t="s">
        <v>2178</v>
      </c>
      <c r="H12539" t="s">
        <v>432</v>
      </c>
    </row>
    <row r="12540" spans="1:8" hidden="1" x14ac:dyDescent="0.25">
      <c r="A12540" t="s">
        <v>16409</v>
      </c>
      <c r="B12540" s="1" t="str">
        <f>HYPERLINK("https://asmlis.vasa.lt/Dashboard/Served?ServiceDateFrom=2025-11-24&amp;ServiceDateTo=2025-11-24&amp;DumpsterInvNr=13-P-204233", "13-P-204233")</f>
        <v>13-P-204233</v>
      </c>
      <c r="C12540">
        <v>0.12</v>
      </c>
      <c r="D12540" t="s">
        <v>16081</v>
      </c>
      <c r="E12540" t="s">
        <v>11</v>
      </c>
      <c r="G12540" t="s">
        <v>234</v>
      </c>
      <c r="H12540" t="s">
        <v>14</v>
      </c>
    </row>
    <row r="12541" spans="1:8" hidden="1" x14ac:dyDescent="0.25">
      <c r="A12541" t="s">
        <v>16505</v>
      </c>
      <c r="B12541" s="1" t="str">
        <f>HYPERLINK("https://asmlis.vasa.lt/Dashboard/Served?ServiceDateFrom=2025-11-24&amp;ServiceDateTo=2025-11-24&amp;DumpsterInvNr=13-P-305423", "13-P-305423")</f>
        <v>13-P-305423</v>
      </c>
      <c r="C12541">
        <v>3</v>
      </c>
      <c r="D12541" t="s">
        <v>13478</v>
      </c>
      <c r="E12541" t="s">
        <v>11</v>
      </c>
      <c r="G12541" t="s">
        <v>412</v>
      </c>
      <c r="H12541" t="s">
        <v>14</v>
      </c>
    </row>
    <row r="12542" spans="1:8" hidden="1" x14ac:dyDescent="0.25">
      <c r="A12542" t="s">
        <v>16506</v>
      </c>
      <c r="B12542" s="1" t="str">
        <f>HYPERLINK("https://asmlis.vasa.lt/Dashboard/Served?ServiceDateFrom=2025-11-24&amp;ServiceDateTo=2025-11-24&amp;DumpsterInvNr=13-L-302952", "13-L-302952")</f>
        <v>13-L-302952</v>
      </c>
      <c r="C12542">
        <v>1.1000000000000001</v>
      </c>
      <c r="D12542" t="s">
        <v>12459</v>
      </c>
      <c r="E12542" t="s">
        <v>11</v>
      </c>
      <c r="G12542" t="s">
        <v>9</v>
      </c>
      <c r="H12542" t="s">
        <v>14</v>
      </c>
    </row>
    <row r="12543" spans="1:8" hidden="1" x14ac:dyDescent="0.25">
      <c r="A12543" t="s">
        <v>16507</v>
      </c>
      <c r="B12543" s="1" t="str">
        <f>HYPERLINK("https://asmlis.vasa.lt/Dashboard/Served?ServiceDateFrom=2025-11-24&amp;ServiceDateTo=2025-11-24&amp;DumpsterInvNr=13-P-502662", "13-P-502662")</f>
        <v>13-P-502662</v>
      </c>
      <c r="C12543">
        <v>0.12</v>
      </c>
      <c r="D12543" t="s">
        <v>16508</v>
      </c>
      <c r="E12543" t="s">
        <v>11</v>
      </c>
      <c r="G12543" t="s">
        <v>2178</v>
      </c>
      <c r="H12543" t="s">
        <v>432</v>
      </c>
    </row>
    <row r="12544" spans="1:8" hidden="1" x14ac:dyDescent="0.25">
      <c r="A12544" t="s">
        <v>16509</v>
      </c>
      <c r="B12544" s="1" t="str">
        <f>HYPERLINK("https://asmlis.vasa.lt/Dashboard/Served?ServiceDateFrom=2025-11-24&amp;ServiceDateTo=2025-11-24&amp;DumpsterInvNr=13-L-137173", "13-L-137173")</f>
        <v>13-L-137173</v>
      </c>
      <c r="C12544">
        <v>0.24</v>
      </c>
      <c r="D12544" t="s">
        <v>16508</v>
      </c>
      <c r="E12544" t="s">
        <v>11</v>
      </c>
      <c r="G12544" t="s">
        <v>430</v>
      </c>
      <c r="H12544" t="s">
        <v>432</v>
      </c>
    </row>
    <row r="12545" spans="1:8" hidden="1" x14ac:dyDescent="0.25">
      <c r="A12545" t="s">
        <v>16510</v>
      </c>
      <c r="B12545" s="1" t="str">
        <f>HYPERLINK("https://asmlis.vasa.lt/Dashboard/Served?ServiceDateFrom=2025-11-24&amp;ServiceDateTo=2025-11-24&amp;DumpsterInvNr=13-P-211890", "13-P-211890")</f>
        <v>13-P-211890</v>
      </c>
      <c r="C12545">
        <v>0.24</v>
      </c>
      <c r="D12545" t="s">
        <v>16089</v>
      </c>
      <c r="E12545" t="s">
        <v>11</v>
      </c>
      <c r="G12545" t="s">
        <v>234</v>
      </c>
      <c r="H12545" t="s">
        <v>14</v>
      </c>
    </row>
    <row r="12546" spans="1:8" hidden="1" x14ac:dyDescent="0.25">
      <c r="A12546" t="s">
        <v>16511</v>
      </c>
      <c r="B12546" s="1" t="str">
        <f>HYPERLINK("https://asmlis.vasa.lt/Dashboard/Served?ServiceDateFrom=2025-11-24&amp;ServiceDateTo=2025-11-24&amp;DumpsterInvNr=13-S-210456", "13-S-210456")</f>
        <v>13-S-210456</v>
      </c>
      <c r="C12546">
        <v>0.12</v>
      </c>
      <c r="D12546" t="s">
        <v>16089</v>
      </c>
      <c r="E12546" t="s">
        <v>11</v>
      </c>
      <c r="F12546" t="s">
        <v>1209</v>
      </c>
      <c r="G12546" t="s">
        <v>234</v>
      </c>
      <c r="H12546" t="s">
        <v>14</v>
      </c>
    </row>
    <row r="12547" spans="1:8" hidden="1" x14ac:dyDescent="0.25">
      <c r="A12547" t="s">
        <v>16513</v>
      </c>
      <c r="B12547" s="1" t="str">
        <f>HYPERLINK("https://asmlis.vasa.lt/Dashboard/Served?ServiceDateFrom=2025-11-24&amp;ServiceDateTo=2025-11-24&amp;DumpsterInvNr=13-L-136189", "13-L-136189")</f>
        <v>13-L-136189</v>
      </c>
      <c r="C12547">
        <v>0.24</v>
      </c>
      <c r="D12547" t="s">
        <v>16514</v>
      </c>
      <c r="E12547" t="s">
        <v>11</v>
      </c>
      <c r="G12547" t="s">
        <v>430</v>
      </c>
      <c r="H12547" t="s">
        <v>432</v>
      </c>
    </row>
    <row r="12548" spans="1:8" hidden="1" x14ac:dyDescent="0.25">
      <c r="A12548" t="s">
        <v>16513</v>
      </c>
      <c r="B12548" s="1" t="str">
        <f>HYPERLINK("https://asmlis.vasa.lt/Dashboard/Served?ServiceDateFrom=2025-11-24&amp;ServiceDateTo=2025-11-24&amp;DumpsterInvNr=13-P-502661", "13-P-502661")</f>
        <v>13-P-502661</v>
      </c>
      <c r="C12548">
        <v>0.24</v>
      </c>
      <c r="D12548" t="s">
        <v>16514</v>
      </c>
      <c r="E12548" t="s">
        <v>11</v>
      </c>
      <c r="G12548" t="s">
        <v>2178</v>
      </c>
      <c r="H12548" t="s">
        <v>432</v>
      </c>
    </row>
    <row r="12549" spans="1:8" hidden="1" x14ac:dyDescent="0.25">
      <c r="A12549" t="s">
        <v>16515</v>
      </c>
      <c r="B12549" s="1" t="str">
        <f>HYPERLINK("https://asmlis.vasa.lt/Dashboard/Served?ServiceDateFrom=2025-11-24&amp;ServiceDateTo=2025-11-24&amp;DumpsterInvNr=13-L-136693", "13-L-136693")</f>
        <v>13-L-136693</v>
      </c>
      <c r="C12549">
        <v>5</v>
      </c>
      <c r="D12549" t="s">
        <v>16516</v>
      </c>
      <c r="E12549" t="s">
        <v>11</v>
      </c>
      <c r="F12549" t="s">
        <v>13</v>
      </c>
      <c r="G12549" t="s">
        <v>430</v>
      </c>
      <c r="H12549" t="s">
        <v>432</v>
      </c>
    </row>
    <row r="12550" spans="1:8" hidden="1" x14ac:dyDescent="0.25">
      <c r="A12550" t="s">
        <v>16517</v>
      </c>
      <c r="B12550" s="1" t="str">
        <f>HYPERLINK("https://asmlis.vasa.lt/Dashboard/Served?ServiceDateFrom=2025-11-24&amp;ServiceDateTo=2025-11-24&amp;DumpsterInvNr=13-L-424437", "13-L-424437")</f>
        <v>13-L-424437</v>
      </c>
      <c r="C12550">
        <v>5</v>
      </c>
      <c r="D12550" t="s">
        <v>11541</v>
      </c>
      <c r="E12550" t="s">
        <v>11</v>
      </c>
      <c r="F12550" t="s">
        <v>13</v>
      </c>
      <c r="G12550" t="s">
        <v>74</v>
      </c>
      <c r="H12550" t="s">
        <v>14</v>
      </c>
    </row>
    <row r="12551" spans="1:8" hidden="1" x14ac:dyDescent="0.25">
      <c r="A12551" t="s">
        <v>16518</v>
      </c>
      <c r="B12551" s="1" t="str">
        <f>HYPERLINK("https://asmlis.vasa.lt/Dashboard/Served?ServiceDateFrom=2025-11-24&amp;ServiceDateTo=2025-11-24&amp;DumpsterInvNr=13-S-207815", "13-S-207815")</f>
        <v>13-S-207815</v>
      </c>
      <c r="C12551">
        <v>3</v>
      </c>
      <c r="D12551" t="s">
        <v>2819</v>
      </c>
      <c r="E12551" t="s">
        <v>11</v>
      </c>
      <c r="G12551" t="s">
        <v>234</v>
      </c>
      <c r="H12551" t="s">
        <v>14</v>
      </c>
    </row>
    <row r="12552" spans="1:8" hidden="1" x14ac:dyDescent="0.25">
      <c r="A12552" t="s">
        <v>16519</v>
      </c>
      <c r="B12552" s="1" t="str">
        <f>HYPERLINK("https://asmlis.vasa.lt/Dashboard/Served?ServiceDateFrom=2025-11-24&amp;ServiceDateTo=2025-11-24&amp;DumpsterInvNr=13-P-204725", "13-P-204725")</f>
        <v>13-P-204725</v>
      </c>
      <c r="C12552">
        <v>0.24</v>
      </c>
      <c r="D12552" t="s">
        <v>16101</v>
      </c>
      <c r="E12552" t="s">
        <v>11</v>
      </c>
      <c r="G12552" t="s">
        <v>234</v>
      </c>
      <c r="H12552" t="s">
        <v>14</v>
      </c>
    </row>
    <row r="12553" spans="1:8" hidden="1" x14ac:dyDescent="0.25">
      <c r="A12553" t="s">
        <v>16520</v>
      </c>
      <c r="B12553" s="1" t="str">
        <f>HYPERLINK("https://asmlis.vasa.lt/Dashboard/Served?ServiceDateFrom=2025-11-24&amp;ServiceDateTo=2025-11-24&amp;DumpsterInvNr=13-L-109843", "13-L-109843")</f>
        <v>13-L-109843</v>
      </c>
      <c r="C12553">
        <v>0.12</v>
      </c>
      <c r="D12553" t="s">
        <v>16521</v>
      </c>
      <c r="E12553" t="s">
        <v>11</v>
      </c>
      <c r="G12553" t="s">
        <v>430</v>
      </c>
      <c r="H12553" t="s">
        <v>432</v>
      </c>
    </row>
    <row r="12554" spans="1:8" hidden="1" x14ac:dyDescent="0.25">
      <c r="A12554" t="s">
        <v>16522</v>
      </c>
      <c r="B12554" s="1" t="str">
        <f>HYPERLINK("https://asmlis.vasa.lt/Dashboard/Served?ServiceDateFrom=2025-11-24&amp;ServiceDateTo=2025-11-24&amp;DumpsterInvNr=13-S-206419", "13-S-206419")</f>
        <v>13-S-206419</v>
      </c>
      <c r="C12554">
        <v>0.12</v>
      </c>
      <c r="D12554" t="s">
        <v>16101</v>
      </c>
      <c r="E12554" t="s">
        <v>11</v>
      </c>
      <c r="F12554" t="s">
        <v>1209</v>
      </c>
      <c r="G12554" t="s">
        <v>234</v>
      </c>
      <c r="H12554" t="s">
        <v>14</v>
      </c>
    </row>
    <row r="12555" spans="1:8" hidden="1" x14ac:dyDescent="0.25">
      <c r="A12555" t="s">
        <v>16523</v>
      </c>
      <c r="B12555" s="1" t="str">
        <f>HYPERLINK("https://asmlis.vasa.lt/Dashboard/Served?ServiceDateFrom=2025-11-24&amp;ServiceDateTo=2025-11-24&amp;DumpsterInvNr=13-P-502598", "13-P-502598")</f>
        <v>13-P-502598</v>
      </c>
      <c r="C12555">
        <v>0.12</v>
      </c>
      <c r="D12555" t="s">
        <v>16521</v>
      </c>
      <c r="E12555" t="s">
        <v>11</v>
      </c>
      <c r="G12555" t="s">
        <v>2178</v>
      </c>
      <c r="H12555" t="s">
        <v>432</v>
      </c>
    </row>
    <row r="12556" spans="1:8" hidden="1" x14ac:dyDescent="0.25">
      <c r="A12556" t="s">
        <v>16524</v>
      </c>
      <c r="B12556" s="1" t="str">
        <f>HYPERLINK("https://asmlis.vasa.lt/Dashboard/Served?ServiceDateFrom=2025-11-24&amp;ServiceDateTo=2025-11-24&amp;DumpsterInvNr=13-L-128131", "13-L-128131")</f>
        <v>13-L-128131</v>
      </c>
      <c r="C12556">
        <v>0.24</v>
      </c>
      <c r="D12556" t="s">
        <v>16525</v>
      </c>
      <c r="E12556" t="s">
        <v>11</v>
      </c>
      <c r="G12556" t="s">
        <v>1912</v>
      </c>
      <c r="H12556" t="s">
        <v>432</v>
      </c>
    </row>
    <row r="12557" spans="1:8" hidden="1" x14ac:dyDescent="0.25">
      <c r="A12557" t="s">
        <v>16526</v>
      </c>
      <c r="B12557" s="1" t="str">
        <f>HYPERLINK("https://asmlis.vasa.lt/Dashboard/Served?ServiceDateFrom=2025-11-24&amp;ServiceDateTo=2025-11-24&amp;DumpsterInvNr=13-P-112323", "13-P-112323")</f>
        <v>13-P-112323</v>
      </c>
      <c r="C12557">
        <v>0.24</v>
      </c>
      <c r="D12557" t="s">
        <v>16525</v>
      </c>
      <c r="E12557" t="s">
        <v>11</v>
      </c>
      <c r="G12557" t="s">
        <v>1917</v>
      </c>
      <c r="H12557" t="s">
        <v>432</v>
      </c>
    </row>
    <row r="12558" spans="1:8" hidden="1" x14ac:dyDescent="0.25">
      <c r="A12558" t="s">
        <v>16527</v>
      </c>
      <c r="B12558" s="1" t="str">
        <f>HYPERLINK("https://asmlis.vasa.lt/Dashboard/Served?ServiceDateFrom=2025-11-24&amp;ServiceDateTo=2025-11-24&amp;DumpsterInvNr=13-L-143484", "13-L-143484")</f>
        <v>13-L-143484</v>
      </c>
      <c r="C12558">
        <v>5</v>
      </c>
      <c r="D12558" t="s">
        <v>16528</v>
      </c>
      <c r="E12558" t="s">
        <v>11</v>
      </c>
      <c r="F12558" t="s">
        <v>13</v>
      </c>
      <c r="G12558" t="s">
        <v>430</v>
      </c>
      <c r="H12558" t="s">
        <v>432</v>
      </c>
    </row>
    <row r="12559" spans="1:8" hidden="1" x14ac:dyDescent="0.25">
      <c r="A12559" t="s">
        <v>16529</v>
      </c>
      <c r="B12559" s="1" t="str">
        <f>HYPERLINK("https://asmlis.vasa.lt/Dashboard/Served?ServiceDateFrom=2025-11-24&amp;ServiceDateTo=2025-11-24&amp;DumpsterInvNr=13-S-204869", "13-S-204869")</f>
        <v>13-S-204869</v>
      </c>
      <c r="C12559">
        <v>0.12</v>
      </c>
      <c r="D12559" t="s">
        <v>16116</v>
      </c>
      <c r="E12559" t="s">
        <v>11</v>
      </c>
      <c r="G12559" t="s">
        <v>234</v>
      </c>
      <c r="H12559" t="s">
        <v>14</v>
      </c>
    </row>
    <row r="12560" spans="1:8" hidden="1" x14ac:dyDescent="0.25">
      <c r="A12560" t="s">
        <v>16530</v>
      </c>
      <c r="B12560" s="1" t="str">
        <f>HYPERLINK("https://asmlis.vasa.lt/Dashboard/Served?ServiceDateFrom=2025-11-24&amp;ServiceDateTo=2025-11-24&amp;DumpsterInvNr=13-L-319619", "13-L-319619")</f>
        <v>13-L-319619</v>
      </c>
      <c r="C12560">
        <v>1.1000000000000001</v>
      </c>
      <c r="D12560" t="s">
        <v>1214</v>
      </c>
      <c r="E12560" t="s">
        <v>11</v>
      </c>
      <c r="G12560" t="s">
        <v>9</v>
      </c>
      <c r="H12560" t="s">
        <v>14</v>
      </c>
    </row>
    <row r="12561" spans="1:8" hidden="1" x14ac:dyDescent="0.25">
      <c r="A12561" t="s">
        <v>16531</v>
      </c>
      <c r="B12561" s="1" t="str">
        <f>HYPERLINK("https://asmlis.vasa.lt/Dashboard/Served?ServiceDateFrom=2025-11-24&amp;ServiceDateTo=2025-11-24&amp;DumpsterInvNr=13-P-204188", "13-P-204188")</f>
        <v>13-P-204188</v>
      </c>
      <c r="C12561">
        <v>0.24</v>
      </c>
      <c r="D12561" t="s">
        <v>16116</v>
      </c>
      <c r="E12561" t="s">
        <v>11</v>
      </c>
      <c r="G12561" t="s">
        <v>234</v>
      </c>
      <c r="H12561" t="s">
        <v>14</v>
      </c>
    </row>
    <row r="12562" spans="1:8" hidden="1" x14ac:dyDescent="0.25">
      <c r="A12562" t="s">
        <v>16532</v>
      </c>
      <c r="B12562" s="1" t="str">
        <f>HYPERLINK("https://asmlis.vasa.lt/Dashboard/Served?ServiceDateFrom=2025-11-24&amp;ServiceDateTo=2025-11-24&amp;DumpsterInvNr=13-T-000326", "13-T-000326")</f>
        <v>13-T-000326</v>
      </c>
      <c r="C12562">
        <v>2.5</v>
      </c>
      <c r="D12562" t="s">
        <v>16533</v>
      </c>
      <c r="E12562" t="s">
        <v>11</v>
      </c>
      <c r="F12562" t="s">
        <v>13</v>
      </c>
      <c r="G12562" t="s">
        <v>1899</v>
      </c>
      <c r="H12562" t="s">
        <v>432</v>
      </c>
    </row>
    <row r="12563" spans="1:8" hidden="1" x14ac:dyDescent="0.25">
      <c r="A12563" t="s">
        <v>16534</v>
      </c>
      <c r="B12563" s="1" t="str">
        <f>HYPERLINK("https://asmlis.vasa.lt/Dashboard/Served?ServiceDateFrom=2025-11-24&amp;ServiceDateTo=2025-11-24&amp;DumpsterInvNr=13-P-204752", "13-P-204752")</f>
        <v>13-P-204752</v>
      </c>
      <c r="C12563">
        <v>0.24</v>
      </c>
      <c r="D12563" t="s">
        <v>16130</v>
      </c>
      <c r="E12563" t="s">
        <v>11</v>
      </c>
      <c r="F12563" t="s">
        <v>1209</v>
      </c>
      <c r="G12563" t="s">
        <v>234</v>
      </c>
      <c r="H12563" t="s">
        <v>14</v>
      </c>
    </row>
    <row r="12564" spans="1:8" hidden="1" x14ac:dyDescent="0.25">
      <c r="A12564" t="s">
        <v>16535</v>
      </c>
      <c r="B12564" s="1" t="str">
        <f>HYPERLINK("https://asmlis.vasa.lt/Dashboard/Served?ServiceDateFrom=2025-11-24&amp;ServiceDateTo=2025-11-24&amp;DumpsterInvNr=13-L-105277", "13-L-105277")</f>
        <v>13-L-105277</v>
      </c>
      <c r="C12564">
        <v>0.77</v>
      </c>
      <c r="D12564" t="s">
        <v>16536</v>
      </c>
      <c r="E12564" t="s">
        <v>11</v>
      </c>
      <c r="G12564" t="s">
        <v>430</v>
      </c>
      <c r="H12564" t="s">
        <v>432</v>
      </c>
    </row>
    <row r="12565" spans="1:8" hidden="1" x14ac:dyDescent="0.25">
      <c r="A12565" t="s">
        <v>16537</v>
      </c>
      <c r="B12565" s="1" t="str">
        <f>HYPERLINK("https://asmlis.vasa.lt/Dashboard/Served?ServiceDateFrom=2025-11-24&amp;ServiceDateTo=2025-11-24&amp;DumpsterInvNr=13-S-204810", "13-S-204810")</f>
        <v>13-S-204810</v>
      </c>
      <c r="C12565">
        <v>0.12</v>
      </c>
      <c r="D12565" t="s">
        <v>16141</v>
      </c>
      <c r="E12565" t="s">
        <v>11</v>
      </c>
      <c r="G12565" t="s">
        <v>234</v>
      </c>
      <c r="H12565" t="s">
        <v>14</v>
      </c>
    </row>
    <row r="12566" spans="1:8" hidden="1" x14ac:dyDescent="0.25">
      <c r="A12566" t="s">
        <v>16538</v>
      </c>
      <c r="B12566" s="1" t="str">
        <f>HYPERLINK("https://asmlis.vasa.lt/Dashboard/Served?ServiceDateFrom=2025-11-24&amp;ServiceDateTo=2025-11-24&amp;DumpsterInvNr=13-P-204189", "13-P-204189")</f>
        <v>13-P-204189</v>
      </c>
      <c r="C12566">
        <v>0.24</v>
      </c>
      <c r="D12566" t="s">
        <v>16141</v>
      </c>
      <c r="E12566" t="s">
        <v>11</v>
      </c>
      <c r="F12566" t="s">
        <v>1209</v>
      </c>
      <c r="G12566" t="s">
        <v>234</v>
      </c>
      <c r="H12566" t="s">
        <v>14</v>
      </c>
    </row>
    <row r="12567" spans="1:8" hidden="1" x14ac:dyDescent="0.25">
      <c r="A12567" t="s">
        <v>16539</v>
      </c>
      <c r="B12567" s="1" t="str">
        <f>HYPERLINK("https://asmlis.vasa.lt/Dashboard/Served?ServiceDateFrom=2025-11-24&amp;ServiceDateTo=2025-11-24&amp;DumpsterInvNr=13-P-304011", "13-P-304011")</f>
        <v>13-P-304011</v>
      </c>
      <c r="C12567">
        <v>3</v>
      </c>
      <c r="D12567" t="s">
        <v>13606</v>
      </c>
      <c r="E12567" t="s">
        <v>11</v>
      </c>
      <c r="G12567" t="s">
        <v>412</v>
      </c>
      <c r="H12567" t="s">
        <v>14</v>
      </c>
    </row>
    <row r="12568" spans="1:8" hidden="1" x14ac:dyDescent="0.25">
      <c r="A12568" t="s">
        <v>16539</v>
      </c>
      <c r="B12568" s="1" t="str">
        <f>HYPERLINK("https://asmlis.vasa.lt/Dashboard/Served?ServiceDateFrom=2025-11-24&amp;ServiceDateTo=2025-11-24&amp;DumpsterInvNr=13-P-500401", "13-P-500401")</f>
        <v>13-P-500401</v>
      </c>
      <c r="C12568">
        <v>5</v>
      </c>
      <c r="D12568" t="s">
        <v>15225</v>
      </c>
      <c r="E12568" t="s">
        <v>11</v>
      </c>
      <c r="F12568" t="s">
        <v>13</v>
      </c>
      <c r="G12568" t="s">
        <v>2178</v>
      </c>
      <c r="H12568" t="s">
        <v>432</v>
      </c>
    </row>
    <row r="12569" spans="1:8" hidden="1" x14ac:dyDescent="0.25">
      <c r="A12569" t="s">
        <v>16540</v>
      </c>
      <c r="B12569" s="1" t="str">
        <f>HYPERLINK("https://asmlis.vasa.lt/Dashboard/Served?ServiceDateFrom=2025-11-24&amp;ServiceDateTo=2025-11-24&amp;DumpsterInvNr=13-L-135842", "13-L-135842")</f>
        <v>13-L-135842</v>
      </c>
      <c r="C12569">
        <v>0.24</v>
      </c>
      <c r="D12569" t="s">
        <v>16541</v>
      </c>
      <c r="E12569" t="s">
        <v>11</v>
      </c>
      <c r="G12569" t="s">
        <v>430</v>
      </c>
      <c r="H12569" t="s">
        <v>432</v>
      </c>
    </row>
    <row r="12570" spans="1:8" hidden="1" x14ac:dyDescent="0.25">
      <c r="A12570" t="s">
        <v>16540</v>
      </c>
      <c r="B12570" s="1" t="str">
        <f>HYPERLINK("https://asmlis.vasa.lt/Dashboard/Served?ServiceDateFrom=2025-11-24&amp;ServiceDateTo=2025-11-24&amp;DumpsterInvNr=13-L-143387", "13-L-143387")</f>
        <v>13-L-143387</v>
      </c>
      <c r="C12570">
        <v>5</v>
      </c>
      <c r="D12570" t="s">
        <v>16542</v>
      </c>
      <c r="E12570" t="s">
        <v>11</v>
      </c>
      <c r="F12570" t="s">
        <v>13</v>
      </c>
      <c r="G12570" t="s">
        <v>430</v>
      </c>
      <c r="H12570" t="s">
        <v>432</v>
      </c>
    </row>
    <row r="12571" spans="1:8" hidden="1" x14ac:dyDescent="0.25">
      <c r="A12571" t="s">
        <v>16543</v>
      </c>
      <c r="B12571" s="1" t="str">
        <f>HYPERLINK("https://asmlis.vasa.lt/Dashboard/Served?ServiceDateFrom=2025-11-24&amp;ServiceDateTo=2025-11-24&amp;DumpsterInvNr=13-P-505027", "13-P-505027")</f>
        <v>13-P-505027</v>
      </c>
      <c r="C12571">
        <v>0.24</v>
      </c>
      <c r="D12571" t="s">
        <v>16541</v>
      </c>
      <c r="E12571" t="s">
        <v>11</v>
      </c>
      <c r="F12571" t="s">
        <v>1209</v>
      </c>
      <c r="G12571" t="s">
        <v>2178</v>
      </c>
      <c r="H12571" t="s">
        <v>432</v>
      </c>
    </row>
    <row r="12572" spans="1:8" hidden="1" x14ac:dyDescent="0.25">
      <c r="A12572" t="s">
        <v>16544</v>
      </c>
      <c r="B12572" s="1" t="str">
        <f>HYPERLINK("https://asmlis.vasa.lt/Dashboard/Served?ServiceDateFrom=2025-11-24&amp;ServiceDateTo=2025-11-24&amp;DumpsterInvNr=13-L-139129", "13-L-139129")</f>
        <v>13-L-139129</v>
      </c>
      <c r="C12572">
        <v>5</v>
      </c>
      <c r="D12572" t="s">
        <v>3010</v>
      </c>
      <c r="E12572" t="s">
        <v>11</v>
      </c>
      <c r="F12572" t="s">
        <v>13</v>
      </c>
      <c r="G12572" t="s">
        <v>1912</v>
      </c>
      <c r="H12572" t="s">
        <v>432</v>
      </c>
    </row>
    <row r="12573" spans="1:8" hidden="1" x14ac:dyDescent="0.25">
      <c r="A12573" t="s">
        <v>16546</v>
      </c>
      <c r="B12573" s="1" t="str">
        <f>HYPERLINK("https://asmlis.vasa.lt/Dashboard/Served?ServiceDateFrom=2025-11-24&amp;ServiceDateTo=2025-11-24&amp;DumpsterInvNr=13-P-204205", "13-P-204205")</f>
        <v>13-P-204205</v>
      </c>
      <c r="C12573">
        <v>0.24</v>
      </c>
      <c r="D12573" t="s">
        <v>16147</v>
      </c>
      <c r="E12573" t="s">
        <v>11</v>
      </c>
      <c r="G12573" t="s">
        <v>234</v>
      </c>
      <c r="H12573" t="s">
        <v>14</v>
      </c>
    </row>
    <row r="12574" spans="1:8" hidden="1" x14ac:dyDescent="0.25">
      <c r="A12574" t="s">
        <v>16547</v>
      </c>
      <c r="B12574" s="1" t="str">
        <f>HYPERLINK("https://asmlis.vasa.lt/Dashboard/Served?ServiceDateFrom=2025-11-24&amp;ServiceDateTo=2025-11-24&amp;DumpsterInvNr=13-L-313123", "13-L-313123")</f>
        <v>13-L-313123</v>
      </c>
      <c r="C12574">
        <v>5</v>
      </c>
      <c r="D12574" t="s">
        <v>15275</v>
      </c>
      <c r="E12574" t="s">
        <v>11</v>
      </c>
      <c r="G12574" t="s">
        <v>9</v>
      </c>
      <c r="H12574" t="s">
        <v>14</v>
      </c>
    </row>
    <row r="12575" spans="1:8" hidden="1" x14ac:dyDescent="0.25">
      <c r="A12575" t="s">
        <v>16399</v>
      </c>
      <c r="B12575" s="1" t="str">
        <f>HYPERLINK("https://asmlis.vasa.lt/Dashboard/Served?ServiceDateFrom=2025-11-24&amp;ServiceDateTo=2025-11-24&amp;DumpsterInvNr=13-P-304012", "13-P-304012")</f>
        <v>13-P-304012</v>
      </c>
      <c r="C12575">
        <v>3</v>
      </c>
      <c r="D12575" t="s">
        <v>13606</v>
      </c>
      <c r="E12575" t="s">
        <v>11</v>
      </c>
      <c r="G12575" t="s">
        <v>412</v>
      </c>
      <c r="H12575" t="s">
        <v>14</v>
      </c>
    </row>
    <row r="12576" spans="1:8" hidden="1" x14ac:dyDescent="0.25">
      <c r="A12576" t="s">
        <v>16420</v>
      </c>
      <c r="B12576" s="1" t="str">
        <f>HYPERLINK("https://asmlis.vasa.lt/Dashboard/Served?ServiceDateFrom=2025-11-24&amp;ServiceDateTo=2025-11-24&amp;DumpsterInvNr=13-L-314782", "13-L-314782")</f>
        <v>13-L-314782</v>
      </c>
      <c r="C12576">
        <v>1.1000000000000001</v>
      </c>
      <c r="D12576" t="s">
        <v>16548</v>
      </c>
      <c r="E12576" t="s">
        <v>11</v>
      </c>
      <c r="G12576" t="s">
        <v>9</v>
      </c>
      <c r="H12576" t="s">
        <v>14</v>
      </c>
    </row>
    <row r="12577" spans="1:10" hidden="1" x14ac:dyDescent="0.25">
      <c r="A12577" t="s">
        <v>16420</v>
      </c>
      <c r="B12577" s="1" t="str">
        <f>HYPERLINK("https://asmlis.vasa.lt/Dashboard/Served?ServiceDateFrom=2025-11-24&amp;ServiceDateTo=2025-11-24&amp;DumpsterInvNr=13-P-102492", "13-P-102492")</f>
        <v>13-P-102492</v>
      </c>
      <c r="C12577">
        <v>5</v>
      </c>
      <c r="D12577" t="s">
        <v>16549</v>
      </c>
      <c r="E12577" t="s">
        <v>11</v>
      </c>
      <c r="F12577" t="s">
        <v>13</v>
      </c>
      <c r="G12577" t="s">
        <v>1917</v>
      </c>
      <c r="H12577" t="s">
        <v>432</v>
      </c>
    </row>
    <row r="12578" spans="1:10" hidden="1" x14ac:dyDescent="0.25">
      <c r="A12578" t="s">
        <v>16512</v>
      </c>
      <c r="B12578" s="1" t="str">
        <f>HYPERLINK("https://asmlis.vasa.lt/Dashboard/Served?ServiceDateFrom=2025-11-24&amp;ServiceDateTo=2025-11-24&amp;DumpsterInvNr=13-L-128911", "13-L-128911")</f>
        <v>13-L-128911</v>
      </c>
      <c r="C12578">
        <v>0.24</v>
      </c>
      <c r="D12578" t="s">
        <v>16550</v>
      </c>
      <c r="E12578" t="s">
        <v>11</v>
      </c>
      <c r="G12578" t="s">
        <v>430</v>
      </c>
      <c r="H12578" t="s">
        <v>432</v>
      </c>
    </row>
    <row r="12579" spans="1:10" hidden="1" x14ac:dyDescent="0.25">
      <c r="A12579" t="s">
        <v>16512</v>
      </c>
      <c r="B12579" s="1" t="str">
        <f>HYPERLINK("https://asmlis.vasa.lt/Dashboard/Served?ServiceDateFrom=2025-11-24&amp;ServiceDateTo=2025-11-24&amp;DumpsterInvNr=13-S-207812", "13-S-207812")</f>
        <v>13-S-207812</v>
      </c>
      <c r="C12579">
        <v>3</v>
      </c>
      <c r="D12579" t="s">
        <v>2902</v>
      </c>
      <c r="E12579" t="s">
        <v>11</v>
      </c>
      <c r="G12579" t="s">
        <v>234</v>
      </c>
      <c r="H12579" t="s">
        <v>14</v>
      </c>
    </row>
    <row r="12580" spans="1:10" hidden="1" x14ac:dyDescent="0.25">
      <c r="A12580" t="s">
        <v>16512</v>
      </c>
      <c r="B12580" s="1" t="str">
        <f>HYPERLINK("https://asmlis.vasa.lt/Dashboard/Served?ServiceDateFrom=2025-11-24&amp;ServiceDateTo=2025-11-24&amp;DumpsterInvNr=13-P-501933", "13-P-501933")</f>
        <v>13-P-501933</v>
      </c>
      <c r="C12580">
        <v>0.12</v>
      </c>
      <c r="D12580" t="s">
        <v>16550</v>
      </c>
      <c r="E12580" t="s">
        <v>11</v>
      </c>
      <c r="G12580" t="s">
        <v>2178</v>
      </c>
      <c r="H12580" t="s">
        <v>432</v>
      </c>
    </row>
    <row r="12581" spans="1:10" hidden="1" x14ac:dyDescent="0.25">
      <c r="A12581" t="s">
        <v>16551</v>
      </c>
      <c r="B12581" s="1" t="str">
        <f>HYPERLINK("https://asmlis.vasa.lt/Dashboard/Served?ServiceDateFrom=2025-11-24&amp;ServiceDateTo=2025-11-24&amp;DumpsterInvNr=13-P-409066", "13-P-409066")</f>
        <v>13-P-409066</v>
      </c>
      <c r="C12581">
        <v>1.1000000000000001</v>
      </c>
      <c r="D12581" t="s">
        <v>16552</v>
      </c>
      <c r="E12581" t="s">
        <v>11</v>
      </c>
      <c r="F12581" t="s">
        <v>13</v>
      </c>
      <c r="G12581" t="s">
        <v>264</v>
      </c>
      <c r="H12581" t="s">
        <v>14</v>
      </c>
    </row>
    <row r="12582" spans="1:10" hidden="1" x14ac:dyDescent="0.25">
      <c r="A12582" t="s">
        <v>16553</v>
      </c>
      <c r="B12582" s="1" t="str">
        <f>HYPERLINK("https://asmlis.vasa.lt/Dashboard/Served?ServiceDateFrom=2025-11-24&amp;ServiceDateTo=2025-11-24&amp;DumpsterInvNr=13-L-317524", "13-L-317524")</f>
        <v>13-L-317524</v>
      </c>
      <c r="C12582">
        <v>1.1000000000000001</v>
      </c>
      <c r="D12582" t="s">
        <v>16548</v>
      </c>
      <c r="E12582" t="s">
        <v>11</v>
      </c>
      <c r="G12582" t="s">
        <v>9</v>
      </c>
      <c r="H12582" t="s">
        <v>14</v>
      </c>
    </row>
    <row r="12583" spans="1:10" hidden="1" x14ac:dyDescent="0.25">
      <c r="A12583" t="s">
        <v>16554</v>
      </c>
      <c r="B12583" s="1" t="str">
        <f>HYPERLINK("https://asmlis.vasa.lt/Dashboard/Served?ServiceDateFrom=2025-11-24&amp;ServiceDateTo=2025-11-24&amp;DumpsterInvNr=13-L-119515", "13-L-119515")</f>
        <v>13-L-119515</v>
      </c>
      <c r="C12583">
        <v>0.12</v>
      </c>
      <c r="D12583" t="s">
        <v>16555</v>
      </c>
      <c r="E12583" t="s">
        <v>11</v>
      </c>
      <c r="G12583" t="s">
        <v>430</v>
      </c>
      <c r="H12583" t="s">
        <v>432</v>
      </c>
    </row>
    <row r="12584" spans="1:10" hidden="1" x14ac:dyDescent="0.25">
      <c r="A12584" t="s">
        <v>16556</v>
      </c>
      <c r="B12584" s="1" t="str">
        <f>HYPERLINK("https://asmlis.vasa.lt/Dashboard/Served?ServiceDateFrom=2025-11-24&amp;ServiceDateTo=2025-11-24&amp;DumpsterInvNr=13-L-136688", "13-L-136688")</f>
        <v>13-L-136688</v>
      </c>
      <c r="C12584">
        <v>5</v>
      </c>
      <c r="D12584" t="s">
        <v>16557</v>
      </c>
      <c r="E12584" t="s">
        <v>11</v>
      </c>
      <c r="F12584" t="s">
        <v>2065</v>
      </c>
      <c r="G12584" t="s">
        <v>430</v>
      </c>
      <c r="H12584" t="s">
        <v>432</v>
      </c>
      <c r="J12584" t="s">
        <v>17522</v>
      </c>
    </row>
    <row r="12585" spans="1:10" hidden="1" x14ac:dyDescent="0.25">
      <c r="A12585" t="s">
        <v>16558</v>
      </c>
      <c r="B12585" s="1" t="str">
        <f>HYPERLINK("https://asmlis.vasa.lt/Dashboard/Served?ServiceDateFrom=2025-11-24&amp;ServiceDateTo=2025-11-24&amp;DumpsterInvNr=13-L-424431", "13-L-424431")</f>
        <v>13-L-424431</v>
      </c>
      <c r="C12585">
        <v>5</v>
      </c>
      <c r="D12585" t="s">
        <v>11617</v>
      </c>
      <c r="E12585" t="s">
        <v>11</v>
      </c>
      <c r="F12585" t="s">
        <v>13</v>
      </c>
      <c r="G12585" t="s">
        <v>74</v>
      </c>
      <c r="H12585" t="s">
        <v>14</v>
      </c>
    </row>
    <row r="12586" spans="1:10" hidden="1" x14ac:dyDescent="0.25">
      <c r="A12586" t="s">
        <v>16559</v>
      </c>
      <c r="B12586" s="1" t="str">
        <f>HYPERLINK("https://asmlis.vasa.lt/Dashboard/Served?ServiceDateFrom=2025-11-24&amp;ServiceDateTo=2025-11-24&amp;DumpsterInvNr=13-P-402066", "13-P-402066")</f>
        <v>13-P-402066</v>
      </c>
      <c r="C12586">
        <v>1.1000000000000001</v>
      </c>
      <c r="D12586" t="s">
        <v>16560</v>
      </c>
      <c r="E12586" t="s">
        <v>11</v>
      </c>
      <c r="F12586" t="s">
        <v>13</v>
      </c>
      <c r="G12586" t="s">
        <v>264</v>
      </c>
      <c r="H12586" t="s">
        <v>14</v>
      </c>
    </row>
    <row r="12587" spans="1:10" hidden="1" x14ac:dyDescent="0.25">
      <c r="A12587" t="s">
        <v>16561</v>
      </c>
      <c r="B12587" s="1" t="str">
        <f>HYPERLINK("https://asmlis.vasa.lt/Dashboard/Served?ServiceDateFrom=2025-11-24&amp;ServiceDateTo=2025-11-24&amp;DumpsterInvNr=13-P-104092", "13-P-104092")</f>
        <v>13-P-104092</v>
      </c>
      <c r="C12587">
        <v>0.24</v>
      </c>
      <c r="D12587" t="s">
        <v>16562</v>
      </c>
      <c r="E12587" t="s">
        <v>11</v>
      </c>
      <c r="G12587" t="s">
        <v>1917</v>
      </c>
      <c r="H12587" t="s">
        <v>432</v>
      </c>
    </row>
    <row r="12588" spans="1:10" hidden="1" x14ac:dyDescent="0.25">
      <c r="A12588" t="s">
        <v>16563</v>
      </c>
      <c r="B12588" s="1" t="str">
        <f>HYPERLINK("https://asmlis.vasa.lt/Dashboard/Served?ServiceDateFrom=2025-11-24&amp;ServiceDateTo=2025-11-24&amp;DumpsterInvNr=13-L-123394", "13-L-123394")</f>
        <v>13-L-123394</v>
      </c>
      <c r="C12588">
        <v>0.12</v>
      </c>
      <c r="D12588" t="s">
        <v>16564</v>
      </c>
      <c r="E12588" t="s">
        <v>11</v>
      </c>
      <c r="G12588" t="s">
        <v>430</v>
      </c>
      <c r="H12588" t="s">
        <v>432</v>
      </c>
    </row>
    <row r="12589" spans="1:10" hidden="1" x14ac:dyDescent="0.25">
      <c r="A12589" t="s">
        <v>16565</v>
      </c>
      <c r="B12589" s="1" t="str">
        <f>HYPERLINK("https://asmlis.vasa.lt/Dashboard/Served?ServiceDateFrom=2025-11-24&amp;ServiceDateTo=2025-11-24&amp;DumpsterInvNr=13-L-139839", "13-L-139839")</f>
        <v>13-L-139839</v>
      </c>
      <c r="C12589">
        <v>5</v>
      </c>
      <c r="D12589" t="s">
        <v>16566</v>
      </c>
      <c r="E12589" t="s">
        <v>11</v>
      </c>
      <c r="F12589" t="s">
        <v>13</v>
      </c>
      <c r="G12589" t="s">
        <v>430</v>
      </c>
      <c r="H12589" t="s">
        <v>432</v>
      </c>
    </row>
    <row r="12590" spans="1:10" hidden="1" x14ac:dyDescent="0.25">
      <c r="A12590" t="s">
        <v>16567</v>
      </c>
      <c r="B12590" s="1" t="str">
        <f>HYPERLINK("https://asmlis.vasa.lt/Dashboard/Served?ServiceDateFrom=2025-11-24&amp;ServiceDateTo=2025-11-24&amp;DumpsterInvNr=13-P-304032", "13-P-304032")</f>
        <v>13-P-304032</v>
      </c>
      <c r="C12590">
        <v>3</v>
      </c>
      <c r="D12590" t="s">
        <v>13543</v>
      </c>
      <c r="E12590" t="s">
        <v>11</v>
      </c>
      <c r="F12590" t="s">
        <v>13</v>
      </c>
      <c r="G12590" t="s">
        <v>412</v>
      </c>
      <c r="H12590" t="s">
        <v>14</v>
      </c>
    </row>
    <row r="12591" spans="1:10" hidden="1" x14ac:dyDescent="0.25">
      <c r="A12591" t="s">
        <v>16567</v>
      </c>
      <c r="B12591" s="1" t="str">
        <f>HYPERLINK("https://asmlis.vasa.lt/Dashboard/Served?ServiceDateFrom=2025-11-24&amp;ServiceDateTo=2025-11-24&amp;DumpsterInvNr=13-P-500399", "13-P-500399")</f>
        <v>13-P-500399</v>
      </c>
      <c r="C12591">
        <v>5</v>
      </c>
      <c r="D12591" t="s">
        <v>15307</v>
      </c>
      <c r="E12591" t="s">
        <v>11</v>
      </c>
      <c r="F12591" t="s">
        <v>13</v>
      </c>
      <c r="G12591" t="s">
        <v>2178</v>
      </c>
      <c r="H12591" t="s">
        <v>432</v>
      </c>
    </row>
    <row r="12592" spans="1:10" hidden="1" x14ac:dyDescent="0.25">
      <c r="A12592" t="s">
        <v>16568</v>
      </c>
      <c r="B12592" s="1" t="str">
        <f>HYPERLINK("https://asmlis.vasa.lt/Dashboard/Served?ServiceDateFrom=2025-11-24&amp;ServiceDateTo=2025-11-24&amp;DumpsterInvNr=13-P-304033", "13-P-304033")</f>
        <v>13-P-304033</v>
      </c>
      <c r="C12592">
        <v>3</v>
      </c>
      <c r="D12592" t="s">
        <v>13543</v>
      </c>
      <c r="E12592" t="s">
        <v>11</v>
      </c>
      <c r="F12592" t="s">
        <v>13</v>
      </c>
      <c r="G12592" t="s">
        <v>412</v>
      </c>
      <c r="H12592" t="s">
        <v>14</v>
      </c>
    </row>
    <row r="12593" spans="1:8" hidden="1" x14ac:dyDescent="0.25">
      <c r="A12593" t="s">
        <v>16569</v>
      </c>
      <c r="B12593" s="1" t="str">
        <f>HYPERLINK("https://asmlis.vasa.lt/Dashboard/Served?ServiceDateFrom=2025-11-24&amp;ServiceDateTo=2025-11-24&amp;DumpsterInvNr=13-P-208333", "13-P-208333")</f>
        <v>13-P-208333</v>
      </c>
      <c r="C12593">
        <v>1.1000000000000001</v>
      </c>
      <c r="D12593" t="s">
        <v>16570</v>
      </c>
      <c r="E12593" t="s">
        <v>11</v>
      </c>
      <c r="G12593" t="s">
        <v>234</v>
      </c>
      <c r="H12593" t="s">
        <v>14</v>
      </c>
    </row>
    <row r="12594" spans="1:8" hidden="1" x14ac:dyDescent="0.25">
      <c r="A12594" t="s">
        <v>16571</v>
      </c>
      <c r="B12594" s="1" t="str">
        <f>HYPERLINK("https://asmlis.vasa.lt/Dashboard/Served?ServiceDateFrom=2025-11-24&amp;ServiceDateTo=2025-11-24&amp;DumpsterInvNr=13-L-309280", "13-L-309280")</f>
        <v>13-L-309280</v>
      </c>
      <c r="C12594">
        <v>0.77</v>
      </c>
      <c r="D12594" t="s">
        <v>16572</v>
      </c>
      <c r="E12594" t="s">
        <v>11</v>
      </c>
      <c r="G12594" t="s">
        <v>9</v>
      </c>
      <c r="H12594" t="s">
        <v>14</v>
      </c>
    </row>
    <row r="12595" spans="1:8" hidden="1" x14ac:dyDescent="0.25">
      <c r="A12595" t="s">
        <v>16573</v>
      </c>
      <c r="B12595" s="1" t="str">
        <f>HYPERLINK("https://asmlis.vasa.lt/Dashboard/Served?ServiceDateFrom=2025-11-24&amp;ServiceDateTo=2025-11-24&amp;DumpsterInvNr=13-P-506246", "13-P-506246")</f>
        <v>13-P-506246</v>
      </c>
      <c r="C12595">
        <v>0.24</v>
      </c>
      <c r="D12595" t="s">
        <v>16574</v>
      </c>
      <c r="E12595" t="s">
        <v>11</v>
      </c>
      <c r="G12595" t="s">
        <v>2178</v>
      </c>
      <c r="H12595" t="s">
        <v>432</v>
      </c>
    </row>
    <row r="12596" spans="1:8" hidden="1" x14ac:dyDescent="0.25">
      <c r="A12596" t="s">
        <v>16575</v>
      </c>
      <c r="B12596" s="1" t="str">
        <f>HYPERLINK("https://asmlis.vasa.lt/Dashboard/Served?ServiceDateFrom=2025-11-24&amp;ServiceDateTo=2025-11-24&amp;DumpsterInvNr=13-P-211668", "13-P-211668")</f>
        <v>13-P-211668</v>
      </c>
      <c r="C12596">
        <v>0.24</v>
      </c>
      <c r="D12596" t="s">
        <v>16216</v>
      </c>
      <c r="E12596" t="s">
        <v>11</v>
      </c>
      <c r="G12596" t="s">
        <v>234</v>
      </c>
      <c r="H12596" t="s">
        <v>14</v>
      </c>
    </row>
    <row r="12597" spans="1:8" hidden="1" x14ac:dyDescent="0.25">
      <c r="A12597" t="s">
        <v>16576</v>
      </c>
      <c r="B12597" s="1" t="str">
        <f>HYPERLINK("https://asmlis.vasa.lt/Dashboard/Served?ServiceDateFrom=2025-11-24&amp;ServiceDateTo=2025-11-24&amp;DumpsterInvNr=13-L-140434", "13-L-140434")</f>
        <v>13-L-140434</v>
      </c>
      <c r="C12597">
        <v>0.24</v>
      </c>
      <c r="D12597" t="s">
        <v>16574</v>
      </c>
      <c r="E12597" t="s">
        <v>11</v>
      </c>
      <c r="G12597" t="s">
        <v>430</v>
      </c>
      <c r="H12597" t="s">
        <v>432</v>
      </c>
    </row>
    <row r="12598" spans="1:8" hidden="1" x14ac:dyDescent="0.25">
      <c r="A12598" t="s">
        <v>16577</v>
      </c>
      <c r="B12598" s="1" t="str">
        <f>HYPERLINK("https://asmlis.vasa.lt/Dashboard/Served?ServiceDateFrom=2025-11-24&amp;ServiceDateTo=2025-11-24&amp;DumpsterInvNr=13-P-211784", "13-P-211784")</f>
        <v>13-P-211784</v>
      </c>
      <c r="C12598">
        <v>0.24</v>
      </c>
      <c r="D12598" t="s">
        <v>16191</v>
      </c>
      <c r="E12598" t="s">
        <v>11</v>
      </c>
      <c r="G12598" t="s">
        <v>234</v>
      </c>
      <c r="H12598" t="s">
        <v>14</v>
      </c>
    </row>
    <row r="12599" spans="1:8" hidden="1" x14ac:dyDescent="0.25">
      <c r="A12599" t="s">
        <v>16578</v>
      </c>
      <c r="B12599" s="1" t="str">
        <f>HYPERLINK("https://asmlis.vasa.lt/Dashboard/Served?ServiceDateFrom=2025-11-24&amp;ServiceDateTo=2025-11-24&amp;DumpsterInvNr=13-L-117454", "13-L-117454")</f>
        <v>13-L-117454</v>
      </c>
      <c r="C12599">
        <v>5</v>
      </c>
      <c r="D12599" t="s">
        <v>3109</v>
      </c>
      <c r="E12599" t="s">
        <v>11</v>
      </c>
      <c r="F12599" t="s">
        <v>13</v>
      </c>
      <c r="G12599" t="s">
        <v>1912</v>
      </c>
      <c r="H12599" t="s">
        <v>432</v>
      </c>
    </row>
    <row r="12600" spans="1:8" hidden="1" x14ac:dyDescent="0.25">
      <c r="A12600" t="s">
        <v>16579</v>
      </c>
      <c r="B12600" s="1" t="str">
        <f>HYPERLINK("https://asmlis.vasa.lt/Dashboard/Served?ServiceDateFrom=2025-11-24&amp;ServiceDateTo=2025-11-24&amp;DumpsterInvNr=13-L-117455", "13-L-117455")</f>
        <v>13-L-117455</v>
      </c>
      <c r="C12600">
        <v>5</v>
      </c>
      <c r="D12600" t="s">
        <v>3109</v>
      </c>
      <c r="E12600" t="s">
        <v>11</v>
      </c>
      <c r="F12600" t="s">
        <v>13</v>
      </c>
      <c r="G12600" t="s">
        <v>1912</v>
      </c>
      <c r="H12600" t="s">
        <v>432</v>
      </c>
    </row>
    <row r="12601" spans="1:8" hidden="1" x14ac:dyDescent="0.25">
      <c r="A12601" t="s">
        <v>16580</v>
      </c>
      <c r="B12601" s="1" t="str">
        <f>HYPERLINK("https://asmlis.vasa.lt/Dashboard/Served?ServiceDateFrom=2025-11-24&amp;ServiceDateTo=2025-11-24&amp;DumpsterInvNr=13-L-421198", "13-L-421198")</f>
        <v>13-L-421198</v>
      </c>
      <c r="C12601">
        <v>5</v>
      </c>
      <c r="D12601" t="s">
        <v>11691</v>
      </c>
      <c r="E12601" t="s">
        <v>11</v>
      </c>
      <c r="F12601" t="s">
        <v>13</v>
      </c>
      <c r="G12601" t="s">
        <v>74</v>
      </c>
      <c r="H12601" t="s">
        <v>14</v>
      </c>
    </row>
    <row r="12602" spans="1:8" hidden="1" x14ac:dyDescent="0.25">
      <c r="A12602" t="s">
        <v>16581</v>
      </c>
      <c r="B12602" s="1" t="str">
        <f>HYPERLINK("https://asmlis.vasa.lt/Dashboard/Served?ServiceDateFrom=2025-11-24&amp;ServiceDateTo=2025-11-24&amp;DumpsterInvNr=13-S-207870", "13-S-207870")</f>
        <v>13-S-207870</v>
      </c>
      <c r="C12602">
        <v>3</v>
      </c>
      <c r="D12602" t="s">
        <v>2959</v>
      </c>
      <c r="E12602" t="s">
        <v>11</v>
      </c>
      <c r="G12602" t="s">
        <v>234</v>
      </c>
      <c r="H12602" t="s">
        <v>14</v>
      </c>
    </row>
    <row r="12603" spans="1:8" hidden="1" x14ac:dyDescent="0.25">
      <c r="A12603" t="s">
        <v>16582</v>
      </c>
      <c r="B12603" s="1" t="str">
        <f>HYPERLINK("https://asmlis.vasa.lt/Dashboard/Served?ServiceDateFrom=2025-11-24&amp;ServiceDateTo=2025-11-24&amp;DumpsterInvNr=13-L-123393", "13-L-123393")</f>
        <v>13-L-123393</v>
      </c>
      <c r="C12603">
        <v>0.12</v>
      </c>
      <c r="D12603" t="s">
        <v>16583</v>
      </c>
      <c r="E12603" t="s">
        <v>11</v>
      </c>
      <c r="G12603" t="s">
        <v>430</v>
      </c>
      <c r="H12603" t="s">
        <v>432</v>
      </c>
    </row>
    <row r="12604" spans="1:8" hidden="1" x14ac:dyDescent="0.25">
      <c r="A12604" t="s">
        <v>16582</v>
      </c>
      <c r="B12604" s="1" t="str">
        <f>HYPERLINK("https://asmlis.vasa.lt/Dashboard/Served?ServiceDateFrom=2025-11-24&amp;ServiceDateTo=2025-11-24&amp;DumpsterInvNr=13-P-501931", "13-P-501931")</f>
        <v>13-P-501931</v>
      </c>
      <c r="C12604">
        <v>0.24</v>
      </c>
      <c r="D12604" t="s">
        <v>16583</v>
      </c>
      <c r="E12604" t="s">
        <v>11</v>
      </c>
      <c r="G12604" t="s">
        <v>2178</v>
      </c>
      <c r="H12604" t="s">
        <v>432</v>
      </c>
    </row>
    <row r="12605" spans="1:8" hidden="1" x14ac:dyDescent="0.25">
      <c r="A12605" t="s">
        <v>16584</v>
      </c>
      <c r="B12605" s="1" t="str">
        <f>HYPERLINK("https://asmlis.vasa.lt/Dashboard/Served?ServiceDateFrom=2025-11-24&amp;ServiceDateTo=2025-11-24&amp;DumpsterInvNr=13-L-138837", "13-L-138837")</f>
        <v>13-L-138837</v>
      </c>
      <c r="C12605">
        <v>5</v>
      </c>
      <c r="D12605" t="s">
        <v>16585</v>
      </c>
      <c r="E12605" t="s">
        <v>11</v>
      </c>
      <c r="F12605" t="s">
        <v>13</v>
      </c>
      <c r="G12605" t="s">
        <v>430</v>
      </c>
      <c r="H12605" t="s">
        <v>432</v>
      </c>
    </row>
    <row r="12606" spans="1:8" hidden="1" x14ac:dyDescent="0.25">
      <c r="A12606" t="s">
        <v>16586</v>
      </c>
      <c r="B12606" s="1" t="str">
        <f>HYPERLINK("https://asmlis.vasa.lt/Dashboard/Served?ServiceDateFrom=2025-11-24&amp;ServiceDateTo=2025-11-24&amp;DumpsterInvNr=13-L-418020", "13-L-418020")</f>
        <v>13-L-418020</v>
      </c>
      <c r="C12606">
        <v>5</v>
      </c>
      <c r="D12606" t="s">
        <v>16587</v>
      </c>
      <c r="E12606" t="s">
        <v>11</v>
      </c>
      <c r="F12606" t="s">
        <v>13</v>
      </c>
      <c r="G12606" t="s">
        <v>74</v>
      </c>
      <c r="H12606" t="s">
        <v>14</v>
      </c>
    </row>
    <row r="12607" spans="1:8" hidden="1" x14ac:dyDescent="0.25">
      <c r="A12607" t="s">
        <v>16588</v>
      </c>
      <c r="B12607" s="1" t="str">
        <f>HYPERLINK("https://asmlis.vasa.lt/Dashboard/Served?ServiceDateFrom=2025-11-24&amp;ServiceDateTo=2025-11-24&amp;DumpsterInvNr=13-S-207709", "13-S-207709")</f>
        <v>13-S-207709</v>
      </c>
      <c r="C12607">
        <v>0.12</v>
      </c>
      <c r="D12607" t="s">
        <v>16191</v>
      </c>
      <c r="E12607" t="s">
        <v>11</v>
      </c>
      <c r="F12607" t="s">
        <v>1209</v>
      </c>
      <c r="G12607" t="s">
        <v>234</v>
      </c>
      <c r="H12607" t="s">
        <v>14</v>
      </c>
    </row>
    <row r="12608" spans="1:8" hidden="1" x14ac:dyDescent="0.25">
      <c r="A12608" t="s">
        <v>16589</v>
      </c>
      <c r="B12608" s="1" t="str">
        <f>HYPERLINK("https://asmlis.vasa.lt/Dashboard/Served?ServiceDateFrom=2025-11-24&amp;ServiceDateTo=2025-11-24&amp;DumpsterInvNr=13-L-138561", "13-L-138561")</f>
        <v>13-L-138561</v>
      </c>
      <c r="C12608">
        <v>0.66</v>
      </c>
      <c r="D12608" t="s">
        <v>5549</v>
      </c>
      <c r="E12608" t="s">
        <v>11</v>
      </c>
      <c r="G12608" t="s">
        <v>430</v>
      </c>
      <c r="H12608" t="s">
        <v>432</v>
      </c>
    </row>
    <row r="12609" spans="1:8" hidden="1" x14ac:dyDescent="0.25">
      <c r="A12609" t="s">
        <v>15884</v>
      </c>
      <c r="B12609" s="1" t="str">
        <f>HYPERLINK("https://asmlis.vasa.lt/Dashboard/Served?ServiceDateFrom=2025-11-24&amp;ServiceDateTo=2025-11-24&amp;DumpsterInvNr=13-L-314157", "13-L-314157")</f>
        <v>13-L-314157</v>
      </c>
      <c r="C12609">
        <v>5</v>
      </c>
      <c r="D12609" t="s">
        <v>15350</v>
      </c>
      <c r="E12609" t="s">
        <v>11</v>
      </c>
      <c r="G12609" t="s">
        <v>9</v>
      </c>
      <c r="H12609" t="s">
        <v>14</v>
      </c>
    </row>
    <row r="12610" spans="1:8" hidden="1" x14ac:dyDescent="0.25">
      <c r="A12610" t="s">
        <v>16590</v>
      </c>
      <c r="B12610" s="1" t="str">
        <f>HYPERLINK("https://asmlis.vasa.lt/Dashboard/Served?ServiceDateFrom=2025-11-24&amp;ServiceDateTo=2025-11-24&amp;DumpsterInvNr=13-P-501872", "13-P-501872")</f>
        <v>13-P-501872</v>
      </c>
      <c r="C12610">
        <v>0.12</v>
      </c>
      <c r="D12610" t="s">
        <v>16591</v>
      </c>
      <c r="E12610" t="s">
        <v>11</v>
      </c>
      <c r="F12610" t="s">
        <v>1209</v>
      </c>
      <c r="G12610" t="s">
        <v>2178</v>
      </c>
      <c r="H12610" t="s">
        <v>432</v>
      </c>
    </row>
    <row r="12611" spans="1:8" hidden="1" x14ac:dyDescent="0.25">
      <c r="A12611" t="s">
        <v>16592</v>
      </c>
      <c r="B12611" s="1" t="str">
        <f>HYPERLINK("https://asmlis.vasa.lt/Dashboard/Served?ServiceDateFrom=2025-11-24&amp;ServiceDateTo=2025-11-24&amp;DumpsterInvNr=13-L-108255", "13-L-108255")</f>
        <v>13-L-108255</v>
      </c>
      <c r="C12611">
        <v>0.24</v>
      </c>
      <c r="D12611" t="s">
        <v>16591</v>
      </c>
      <c r="E12611" t="s">
        <v>11</v>
      </c>
      <c r="F12611" t="s">
        <v>1209</v>
      </c>
      <c r="G12611" t="s">
        <v>430</v>
      </c>
      <c r="H12611" t="s">
        <v>432</v>
      </c>
    </row>
    <row r="12612" spans="1:8" hidden="1" x14ac:dyDescent="0.25">
      <c r="A12612" t="s">
        <v>16593</v>
      </c>
      <c r="B12612" s="1" t="str">
        <f>HYPERLINK("https://asmlis.vasa.lt/Dashboard/Served?ServiceDateFrom=2025-11-24&amp;ServiceDateTo=2025-11-24&amp;DumpsterInvNr=13-L-313830", "13-L-313830")</f>
        <v>13-L-313830</v>
      </c>
      <c r="C12612">
        <v>1.1000000000000001</v>
      </c>
      <c r="D12612" t="s">
        <v>16594</v>
      </c>
      <c r="E12612" t="s">
        <v>11</v>
      </c>
      <c r="G12612" t="s">
        <v>9</v>
      </c>
      <c r="H12612" t="s">
        <v>14</v>
      </c>
    </row>
    <row r="12613" spans="1:8" hidden="1" x14ac:dyDescent="0.25">
      <c r="A12613" t="s">
        <v>16593</v>
      </c>
      <c r="B12613" s="1" t="str">
        <f>HYPERLINK("https://asmlis.vasa.lt/Dashboard/Served?ServiceDateFrom=2025-11-24&amp;ServiceDateTo=2025-11-24&amp;DumpsterInvNr=13-P-500398", "13-P-500398")</f>
        <v>13-P-500398</v>
      </c>
      <c r="C12613">
        <v>5</v>
      </c>
      <c r="D12613" t="s">
        <v>15362</v>
      </c>
      <c r="E12613" t="s">
        <v>11</v>
      </c>
      <c r="F12613" t="s">
        <v>13</v>
      </c>
      <c r="G12613" t="s">
        <v>2178</v>
      </c>
      <c r="H12613" t="s">
        <v>432</v>
      </c>
    </row>
    <row r="12614" spans="1:8" hidden="1" x14ac:dyDescent="0.25">
      <c r="A12614" t="s">
        <v>16595</v>
      </c>
      <c r="B12614" s="1" t="str">
        <f>HYPERLINK("https://asmlis.vasa.lt/Dashboard/Served?ServiceDateFrom=2025-11-24&amp;ServiceDateTo=2025-11-24&amp;DumpsterInvNr=13-P-501893", "13-P-501893")</f>
        <v>13-P-501893</v>
      </c>
      <c r="C12614">
        <v>2.5</v>
      </c>
      <c r="D12614" t="s">
        <v>16596</v>
      </c>
      <c r="E12614" t="s">
        <v>11</v>
      </c>
      <c r="F12614" t="s">
        <v>13</v>
      </c>
      <c r="G12614" t="s">
        <v>2178</v>
      </c>
      <c r="H12614" t="s">
        <v>432</v>
      </c>
    </row>
    <row r="12615" spans="1:8" hidden="1" x14ac:dyDescent="0.25">
      <c r="A12615" t="s">
        <v>16597</v>
      </c>
      <c r="B12615" s="1" t="str">
        <f>HYPERLINK("https://asmlis.vasa.lt/Dashboard/Served?ServiceDateFrom=2025-11-24&amp;ServiceDateTo=2025-11-24&amp;DumpsterInvNr=13-L-100618", "13-L-100618")</f>
        <v>13-L-100618</v>
      </c>
      <c r="C12615">
        <v>1.1000000000000001</v>
      </c>
      <c r="D12615" t="s">
        <v>5549</v>
      </c>
      <c r="E12615" t="s">
        <v>11</v>
      </c>
      <c r="G12615" t="s">
        <v>430</v>
      </c>
      <c r="H12615" t="s">
        <v>432</v>
      </c>
    </row>
    <row r="12616" spans="1:8" hidden="1" x14ac:dyDescent="0.25">
      <c r="A12616" t="s">
        <v>16598</v>
      </c>
      <c r="B12616" s="1" t="str">
        <f>HYPERLINK("https://asmlis.vasa.lt/Dashboard/Served?ServiceDateFrom=2025-11-24&amp;ServiceDateTo=2025-11-24&amp;DumpsterInvNr=13-P-105571", "13-P-105571")</f>
        <v>13-P-105571</v>
      </c>
      <c r="C12616">
        <v>0.77</v>
      </c>
      <c r="D12616" t="s">
        <v>16599</v>
      </c>
      <c r="E12616" t="s">
        <v>11</v>
      </c>
      <c r="G12616" t="s">
        <v>1917</v>
      </c>
      <c r="H12616" t="s">
        <v>432</v>
      </c>
    </row>
    <row r="12617" spans="1:8" hidden="1" x14ac:dyDescent="0.25">
      <c r="A12617" t="s">
        <v>16601</v>
      </c>
      <c r="B12617" s="1" t="str">
        <f>HYPERLINK("https://asmlis.vasa.lt/Dashboard/Served?ServiceDateFrom=2025-11-24&amp;ServiceDateTo=2025-11-24&amp;DumpsterInvNr=13-S-207491", "13-S-207491")</f>
        <v>13-S-207491</v>
      </c>
      <c r="C12617">
        <v>0.12</v>
      </c>
      <c r="D12617" t="s">
        <v>16206</v>
      </c>
      <c r="E12617" t="s">
        <v>11</v>
      </c>
      <c r="G12617" t="s">
        <v>234</v>
      </c>
      <c r="H12617" t="s">
        <v>14</v>
      </c>
    </row>
    <row r="12618" spans="1:8" hidden="1" x14ac:dyDescent="0.25">
      <c r="A12618" t="s">
        <v>16602</v>
      </c>
      <c r="B12618" s="1" t="str">
        <f>HYPERLINK("https://asmlis.vasa.lt/Dashboard/Served?ServiceDateFrom=2025-11-24&amp;ServiceDateTo=2025-11-24&amp;DumpsterInvNr=13-L-303804", "13-L-303804")</f>
        <v>13-L-303804</v>
      </c>
      <c r="C12618">
        <v>1.1000000000000001</v>
      </c>
      <c r="D12618" t="s">
        <v>16594</v>
      </c>
      <c r="E12618" t="s">
        <v>11</v>
      </c>
      <c r="G12618" t="s">
        <v>9</v>
      </c>
      <c r="H12618" t="s">
        <v>14</v>
      </c>
    </row>
    <row r="12619" spans="1:8" hidden="1" x14ac:dyDescent="0.25">
      <c r="A12619" t="s">
        <v>16603</v>
      </c>
      <c r="B12619" s="1" t="str">
        <f>HYPERLINK("https://asmlis.vasa.lt/Dashboard/Served?ServiceDateFrom=2025-11-24&amp;ServiceDateTo=2025-11-24&amp;DumpsterInvNr=13-L-125576", "13-L-125576")</f>
        <v>13-L-125576</v>
      </c>
      <c r="C12619">
        <v>0.24</v>
      </c>
      <c r="D12619" t="s">
        <v>16604</v>
      </c>
      <c r="E12619" t="s">
        <v>11</v>
      </c>
      <c r="G12619" t="s">
        <v>430</v>
      </c>
      <c r="H12619" t="s">
        <v>432</v>
      </c>
    </row>
    <row r="12620" spans="1:8" hidden="1" x14ac:dyDescent="0.25">
      <c r="A12620" t="s">
        <v>16603</v>
      </c>
      <c r="B12620" s="1" t="str">
        <f>HYPERLINK("https://asmlis.vasa.lt/Dashboard/Served?ServiceDateFrom=2025-11-24&amp;ServiceDateTo=2025-11-24&amp;DumpsterInvNr=13-P-502597", "13-P-502597")</f>
        <v>13-P-502597</v>
      </c>
      <c r="C12620">
        <v>0.24</v>
      </c>
      <c r="D12620" t="s">
        <v>16604</v>
      </c>
      <c r="E12620" t="s">
        <v>11</v>
      </c>
      <c r="G12620" t="s">
        <v>2178</v>
      </c>
      <c r="H12620" t="s">
        <v>432</v>
      </c>
    </row>
    <row r="12621" spans="1:8" hidden="1" x14ac:dyDescent="0.25">
      <c r="A12621" t="s">
        <v>16605</v>
      </c>
      <c r="B12621" s="1" t="str">
        <f>HYPERLINK("https://asmlis.vasa.lt/Dashboard/Served?ServiceDateFrom=2025-11-24&amp;ServiceDateTo=2025-11-24&amp;DumpsterInvNr=13-L-100617", "13-L-100617")</f>
        <v>13-L-100617</v>
      </c>
      <c r="C12621">
        <v>1.1000000000000001</v>
      </c>
      <c r="D12621" t="s">
        <v>5549</v>
      </c>
      <c r="E12621" t="s">
        <v>11</v>
      </c>
      <c r="G12621" t="s">
        <v>430</v>
      </c>
      <c r="H12621" t="s">
        <v>432</v>
      </c>
    </row>
    <row r="12622" spans="1:8" hidden="1" x14ac:dyDescent="0.25">
      <c r="A12622" t="s">
        <v>16606</v>
      </c>
      <c r="B12622" s="1" t="str">
        <f>HYPERLINK("https://asmlis.vasa.lt/Dashboard/Served?ServiceDateFrom=2025-11-24&amp;ServiceDateTo=2025-11-24&amp;DumpsterInvNr=13-P-205943", "13-P-205943")</f>
        <v>13-P-205943</v>
      </c>
      <c r="C12622">
        <v>0.24</v>
      </c>
      <c r="D12622" t="s">
        <v>16206</v>
      </c>
      <c r="E12622" t="s">
        <v>11</v>
      </c>
      <c r="F12622" t="s">
        <v>1209</v>
      </c>
      <c r="G12622" t="s">
        <v>234</v>
      </c>
      <c r="H12622" t="s">
        <v>14</v>
      </c>
    </row>
    <row r="12623" spans="1:8" hidden="1" x14ac:dyDescent="0.25">
      <c r="A12623" t="s">
        <v>16607</v>
      </c>
      <c r="B12623" s="1" t="str">
        <f>HYPERLINK("https://asmlis.vasa.lt/Dashboard/Served?ServiceDateFrom=2025-11-24&amp;ServiceDateTo=2025-11-24&amp;DumpsterInvNr=13-L-141629", "13-L-141629")</f>
        <v>13-L-141629</v>
      </c>
      <c r="C12623">
        <v>5</v>
      </c>
      <c r="D12623" t="s">
        <v>16608</v>
      </c>
      <c r="E12623" t="s">
        <v>11</v>
      </c>
      <c r="F12623" t="s">
        <v>13</v>
      </c>
      <c r="G12623" t="s">
        <v>430</v>
      </c>
      <c r="H12623" t="s">
        <v>432</v>
      </c>
    </row>
    <row r="12624" spans="1:8" hidden="1" x14ac:dyDescent="0.25">
      <c r="A12624" t="s">
        <v>16607</v>
      </c>
      <c r="B12624" s="1" t="str">
        <f>HYPERLINK("https://asmlis.vasa.lt/Dashboard/Served?ServiceDateFrom=2025-11-24&amp;ServiceDateTo=2025-11-24&amp;DumpsterInvNr=13-L-424430", "13-L-424430")</f>
        <v>13-L-424430</v>
      </c>
      <c r="C12624">
        <v>5</v>
      </c>
      <c r="D12624" t="s">
        <v>11808</v>
      </c>
      <c r="E12624" t="s">
        <v>11</v>
      </c>
      <c r="F12624" t="s">
        <v>13</v>
      </c>
      <c r="G12624" t="s">
        <v>74</v>
      </c>
      <c r="H12624" t="s">
        <v>14</v>
      </c>
    </row>
    <row r="12625" spans="1:8" hidden="1" x14ac:dyDescent="0.25">
      <c r="A12625" t="s">
        <v>16609</v>
      </c>
      <c r="B12625" s="1" t="str">
        <f>HYPERLINK("https://asmlis.vasa.lt/Dashboard/Served?ServiceDateFrom=2025-11-24&amp;ServiceDateTo=2025-11-24&amp;DumpsterInvNr=13-P-211737", "13-P-211737")</f>
        <v>13-P-211737</v>
      </c>
      <c r="C12625">
        <v>0.24</v>
      </c>
      <c r="D12625" t="s">
        <v>16226</v>
      </c>
      <c r="E12625" t="s">
        <v>11</v>
      </c>
      <c r="G12625" t="s">
        <v>234</v>
      </c>
      <c r="H12625" t="s">
        <v>14</v>
      </c>
    </row>
    <row r="12626" spans="1:8" hidden="1" x14ac:dyDescent="0.25">
      <c r="A12626" t="s">
        <v>16610</v>
      </c>
      <c r="B12626" s="1" t="str">
        <f>HYPERLINK("https://asmlis.vasa.lt/Dashboard/Served?ServiceDateFrom=2025-11-24&amp;ServiceDateTo=2025-11-24&amp;DumpsterInvNr=13-L-309060", "13-L-309060")</f>
        <v>13-L-309060</v>
      </c>
      <c r="C12626">
        <v>0.77</v>
      </c>
      <c r="D12626" t="s">
        <v>16611</v>
      </c>
      <c r="E12626" t="s">
        <v>11</v>
      </c>
      <c r="G12626" t="s">
        <v>9</v>
      </c>
      <c r="H12626" t="s">
        <v>14</v>
      </c>
    </row>
    <row r="12627" spans="1:8" hidden="1" x14ac:dyDescent="0.25">
      <c r="A12627" t="s">
        <v>16612</v>
      </c>
      <c r="B12627" s="1" t="str">
        <f>HYPERLINK("https://asmlis.vasa.lt/Dashboard/Served?ServiceDateFrom=2025-11-24&amp;ServiceDateTo=2025-11-24&amp;DumpsterInvNr=13-S-206121", "13-S-206121")</f>
        <v>13-S-206121</v>
      </c>
      <c r="C12627">
        <v>0.12</v>
      </c>
      <c r="D12627" t="s">
        <v>16226</v>
      </c>
      <c r="E12627" t="s">
        <v>11</v>
      </c>
      <c r="F12627" t="s">
        <v>1209</v>
      </c>
      <c r="G12627" t="s">
        <v>234</v>
      </c>
      <c r="H12627" t="s">
        <v>14</v>
      </c>
    </row>
    <row r="12628" spans="1:8" hidden="1" x14ac:dyDescent="0.25">
      <c r="A12628" t="s">
        <v>16613</v>
      </c>
      <c r="B12628" s="1" t="str">
        <f>HYPERLINK("https://asmlis.vasa.lt/Dashboard/Served?ServiceDateFrom=2025-11-24&amp;ServiceDateTo=2025-11-24&amp;DumpsterInvNr=13-L-124983", "13-L-124983")</f>
        <v>13-L-124983</v>
      </c>
      <c r="C12628">
        <v>0.12</v>
      </c>
      <c r="D12628" t="s">
        <v>16614</v>
      </c>
      <c r="E12628" t="s">
        <v>11</v>
      </c>
      <c r="G12628" t="s">
        <v>430</v>
      </c>
      <c r="H12628" t="s">
        <v>432</v>
      </c>
    </row>
    <row r="12629" spans="1:8" hidden="1" x14ac:dyDescent="0.25">
      <c r="A12629" t="s">
        <v>16615</v>
      </c>
      <c r="B12629" s="1" t="str">
        <f>HYPERLINK("https://asmlis.vasa.lt/Dashboard/Served?ServiceDateFrom=2025-11-24&amp;ServiceDateTo=2025-11-24&amp;DumpsterInvNr=13-S-207348", "13-S-207348")</f>
        <v>13-S-207348</v>
      </c>
      <c r="C12629">
        <v>3</v>
      </c>
      <c r="D12629" t="s">
        <v>2684</v>
      </c>
      <c r="E12629" t="s">
        <v>11</v>
      </c>
      <c r="G12629" t="s">
        <v>234</v>
      </c>
      <c r="H12629" t="s">
        <v>14</v>
      </c>
    </row>
    <row r="12630" spans="1:8" hidden="1" x14ac:dyDescent="0.25">
      <c r="A12630" t="s">
        <v>16616</v>
      </c>
      <c r="B12630" s="1" t="str">
        <f>HYPERLINK("https://asmlis.vasa.lt/Dashboard/Served?ServiceDateFrom=2025-11-24&amp;ServiceDateTo=2025-11-24&amp;DumpsterInvNr=13-L-109842", "13-L-109842")</f>
        <v>13-L-109842</v>
      </c>
      <c r="C12630">
        <v>0.12</v>
      </c>
      <c r="D12630" t="s">
        <v>16617</v>
      </c>
      <c r="E12630" t="s">
        <v>11</v>
      </c>
      <c r="G12630" t="s">
        <v>430</v>
      </c>
      <c r="H12630" t="s">
        <v>432</v>
      </c>
    </row>
    <row r="12631" spans="1:8" hidden="1" x14ac:dyDescent="0.25">
      <c r="A12631" t="s">
        <v>16618</v>
      </c>
      <c r="B12631" s="1" t="str">
        <f>HYPERLINK("https://asmlis.vasa.lt/Dashboard/Served?ServiceDateFrom=2025-11-24&amp;ServiceDateTo=2025-11-24&amp;DumpsterInvNr=13-P-211072", "13-P-211072")</f>
        <v>13-P-211072</v>
      </c>
      <c r="C12631">
        <v>0.24</v>
      </c>
      <c r="D12631" t="s">
        <v>16235</v>
      </c>
      <c r="E12631" t="s">
        <v>11</v>
      </c>
      <c r="G12631" t="s">
        <v>234</v>
      </c>
      <c r="H12631" t="s">
        <v>14</v>
      </c>
    </row>
    <row r="12632" spans="1:8" hidden="1" x14ac:dyDescent="0.25">
      <c r="A12632" t="s">
        <v>16619</v>
      </c>
      <c r="B12632" s="1" t="str">
        <f>HYPERLINK("https://asmlis.vasa.lt/Dashboard/Served?ServiceDateFrom=2025-11-24&amp;ServiceDateTo=2025-11-24&amp;DumpsterInvNr=13-T-000109", "13-T-000109")</f>
        <v>13-T-000109</v>
      </c>
      <c r="C12632">
        <v>2.5</v>
      </c>
      <c r="D12632" t="s">
        <v>16620</v>
      </c>
      <c r="E12632" t="s">
        <v>11</v>
      </c>
      <c r="F12632" t="s">
        <v>13</v>
      </c>
      <c r="G12632" t="s">
        <v>1899</v>
      </c>
      <c r="H12632" t="s">
        <v>432</v>
      </c>
    </row>
    <row r="12633" spans="1:8" hidden="1" x14ac:dyDescent="0.25">
      <c r="A12633" t="s">
        <v>16621</v>
      </c>
      <c r="B12633" s="1" t="str">
        <f>HYPERLINK("https://asmlis.vasa.lt/Dashboard/Served?ServiceDateFrom=2025-11-24&amp;ServiceDateTo=2025-11-24&amp;DumpsterInvNr=13-P-506678", "13-P-506678")</f>
        <v>13-P-506678</v>
      </c>
      <c r="C12633">
        <v>0.24</v>
      </c>
      <c r="D12633" t="s">
        <v>16622</v>
      </c>
      <c r="E12633" t="s">
        <v>11</v>
      </c>
      <c r="G12633" t="s">
        <v>2178</v>
      </c>
      <c r="H12633" t="s">
        <v>432</v>
      </c>
    </row>
    <row r="12634" spans="1:8" hidden="1" x14ac:dyDescent="0.25">
      <c r="A12634" t="s">
        <v>16621</v>
      </c>
      <c r="B12634" s="1" t="str">
        <f>HYPERLINK("https://asmlis.vasa.lt/Dashboard/Served?ServiceDateFrom=2025-11-24&amp;ServiceDateTo=2025-11-24&amp;DumpsterInvNr=13-L-141488", "13-L-141488")</f>
        <v>13-L-141488</v>
      </c>
      <c r="C12634">
        <v>0.24</v>
      </c>
      <c r="D12634" t="s">
        <v>16622</v>
      </c>
      <c r="E12634" t="s">
        <v>11</v>
      </c>
      <c r="G12634" t="s">
        <v>430</v>
      </c>
      <c r="H12634" t="s">
        <v>432</v>
      </c>
    </row>
    <row r="12635" spans="1:8" hidden="1" x14ac:dyDescent="0.25">
      <c r="A12635" t="s">
        <v>16545</v>
      </c>
      <c r="B12635" s="1" t="str">
        <f>HYPERLINK("https://asmlis.vasa.lt/Dashboard/Served?ServiceDateFrom=2025-11-24&amp;ServiceDateTo=2025-11-24&amp;DumpsterInvNr=13-L-311767", "13-L-311767")</f>
        <v>13-L-311767</v>
      </c>
      <c r="C12635">
        <v>0.77</v>
      </c>
      <c r="D12635" t="s">
        <v>16624</v>
      </c>
      <c r="E12635" t="s">
        <v>11</v>
      </c>
      <c r="G12635" t="s">
        <v>9</v>
      </c>
      <c r="H12635" t="s">
        <v>14</v>
      </c>
    </row>
    <row r="12636" spans="1:8" hidden="1" x14ac:dyDescent="0.25">
      <c r="A12636" t="s">
        <v>16545</v>
      </c>
      <c r="B12636" s="1" t="str">
        <f>HYPERLINK("https://asmlis.vasa.lt/Dashboard/Served?ServiceDateFrom=2025-11-24&amp;ServiceDateTo=2025-11-24&amp;DumpsterInvNr=13-L-137989", "13-L-137989")</f>
        <v>13-L-137989</v>
      </c>
      <c r="C12636">
        <v>5</v>
      </c>
      <c r="D12636" t="s">
        <v>16625</v>
      </c>
      <c r="E12636" t="s">
        <v>11</v>
      </c>
      <c r="F12636" t="s">
        <v>13</v>
      </c>
      <c r="G12636" t="s">
        <v>430</v>
      </c>
      <c r="H12636" t="s">
        <v>432</v>
      </c>
    </row>
    <row r="12637" spans="1:8" hidden="1" x14ac:dyDescent="0.25">
      <c r="A12637" t="s">
        <v>16626</v>
      </c>
      <c r="B12637" s="1" t="str">
        <f>HYPERLINK("https://asmlis.vasa.lt/Dashboard/Served?ServiceDateFrom=2025-11-24&amp;ServiceDateTo=2025-11-24&amp;DumpsterInvNr=13-L-109841", "13-L-109841")</f>
        <v>13-L-109841</v>
      </c>
      <c r="C12637">
        <v>0.24</v>
      </c>
      <c r="D12637" t="s">
        <v>16627</v>
      </c>
      <c r="E12637" t="s">
        <v>11</v>
      </c>
      <c r="G12637" t="s">
        <v>430</v>
      </c>
      <c r="H12637" t="s">
        <v>432</v>
      </c>
    </row>
    <row r="12638" spans="1:8" hidden="1" x14ac:dyDescent="0.25">
      <c r="A12638" t="s">
        <v>16628</v>
      </c>
      <c r="B12638" s="1" t="str">
        <f>HYPERLINK("https://asmlis.vasa.lt/Dashboard/Served?ServiceDateFrom=2025-11-24&amp;ServiceDateTo=2025-11-24&amp;DumpsterInvNr=13-P-208670", "13-P-208670")</f>
        <v>13-P-208670</v>
      </c>
      <c r="C12638">
        <v>0.24</v>
      </c>
      <c r="D12638" t="s">
        <v>5426</v>
      </c>
      <c r="E12638" t="s">
        <v>11</v>
      </c>
      <c r="F12638" t="s">
        <v>1209</v>
      </c>
      <c r="G12638" t="s">
        <v>234</v>
      </c>
      <c r="H12638" t="s">
        <v>14</v>
      </c>
    </row>
    <row r="12639" spans="1:8" hidden="1" x14ac:dyDescent="0.25">
      <c r="A12639" t="s">
        <v>16629</v>
      </c>
      <c r="B12639" s="1" t="str">
        <f>HYPERLINK("https://asmlis.vasa.lt/Dashboard/Served?ServiceDateFrom=2025-11-24&amp;ServiceDateTo=2025-11-24&amp;DumpsterInvNr=13-S-208704", "13-S-208704")</f>
        <v>13-S-208704</v>
      </c>
      <c r="C12639">
        <v>0.12</v>
      </c>
      <c r="D12639" t="s">
        <v>5426</v>
      </c>
      <c r="E12639" t="s">
        <v>11</v>
      </c>
      <c r="F12639" t="s">
        <v>1209</v>
      </c>
      <c r="G12639" t="s">
        <v>234</v>
      </c>
      <c r="H12639" t="s">
        <v>14</v>
      </c>
    </row>
    <row r="12640" spans="1:8" hidden="1" x14ac:dyDescent="0.25">
      <c r="A12640" t="s">
        <v>16630</v>
      </c>
      <c r="B12640" s="1" t="str">
        <f>HYPERLINK("https://asmlis.vasa.lt/Dashboard/Served?ServiceDateFrom=2025-11-24&amp;ServiceDateTo=2025-11-24&amp;DumpsterInvNr=13-L-141366", "13-L-141366")</f>
        <v>13-L-141366</v>
      </c>
      <c r="C12640">
        <v>0.24</v>
      </c>
      <c r="D12640" t="s">
        <v>16631</v>
      </c>
      <c r="E12640" t="s">
        <v>11</v>
      </c>
      <c r="G12640" t="s">
        <v>430</v>
      </c>
      <c r="H12640" t="s">
        <v>432</v>
      </c>
    </row>
    <row r="12641" spans="1:8" hidden="1" x14ac:dyDescent="0.25">
      <c r="A12641" t="s">
        <v>16630</v>
      </c>
      <c r="B12641" s="1" t="str">
        <f>HYPERLINK("https://asmlis.vasa.lt/Dashboard/Served?ServiceDateFrom=2025-11-24&amp;ServiceDateTo=2025-11-24&amp;DumpsterInvNr=13-P-502594", "13-P-502594")</f>
        <v>13-P-502594</v>
      </c>
      <c r="C12641">
        <v>0.24</v>
      </c>
      <c r="D12641" t="s">
        <v>16631</v>
      </c>
      <c r="E12641" t="s">
        <v>11</v>
      </c>
      <c r="G12641" t="s">
        <v>2178</v>
      </c>
      <c r="H12641" t="s">
        <v>432</v>
      </c>
    </row>
    <row r="12642" spans="1:8" hidden="1" x14ac:dyDescent="0.25">
      <c r="A12642" t="s">
        <v>16632</v>
      </c>
      <c r="B12642" s="1" t="str">
        <f>HYPERLINK("https://asmlis.vasa.lt/Dashboard/Served?ServiceDateFrom=2025-11-24&amp;ServiceDateTo=2025-11-24&amp;DumpsterInvNr=13-L-316634", "13-L-316634")</f>
        <v>13-L-316634</v>
      </c>
      <c r="C12642">
        <v>1.1000000000000001</v>
      </c>
      <c r="D12642" t="s">
        <v>12320</v>
      </c>
      <c r="E12642" t="s">
        <v>11</v>
      </c>
      <c r="G12642" t="s">
        <v>9</v>
      </c>
      <c r="H12642" t="s">
        <v>14</v>
      </c>
    </row>
    <row r="12643" spans="1:8" hidden="1" x14ac:dyDescent="0.25">
      <c r="A12643" t="s">
        <v>16633</v>
      </c>
      <c r="B12643" s="1" t="str">
        <f>HYPERLINK("https://asmlis.vasa.lt/Dashboard/Served?ServiceDateFrom=2025-11-24&amp;ServiceDateTo=2025-11-24&amp;DumpsterInvNr=13-L-137820", "13-L-137820")</f>
        <v>13-L-137820</v>
      </c>
      <c r="C12643">
        <v>5</v>
      </c>
      <c r="D12643" t="s">
        <v>3575</v>
      </c>
      <c r="E12643" t="s">
        <v>11</v>
      </c>
      <c r="F12643" t="s">
        <v>13</v>
      </c>
      <c r="G12643" t="s">
        <v>1912</v>
      </c>
      <c r="H12643" t="s">
        <v>432</v>
      </c>
    </row>
    <row r="12644" spans="1:8" hidden="1" x14ac:dyDescent="0.25">
      <c r="A12644" t="s">
        <v>16634</v>
      </c>
      <c r="B12644" s="1" t="str">
        <f>HYPERLINK("https://asmlis.vasa.lt/Dashboard/Served?ServiceDateFrom=2025-11-24&amp;ServiceDateTo=2025-11-24&amp;DumpsterInvNr=13-L-136687", "13-L-136687")</f>
        <v>13-L-136687</v>
      </c>
      <c r="C12644">
        <v>5</v>
      </c>
      <c r="D12644" t="s">
        <v>16635</v>
      </c>
      <c r="E12644" t="s">
        <v>11</v>
      </c>
      <c r="F12644" t="s">
        <v>13</v>
      </c>
      <c r="G12644" t="s">
        <v>430</v>
      </c>
      <c r="H12644" t="s">
        <v>432</v>
      </c>
    </row>
    <row r="12645" spans="1:8" hidden="1" x14ac:dyDescent="0.25">
      <c r="A12645" t="s">
        <v>16636</v>
      </c>
      <c r="B12645" s="1" t="str">
        <f>HYPERLINK("https://asmlis.vasa.lt/Dashboard/Served?ServiceDateFrom=2025-11-24&amp;ServiceDateTo=2025-11-24&amp;DumpsterInvNr=13-P-304008", "13-P-304008")</f>
        <v>13-P-304008</v>
      </c>
      <c r="C12645">
        <v>2.5</v>
      </c>
      <c r="D12645" t="s">
        <v>12147</v>
      </c>
      <c r="E12645" t="s">
        <v>11</v>
      </c>
      <c r="G12645" t="s">
        <v>412</v>
      </c>
      <c r="H12645" t="s">
        <v>14</v>
      </c>
    </row>
    <row r="12646" spans="1:8" hidden="1" x14ac:dyDescent="0.25">
      <c r="A12646" t="s">
        <v>16637</v>
      </c>
      <c r="B12646" s="1" t="str">
        <f>HYPERLINK("https://asmlis.vasa.lt/Dashboard/Served?ServiceDateFrom=2025-11-24&amp;ServiceDateTo=2025-11-24&amp;DumpsterInvNr=13-P-208725", "13-P-208725")</f>
        <v>13-P-208725</v>
      </c>
      <c r="C12646">
        <v>0.24</v>
      </c>
      <c r="D12646" t="s">
        <v>16237</v>
      </c>
      <c r="E12646" t="s">
        <v>11</v>
      </c>
      <c r="F12646" t="s">
        <v>1209</v>
      </c>
      <c r="G12646" t="s">
        <v>234</v>
      </c>
      <c r="H12646" t="s">
        <v>14</v>
      </c>
    </row>
    <row r="12647" spans="1:8" hidden="1" x14ac:dyDescent="0.25">
      <c r="A12647" t="s">
        <v>16638</v>
      </c>
      <c r="B12647" s="1" t="str">
        <f>HYPERLINK("https://asmlis.vasa.lt/Dashboard/Served?ServiceDateFrom=2025-11-24&amp;ServiceDateTo=2025-11-24&amp;DumpsterInvNr=13-P-208256", "13-P-208256")</f>
        <v>13-P-208256</v>
      </c>
      <c r="C12647">
        <v>0.24</v>
      </c>
      <c r="D12647" t="s">
        <v>16240</v>
      </c>
      <c r="E12647" t="s">
        <v>11</v>
      </c>
      <c r="F12647" t="s">
        <v>1209</v>
      </c>
      <c r="G12647" t="s">
        <v>234</v>
      </c>
      <c r="H12647" t="s">
        <v>14</v>
      </c>
    </row>
    <row r="12648" spans="1:8" hidden="1" x14ac:dyDescent="0.25">
      <c r="A12648" t="s">
        <v>16639</v>
      </c>
      <c r="B12648" s="1" t="str">
        <f>HYPERLINK("https://asmlis.vasa.lt/Dashboard/Served?ServiceDateFrom=2025-11-24&amp;ServiceDateTo=2025-11-24&amp;DumpsterInvNr=13-L-114763", "13-L-114763")</f>
        <v>13-L-114763</v>
      </c>
      <c r="C12648">
        <v>0.12</v>
      </c>
      <c r="D12648" t="s">
        <v>16640</v>
      </c>
      <c r="E12648" t="s">
        <v>11</v>
      </c>
      <c r="G12648" t="s">
        <v>430</v>
      </c>
      <c r="H12648" t="s">
        <v>432</v>
      </c>
    </row>
    <row r="12649" spans="1:8" hidden="1" x14ac:dyDescent="0.25">
      <c r="A12649" t="s">
        <v>16641</v>
      </c>
      <c r="B12649" s="1" t="str">
        <f>HYPERLINK("https://asmlis.vasa.lt/Dashboard/Served?ServiceDateFrom=2025-11-24&amp;ServiceDateTo=2025-11-24&amp;DumpsterInvNr=13-P-504046", "13-P-504046")</f>
        <v>13-P-504046</v>
      </c>
      <c r="C12649">
        <v>0.24</v>
      </c>
      <c r="D12649" t="s">
        <v>16640</v>
      </c>
      <c r="E12649" t="s">
        <v>11</v>
      </c>
      <c r="G12649" t="s">
        <v>2178</v>
      </c>
      <c r="H12649" t="s">
        <v>432</v>
      </c>
    </row>
    <row r="12650" spans="1:8" hidden="1" x14ac:dyDescent="0.25">
      <c r="A12650" t="s">
        <v>16643</v>
      </c>
      <c r="B12650" s="1" t="str">
        <f>HYPERLINK("https://asmlis.vasa.lt/Dashboard/Served?ServiceDateFrom=2025-11-24&amp;ServiceDateTo=2025-11-24&amp;DumpsterInvNr=13-L-424428", "13-L-424428")</f>
        <v>13-L-424428</v>
      </c>
      <c r="C12650">
        <v>5</v>
      </c>
      <c r="D12650" t="s">
        <v>11828</v>
      </c>
      <c r="E12650" t="s">
        <v>11</v>
      </c>
      <c r="F12650" t="s">
        <v>13</v>
      </c>
      <c r="G12650" t="s">
        <v>74</v>
      </c>
      <c r="H12650" t="s">
        <v>14</v>
      </c>
    </row>
    <row r="12651" spans="1:8" hidden="1" x14ac:dyDescent="0.25">
      <c r="A12651" t="s">
        <v>16600</v>
      </c>
      <c r="B12651" s="1" t="str">
        <f>HYPERLINK("https://asmlis.vasa.lt/Dashboard/Served?ServiceDateFrom=2025-11-24&amp;ServiceDateTo=2025-11-24&amp;DumpsterInvNr=13-P-211573", "13-P-211573")</f>
        <v>13-P-211573</v>
      </c>
      <c r="C12651">
        <v>1.1000000000000001</v>
      </c>
      <c r="D12651" t="s">
        <v>10803</v>
      </c>
      <c r="E12651" t="s">
        <v>11</v>
      </c>
      <c r="G12651" t="s">
        <v>234</v>
      </c>
      <c r="H12651" t="s">
        <v>14</v>
      </c>
    </row>
    <row r="12652" spans="1:8" hidden="1" x14ac:dyDescent="0.25">
      <c r="A12652" t="s">
        <v>16644</v>
      </c>
      <c r="B12652" s="1" t="str">
        <f>HYPERLINK("https://asmlis.vasa.lt/Dashboard/Served?ServiceDateFrom=2025-11-24&amp;ServiceDateTo=2025-11-24&amp;DumpsterInvNr=13-L-124984", "13-L-124984")</f>
        <v>13-L-124984</v>
      </c>
      <c r="C12652">
        <v>0.12</v>
      </c>
      <c r="D12652" t="s">
        <v>16645</v>
      </c>
      <c r="E12652" t="s">
        <v>11</v>
      </c>
      <c r="G12652" t="s">
        <v>430</v>
      </c>
      <c r="H12652" t="s">
        <v>432</v>
      </c>
    </row>
    <row r="12653" spans="1:8" hidden="1" x14ac:dyDescent="0.25">
      <c r="A12653" t="s">
        <v>16646</v>
      </c>
      <c r="B12653" s="1" t="str">
        <f>HYPERLINK("https://asmlis.vasa.lt/Dashboard/Served?ServiceDateFrom=2025-11-24&amp;ServiceDateTo=2025-11-24&amp;DumpsterInvNr=13-P-501894", "13-P-501894")</f>
        <v>13-P-501894</v>
      </c>
      <c r="C12653">
        <v>2.5</v>
      </c>
      <c r="D12653" t="s">
        <v>16596</v>
      </c>
      <c r="E12653" t="s">
        <v>11</v>
      </c>
      <c r="F12653" t="s">
        <v>13</v>
      </c>
      <c r="G12653" t="s">
        <v>2178</v>
      </c>
      <c r="H12653" t="s">
        <v>432</v>
      </c>
    </row>
    <row r="12654" spans="1:8" hidden="1" x14ac:dyDescent="0.25">
      <c r="A12654" t="s">
        <v>16483</v>
      </c>
      <c r="B12654" s="1" t="str">
        <f>HYPERLINK("https://asmlis.vasa.lt/Dashboard/Served?ServiceDateFrom=2025-11-24&amp;ServiceDateTo=2025-11-24&amp;DumpsterInvNr=13-P-304007", "13-P-304007")</f>
        <v>13-P-304007</v>
      </c>
      <c r="C12654">
        <v>2.5</v>
      </c>
      <c r="D12654" t="s">
        <v>12147</v>
      </c>
      <c r="E12654" t="s">
        <v>11</v>
      </c>
      <c r="G12654" t="s">
        <v>412</v>
      </c>
      <c r="H12654" t="s">
        <v>14</v>
      </c>
    </row>
    <row r="12655" spans="1:8" hidden="1" x14ac:dyDescent="0.25">
      <c r="A12655" t="s">
        <v>16647</v>
      </c>
      <c r="B12655" s="1" t="str">
        <f>HYPERLINK("https://asmlis.vasa.lt/Dashboard/Served?ServiceDateFrom=2025-11-24&amp;ServiceDateTo=2025-11-24&amp;DumpsterInvNr=13-L-310855", "13-L-310855")</f>
        <v>13-L-310855</v>
      </c>
      <c r="C12655">
        <v>0.77</v>
      </c>
      <c r="D12655" t="s">
        <v>16648</v>
      </c>
      <c r="E12655" t="s">
        <v>11</v>
      </c>
      <c r="G12655" t="s">
        <v>9</v>
      </c>
      <c r="H12655" t="s">
        <v>14</v>
      </c>
    </row>
    <row r="12656" spans="1:8" hidden="1" x14ac:dyDescent="0.25">
      <c r="A12656" t="s">
        <v>16649</v>
      </c>
      <c r="B12656" s="1" t="str">
        <f>HYPERLINK("https://asmlis.vasa.lt/Dashboard/Served?ServiceDateFrom=2025-11-24&amp;ServiceDateTo=2025-11-24&amp;DumpsterInvNr=13-L-124985", "13-L-124985")</f>
        <v>13-L-124985</v>
      </c>
      <c r="C12656">
        <v>0.12</v>
      </c>
      <c r="D12656" t="s">
        <v>16650</v>
      </c>
      <c r="E12656" t="s">
        <v>11</v>
      </c>
      <c r="G12656" t="s">
        <v>430</v>
      </c>
      <c r="H12656" t="s">
        <v>432</v>
      </c>
    </row>
    <row r="12657" spans="1:8" hidden="1" x14ac:dyDescent="0.25">
      <c r="A12657" t="s">
        <v>16651</v>
      </c>
      <c r="B12657" s="1" t="str">
        <f>HYPERLINK("https://asmlis.vasa.lt/Dashboard/Served?ServiceDateFrom=2025-11-24&amp;ServiceDateTo=2025-11-24&amp;DumpsterInvNr=13-P-502593", "13-P-502593")</f>
        <v>13-P-502593</v>
      </c>
      <c r="C12657">
        <v>0.24</v>
      </c>
      <c r="D12657" t="s">
        <v>16650</v>
      </c>
      <c r="E12657" t="s">
        <v>11</v>
      </c>
      <c r="G12657" t="s">
        <v>2178</v>
      </c>
      <c r="H12657" t="s">
        <v>432</v>
      </c>
    </row>
    <row r="12658" spans="1:8" hidden="1" x14ac:dyDescent="0.25">
      <c r="A12658" t="s">
        <v>16651</v>
      </c>
      <c r="B12658" s="1" t="str">
        <f>HYPERLINK("https://asmlis.vasa.lt/Dashboard/Served?ServiceDateFrom=2025-11-24&amp;ServiceDateTo=2025-11-24&amp;DumpsterInvNr=13-P-409040", "13-P-409040")</f>
        <v>13-P-409040</v>
      </c>
      <c r="C12658">
        <v>1.1000000000000001</v>
      </c>
      <c r="D12658" t="s">
        <v>16652</v>
      </c>
      <c r="E12658" t="s">
        <v>11</v>
      </c>
      <c r="F12658" t="s">
        <v>13</v>
      </c>
      <c r="G12658" t="s">
        <v>264</v>
      </c>
      <c r="H12658" t="s">
        <v>14</v>
      </c>
    </row>
    <row r="12659" spans="1:8" hidden="1" x14ac:dyDescent="0.25">
      <c r="A12659" t="s">
        <v>16653</v>
      </c>
      <c r="B12659" s="1" t="str">
        <f>HYPERLINK("https://asmlis.vasa.lt/Dashboard/Served?ServiceDateFrom=2025-11-24&amp;ServiceDateTo=2025-11-24&amp;DumpsterInvNr=13-L-317751", "13-L-317751")</f>
        <v>13-L-317751</v>
      </c>
      <c r="C12659">
        <v>1.1000000000000001</v>
      </c>
      <c r="D12659" t="s">
        <v>12337</v>
      </c>
      <c r="E12659" t="s">
        <v>11</v>
      </c>
      <c r="G12659" t="s">
        <v>9</v>
      </c>
      <c r="H12659" t="s">
        <v>14</v>
      </c>
    </row>
    <row r="12660" spans="1:8" hidden="1" x14ac:dyDescent="0.25">
      <c r="A12660" t="s">
        <v>16654</v>
      </c>
      <c r="B12660" s="1" t="str">
        <f>HYPERLINK("https://asmlis.vasa.lt/Dashboard/Served?ServiceDateFrom=2025-11-24&amp;ServiceDateTo=2025-11-24&amp;DumpsterInvNr=13-L-139500", "13-L-139500")</f>
        <v>13-L-139500</v>
      </c>
      <c r="C12660">
        <v>5</v>
      </c>
      <c r="D12660" t="s">
        <v>10125</v>
      </c>
      <c r="E12660" t="s">
        <v>11</v>
      </c>
      <c r="F12660" t="s">
        <v>13</v>
      </c>
      <c r="G12660" t="s">
        <v>430</v>
      </c>
      <c r="H12660" t="s">
        <v>432</v>
      </c>
    </row>
    <row r="12661" spans="1:8" hidden="1" x14ac:dyDescent="0.25">
      <c r="A12661" t="s">
        <v>16655</v>
      </c>
      <c r="B12661" s="1" t="str">
        <f>HYPERLINK("https://asmlis.vasa.lt/Dashboard/Served?ServiceDateFrom=2025-11-24&amp;ServiceDateTo=2025-11-24&amp;DumpsterInvNr=13-L-302138", "13-L-302138")</f>
        <v>13-L-302138</v>
      </c>
      <c r="C12661">
        <v>0.77</v>
      </c>
      <c r="D12661" t="s">
        <v>16656</v>
      </c>
      <c r="E12661" t="s">
        <v>11</v>
      </c>
      <c r="G12661" t="s">
        <v>9</v>
      </c>
      <c r="H12661" t="s">
        <v>14</v>
      </c>
    </row>
    <row r="12662" spans="1:8" hidden="1" x14ac:dyDescent="0.25">
      <c r="A12662" t="s">
        <v>16657</v>
      </c>
      <c r="B12662" s="1" t="str">
        <f>HYPERLINK("https://asmlis.vasa.lt/Dashboard/Served?ServiceDateFrom=2025-11-24&amp;ServiceDateTo=2025-11-24&amp;DumpsterInvNr=13-L-309692", "13-L-309692")</f>
        <v>13-L-309692</v>
      </c>
      <c r="C12662">
        <v>0.77</v>
      </c>
      <c r="D12662" t="s">
        <v>16658</v>
      </c>
      <c r="E12662" t="s">
        <v>11</v>
      </c>
      <c r="G12662" t="s">
        <v>9</v>
      </c>
      <c r="H12662" t="s">
        <v>14</v>
      </c>
    </row>
    <row r="12663" spans="1:8" hidden="1" x14ac:dyDescent="0.25">
      <c r="A12663" t="s">
        <v>16659</v>
      </c>
      <c r="B12663" s="1" t="str">
        <f>HYPERLINK("https://asmlis.vasa.lt/Dashboard/Served?ServiceDateFrom=2025-11-24&amp;ServiceDateTo=2025-11-24&amp;DumpsterInvNr=13-P-502591", "13-P-502591")</f>
        <v>13-P-502591</v>
      </c>
      <c r="C12663">
        <v>0.24</v>
      </c>
      <c r="D12663" t="s">
        <v>16660</v>
      </c>
      <c r="E12663" t="s">
        <v>11</v>
      </c>
      <c r="G12663" t="s">
        <v>2178</v>
      </c>
      <c r="H12663" t="s">
        <v>432</v>
      </c>
    </row>
    <row r="12664" spans="1:8" hidden="1" x14ac:dyDescent="0.25">
      <c r="A12664" t="s">
        <v>16661</v>
      </c>
      <c r="B12664" s="1" t="str">
        <f>HYPERLINK("https://asmlis.vasa.lt/Dashboard/Served?ServiceDateFrom=2025-11-24&amp;ServiceDateTo=2025-11-24&amp;DumpsterInvNr=13-L-124986", "13-L-124986")</f>
        <v>13-L-124986</v>
      </c>
      <c r="C12664">
        <v>0.24</v>
      </c>
      <c r="D12664" t="s">
        <v>16660</v>
      </c>
      <c r="E12664" t="s">
        <v>11</v>
      </c>
      <c r="G12664" t="s">
        <v>430</v>
      </c>
      <c r="H12664" t="s">
        <v>432</v>
      </c>
    </row>
    <row r="12665" spans="1:8" hidden="1" x14ac:dyDescent="0.25">
      <c r="A12665" t="s">
        <v>16663</v>
      </c>
      <c r="B12665" s="1" t="str">
        <f>HYPERLINK("https://asmlis.vasa.lt/Dashboard/Served?ServiceDateFrom=2025-11-24&amp;ServiceDateTo=2025-11-24&amp;DumpsterInvNr=13-L-146801", "13-L-146801")</f>
        <v>13-L-146801</v>
      </c>
      <c r="C12665">
        <v>0.24</v>
      </c>
      <c r="D12665" t="s">
        <v>16664</v>
      </c>
      <c r="E12665" t="s">
        <v>11</v>
      </c>
      <c r="G12665" t="s">
        <v>1912</v>
      </c>
      <c r="H12665" t="s">
        <v>432</v>
      </c>
    </row>
    <row r="12666" spans="1:8" hidden="1" x14ac:dyDescent="0.25">
      <c r="A12666" t="s">
        <v>14202</v>
      </c>
      <c r="B12666" s="1" t="str">
        <f>HYPERLINK("https://asmlis.vasa.lt/Dashboard/Served?ServiceDateFrom=2025-11-24&amp;ServiceDateTo=2025-11-24&amp;DumpsterInvNr=13-L-139242", "13-L-139242")</f>
        <v>13-L-139242</v>
      </c>
      <c r="C12666">
        <v>5</v>
      </c>
      <c r="D12666" t="s">
        <v>16666</v>
      </c>
      <c r="E12666" t="s">
        <v>11</v>
      </c>
      <c r="F12666" t="s">
        <v>13</v>
      </c>
      <c r="G12666" t="s">
        <v>430</v>
      </c>
      <c r="H12666" t="s">
        <v>432</v>
      </c>
    </row>
    <row r="12667" spans="1:8" hidden="1" x14ac:dyDescent="0.25">
      <c r="A12667" t="s">
        <v>14843</v>
      </c>
      <c r="B12667" s="1" t="str">
        <f>HYPERLINK("https://asmlis.vasa.lt/Dashboard/Served?ServiceDateFrom=2025-11-24&amp;ServiceDateTo=2025-11-24&amp;DumpsterInvNr=13-L-109840", "13-L-109840")</f>
        <v>13-L-109840</v>
      </c>
      <c r="C12667">
        <v>0.12</v>
      </c>
      <c r="D12667" t="s">
        <v>16667</v>
      </c>
      <c r="E12667" t="s">
        <v>11</v>
      </c>
      <c r="G12667" t="s">
        <v>430</v>
      </c>
      <c r="H12667" t="s">
        <v>432</v>
      </c>
    </row>
    <row r="12668" spans="1:8" hidden="1" x14ac:dyDescent="0.25">
      <c r="A12668" t="s">
        <v>14941</v>
      </c>
      <c r="B12668" s="1" t="str">
        <f>HYPERLINK("https://asmlis.vasa.lt/Dashboard/Served?ServiceDateFrom=2025-11-24&amp;ServiceDateTo=2025-11-24&amp;DumpsterInvNr=13-L-109839", "13-L-109839")</f>
        <v>13-L-109839</v>
      </c>
      <c r="C12668">
        <v>0.24</v>
      </c>
      <c r="D12668" t="s">
        <v>16668</v>
      </c>
      <c r="E12668" t="s">
        <v>11</v>
      </c>
      <c r="G12668" t="s">
        <v>430</v>
      </c>
      <c r="H12668" t="s">
        <v>432</v>
      </c>
    </row>
    <row r="12669" spans="1:8" hidden="1" x14ac:dyDescent="0.25">
      <c r="A12669" t="s">
        <v>14941</v>
      </c>
      <c r="B12669" s="1" t="str">
        <f>HYPERLINK("https://asmlis.vasa.lt/Dashboard/Served?ServiceDateFrom=2025-11-24&amp;ServiceDateTo=2025-11-24&amp;DumpsterInvNr=13-P-502590", "13-P-502590")</f>
        <v>13-P-502590</v>
      </c>
      <c r="C12669">
        <v>0.12</v>
      </c>
      <c r="D12669" t="s">
        <v>16670</v>
      </c>
      <c r="E12669" t="s">
        <v>11</v>
      </c>
      <c r="G12669" t="s">
        <v>2178</v>
      </c>
      <c r="H12669" t="s">
        <v>432</v>
      </c>
    </row>
    <row r="12670" spans="1:8" hidden="1" x14ac:dyDescent="0.25">
      <c r="A12670" t="s">
        <v>16623</v>
      </c>
      <c r="B12670" s="1" t="str">
        <f>HYPERLINK("https://asmlis.vasa.lt/Dashboard/Served?ServiceDateFrom=2025-11-24&amp;ServiceDateTo=2025-11-24&amp;DumpsterInvNr=13-P-505028", "13-P-505028")</f>
        <v>13-P-505028</v>
      </c>
      <c r="C12670">
        <v>0.12</v>
      </c>
      <c r="D12670" t="s">
        <v>16668</v>
      </c>
      <c r="E12670" t="s">
        <v>11</v>
      </c>
      <c r="G12670" t="s">
        <v>2178</v>
      </c>
      <c r="H12670" t="s">
        <v>432</v>
      </c>
    </row>
    <row r="12671" spans="1:8" hidden="1" x14ac:dyDescent="0.25">
      <c r="A12671" t="s">
        <v>16672</v>
      </c>
      <c r="B12671" s="1" t="str">
        <f>HYPERLINK("https://asmlis.vasa.lt/Dashboard/Served?ServiceDateFrom=2025-11-24&amp;ServiceDateTo=2025-11-24&amp;DumpsterInvNr=13-L-124987", "13-L-124987")</f>
        <v>13-L-124987</v>
      </c>
      <c r="C12671">
        <v>0.12</v>
      </c>
      <c r="D12671" t="s">
        <v>16673</v>
      </c>
      <c r="E12671" t="s">
        <v>11</v>
      </c>
      <c r="G12671" t="s">
        <v>430</v>
      </c>
      <c r="H12671" t="s">
        <v>432</v>
      </c>
    </row>
    <row r="12672" spans="1:8" hidden="1" x14ac:dyDescent="0.25">
      <c r="A12672" t="s">
        <v>16675</v>
      </c>
      <c r="B12672" s="1" t="str">
        <f>HYPERLINK("https://asmlis.vasa.lt/Dashboard/Served?ServiceDateFrom=2025-11-24&amp;ServiceDateTo=2025-11-24&amp;DumpsterInvNr=13-P-205160", "13-P-205160")</f>
        <v>13-P-205160</v>
      </c>
      <c r="C12672">
        <v>0.24</v>
      </c>
      <c r="D12672" t="s">
        <v>16676</v>
      </c>
      <c r="E12672" t="s">
        <v>11</v>
      </c>
      <c r="G12672" t="s">
        <v>234</v>
      </c>
      <c r="H12672" t="s">
        <v>14</v>
      </c>
    </row>
    <row r="12673" spans="1:10" hidden="1" x14ac:dyDescent="0.25">
      <c r="A12673" t="s">
        <v>16677</v>
      </c>
      <c r="B12673" s="1" t="str">
        <f>HYPERLINK("https://asmlis.vasa.lt/Dashboard/Served?ServiceDateFrom=2025-11-24&amp;ServiceDateTo=2025-11-24&amp;DumpsterInvNr=13-L-112309", "13-L-112309")</f>
        <v>13-L-112309</v>
      </c>
      <c r="C12673">
        <v>0.24</v>
      </c>
      <c r="D12673" t="s">
        <v>16678</v>
      </c>
      <c r="E12673" t="s">
        <v>11</v>
      </c>
      <c r="G12673" t="s">
        <v>430</v>
      </c>
      <c r="H12673" t="s">
        <v>432</v>
      </c>
    </row>
    <row r="12674" spans="1:10" hidden="1" x14ac:dyDescent="0.25">
      <c r="A12674" t="s">
        <v>16679</v>
      </c>
      <c r="B12674" s="1" t="str">
        <f>HYPERLINK("https://asmlis.vasa.lt/Dashboard/Served?ServiceDateFrom=2025-11-24&amp;ServiceDateTo=2025-11-24&amp;DumpsterInvNr=13-L-139024", "13-L-139024")</f>
        <v>13-L-139024</v>
      </c>
      <c r="C12674">
        <v>5</v>
      </c>
      <c r="D12674" t="s">
        <v>3308</v>
      </c>
      <c r="E12674" t="s">
        <v>11</v>
      </c>
      <c r="F12674" t="s">
        <v>13</v>
      </c>
      <c r="G12674" t="s">
        <v>1912</v>
      </c>
      <c r="H12674" t="s">
        <v>432</v>
      </c>
    </row>
    <row r="12675" spans="1:10" hidden="1" x14ac:dyDescent="0.25">
      <c r="A12675" t="s">
        <v>16680</v>
      </c>
      <c r="B12675" s="1" t="str">
        <f>HYPERLINK("https://asmlis.vasa.lt/Dashboard/Served?ServiceDateFrom=2025-11-24&amp;ServiceDateTo=2025-11-24&amp;DumpsterInvNr=13-S-207805", "13-S-207805")</f>
        <v>13-S-207805</v>
      </c>
      <c r="C12675">
        <v>3</v>
      </c>
      <c r="D12675" t="s">
        <v>3136</v>
      </c>
      <c r="E12675" t="s">
        <v>11</v>
      </c>
      <c r="G12675" t="s">
        <v>234</v>
      </c>
      <c r="H12675" t="s">
        <v>14</v>
      </c>
    </row>
    <row r="12676" spans="1:10" hidden="1" x14ac:dyDescent="0.25">
      <c r="A12676" t="s">
        <v>16681</v>
      </c>
      <c r="B12676" s="1" t="str">
        <f>HYPERLINK("https://asmlis.vasa.lt/Dashboard/Served?ServiceDateFrom=2025-11-24&amp;ServiceDateTo=2025-11-24&amp;DumpsterInvNr=13-L-314966", "13-L-314966")</f>
        <v>13-L-314966</v>
      </c>
      <c r="C12676">
        <v>5</v>
      </c>
      <c r="D12676" t="s">
        <v>14812</v>
      </c>
      <c r="E12676" t="s">
        <v>11</v>
      </c>
      <c r="G12676" t="s">
        <v>9</v>
      </c>
      <c r="H12676" t="s">
        <v>14</v>
      </c>
    </row>
    <row r="12677" spans="1:10" hidden="1" x14ac:dyDescent="0.25">
      <c r="A12677" t="s">
        <v>16682</v>
      </c>
      <c r="B12677" s="1" t="str">
        <f>HYPERLINK("https://asmlis.vasa.lt/Dashboard/Served?ServiceDateFrom=2025-11-24&amp;ServiceDateTo=2025-11-24&amp;DumpsterInvNr=13-P-502587", "13-P-502587")</f>
        <v>13-P-502587</v>
      </c>
      <c r="C12677">
        <v>0.24</v>
      </c>
      <c r="D12677" t="s">
        <v>16683</v>
      </c>
      <c r="E12677" t="s">
        <v>11</v>
      </c>
      <c r="G12677" t="s">
        <v>2178</v>
      </c>
      <c r="H12677" t="s">
        <v>432</v>
      </c>
    </row>
    <row r="12678" spans="1:10" hidden="1" x14ac:dyDescent="0.25">
      <c r="A12678" t="s">
        <v>16684</v>
      </c>
      <c r="B12678" s="1" t="str">
        <f>HYPERLINK("https://asmlis.vasa.lt/Dashboard/Served?ServiceDateFrom=2025-11-24&amp;ServiceDateTo=2025-11-24&amp;DumpsterInvNr=13-L-135141", "13-L-135141")</f>
        <v>13-L-135141</v>
      </c>
      <c r="C12678">
        <v>0.24</v>
      </c>
      <c r="D12678" t="s">
        <v>16683</v>
      </c>
      <c r="E12678" t="s">
        <v>11</v>
      </c>
      <c r="G12678" t="s">
        <v>430</v>
      </c>
      <c r="H12678" t="s">
        <v>432</v>
      </c>
    </row>
    <row r="12679" spans="1:10" x14ac:dyDescent="0.25">
      <c r="A12679" t="s">
        <v>16685</v>
      </c>
      <c r="B12679" s="1" t="str">
        <f>HYPERLINK("https://asmlis.vasa.lt/Dashboard/Served?ServiceDateFrom=2025-11-24&amp;ServiceDateTo=2025-11-24&amp;DumpsterInvNr=13-P-115352", "13-P-115352")</f>
        <v>13-P-115352</v>
      </c>
      <c r="C12679">
        <v>1.1000000000000001</v>
      </c>
      <c r="D12679" t="s">
        <v>16686</v>
      </c>
      <c r="E12679" t="s">
        <v>11</v>
      </c>
      <c r="F12679" t="s">
        <v>2491</v>
      </c>
      <c r="G12679" t="s">
        <v>1917</v>
      </c>
      <c r="H12679" t="s">
        <v>432</v>
      </c>
      <c r="J12679" t="s">
        <v>17511</v>
      </c>
    </row>
    <row r="12680" spans="1:10" hidden="1" x14ac:dyDescent="0.25">
      <c r="A12680" t="s">
        <v>16687</v>
      </c>
      <c r="B12680" s="1" t="str">
        <f>HYPERLINK("https://asmlis.vasa.lt/Dashboard/Served?ServiceDateFrom=2025-11-24&amp;ServiceDateTo=2025-11-24&amp;DumpsterInvNr=13-P-212585", "13-P-212585")</f>
        <v>13-P-212585</v>
      </c>
      <c r="C12680">
        <v>1.1000000000000001</v>
      </c>
      <c r="D12680" t="s">
        <v>16688</v>
      </c>
      <c r="E12680" t="s">
        <v>11</v>
      </c>
      <c r="G12680" t="s">
        <v>234</v>
      </c>
      <c r="H12680" t="s">
        <v>14</v>
      </c>
    </row>
    <row r="12681" spans="1:10" hidden="1" x14ac:dyDescent="0.25">
      <c r="A12681" t="s">
        <v>16689</v>
      </c>
      <c r="B12681" s="1" t="str">
        <f>HYPERLINK("https://asmlis.vasa.lt/Dashboard/Served?ServiceDateFrom=2025-11-24&amp;ServiceDateTo=2025-11-24&amp;DumpsterInvNr=13-L-109838", "13-L-109838")</f>
        <v>13-L-109838</v>
      </c>
      <c r="C12681">
        <v>0.12</v>
      </c>
      <c r="D12681" t="s">
        <v>16690</v>
      </c>
      <c r="E12681" t="s">
        <v>11</v>
      </c>
      <c r="G12681" t="s">
        <v>430</v>
      </c>
      <c r="H12681" t="s">
        <v>432</v>
      </c>
    </row>
    <row r="12682" spans="1:10" hidden="1" x14ac:dyDescent="0.25">
      <c r="A12682" t="s">
        <v>16689</v>
      </c>
      <c r="B12682" s="1" t="str">
        <f>HYPERLINK("https://asmlis.vasa.lt/Dashboard/Served?ServiceDateFrom=2025-11-24&amp;ServiceDateTo=2025-11-24&amp;DumpsterInvNr=13-P-502586", "13-P-502586")</f>
        <v>13-P-502586</v>
      </c>
      <c r="C12682">
        <v>0.12</v>
      </c>
      <c r="D12682" t="s">
        <v>16690</v>
      </c>
      <c r="E12682" t="s">
        <v>11</v>
      </c>
      <c r="G12682" t="s">
        <v>2178</v>
      </c>
      <c r="H12682" t="s">
        <v>432</v>
      </c>
    </row>
    <row r="12683" spans="1:10" hidden="1" x14ac:dyDescent="0.25">
      <c r="A12683" t="s">
        <v>16692</v>
      </c>
      <c r="B12683" s="1" t="str">
        <f>HYPERLINK("https://asmlis.vasa.lt/Dashboard/Served?ServiceDateFrom=2025-11-24&amp;ServiceDateTo=2025-11-24&amp;DumpsterInvNr=13-L-123929", "13-L-123929")</f>
        <v>13-L-123929</v>
      </c>
      <c r="C12683">
        <v>0.24</v>
      </c>
      <c r="D12683" t="s">
        <v>16693</v>
      </c>
      <c r="E12683" t="s">
        <v>11</v>
      </c>
      <c r="F12683" t="s">
        <v>1209</v>
      </c>
      <c r="G12683" t="s">
        <v>1912</v>
      </c>
      <c r="H12683" t="s">
        <v>432</v>
      </c>
    </row>
    <row r="12684" spans="1:10" hidden="1" x14ac:dyDescent="0.25">
      <c r="A12684" t="s">
        <v>16694</v>
      </c>
      <c r="B12684" s="1" t="str">
        <f>HYPERLINK("https://asmlis.vasa.lt/Dashboard/Served?ServiceDateFrom=2025-11-24&amp;ServiceDateTo=2025-11-24&amp;DumpsterInvNr=13-L-136689", "13-L-136689")</f>
        <v>13-L-136689</v>
      </c>
      <c r="C12684">
        <v>5</v>
      </c>
      <c r="D12684" t="s">
        <v>16695</v>
      </c>
      <c r="E12684" t="s">
        <v>11</v>
      </c>
      <c r="F12684" t="s">
        <v>13</v>
      </c>
      <c r="G12684" t="s">
        <v>430</v>
      </c>
      <c r="H12684" t="s">
        <v>432</v>
      </c>
    </row>
    <row r="12685" spans="1:10" hidden="1" x14ac:dyDescent="0.25">
      <c r="A12685" t="s">
        <v>16696</v>
      </c>
      <c r="B12685" s="1" t="str">
        <f>HYPERLINK("https://asmlis.vasa.lt/Dashboard/Served?ServiceDateFrom=2025-11-24&amp;ServiceDateTo=2025-11-24&amp;DumpsterInvNr=13-L-137987", "13-L-137987")</f>
        <v>13-L-137987</v>
      </c>
      <c r="C12685">
        <v>5</v>
      </c>
      <c r="D12685" t="s">
        <v>16697</v>
      </c>
      <c r="E12685" t="s">
        <v>11</v>
      </c>
      <c r="F12685" t="s">
        <v>13</v>
      </c>
      <c r="G12685" t="s">
        <v>430</v>
      </c>
      <c r="H12685" t="s">
        <v>432</v>
      </c>
    </row>
    <row r="12686" spans="1:10" hidden="1" x14ac:dyDescent="0.25">
      <c r="A12686" t="s">
        <v>16698</v>
      </c>
      <c r="B12686" s="1" t="str">
        <f>HYPERLINK("https://asmlis.vasa.lt/Dashboard/Served?ServiceDateFrom=2025-11-24&amp;ServiceDateTo=2025-11-24&amp;DumpsterInvNr=13-L-143385", "13-L-143385")</f>
        <v>13-L-143385</v>
      </c>
      <c r="C12686">
        <v>5</v>
      </c>
      <c r="D12686" t="s">
        <v>16695</v>
      </c>
      <c r="E12686" t="s">
        <v>11</v>
      </c>
      <c r="F12686" t="s">
        <v>13</v>
      </c>
      <c r="G12686" t="s">
        <v>430</v>
      </c>
      <c r="H12686" t="s">
        <v>432</v>
      </c>
    </row>
    <row r="12687" spans="1:10" hidden="1" x14ac:dyDescent="0.25">
      <c r="A12687" t="s">
        <v>16699</v>
      </c>
      <c r="B12687" s="1" t="str">
        <f>HYPERLINK("https://asmlis.vasa.lt/Dashboard/Served?ServiceDateFrom=2025-11-24&amp;ServiceDateTo=2025-11-24&amp;DumpsterInvNr=13-L-109837", "13-L-109837")</f>
        <v>13-L-109837</v>
      </c>
      <c r="C12687">
        <v>0.24</v>
      </c>
      <c r="D12687" t="s">
        <v>16700</v>
      </c>
      <c r="E12687" t="s">
        <v>11</v>
      </c>
      <c r="G12687" t="s">
        <v>430</v>
      </c>
      <c r="H12687" t="s">
        <v>432</v>
      </c>
    </row>
    <row r="12688" spans="1:10" hidden="1" x14ac:dyDescent="0.25">
      <c r="A12688" t="s">
        <v>16701</v>
      </c>
      <c r="B12688" s="1" t="str">
        <f>HYPERLINK("https://asmlis.vasa.lt/Dashboard/Served?ServiceDateFrom=2025-11-24&amp;ServiceDateTo=2025-11-24&amp;DumpsterInvNr=13-L-139307", "13-L-139307")</f>
        <v>13-L-139307</v>
      </c>
      <c r="C12688">
        <v>5</v>
      </c>
      <c r="D12688" t="s">
        <v>3303</v>
      </c>
      <c r="E12688" t="s">
        <v>11</v>
      </c>
      <c r="F12688" t="s">
        <v>13</v>
      </c>
      <c r="G12688" t="s">
        <v>1912</v>
      </c>
      <c r="H12688" t="s">
        <v>432</v>
      </c>
    </row>
    <row r="12689" spans="1:8" hidden="1" x14ac:dyDescent="0.25">
      <c r="A12689" t="s">
        <v>16701</v>
      </c>
      <c r="B12689" s="1" t="str">
        <f>HYPERLINK("https://asmlis.vasa.lt/Dashboard/Served?ServiceDateFrom=2025-11-24&amp;ServiceDateTo=2025-11-24&amp;DumpsterInvNr=13-P-507987", "13-P-507987")</f>
        <v>13-P-507987</v>
      </c>
      <c r="C12689">
        <v>0.24</v>
      </c>
      <c r="D12689" t="s">
        <v>16700</v>
      </c>
      <c r="E12689" t="s">
        <v>11</v>
      </c>
      <c r="G12689" t="s">
        <v>2178</v>
      </c>
      <c r="H12689" t="s">
        <v>432</v>
      </c>
    </row>
    <row r="12690" spans="1:8" hidden="1" x14ac:dyDescent="0.25">
      <c r="A12690" t="s">
        <v>16703</v>
      </c>
      <c r="B12690" s="1" t="str">
        <f>HYPERLINK("https://asmlis.vasa.lt/Dashboard/Served?ServiceDateFrom=2025-11-24&amp;ServiceDateTo=2025-11-24&amp;DumpsterInvNr=13-L-307270", "13-L-307270")</f>
        <v>13-L-307270</v>
      </c>
      <c r="C12690">
        <v>0.77</v>
      </c>
      <c r="D12690" t="s">
        <v>16704</v>
      </c>
      <c r="E12690" t="s">
        <v>11</v>
      </c>
      <c r="G12690" t="s">
        <v>9</v>
      </c>
      <c r="H12690" t="s">
        <v>14</v>
      </c>
    </row>
    <row r="12691" spans="1:8" hidden="1" x14ac:dyDescent="0.25">
      <c r="A12691" t="s">
        <v>16703</v>
      </c>
      <c r="B12691" s="1" t="str">
        <f>HYPERLINK("https://asmlis.vasa.lt/Dashboard/Served?ServiceDateFrom=2025-11-24&amp;ServiceDateTo=2025-11-24&amp;DumpsterInvNr=13-P-206852", "13-P-206852")</f>
        <v>13-P-206852</v>
      </c>
      <c r="C12691">
        <v>0.24</v>
      </c>
      <c r="D12691" t="s">
        <v>16705</v>
      </c>
      <c r="E12691" t="s">
        <v>11</v>
      </c>
      <c r="G12691" t="s">
        <v>234</v>
      </c>
      <c r="H12691" t="s">
        <v>14</v>
      </c>
    </row>
    <row r="12692" spans="1:8" hidden="1" x14ac:dyDescent="0.25">
      <c r="A12692" t="s">
        <v>16703</v>
      </c>
      <c r="B12692" s="1" t="str">
        <f>HYPERLINK("https://asmlis.vasa.lt/Dashboard/Served?ServiceDateFrom=2025-11-24&amp;ServiceDateTo=2025-11-24&amp;DumpsterInvNr=13-P-207069", "13-P-207069")</f>
        <v>13-P-207069</v>
      </c>
      <c r="C12692">
        <v>0.24</v>
      </c>
      <c r="D12692" t="s">
        <v>16706</v>
      </c>
      <c r="E12692" t="s">
        <v>11</v>
      </c>
      <c r="G12692" t="s">
        <v>234</v>
      </c>
      <c r="H12692" t="s">
        <v>14</v>
      </c>
    </row>
    <row r="12693" spans="1:8" hidden="1" x14ac:dyDescent="0.25">
      <c r="A12693" t="s">
        <v>16707</v>
      </c>
      <c r="B12693" s="1" t="str">
        <f>HYPERLINK("https://asmlis.vasa.lt/Dashboard/Served?ServiceDateFrom=2025-11-24&amp;ServiceDateTo=2025-11-24&amp;DumpsterInvNr=13-L-124198", "13-L-124198")</f>
        <v>13-L-124198</v>
      </c>
      <c r="C12693">
        <v>5</v>
      </c>
      <c r="D12693" t="s">
        <v>16708</v>
      </c>
      <c r="E12693" t="s">
        <v>11</v>
      </c>
      <c r="F12693" t="s">
        <v>13</v>
      </c>
      <c r="G12693" t="s">
        <v>430</v>
      </c>
      <c r="H12693" t="s">
        <v>432</v>
      </c>
    </row>
    <row r="12694" spans="1:8" hidden="1" x14ac:dyDescent="0.25">
      <c r="A12694" t="s">
        <v>16110</v>
      </c>
      <c r="B12694" s="1" t="str">
        <f>HYPERLINK("https://asmlis.vasa.lt/Dashboard/Served?ServiceDateFrom=2025-11-24&amp;ServiceDateTo=2025-11-24&amp;DumpsterInvNr=13-P-500691", "13-P-500691")</f>
        <v>13-P-500691</v>
      </c>
      <c r="C12694">
        <v>3</v>
      </c>
      <c r="D12694" t="s">
        <v>12473</v>
      </c>
      <c r="E12694" t="s">
        <v>11</v>
      </c>
      <c r="F12694" t="s">
        <v>13</v>
      </c>
      <c r="G12694" t="s">
        <v>2178</v>
      </c>
      <c r="H12694" t="s">
        <v>432</v>
      </c>
    </row>
    <row r="12695" spans="1:8" hidden="1" x14ac:dyDescent="0.25">
      <c r="A12695" t="s">
        <v>6251</v>
      </c>
      <c r="B12695" s="1" t="str">
        <f>HYPERLINK("https://asmlis.vasa.lt/Dashboard/Served?ServiceDateFrom=2025-11-24&amp;ServiceDateTo=2025-11-24&amp;DumpsterInvNr=13-P-207159", "13-P-207159")</f>
        <v>13-P-207159</v>
      </c>
      <c r="C12695">
        <v>0.24</v>
      </c>
      <c r="D12695" t="s">
        <v>16709</v>
      </c>
      <c r="E12695" t="s">
        <v>11</v>
      </c>
      <c r="G12695" t="s">
        <v>234</v>
      </c>
      <c r="H12695" t="s">
        <v>14</v>
      </c>
    </row>
    <row r="12696" spans="1:8" hidden="1" x14ac:dyDescent="0.25">
      <c r="A12696" t="s">
        <v>16710</v>
      </c>
      <c r="B12696" s="1" t="str">
        <f>HYPERLINK("https://asmlis.vasa.lt/Dashboard/Served?ServiceDateFrom=2025-11-24&amp;ServiceDateTo=2025-11-24&amp;DumpsterInvNr=13-P-206983", "13-P-206983")</f>
        <v>13-P-206983</v>
      </c>
      <c r="C12696">
        <v>0.24</v>
      </c>
      <c r="D12696" t="s">
        <v>16711</v>
      </c>
      <c r="E12696" t="s">
        <v>11</v>
      </c>
      <c r="G12696" t="s">
        <v>234</v>
      </c>
      <c r="H12696" t="s">
        <v>14</v>
      </c>
    </row>
    <row r="12697" spans="1:8" hidden="1" x14ac:dyDescent="0.25">
      <c r="A12697" t="s">
        <v>16712</v>
      </c>
      <c r="B12697" s="1" t="str">
        <f>HYPERLINK("https://asmlis.vasa.lt/Dashboard/Served?ServiceDateFrom=2025-11-24&amp;ServiceDateTo=2025-11-24&amp;DumpsterInvNr=13-P-306791", "13-P-306791")</f>
        <v>13-P-306791</v>
      </c>
      <c r="C12697">
        <v>2.5</v>
      </c>
      <c r="D12697" t="s">
        <v>12442</v>
      </c>
      <c r="E12697" t="s">
        <v>11</v>
      </c>
      <c r="G12697" t="s">
        <v>412</v>
      </c>
      <c r="H12697" t="s">
        <v>14</v>
      </c>
    </row>
    <row r="12698" spans="1:8" hidden="1" x14ac:dyDescent="0.25">
      <c r="A12698" t="s">
        <v>16713</v>
      </c>
      <c r="B12698" s="1" t="str">
        <f>HYPERLINK("https://asmlis.vasa.lt/Dashboard/Served?ServiceDateFrom=2025-11-24&amp;ServiceDateTo=2025-11-24&amp;DumpsterInvNr=13-L-124977", "13-L-124977")</f>
        <v>13-L-124977</v>
      </c>
      <c r="C12698">
        <v>0.24</v>
      </c>
      <c r="D12698" t="s">
        <v>16714</v>
      </c>
      <c r="E12698" t="s">
        <v>11</v>
      </c>
      <c r="G12698" t="s">
        <v>430</v>
      </c>
      <c r="H12698" t="s">
        <v>432</v>
      </c>
    </row>
    <row r="12699" spans="1:8" hidden="1" x14ac:dyDescent="0.25">
      <c r="A12699" t="s">
        <v>16713</v>
      </c>
      <c r="B12699" s="1" t="str">
        <f>HYPERLINK("https://asmlis.vasa.lt/Dashboard/Served?ServiceDateFrom=2025-11-24&amp;ServiceDateTo=2025-11-24&amp;DumpsterInvNr=13-P-509095", "13-P-509095")</f>
        <v>13-P-509095</v>
      </c>
      <c r="C12699">
        <v>0.24</v>
      </c>
      <c r="D12699" t="s">
        <v>16714</v>
      </c>
      <c r="E12699" t="s">
        <v>11</v>
      </c>
      <c r="G12699" t="s">
        <v>2178</v>
      </c>
      <c r="H12699" t="s">
        <v>432</v>
      </c>
    </row>
    <row r="12700" spans="1:8" hidden="1" x14ac:dyDescent="0.25">
      <c r="A12700" t="s">
        <v>16715</v>
      </c>
      <c r="B12700" s="1" t="str">
        <f>HYPERLINK("https://asmlis.vasa.lt/Dashboard/Served?ServiceDateFrom=2025-11-24&amp;ServiceDateTo=2025-11-24&amp;DumpsterInvNr=13-L-415203", "13-L-415203")</f>
        <v>13-L-415203</v>
      </c>
      <c r="C12700">
        <v>5</v>
      </c>
      <c r="D12700" t="s">
        <v>11942</v>
      </c>
      <c r="E12700" t="s">
        <v>11</v>
      </c>
      <c r="F12700" t="s">
        <v>13</v>
      </c>
      <c r="G12700" t="s">
        <v>74</v>
      </c>
      <c r="H12700" t="s">
        <v>14</v>
      </c>
    </row>
    <row r="12701" spans="1:8" hidden="1" x14ac:dyDescent="0.25">
      <c r="A12701" t="s">
        <v>16716</v>
      </c>
      <c r="B12701" s="1" t="str">
        <f>HYPERLINK("https://asmlis.vasa.lt/Dashboard/Served?ServiceDateFrom=2025-11-24&amp;ServiceDateTo=2025-11-24&amp;DumpsterInvNr=13-P-209165", "13-P-209165")</f>
        <v>13-P-209165</v>
      </c>
      <c r="C12701">
        <v>0.24</v>
      </c>
      <c r="D12701" t="s">
        <v>16717</v>
      </c>
      <c r="E12701" t="s">
        <v>11</v>
      </c>
      <c r="G12701" t="s">
        <v>234</v>
      </c>
      <c r="H12701" t="s">
        <v>14</v>
      </c>
    </row>
    <row r="12702" spans="1:8" hidden="1" x14ac:dyDescent="0.25">
      <c r="A12702" t="s">
        <v>14886</v>
      </c>
      <c r="B12702" s="1" t="str">
        <f>HYPERLINK("https://asmlis.vasa.lt/Dashboard/Served?ServiceDateFrom=2025-11-24&amp;ServiceDateTo=2025-11-24&amp;DumpsterInvNr=13-L-415911", "13-L-415911")</f>
        <v>13-L-415911</v>
      </c>
      <c r="C12702">
        <v>5</v>
      </c>
      <c r="D12702" t="s">
        <v>11957</v>
      </c>
      <c r="E12702" t="s">
        <v>11</v>
      </c>
      <c r="F12702" t="s">
        <v>13</v>
      </c>
      <c r="G12702" t="s">
        <v>74</v>
      </c>
      <c r="H12702" t="s">
        <v>14</v>
      </c>
    </row>
    <row r="12703" spans="1:8" hidden="1" x14ac:dyDescent="0.25">
      <c r="A12703" t="s">
        <v>15188</v>
      </c>
      <c r="B12703" s="1" t="str">
        <f>HYPERLINK("https://asmlis.vasa.lt/Dashboard/Served?ServiceDateFrom=2025-11-24&amp;ServiceDateTo=2025-11-24&amp;DumpsterInvNr=13-P-306960", "13-P-306960")</f>
        <v>13-P-306960</v>
      </c>
      <c r="C12703">
        <v>2.5</v>
      </c>
      <c r="D12703" t="s">
        <v>12442</v>
      </c>
      <c r="E12703" t="s">
        <v>11</v>
      </c>
      <c r="F12703" t="s">
        <v>13</v>
      </c>
      <c r="G12703" t="s">
        <v>412</v>
      </c>
      <c r="H12703" t="s">
        <v>14</v>
      </c>
    </row>
    <row r="12704" spans="1:8" hidden="1" x14ac:dyDescent="0.25">
      <c r="A12704" t="s">
        <v>15902</v>
      </c>
      <c r="B12704" s="1" t="str">
        <f>HYPERLINK("https://asmlis.vasa.lt/Dashboard/Served?ServiceDateFrom=2025-11-24&amp;ServiceDateTo=2025-11-24&amp;DumpsterInvNr=13-L-137988", "13-L-137988")</f>
        <v>13-L-137988</v>
      </c>
      <c r="C12704">
        <v>5</v>
      </c>
      <c r="D12704" t="s">
        <v>10287</v>
      </c>
      <c r="E12704" t="s">
        <v>11</v>
      </c>
      <c r="F12704" t="s">
        <v>13</v>
      </c>
      <c r="G12704" t="s">
        <v>430</v>
      </c>
      <c r="H12704" t="s">
        <v>432</v>
      </c>
    </row>
    <row r="12705" spans="1:8" hidden="1" x14ac:dyDescent="0.25">
      <c r="A12705" t="s">
        <v>4246</v>
      </c>
      <c r="B12705" s="1" t="str">
        <f>HYPERLINK("https://asmlis.vasa.lt/Dashboard/Served?ServiceDateFrom=2025-11-24&amp;ServiceDateTo=2025-11-24&amp;DumpsterInvNr=13-L-124976", "13-L-124976")</f>
        <v>13-L-124976</v>
      </c>
      <c r="C12705">
        <v>0.24</v>
      </c>
      <c r="D12705" t="s">
        <v>16720</v>
      </c>
      <c r="E12705" t="s">
        <v>11</v>
      </c>
      <c r="G12705" t="s">
        <v>430</v>
      </c>
      <c r="H12705" t="s">
        <v>432</v>
      </c>
    </row>
    <row r="12706" spans="1:8" hidden="1" x14ac:dyDescent="0.25">
      <c r="A12706" t="s">
        <v>16722</v>
      </c>
      <c r="B12706" s="1" t="str">
        <f>HYPERLINK("https://asmlis.vasa.lt/Dashboard/Served?ServiceDateFrom=2025-11-24&amp;ServiceDateTo=2025-11-24&amp;DumpsterInvNr=13-P-107633", "13-P-107633")</f>
        <v>13-P-107633</v>
      </c>
      <c r="C12706">
        <v>0.77</v>
      </c>
      <c r="D12706" t="s">
        <v>16723</v>
      </c>
      <c r="E12706" t="s">
        <v>11</v>
      </c>
      <c r="G12706" t="s">
        <v>1917</v>
      </c>
      <c r="H12706" t="s">
        <v>432</v>
      </c>
    </row>
    <row r="12707" spans="1:8" hidden="1" x14ac:dyDescent="0.25">
      <c r="A12707" t="s">
        <v>16724</v>
      </c>
      <c r="B12707" s="1" t="str">
        <f>HYPERLINK("https://asmlis.vasa.lt/Dashboard/Served?ServiceDateFrom=2025-11-24&amp;ServiceDateTo=2025-11-24&amp;DumpsterInvNr=13-P-205141", "13-P-205141")</f>
        <v>13-P-205141</v>
      </c>
      <c r="C12707">
        <v>0.24</v>
      </c>
      <c r="D12707" t="s">
        <v>16725</v>
      </c>
      <c r="E12707" t="s">
        <v>11</v>
      </c>
      <c r="G12707" t="s">
        <v>234</v>
      </c>
      <c r="H12707" t="s">
        <v>14</v>
      </c>
    </row>
    <row r="12708" spans="1:8" hidden="1" x14ac:dyDescent="0.25">
      <c r="A12708" t="s">
        <v>16726</v>
      </c>
      <c r="B12708" s="1" t="str">
        <f>HYPERLINK("https://asmlis.vasa.lt/Dashboard/Served?ServiceDateFrom=2025-11-24&amp;ServiceDateTo=2025-11-24&amp;DumpsterInvNr=13-P-205468", "13-P-205468")</f>
        <v>13-P-205468</v>
      </c>
      <c r="C12708">
        <v>0.24</v>
      </c>
      <c r="D12708" t="s">
        <v>16727</v>
      </c>
      <c r="E12708" t="s">
        <v>11</v>
      </c>
      <c r="F12708" t="s">
        <v>1209</v>
      </c>
      <c r="G12708" t="s">
        <v>234</v>
      </c>
      <c r="H12708" t="s">
        <v>14</v>
      </c>
    </row>
    <row r="12709" spans="1:8" hidden="1" x14ac:dyDescent="0.25">
      <c r="A12709" t="s">
        <v>16728</v>
      </c>
      <c r="B12709" s="1" t="str">
        <f>HYPERLINK("https://asmlis.vasa.lt/Dashboard/Served?ServiceDateFrom=2025-11-24&amp;ServiceDateTo=2025-11-24&amp;DumpsterInvNr=13-S-207417", "13-S-207417")</f>
        <v>13-S-207417</v>
      </c>
      <c r="C12709">
        <v>3</v>
      </c>
      <c r="D12709" t="s">
        <v>1173</v>
      </c>
      <c r="E12709" t="s">
        <v>11</v>
      </c>
      <c r="F12709" t="s">
        <v>13</v>
      </c>
      <c r="G12709" t="s">
        <v>234</v>
      </c>
      <c r="H12709" t="s">
        <v>14</v>
      </c>
    </row>
    <row r="12710" spans="1:8" hidden="1" x14ac:dyDescent="0.25">
      <c r="A12710" t="s">
        <v>16729</v>
      </c>
      <c r="B12710" s="1" t="str">
        <f>HYPERLINK("https://asmlis.vasa.lt/Dashboard/Served?ServiceDateFrom=2025-11-24&amp;ServiceDateTo=2025-11-24&amp;DumpsterInvNr=13-L-137713", "13-L-137713")</f>
        <v>13-L-137713</v>
      </c>
      <c r="C12710">
        <v>5</v>
      </c>
      <c r="D12710" t="s">
        <v>13430</v>
      </c>
      <c r="E12710" t="s">
        <v>11</v>
      </c>
      <c r="F12710" t="s">
        <v>13</v>
      </c>
      <c r="G12710" t="s">
        <v>1912</v>
      </c>
      <c r="H12710" t="s">
        <v>432</v>
      </c>
    </row>
    <row r="12711" spans="1:8" hidden="1" x14ac:dyDescent="0.25">
      <c r="A12711" t="s">
        <v>16731</v>
      </c>
      <c r="B12711" s="1" t="str">
        <f>HYPERLINK("https://asmlis.vasa.lt/Dashboard/Served?ServiceDateFrom=2025-11-24&amp;ServiceDateTo=2025-11-24&amp;DumpsterInvNr=13-L-146614", "13-L-146614")</f>
        <v>13-L-146614</v>
      </c>
      <c r="C12711">
        <v>5</v>
      </c>
      <c r="D12711" t="s">
        <v>16732</v>
      </c>
      <c r="E12711" t="s">
        <v>11</v>
      </c>
      <c r="F12711" t="s">
        <v>13</v>
      </c>
      <c r="G12711" t="s">
        <v>430</v>
      </c>
      <c r="H12711" t="s">
        <v>432</v>
      </c>
    </row>
    <row r="12712" spans="1:8" hidden="1" x14ac:dyDescent="0.25">
      <c r="A12712" t="s">
        <v>16733</v>
      </c>
      <c r="B12712" s="1" t="str">
        <f>HYPERLINK("https://asmlis.vasa.lt/Dashboard/Served?ServiceDateFrom=2025-11-24&amp;ServiceDateTo=2025-11-24&amp;DumpsterInvNr=13-L-315404", "13-L-315404")</f>
        <v>13-L-315404</v>
      </c>
      <c r="C12712">
        <v>0.77</v>
      </c>
      <c r="D12712" t="s">
        <v>16734</v>
      </c>
      <c r="E12712" t="s">
        <v>11</v>
      </c>
      <c r="G12712" t="s">
        <v>9</v>
      </c>
      <c r="H12712" t="s">
        <v>14</v>
      </c>
    </row>
    <row r="12713" spans="1:8" hidden="1" x14ac:dyDescent="0.25">
      <c r="A12713" t="s">
        <v>16735</v>
      </c>
      <c r="B12713" s="1" t="str">
        <f>HYPERLINK("https://asmlis.vasa.lt/Dashboard/Served?ServiceDateFrom=2025-11-24&amp;ServiceDateTo=2025-11-24&amp;DumpsterInvNr=13-P-500682", "13-P-500682")</f>
        <v>13-P-500682</v>
      </c>
      <c r="C12713">
        <v>5</v>
      </c>
      <c r="D12713" t="s">
        <v>12598</v>
      </c>
      <c r="E12713" t="s">
        <v>11</v>
      </c>
      <c r="F12713" t="s">
        <v>13</v>
      </c>
      <c r="G12713" t="s">
        <v>2178</v>
      </c>
      <c r="H12713" t="s">
        <v>432</v>
      </c>
    </row>
    <row r="12714" spans="1:8" hidden="1" x14ac:dyDescent="0.25">
      <c r="A12714" t="s">
        <v>16736</v>
      </c>
      <c r="B12714" s="1" t="str">
        <f>HYPERLINK("https://asmlis.vasa.lt/Dashboard/Served?ServiceDateFrom=2025-11-24&amp;ServiceDateTo=2025-11-24&amp;DumpsterInvNr=13-P-500681", "13-P-500681")</f>
        <v>13-P-500681</v>
      </c>
      <c r="C12714">
        <v>5</v>
      </c>
      <c r="D12714" t="s">
        <v>12598</v>
      </c>
      <c r="E12714" t="s">
        <v>11</v>
      </c>
      <c r="F12714" t="s">
        <v>13</v>
      </c>
      <c r="G12714" t="s">
        <v>2178</v>
      </c>
      <c r="H12714" t="s">
        <v>432</v>
      </c>
    </row>
    <row r="12715" spans="1:8" hidden="1" x14ac:dyDescent="0.25">
      <c r="A12715" t="s">
        <v>16737</v>
      </c>
      <c r="B12715" s="1" t="str">
        <f>HYPERLINK("https://asmlis.vasa.lt/Dashboard/Served?ServiceDateFrom=2025-11-24&amp;ServiceDateTo=2025-11-24&amp;DumpsterInvNr=13-P-500680", "13-P-500680")</f>
        <v>13-P-500680</v>
      </c>
      <c r="C12715">
        <v>5</v>
      </c>
      <c r="D12715" t="s">
        <v>12598</v>
      </c>
      <c r="E12715" t="s">
        <v>11</v>
      </c>
      <c r="F12715" t="s">
        <v>13</v>
      </c>
      <c r="G12715" t="s">
        <v>2178</v>
      </c>
      <c r="H12715" t="s">
        <v>432</v>
      </c>
    </row>
    <row r="12716" spans="1:8" hidden="1" x14ac:dyDescent="0.25">
      <c r="A12716" t="s">
        <v>16738</v>
      </c>
      <c r="B12716" s="1" t="str">
        <f>HYPERLINK("https://asmlis.vasa.lt/Dashboard/Served?ServiceDateFrom=2025-11-24&amp;ServiceDateTo=2025-11-24&amp;DumpsterInvNr=13-P-502734", "13-P-502734")</f>
        <v>13-P-502734</v>
      </c>
      <c r="C12716">
        <v>0.24</v>
      </c>
      <c r="D12716" t="s">
        <v>16739</v>
      </c>
      <c r="E12716" t="s">
        <v>11</v>
      </c>
      <c r="G12716" t="s">
        <v>2178</v>
      </c>
      <c r="H12716" t="s">
        <v>432</v>
      </c>
    </row>
    <row r="12717" spans="1:8" hidden="1" x14ac:dyDescent="0.25">
      <c r="A12717" t="s">
        <v>16740</v>
      </c>
      <c r="B12717" s="1" t="str">
        <f>HYPERLINK("https://asmlis.vasa.lt/Dashboard/Served?ServiceDateFrom=2025-11-24&amp;ServiceDateTo=2025-11-24&amp;DumpsterInvNr=13-L-123366", "13-L-123366")</f>
        <v>13-L-123366</v>
      </c>
      <c r="C12717">
        <v>0.24</v>
      </c>
      <c r="D12717" t="s">
        <v>16739</v>
      </c>
      <c r="E12717" t="s">
        <v>11</v>
      </c>
      <c r="G12717" t="s">
        <v>430</v>
      </c>
      <c r="H12717" t="s">
        <v>432</v>
      </c>
    </row>
    <row r="12718" spans="1:8" hidden="1" x14ac:dyDescent="0.25">
      <c r="A12718" t="s">
        <v>16741</v>
      </c>
      <c r="B12718" s="1" t="str">
        <f>HYPERLINK("https://asmlis.vasa.lt/Dashboard/Served?ServiceDateFrom=2025-11-24&amp;ServiceDateTo=2025-11-24&amp;DumpsterInvNr=13-L-315405", "13-L-315405")</f>
        <v>13-L-315405</v>
      </c>
      <c r="C12718">
        <v>0.77</v>
      </c>
      <c r="D12718" t="s">
        <v>16734</v>
      </c>
      <c r="E12718" t="s">
        <v>11</v>
      </c>
      <c r="G12718" t="s">
        <v>9</v>
      </c>
      <c r="H12718" t="s">
        <v>14</v>
      </c>
    </row>
    <row r="12719" spans="1:8" hidden="1" x14ac:dyDescent="0.25">
      <c r="A12719" t="s">
        <v>16742</v>
      </c>
      <c r="B12719" s="1" t="str">
        <f>HYPERLINK("https://asmlis.vasa.lt/Dashboard/Served?ServiceDateFrom=2025-11-24&amp;ServiceDateTo=2025-11-24&amp;DumpsterInvNr=13-P-416565", "13-P-416565")</f>
        <v>13-P-416565</v>
      </c>
      <c r="C12719">
        <v>1.1000000000000001</v>
      </c>
      <c r="D12719" t="s">
        <v>16743</v>
      </c>
      <c r="E12719" t="s">
        <v>11</v>
      </c>
      <c r="G12719" t="s">
        <v>264</v>
      </c>
      <c r="H12719" t="s">
        <v>14</v>
      </c>
    </row>
    <row r="12720" spans="1:8" hidden="1" x14ac:dyDescent="0.25">
      <c r="A12720" t="s">
        <v>16744</v>
      </c>
      <c r="B12720" s="1" t="str">
        <f>HYPERLINK("https://asmlis.vasa.lt/Dashboard/Served?ServiceDateFrom=2025-11-24&amp;ServiceDateTo=2025-11-24&amp;DumpsterInvNr=13-L-109607", "13-L-109607")</f>
        <v>13-L-109607</v>
      </c>
      <c r="C12720">
        <v>0.24</v>
      </c>
      <c r="D12720" t="s">
        <v>16745</v>
      </c>
      <c r="E12720" t="s">
        <v>11</v>
      </c>
      <c r="G12720" t="s">
        <v>430</v>
      </c>
      <c r="H12720" t="s">
        <v>432</v>
      </c>
    </row>
    <row r="12721" spans="1:8" hidden="1" x14ac:dyDescent="0.25">
      <c r="A12721" t="s">
        <v>16746</v>
      </c>
      <c r="B12721" s="1" t="str">
        <f>HYPERLINK("https://asmlis.vasa.lt/Dashboard/Served?ServiceDateFrom=2025-11-24&amp;ServiceDateTo=2025-11-24&amp;DumpsterInvNr=13-P-505894", "13-P-505894")</f>
        <v>13-P-505894</v>
      </c>
      <c r="C12721">
        <v>0.24</v>
      </c>
      <c r="D12721" t="s">
        <v>16745</v>
      </c>
      <c r="E12721" t="s">
        <v>11</v>
      </c>
      <c r="G12721" t="s">
        <v>2178</v>
      </c>
      <c r="H12721" t="s">
        <v>432</v>
      </c>
    </row>
    <row r="12722" spans="1:8" hidden="1" x14ac:dyDescent="0.25">
      <c r="A12722" t="s">
        <v>16748</v>
      </c>
      <c r="B12722" s="1" t="str">
        <f>HYPERLINK("https://asmlis.vasa.lt/Dashboard/Served?ServiceDateFrom=2025-11-24&amp;ServiceDateTo=2025-11-24&amp;DumpsterInvNr=13-L-304380", "13-L-304380")</f>
        <v>13-L-304380</v>
      </c>
      <c r="C12722">
        <v>5</v>
      </c>
      <c r="D12722" t="s">
        <v>13571</v>
      </c>
      <c r="E12722" t="s">
        <v>11</v>
      </c>
      <c r="G12722" t="s">
        <v>9</v>
      </c>
      <c r="H12722" t="s">
        <v>14</v>
      </c>
    </row>
    <row r="12723" spans="1:8" hidden="1" x14ac:dyDescent="0.25">
      <c r="A12723" t="s">
        <v>16748</v>
      </c>
      <c r="B12723" s="1" t="str">
        <f>HYPERLINK("https://asmlis.vasa.lt/Dashboard/Served?ServiceDateFrom=2025-11-24&amp;ServiceDateTo=2025-11-24&amp;DumpsterInvNr=13-P-302437", "13-P-302437")</f>
        <v>13-P-302437</v>
      </c>
      <c r="C12723">
        <v>3</v>
      </c>
      <c r="D12723" t="s">
        <v>12888</v>
      </c>
      <c r="E12723" t="s">
        <v>11</v>
      </c>
      <c r="G12723" t="s">
        <v>412</v>
      </c>
      <c r="H12723" t="s">
        <v>14</v>
      </c>
    </row>
    <row r="12724" spans="1:8" hidden="1" x14ac:dyDescent="0.25">
      <c r="A12724" t="s">
        <v>16749</v>
      </c>
      <c r="B12724" s="1" t="str">
        <f>HYPERLINK("https://asmlis.vasa.lt/Dashboard/Served?ServiceDateFrom=2025-11-24&amp;ServiceDateTo=2025-11-24&amp;DumpsterInvNr=13-P-203789", "13-P-203789")</f>
        <v>13-P-203789</v>
      </c>
      <c r="C12724">
        <v>0.24</v>
      </c>
      <c r="D12724" t="s">
        <v>16750</v>
      </c>
      <c r="E12724" t="s">
        <v>11</v>
      </c>
      <c r="G12724" t="s">
        <v>234</v>
      </c>
      <c r="H12724" t="s">
        <v>14</v>
      </c>
    </row>
    <row r="12725" spans="1:8" hidden="1" x14ac:dyDescent="0.25">
      <c r="A12725" t="s">
        <v>16751</v>
      </c>
      <c r="B12725" s="1" t="str">
        <f>HYPERLINK("https://asmlis.vasa.lt/Dashboard/Served?ServiceDateFrom=2025-11-24&amp;ServiceDateTo=2025-11-24&amp;DumpsterInvNr=13-L-112661", "13-L-112661")</f>
        <v>13-L-112661</v>
      </c>
      <c r="C12725">
        <v>0.24</v>
      </c>
      <c r="D12725" t="s">
        <v>16752</v>
      </c>
      <c r="E12725" t="s">
        <v>11</v>
      </c>
      <c r="G12725" t="s">
        <v>1912</v>
      </c>
      <c r="H12725" t="s">
        <v>432</v>
      </c>
    </row>
    <row r="12726" spans="1:8" hidden="1" x14ac:dyDescent="0.25">
      <c r="A12726" t="s">
        <v>16753</v>
      </c>
      <c r="B12726" s="1" t="str">
        <f>HYPERLINK("https://asmlis.vasa.lt/Dashboard/Served?ServiceDateFrom=2025-11-24&amp;ServiceDateTo=2025-11-24&amp;DumpsterInvNr=13-L-317925", "13-L-317925")</f>
        <v>13-L-317925</v>
      </c>
      <c r="C12726">
        <v>0.66</v>
      </c>
      <c r="D12726" t="s">
        <v>16754</v>
      </c>
      <c r="E12726" t="s">
        <v>11</v>
      </c>
      <c r="G12726" t="s">
        <v>9</v>
      </c>
      <c r="H12726" t="s">
        <v>14</v>
      </c>
    </row>
    <row r="12727" spans="1:8" hidden="1" x14ac:dyDescent="0.25">
      <c r="A12727" t="s">
        <v>16753</v>
      </c>
      <c r="B12727" s="1" t="str">
        <f>HYPERLINK("https://asmlis.vasa.lt/Dashboard/Served?ServiceDateFrom=2025-11-24&amp;ServiceDateTo=2025-11-24&amp;DumpsterInvNr=13-L-317993", "13-L-317993")</f>
        <v>13-L-317993</v>
      </c>
      <c r="C12727">
        <v>1.1000000000000001</v>
      </c>
      <c r="D12727" t="s">
        <v>16755</v>
      </c>
      <c r="E12727" t="s">
        <v>11</v>
      </c>
      <c r="G12727" t="s">
        <v>9</v>
      </c>
      <c r="H12727" t="s">
        <v>14</v>
      </c>
    </row>
    <row r="12728" spans="1:8" hidden="1" x14ac:dyDescent="0.25">
      <c r="A12728" t="s">
        <v>16753</v>
      </c>
      <c r="B12728" s="1" t="str">
        <f>HYPERLINK("https://asmlis.vasa.lt/Dashboard/Served?ServiceDateFrom=2025-11-24&amp;ServiceDateTo=2025-11-24&amp;DumpsterInvNr=13-L-110365", "13-L-110365")</f>
        <v>13-L-110365</v>
      </c>
      <c r="C12728">
        <v>0.24</v>
      </c>
      <c r="D12728" t="s">
        <v>16756</v>
      </c>
      <c r="E12728" t="s">
        <v>11</v>
      </c>
      <c r="G12728" t="s">
        <v>430</v>
      </c>
      <c r="H12728" t="s">
        <v>432</v>
      </c>
    </row>
    <row r="12729" spans="1:8" hidden="1" x14ac:dyDescent="0.25">
      <c r="A12729" t="s">
        <v>16757</v>
      </c>
      <c r="B12729" s="1" t="str">
        <f>HYPERLINK("https://asmlis.vasa.lt/Dashboard/Served?ServiceDateFrom=2025-11-24&amp;ServiceDateTo=2025-11-24&amp;DumpsterInvNr=13-T-000085", "13-T-000085")</f>
        <v>13-T-000085</v>
      </c>
      <c r="C12729">
        <v>2.5</v>
      </c>
      <c r="D12729" t="s">
        <v>16758</v>
      </c>
      <c r="E12729" t="s">
        <v>11</v>
      </c>
      <c r="F12729" t="s">
        <v>13</v>
      </c>
      <c r="G12729" t="s">
        <v>1899</v>
      </c>
      <c r="H12729" t="s">
        <v>432</v>
      </c>
    </row>
    <row r="12730" spans="1:8" hidden="1" x14ac:dyDescent="0.25">
      <c r="A12730" t="s">
        <v>16665</v>
      </c>
      <c r="B12730" s="1" t="str">
        <f>HYPERLINK("https://asmlis.vasa.lt/Dashboard/Served?ServiceDateFrom=2025-11-24&amp;ServiceDateTo=2025-11-24&amp;DumpsterInvNr=13-T-000086", "13-T-000086")</f>
        <v>13-T-000086</v>
      </c>
      <c r="C12730">
        <v>2.5</v>
      </c>
      <c r="D12730" t="s">
        <v>16758</v>
      </c>
      <c r="E12730" t="s">
        <v>11</v>
      </c>
      <c r="F12730" t="s">
        <v>13</v>
      </c>
      <c r="G12730" t="s">
        <v>1899</v>
      </c>
      <c r="H12730" t="s">
        <v>432</v>
      </c>
    </row>
    <row r="12731" spans="1:8" hidden="1" x14ac:dyDescent="0.25">
      <c r="A12731" t="s">
        <v>16719</v>
      </c>
      <c r="B12731" s="1" t="str">
        <f>HYPERLINK("https://asmlis.vasa.lt/Dashboard/Served?ServiceDateFrom=2025-11-24&amp;ServiceDateTo=2025-11-24&amp;DumpsterInvNr=13-L-318003", "13-L-318003")</f>
        <v>13-L-318003</v>
      </c>
      <c r="C12731">
        <v>1.1000000000000001</v>
      </c>
      <c r="D12731" t="s">
        <v>16754</v>
      </c>
      <c r="E12731" t="s">
        <v>11</v>
      </c>
      <c r="G12731" t="s">
        <v>9</v>
      </c>
      <c r="H12731" t="s">
        <v>14</v>
      </c>
    </row>
    <row r="12732" spans="1:8" hidden="1" x14ac:dyDescent="0.25">
      <c r="A12732" t="s">
        <v>16759</v>
      </c>
      <c r="B12732" s="1" t="str">
        <f>HYPERLINK("https://asmlis.vasa.lt/Dashboard/Served?ServiceDateFrom=2025-11-24&amp;ServiceDateTo=2025-11-24&amp;DumpsterInvNr=13-L-138822", "13-L-138822")</f>
        <v>13-L-138822</v>
      </c>
      <c r="C12732">
        <v>5</v>
      </c>
      <c r="D12732" t="s">
        <v>13171</v>
      </c>
      <c r="E12732" t="s">
        <v>11</v>
      </c>
      <c r="F12732" t="s">
        <v>13</v>
      </c>
      <c r="G12732" t="s">
        <v>1912</v>
      </c>
      <c r="H12732" t="s">
        <v>432</v>
      </c>
    </row>
    <row r="12733" spans="1:8" hidden="1" x14ac:dyDescent="0.25">
      <c r="A12733" t="s">
        <v>16702</v>
      </c>
      <c r="B12733" s="1" t="str">
        <f>HYPERLINK("https://asmlis.vasa.lt/Dashboard/Served?ServiceDateFrom=2025-11-24&amp;ServiceDateTo=2025-11-24&amp;DumpsterInvNr=13-L-139506", "13-L-139506")</f>
        <v>13-L-139506</v>
      </c>
      <c r="C12733">
        <v>5</v>
      </c>
      <c r="D12733" t="s">
        <v>16760</v>
      </c>
      <c r="E12733" t="s">
        <v>11</v>
      </c>
      <c r="F12733" t="s">
        <v>13</v>
      </c>
      <c r="G12733" t="s">
        <v>430</v>
      </c>
      <c r="H12733" t="s">
        <v>432</v>
      </c>
    </row>
    <row r="12734" spans="1:8" hidden="1" x14ac:dyDescent="0.25">
      <c r="A12734" t="s">
        <v>16730</v>
      </c>
      <c r="B12734" s="1" t="str">
        <f>HYPERLINK("https://asmlis.vasa.lt/Dashboard/Served?ServiceDateFrom=2025-11-24&amp;ServiceDateTo=2025-11-24&amp;DumpsterInvNr=13-P-302414", "13-P-302414")</f>
        <v>13-P-302414</v>
      </c>
      <c r="C12734">
        <v>3</v>
      </c>
      <c r="D12734" t="s">
        <v>12888</v>
      </c>
      <c r="E12734" t="s">
        <v>11</v>
      </c>
      <c r="G12734" t="s">
        <v>412</v>
      </c>
      <c r="H12734" t="s">
        <v>14</v>
      </c>
    </row>
    <row r="12735" spans="1:8" hidden="1" x14ac:dyDescent="0.25">
      <c r="A12735" t="s">
        <v>16761</v>
      </c>
      <c r="B12735" s="1" t="str">
        <f>HYPERLINK("https://asmlis.vasa.lt/Dashboard/Served?ServiceDateFrom=2025-11-24&amp;ServiceDateTo=2025-11-24&amp;DumpsterInvNr=13-P-203794", "13-P-203794")</f>
        <v>13-P-203794</v>
      </c>
      <c r="C12735">
        <v>0.24</v>
      </c>
      <c r="D12735" t="s">
        <v>16762</v>
      </c>
      <c r="E12735" t="s">
        <v>11</v>
      </c>
      <c r="G12735" t="s">
        <v>234</v>
      </c>
      <c r="H12735" t="s">
        <v>14</v>
      </c>
    </row>
    <row r="12736" spans="1:8" hidden="1" x14ac:dyDescent="0.25">
      <c r="A12736" t="s">
        <v>16763</v>
      </c>
      <c r="B12736" s="1" t="str">
        <f>HYPERLINK("https://asmlis.vasa.lt/Dashboard/Served?ServiceDateFrom=2025-11-24&amp;ServiceDateTo=2025-11-24&amp;DumpsterInvNr=13-P-506856", "13-P-506856")</f>
        <v>13-P-506856</v>
      </c>
      <c r="C12736">
        <v>0.24</v>
      </c>
      <c r="D12736" t="s">
        <v>16764</v>
      </c>
      <c r="E12736" t="s">
        <v>11</v>
      </c>
      <c r="G12736" t="s">
        <v>2178</v>
      </c>
      <c r="H12736" t="s">
        <v>432</v>
      </c>
    </row>
    <row r="12737" spans="1:8" hidden="1" x14ac:dyDescent="0.25">
      <c r="A12737" t="s">
        <v>16765</v>
      </c>
      <c r="B12737" s="1" t="str">
        <f>HYPERLINK("https://asmlis.vasa.lt/Dashboard/Served?ServiceDateFrom=2025-11-24&amp;ServiceDateTo=2025-11-24&amp;DumpsterInvNr=13-L-108261", "13-L-108261")</f>
        <v>13-L-108261</v>
      </c>
      <c r="C12737">
        <v>0.12</v>
      </c>
      <c r="D12737" t="s">
        <v>16764</v>
      </c>
      <c r="E12737" t="s">
        <v>11</v>
      </c>
      <c r="G12737" t="s">
        <v>430</v>
      </c>
      <c r="H12737" t="s">
        <v>432</v>
      </c>
    </row>
    <row r="12738" spans="1:8" hidden="1" x14ac:dyDescent="0.25">
      <c r="A12738" t="s">
        <v>16766</v>
      </c>
      <c r="B12738" s="1" t="str">
        <f>HYPERLINK("https://asmlis.vasa.lt/Dashboard/Served?ServiceDateFrom=2025-11-24&amp;ServiceDateTo=2025-11-24&amp;DumpsterInvNr=13-P-208612", "13-P-208612")</f>
        <v>13-P-208612</v>
      </c>
      <c r="C12738">
        <v>0.24</v>
      </c>
      <c r="D12738" t="s">
        <v>16767</v>
      </c>
      <c r="E12738" t="s">
        <v>11</v>
      </c>
      <c r="G12738" t="s">
        <v>234</v>
      </c>
      <c r="H12738" t="s">
        <v>14</v>
      </c>
    </row>
    <row r="12739" spans="1:8" hidden="1" x14ac:dyDescent="0.25">
      <c r="A12739" t="s">
        <v>16768</v>
      </c>
      <c r="B12739" s="1" t="str">
        <f>HYPERLINK("https://asmlis.vasa.lt/Dashboard/Served?ServiceDateFrom=2025-11-24&amp;ServiceDateTo=2025-11-24&amp;DumpsterInvNr=13-S-212093", "13-S-212093")</f>
        <v>13-S-212093</v>
      </c>
      <c r="C12739">
        <v>0.12</v>
      </c>
      <c r="D12739" t="s">
        <v>16762</v>
      </c>
      <c r="E12739" t="s">
        <v>11</v>
      </c>
      <c r="G12739" t="s">
        <v>234</v>
      </c>
      <c r="H12739" t="s">
        <v>14</v>
      </c>
    </row>
    <row r="12740" spans="1:8" hidden="1" x14ac:dyDescent="0.25">
      <c r="A12740" t="s">
        <v>16769</v>
      </c>
      <c r="B12740" s="1" t="str">
        <f>HYPERLINK("https://asmlis.vasa.lt/Dashboard/Served?ServiceDateFrom=2025-11-24&amp;ServiceDateTo=2025-11-24&amp;DumpsterInvNr=13-L-124962", "13-L-124962")</f>
        <v>13-L-124962</v>
      </c>
      <c r="C12740">
        <v>0.24</v>
      </c>
      <c r="D12740" t="s">
        <v>16770</v>
      </c>
      <c r="E12740" t="s">
        <v>11</v>
      </c>
      <c r="G12740" t="s">
        <v>430</v>
      </c>
      <c r="H12740" t="s">
        <v>432</v>
      </c>
    </row>
    <row r="12741" spans="1:8" hidden="1" x14ac:dyDescent="0.25">
      <c r="A12741" t="s">
        <v>16771</v>
      </c>
      <c r="B12741" s="1" t="str">
        <f>HYPERLINK("https://asmlis.vasa.lt/Dashboard/Served?ServiceDateFrom=2025-11-24&amp;ServiceDateTo=2025-11-24&amp;DumpsterInvNr=13-P-203793", "13-P-203793")</f>
        <v>13-P-203793</v>
      </c>
      <c r="C12741">
        <v>0.24</v>
      </c>
      <c r="D12741" t="s">
        <v>16772</v>
      </c>
      <c r="E12741" t="s">
        <v>11</v>
      </c>
      <c r="F12741" t="s">
        <v>1209</v>
      </c>
      <c r="G12741" t="s">
        <v>234</v>
      </c>
      <c r="H12741" t="s">
        <v>14</v>
      </c>
    </row>
    <row r="12742" spans="1:8" hidden="1" x14ac:dyDescent="0.25">
      <c r="A12742" t="s">
        <v>16773</v>
      </c>
      <c r="B12742" s="1" t="str">
        <f>HYPERLINK("https://asmlis.vasa.lt/Dashboard/Served?ServiceDateFrom=2025-11-24&amp;ServiceDateTo=2025-11-24&amp;DumpsterInvNr=13-L-108262", "13-L-108262")</f>
        <v>13-L-108262</v>
      </c>
      <c r="C12742">
        <v>0.12</v>
      </c>
      <c r="D12742" t="s">
        <v>16774</v>
      </c>
      <c r="E12742" t="s">
        <v>11</v>
      </c>
      <c r="F12742" t="s">
        <v>1209</v>
      </c>
      <c r="G12742" t="s">
        <v>430</v>
      </c>
      <c r="H12742" t="s">
        <v>432</v>
      </c>
    </row>
    <row r="12743" spans="1:8" hidden="1" x14ac:dyDescent="0.25">
      <c r="A12743" t="s">
        <v>16775</v>
      </c>
      <c r="B12743" s="1" t="str">
        <f>HYPERLINK("https://asmlis.vasa.lt/Dashboard/Served?ServiceDateFrom=2025-11-24&amp;ServiceDateTo=2025-11-24&amp;DumpsterInvNr=13-L-143837", "13-L-143837")</f>
        <v>13-L-143837</v>
      </c>
      <c r="C12743">
        <v>5</v>
      </c>
      <c r="D12743" t="s">
        <v>16776</v>
      </c>
      <c r="E12743" t="s">
        <v>11</v>
      </c>
      <c r="F12743" t="s">
        <v>13</v>
      </c>
      <c r="G12743" t="s">
        <v>430</v>
      </c>
      <c r="H12743" t="s">
        <v>432</v>
      </c>
    </row>
    <row r="12744" spans="1:8" hidden="1" x14ac:dyDescent="0.25">
      <c r="A12744" t="s">
        <v>16777</v>
      </c>
      <c r="B12744" s="1" t="str">
        <f>HYPERLINK("https://asmlis.vasa.lt/Dashboard/Served?ServiceDateFrom=2025-11-24&amp;ServiceDateTo=2025-11-24&amp;DumpsterInvNr=13-P-507397", "13-P-507397")</f>
        <v>13-P-507397</v>
      </c>
      <c r="C12744">
        <v>0.12</v>
      </c>
      <c r="D12744" t="s">
        <v>16774</v>
      </c>
      <c r="E12744" t="s">
        <v>11</v>
      </c>
      <c r="F12744" t="s">
        <v>1209</v>
      </c>
      <c r="G12744" t="s">
        <v>2178</v>
      </c>
      <c r="H12744" t="s">
        <v>432</v>
      </c>
    </row>
    <row r="12745" spans="1:8" hidden="1" x14ac:dyDescent="0.25">
      <c r="A12745" t="s">
        <v>16778</v>
      </c>
      <c r="B12745" s="1" t="str">
        <f>HYPERLINK("https://asmlis.vasa.lt/Dashboard/Served?ServiceDateFrom=2025-11-24&amp;ServiceDateTo=2025-11-24&amp;DumpsterInvNr=13-L-318350", "13-L-318350")</f>
        <v>13-L-318350</v>
      </c>
      <c r="C12745">
        <v>1.1000000000000001</v>
      </c>
      <c r="D12745" t="s">
        <v>3328</v>
      </c>
      <c r="E12745" t="s">
        <v>11</v>
      </c>
      <c r="F12745" t="s">
        <v>13</v>
      </c>
      <c r="G12745" t="s">
        <v>9</v>
      </c>
      <c r="H12745" t="s">
        <v>14</v>
      </c>
    </row>
    <row r="12746" spans="1:8" hidden="1" x14ac:dyDescent="0.25">
      <c r="A12746" t="s">
        <v>16778</v>
      </c>
      <c r="B12746" s="1" t="str">
        <f>HYPERLINK("https://asmlis.vasa.lt/Dashboard/Served?ServiceDateFrom=2025-11-24&amp;ServiceDateTo=2025-11-24&amp;DumpsterInvNr=13-L-124963", "13-L-124963")</f>
        <v>13-L-124963</v>
      </c>
      <c r="C12746">
        <v>0.24</v>
      </c>
      <c r="D12746" t="s">
        <v>16779</v>
      </c>
      <c r="E12746" t="s">
        <v>11</v>
      </c>
      <c r="G12746" t="s">
        <v>430</v>
      </c>
      <c r="H12746" t="s">
        <v>432</v>
      </c>
    </row>
    <row r="12747" spans="1:8" hidden="1" x14ac:dyDescent="0.25">
      <c r="A12747" t="s">
        <v>16780</v>
      </c>
      <c r="B12747" s="1" t="str">
        <f>HYPERLINK("https://asmlis.vasa.lt/Dashboard/Served?ServiceDateFrom=2025-11-24&amp;ServiceDateTo=2025-11-24&amp;DumpsterInvNr=13-L-316322", "13-L-316322")</f>
        <v>13-L-316322</v>
      </c>
      <c r="C12747">
        <v>1.1000000000000001</v>
      </c>
      <c r="D12747" t="s">
        <v>16755</v>
      </c>
      <c r="E12747" t="s">
        <v>11</v>
      </c>
      <c r="F12747" t="s">
        <v>13</v>
      </c>
      <c r="G12747" t="s">
        <v>9</v>
      </c>
      <c r="H12747" t="s">
        <v>14</v>
      </c>
    </row>
    <row r="12748" spans="1:8" hidden="1" x14ac:dyDescent="0.25">
      <c r="A12748" t="s">
        <v>16781</v>
      </c>
      <c r="B12748" s="1" t="str">
        <f>HYPERLINK("https://asmlis.vasa.lt/Dashboard/Served?ServiceDateFrom=2025-11-24&amp;ServiceDateTo=2025-11-24&amp;DumpsterInvNr=13-P-209176", "13-P-209176")</f>
        <v>13-P-209176</v>
      </c>
      <c r="C12748">
        <v>0.24</v>
      </c>
      <c r="D12748" t="s">
        <v>16783</v>
      </c>
      <c r="E12748" t="s">
        <v>11</v>
      </c>
      <c r="G12748" t="s">
        <v>234</v>
      </c>
      <c r="H12748" t="s">
        <v>14</v>
      </c>
    </row>
    <row r="12749" spans="1:8" hidden="1" x14ac:dyDescent="0.25">
      <c r="A12749" t="s">
        <v>16784</v>
      </c>
      <c r="B12749" s="1" t="str">
        <f>HYPERLINK("https://asmlis.vasa.lt/Dashboard/Served?ServiceDateFrom=2025-11-24&amp;ServiceDateTo=2025-11-24&amp;DumpsterInvNr=13-P-203790", "13-P-203790")</f>
        <v>13-P-203790</v>
      </c>
      <c r="C12749">
        <v>0.24</v>
      </c>
      <c r="D12749" t="s">
        <v>16785</v>
      </c>
      <c r="E12749" t="s">
        <v>11</v>
      </c>
      <c r="G12749" t="s">
        <v>234</v>
      </c>
      <c r="H12749" t="s">
        <v>14</v>
      </c>
    </row>
    <row r="12750" spans="1:8" hidden="1" x14ac:dyDescent="0.25">
      <c r="A12750" t="s">
        <v>16786</v>
      </c>
      <c r="B12750" s="1" t="str">
        <f>HYPERLINK("https://asmlis.vasa.lt/Dashboard/Served?ServiceDateFrom=2025-11-24&amp;ServiceDateTo=2025-11-24&amp;DumpsterInvNr=13-L-318004", "13-L-318004")</f>
        <v>13-L-318004</v>
      </c>
      <c r="C12750">
        <v>1.1000000000000001</v>
      </c>
      <c r="D12750" t="s">
        <v>16787</v>
      </c>
      <c r="E12750" t="s">
        <v>11</v>
      </c>
      <c r="F12750" t="s">
        <v>13</v>
      </c>
      <c r="G12750" t="s">
        <v>9</v>
      </c>
      <c r="H12750" t="s">
        <v>14</v>
      </c>
    </row>
    <row r="12751" spans="1:8" hidden="1" x14ac:dyDescent="0.25">
      <c r="A12751" t="s">
        <v>16662</v>
      </c>
      <c r="B12751" s="1" t="str">
        <f>HYPERLINK("https://asmlis.vasa.lt/Dashboard/Served?ServiceDateFrom=2025-11-24&amp;ServiceDateTo=2025-11-24&amp;DumpsterInvNr=13-P-500683", "13-P-500683")</f>
        <v>13-P-500683</v>
      </c>
      <c r="C12751">
        <v>5</v>
      </c>
      <c r="D12751" t="s">
        <v>12724</v>
      </c>
      <c r="E12751" t="s">
        <v>11</v>
      </c>
      <c r="F12751" t="s">
        <v>13</v>
      </c>
      <c r="G12751" t="s">
        <v>2178</v>
      </c>
      <c r="H12751" t="s">
        <v>432</v>
      </c>
    </row>
    <row r="12752" spans="1:8" hidden="1" x14ac:dyDescent="0.25">
      <c r="A12752" t="s">
        <v>16789</v>
      </c>
      <c r="B12752" s="1" t="str">
        <f>HYPERLINK("https://asmlis.vasa.lt/Dashboard/Served?ServiceDateFrom=2025-11-24&amp;ServiceDateTo=2025-11-24&amp;DumpsterInvNr=13-L-304378", "13-L-304378")</f>
        <v>13-L-304378</v>
      </c>
      <c r="C12752">
        <v>5</v>
      </c>
      <c r="D12752" t="s">
        <v>16790</v>
      </c>
      <c r="E12752" t="s">
        <v>11</v>
      </c>
      <c r="G12752" t="s">
        <v>9</v>
      </c>
      <c r="H12752" t="s">
        <v>14</v>
      </c>
    </row>
    <row r="12753" spans="1:8" hidden="1" x14ac:dyDescent="0.25">
      <c r="A12753" t="s">
        <v>16791</v>
      </c>
      <c r="B12753" s="1" t="str">
        <f>HYPERLINK("https://asmlis.vasa.lt/Dashboard/Served?ServiceDateFrom=2025-11-24&amp;ServiceDateTo=2025-11-24&amp;DumpsterInvNr=13-S-209904", "13-S-209904")</f>
        <v>13-S-209904</v>
      </c>
      <c r="C12753">
        <v>3</v>
      </c>
      <c r="D12753" t="s">
        <v>1618</v>
      </c>
      <c r="E12753" t="s">
        <v>11</v>
      </c>
      <c r="G12753" t="s">
        <v>234</v>
      </c>
      <c r="H12753" t="s">
        <v>14</v>
      </c>
    </row>
    <row r="12754" spans="1:8" hidden="1" x14ac:dyDescent="0.25">
      <c r="A12754" t="s">
        <v>15803</v>
      </c>
      <c r="B12754" s="1" t="str">
        <f>HYPERLINK("https://asmlis.vasa.lt/Dashboard/Served?ServiceDateFrom=2025-11-24&amp;ServiceDateTo=2025-11-24&amp;DumpsterInvNr=13-P-203791", "13-P-203791")</f>
        <v>13-P-203791</v>
      </c>
      <c r="C12754">
        <v>0.24</v>
      </c>
      <c r="D12754" t="s">
        <v>16792</v>
      </c>
      <c r="E12754" t="s">
        <v>11</v>
      </c>
      <c r="G12754" t="s">
        <v>234</v>
      </c>
      <c r="H12754" t="s">
        <v>14</v>
      </c>
    </row>
    <row r="12755" spans="1:8" hidden="1" x14ac:dyDescent="0.25">
      <c r="A12755" t="s">
        <v>16404</v>
      </c>
      <c r="B12755" s="1" t="str">
        <f>HYPERLINK("https://asmlis.vasa.lt/Dashboard/Served?ServiceDateFrom=2025-11-24&amp;ServiceDateTo=2025-11-24&amp;DumpsterInvNr=13-L-146421", "13-L-146421")</f>
        <v>13-L-146421</v>
      </c>
      <c r="C12755">
        <v>0.12</v>
      </c>
      <c r="D12755" t="s">
        <v>16793</v>
      </c>
      <c r="E12755" t="s">
        <v>11</v>
      </c>
      <c r="G12755" t="s">
        <v>430</v>
      </c>
      <c r="H12755" t="s">
        <v>432</v>
      </c>
    </row>
    <row r="12756" spans="1:8" hidden="1" x14ac:dyDescent="0.25">
      <c r="A12756" t="s">
        <v>16642</v>
      </c>
      <c r="B12756" s="1" t="str">
        <f>HYPERLINK("https://asmlis.vasa.lt/Dashboard/Served?ServiceDateFrom=2025-11-24&amp;ServiceDateTo=2025-11-24&amp;DumpsterInvNr=13-P-507400", "13-P-507400")</f>
        <v>13-P-507400</v>
      </c>
      <c r="C12756">
        <v>0.24</v>
      </c>
      <c r="D12756" t="s">
        <v>16793</v>
      </c>
      <c r="E12756" t="s">
        <v>11</v>
      </c>
      <c r="G12756" t="s">
        <v>2178</v>
      </c>
      <c r="H12756" t="s">
        <v>432</v>
      </c>
    </row>
    <row r="12757" spans="1:8" hidden="1" x14ac:dyDescent="0.25">
      <c r="A12757" t="s">
        <v>16794</v>
      </c>
      <c r="B12757" s="1" t="str">
        <f>HYPERLINK("https://asmlis.vasa.lt/Dashboard/Served?ServiceDateFrom=2025-11-24&amp;ServiceDateTo=2025-11-24&amp;DumpsterInvNr=13-L-113619", "13-L-113619")</f>
        <v>13-L-113619</v>
      </c>
      <c r="C12757">
        <v>5</v>
      </c>
      <c r="D12757" t="s">
        <v>16795</v>
      </c>
      <c r="E12757" t="s">
        <v>11</v>
      </c>
      <c r="F12757" t="s">
        <v>13</v>
      </c>
      <c r="G12757" t="s">
        <v>430</v>
      </c>
      <c r="H12757" t="s">
        <v>432</v>
      </c>
    </row>
    <row r="12758" spans="1:8" hidden="1" x14ac:dyDescent="0.25">
      <c r="A12758" t="s">
        <v>16796</v>
      </c>
      <c r="B12758" s="1" t="str">
        <f>HYPERLINK("https://asmlis.vasa.lt/Dashboard/Served?ServiceDateFrom=2025-11-24&amp;ServiceDateTo=2025-11-24&amp;DumpsterInvNr=13-P-300848", "13-P-300848")</f>
        <v>13-P-300848</v>
      </c>
      <c r="C12758">
        <v>5</v>
      </c>
      <c r="D12758" t="s">
        <v>12813</v>
      </c>
      <c r="E12758" t="s">
        <v>11</v>
      </c>
      <c r="G12758" t="s">
        <v>412</v>
      </c>
      <c r="H12758" t="s">
        <v>14</v>
      </c>
    </row>
    <row r="12759" spans="1:8" hidden="1" x14ac:dyDescent="0.25">
      <c r="A12759" t="s">
        <v>16797</v>
      </c>
      <c r="B12759" s="1" t="str">
        <f>HYPERLINK("https://asmlis.vasa.lt/Dashboard/Served?ServiceDateFrom=2025-11-24&amp;ServiceDateTo=2025-11-24&amp;DumpsterInvNr=13-L-108265", "13-L-108265")</f>
        <v>13-L-108265</v>
      </c>
      <c r="C12759">
        <v>0.24</v>
      </c>
      <c r="D12759" t="s">
        <v>16798</v>
      </c>
      <c r="E12759" t="s">
        <v>11</v>
      </c>
      <c r="G12759" t="s">
        <v>430</v>
      </c>
      <c r="H12759" t="s">
        <v>432</v>
      </c>
    </row>
    <row r="12760" spans="1:8" hidden="1" x14ac:dyDescent="0.25">
      <c r="A12760" t="s">
        <v>16799</v>
      </c>
      <c r="B12760" s="1" t="str">
        <f>HYPERLINK("https://asmlis.vasa.lt/Dashboard/Served?ServiceDateFrom=2025-11-24&amp;ServiceDateTo=2025-11-24&amp;DumpsterInvNr=13-L-139128", "13-L-139128")</f>
        <v>13-L-139128</v>
      </c>
      <c r="C12760">
        <v>5</v>
      </c>
      <c r="D12760" t="s">
        <v>13281</v>
      </c>
      <c r="E12760" t="s">
        <v>11</v>
      </c>
      <c r="F12760" t="s">
        <v>13</v>
      </c>
      <c r="G12760" t="s">
        <v>1912</v>
      </c>
      <c r="H12760" t="s">
        <v>432</v>
      </c>
    </row>
    <row r="12761" spans="1:8" hidden="1" x14ac:dyDescent="0.25">
      <c r="A12761" t="s">
        <v>16800</v>
      </c>
      <c r="B12761" s="1" t="str">
        <f>HYPERLINK("https://asmlis.vasa.lt/Dashboard/Served?ServiceDateFrom=2025-11-24&amp;ServiceDateTo=2025-11-24&amp;DumpsterInvNr=13-T-000091", "13-T-000091")</f>
        <v>13-T-000091</v>
      </c>
      <c r="C12761">
        <v>2.5</v>
      </c>
      <c r="D12761" t="s">
        <v>16801</v>
      </c>
      <c r="E12761" t="s">
        <v>11</v>
      </c>
      <c r="F12761" t="s">
        <v>13</v>
      </c>
      <c r="G12761" t="s">
        <v>1899</v>
      </c>
      <c r="H12761" t="s">
        <v>432</v>
      </c>
    </row>
    <row r="12762" spans="1:8" hidden="1" x14ac:dyDescent="0.25">
      <c r="A12762" t="s">
        <v>16802</v>
      </c>
      <c r="B12762" s="1" t="str">
        <f>HYPERLINK("https://asmlis.vasa.lt/Dashboard/Served?ServiceDateFrom=2025-11-24&amp;ServiceDateTo=2025-11-24&amp;DumpsterInvNr=13-P-203792", "13-P-203792")</f>
        <v>13-P-203792</v>
      </c>
      <c r="C12762">
        <v>0.24</v>
      </c>
      <c r="D12762" t="s">
        <v>16803</v>
      </c>
      <c r="E12762" t="s">
        <v>11</v>
      </c>
      <c r="G12762" t="s">
        <v>234</v>
      </c>
      <c r="H12762" t="s">
        <v>14</v>
      </c>
    </row>
    <row r="12763" spans="1:8" hidden="1" x14ac:dyDescent="0.25">
      <c r="A12763" t="s">
        <v>16804</v>
      </c>
      <c r="B12763" s="1" t="str">
        <f>HYPERLINK("https://asmlis.vasa.lt/Dashboard/Served?ServiceDateFrom=2025-11-24&amp;ServiceDateTo=2025-11-24&amp;DumpsterInvNr=13-L-108268", "13-L-108268")</f>
        <v>13-L-108268</v>
      </c>
      <c r="C12763">
        <v>0.24</v>
      </c>
      <c r="D12763" t="s">
        <v>16805</v>
      </c>
      <c r="E12763" t="s">
        <v>11</v>
      </c>
      <c r="G12763" t="s">
        <v>430</v>
      </c>
      <c r="H12763" t="s">
        <v>432</v>
      </c>
    </row>
    <row r="12764" spans="1:8" hidden="1" x14ac:dyDescent="0.25">
      <c r="A12764" t="s">
        <v>16669</v>
      </c>
      <c r="B12764" s="1" t="str">
        <f>HYPERLINK("https://asmlis.vasa.lt/Dashboard/Served?ServiceDateFrom=2025-11-24&amp;ServiceDateTo=2025-11-24&amp;DumpsterInvNr=13-L-137760", "13-L-137760")</f>
        <v>13-L-137760</v>
      </c>
      <c r="C12764">
        <v>5</v>
      </c>
      <c r="D12764" t="s">
        <v>16806</v>
      </c>
      <c r="E12764" t="s">
        <v>11</v>
      </c>
      <c r="F12764" t="s">
        <v>13</v>
      </c>
      <c r="G12764" t="s">
        <v>430</v>
      </c>
      <c r="H12764" t="s">
        <v>432</v>
      </c>
    </row>
    <row r="12765" spans="1:8" hidden="1" x14ac:dyDescent="0.25">
      <c r="A12765" t="s">
        <v>16671</v>
      </c>
      <c r="B12765" s="1" t="str">
        <f>HYPERLINK("https://asmlis.vasa.lt/Dashboard/Served?ServiceDateFrom=2025-11-24&amp;ServiceDateTo=2025-11-24&amp;DumpsterInvNr=13-L-143406", "13-L-143406")</f>
        <v>13-L-143406</v>
      </c>
      <c r="C12765">
        <v>5</v>
      </c>
      <c r="D12765" t="s">
        <v>16806</v>
      </c>
      <c r="E12765" t="s">
        <v>11</v>
      </c>
      <c r="F12765" t="s">
        <v>13</v>
      </c>
      <c r="G12765" t="s">
        <v>430</v>
      </c>
      <c r="H12765" t="s">
        <v>432</v>
      </c>
    </row>
    <row r="12766" spans="1:8" hidden="1" x14ac:dyDescent="0.25">
      <c r="A12766" t="s">
        <v>16674</v>
      </c>
      <c r="B12766" s="1" t="str">
        <f>HYPERLINK("https://asmlis.vasa.lt/Dashboard/Served?ServiceDateFrom=2025-11-24&amp;ServiceDateTo=2025-11-24&amp;DumpsterInvNr=13-L-316343", "13-L-316343")</f>
        <v>13-L-316343</v>
      </c>
      <c r="C12766">
        <v>1.1000000000000001</v>
      </c>
      <c r="D12766" t="s">
        <v>3328</v>
      </c>
      <c r="E12766" t="s">
        <v>11</v>
      </c>
      <c r="G12766" t="s">
        <v>9</v>
      </c>
      <c r="H12766" t="s">
        <v>14</v>
      </c>
    </row>
    <row r="12767" spans="1:8" hidden="1" x14ac:dyDescent="0.25">
      <c r="A12767" t="s">
        <v>16808</v>
      </c>
      <c r="B12767" s="1" t="str">
        <f>HYPERLINK("https://asmlis.vasa.lt/Dashboard/Served?ServiceDateFrom=2025-11-24&amp;ServiceDateTo=2025-11-24&amp;DumpsterInvNr=13-P-416831", "13-P-416831")</f>
        <v>13-P-416831</v>
      </c>
      <c r="C12767">
        <v>0.66</v>
      </c>
      <c r="D12767" t="s">
        <v>16809</v>
      </c>
      <c r="E12767" t="s">
        <v>11</v>
      </c>
      <c r="F12767" t="s">
        <v>13</v>
      </c>
      <c r="G12767" t="s">
        <v>264</v>
      </c>
      <c r="H12767" t="s">
        <v>14</v>
      </c>
    </row>
    <row r="12768" spans="1:8" hidden="1" x14ac:dyDescent="0.25">
      <c r="A12768" t="s">
        <v>16691</v>
      </c>
      <c r="B12768" s="1" t="str">
        <f>HYPERLINK("https://asmlis.vasa.lt/Dashboard/Served?ServiceDateFrom=2025-11-24&amp;ServiceDateTo=2025-11-24&amp;DumpsterInvNr=13-L-119561", "13-L-119561")</f>
        <v>13-L-119561</v>
      </c>
      <c r="C12768">
        <v>0.24</v>
      </c>
      <c r="D12768" t="s">
        <v>16810</v>
      </c>
      <c r="E12768" t="s">
        <v>11</v>
      </c>
      <c r="G12768" t="s">
        <v>1912</v>
      </c>
      <c r="H12768" t="s">
        <v>432</v>
      </c>
    </row>
    <row r="12769" spans="1:8" hidden="1" x14ac:dyDescent="0.25">
      <c r="A12769" t="s">
        <v>16811</v>
      </c>
      <c r="B12769" s="1" t="str">
        <f>HYPERLINK("https://asmlis.vasa.lt/Dashboard/Served?ServiceDateFrom=2025-11-24&amp;ServiceDateTo=2025-11-24&amp;DumpsterInvNr=13-P-213242", "13-P-213242")</f>
        <v>13-P-213242</v>
      </c>
      <c r="C12769">
        <v>1.1000000000000001</v>
      </c>
      <c r="D12769" t="s">
        <v>16812</v>
      </c>
      <c r="E12769" t="s">
        <v>11</v>
      </c>
      <c r="G12769" t="s">
        <v>234</v>
      </c>
      <c r="H12769" t="s">
        <v>14</v>
      </c>
    </row>
    <row r="12770" spans="1:8" hidden="1" x14ac:dyDescent="0.25">
      <c r="A12770" t="s">
        <v>16813</v>
      </c>
      <c r="B12770" s="1" t="str">
        <f>HYPERLINK("https://asmlis.vasa.lt/Dashboard/Served?ServiceDateFrom=2025-11-24&amp;ServiceDateTo=2025-11-24&amp;DumpsterInvNr=13-P-209585", "13-P-209585")</f>
        <v>13-P-209585</v>
      </c>
      <c r="C12770">
        <v>0.24</v>
      </c>
      <c r="D12770" t="s">
        <v>16814</v>
      </c>
      <c r="E12770" t="s">
        <v>11</v>
      </c>
      <c r="G12770" t="s">
        <v>234</v>
      </c>
      <c r="H12770" t="s">
        <v>14</v>
      </c>
    </row>
    <row r="12771" spans="1:8" hidden="1" x14ac:dyDescent="0.25">
      <c r="A12771" t="s">
        <v>16721</v>
      </c>
      <c r="B12771" s="1" t="str">
        <f>HYPERLINK("https://asmlis.vasa.lt/Dashboard/Served?ServiceDateFrom=2025-11-24&amp;ServiceDateTo=2025-11-24&amp;DumpsterInvNr=13-P-105541", "13-P-105541")</f>
        <v>13-P-105541</v>
      </c>
      <c r="C12771">
        <v>1.1000000000000001</v>
      </c>
      <c r="D12771" t="s">
        <v>16815</v>
      </c>
      <c r="E12771" t="s">
        <v>11</v>
      </c>
      <c r="G12771" t="s">
        <v>1917</v>
      </c>
      <c r="H12771" t="s">
        <v>432</v>
      </c>
    </row>
    <row r="12772" spans="1:8" hidden="1" x14ac:dyDescent="0.25">
      <c r="A12772" t="s">
        <v>16747</v>
      </c>
      <c r="B12772" s="1" t="str">
        <f>HYPERLINK("https://asmlis.vasa.lt/Dashboard/Served?ServiceDateFrom=2025-11-24&amp;ServiceDateTo=2025-11-24&amp;DumpsterInvNr=13-L-136697", "13-L-136697")</f>
        <v>13-L-136697</v>
      </c>
      <c r="C12772">
        <v>5</v>
      </c>
      <c r="D12772" t="s">
        <v>16816</v>
      </c>
      <c r="E12772" t="s">
        <v>11</v>
      </c>
      <c r="F12772" t="s">
        <v>13</v>
      </c>
      <c r="G12772" t="s">
        <v>430</v>
      </c>
      <c r="H12772" t="s">
        <v>432</v>
      </c>
    </row>
    <row r="12773" spans="1:8" hidden="1" x14ac:dyDescent="0.25">
      <c r="A12773" t="s">
        <v>16817</v>
      </c>
      <c r="B12773" s="1" t="str">
        <f>HYPERLINK("https://asmlis.vasa.lt/Dashboard/Served?ServiceDateFrom=2025-11-24&amp;ServiceDateTo=2025-11-24&amp;DumpsterInvNr=13-L-130883", "13-L-130883")</f>
        <v>13-L-130883</v>
      </c>
      <c r="C12773">
        <v>0.12</v>
      </c>
      <c r="D12773" t="s">
        <v>16818</v>
      </c>
      <c r="E12773" t="s">
        <v>11</v>
      </c>
      <c r="F12773" t="s">
        <v>1209</v>
      </c>
      <c r="G12773" t="s">
        <v>430</v>
      </c>
      <c r="H12773" t="s">
        <v>432</v>
      </c>
    </row>
    <row r="12774" spans="1:8" hidden="1" x14ac:dyDescent="0.25">
      <c r="A12774" t="s">
        <v>16819</v>
      </c>
      <c r="B12774" s="1" t="str">
        <f>HYPERLINK("https://asmlis.vasa.lt/Dashboard/Served?ServiceDateFrom=2025-11-24&amp;ServiceDateTo=2025-11-24&amp;DumpsterInvNr=13-P-505355", "13-P-505355")</f>
        <v>13-P-505355</v>
      </c>
      <c r="C12774">
        <v>0.12</v>
      </c>
      <c r="D12774" t="s">
        <v>16818</v>
      </c>
      <c r="E12774" t="s">
        <v>11</v>
      </c>
      <c r="F12774" t="s">
        <v>1209</v>
      </c>
      <c r="G12774" t="s">
        <v>2178</v>
      </c>
      <c r="H12774" t="s">
        <v>432</v>
      </c>
    </row>
    <row r="12775" spans="1:8" hidden="1" x14ac:dyDescent="0.25">
      <c r="A12775" t="s">
        <v>16820</v>
      </c>
      <c r="B12775" s="1" t="str">
        <f>HYPERLINK("https://asmlis.vasa.lt/Dashboard/Served?ServiceDateFrom=2025-11-24&amp;ServiceDateTo=2025-11-24&amp;DumpsterInvNr=13-L-108263", "13-L-108263")</f>
        <v>13-L-108263</v>
      </c>
      <c r="C12775">
        <v>0.12</v>
      </c>
      <c r="D12775" t="s">
        <v>16821</v>
      </c>
      <c r="E12775" t="s">
        <v>11</v>
      </c>
      <c r="F12775" t="s">
        <v>1209</v>
      </c>
      <c r="G12775" t="s">
        <v>430</v>
      </c>
      <c r="H12775" t="s">
        <v>432</v>
      </c>
    </row>
    <row r="12776" spans="1:8" hidden="1" x14ac:dyDescent="0.25">
      <c r="A12776" t="s">
        <v>16822</v>
      </c>
      <c r="B12776" s="1" t="str">
        <f>HYPERLINK("https://asmlis.vasa.lt/Dashboard/Served?ServiceDateFrom=2025-11-24&amp;ServiceDateTo=2025-11-24&amp;DumpsterInvNr=13-L-128909", "13-L-128909")</f>
        <v>13-L-128909</v>
      </c>
      <c r="C12776">
        <v>0.12</v>
      </c>
      <c r="D12776" t="s">
        <v>16823</v>
      </c>
      <c r="E12776" t="s">
        <v>11</v>
      </c>
      <c r="F12776" t="s">
        <v>1209</v>
      </c>
      <c r="G12776" t="s">
        <v>430</v>
      </c>
      <c r="H12776" t="s">
        <v>432</v>
      </c>
    </row>
    <row r="12777" spans="1:8" hidden="1" x14ac:dyDescent="0.25">
      <c r="A12777" t="s">
        <v>16824</v>
      </c>
      <c r="B12777" s="1" t="str">
        <f>HYPERLINK("https://asmlis.vasa.lt/Dashboard/Served?ServiceDateFrom=2025-11-24&amp;ServiceDateTo=2025-11-24&amp;DumpsterInvNr=13-L-316400", "13-L-316400")</f>
        <v>13-L-316400</v>
      </c>
      <c r="C12777">
        <v>1.1000000000000001</v>
      </c>
      <c r="D12777" t="s">
        <v>3328</v>
      </c>
      <c r="E12777" t="s">
        <v>11</v>
      </c>
      <c r="G12777" t="s">
        <v>9</v>
      </c>
      <c r="H12777" t="s">
        <v>14</v>
      </c>
    </row>
    <row r="12778" spans="1:8" hidden="1" x14ac:dyDescent="0.25">
      <c r="A12778" t="s">
        <v>16825</v>
      </c>
      <c r="B12778" s="1" t="str">
        <f>HYPERLINK("https://asmlis.vasa.lt/Dashboard/Served?ServiceDateFrom=2025-11-24&amp;ServiceDateTo=2025-11-24&amp;DumpsterInvNr=13-L-314149", "13-L-314149")</f>
        <v>13-L-314149</v>
      </c>
      <c r="C12778">
        <v>1.1000000000000001</v>
      </c>
      <c r="D12778" t="s">
        <v>3338</v>
      </c>
      <c r="E12778" t="s">
        <v>11</v>
      </c>
      <c r="G12778" t="s">
        <v>9</v>
      </c>
      <c r="H12778" t="s">
        <v>14</v>
      </c>
    </row>
    <row r="12779" spans="1:8" hidden="1" x14ac:dyDescent="0.25">
      <c r="A12779" t="s">
        <v>16826</v>
      </c>
      <c r="B12779" s="1" t="str">
        <f>HYPERLINK("https://asmlis.vasa.lt/Dashboard/Served?ServiceDateFrom=2025-11-24&amp;ServiceDateTo=2025-11-24&amp;DumpsterInvNr=13-P-209175", "13-P-209175")</f>
        <v>13-P-209175</v>
      </c>
      <c r="C12779">
        <v>0.24</v>
      </c>
      <c r="D12779" t="s">
        <v>16827</v>
      </c>
      <c r="E12779" t="s">
        <v>11</v>
      </c>
      <c r="F12779" t="s">
        <v>4699</v>
      </c>
      <c r="G12779" t="s">
        <v>234</v>
      </c>
      <c r="H12779" t="s">
        <v>14</v>
      </c>
    </row>
    <row r="12780" spans="1:8" hidden="1" x14ac:dyDescent="0.25">
      <c r="A12780" t="s">
        <v>16828</v>
      </c>
      <c r="B12780" s="1" t="str">
        <f>HYPERLINK("https://asmlis.vasa.lt/Dashboard/Served?ServiceDateFrom=2025-11-24&amp;ServiceDateTo=2025-11-24&amp;DumpsterInvNr=13-P-500684", "13-P-500684")</f>
        <v>13-P-500684</v>
      </c>
      <c r="C12780">
        <v>5</v>
      </c>
      <c r="D12780" t="s">
        <v>11945</v>
      </c>
      <c r="E12780" t="s">
        <v>11</v>
      </c>
      <c r="F12780" t="s">
        <v>13</v>
      </c>
      <c r="G12780" t="s">
        <v>2178</v>
      </c>
      <c r="H12780" t="s">
        <v>432</v>
      </c>
    </row>
    <row r="12781" spans="1:8" hidden="1" x14ac:dyDescent="0.25">
      <c r="A12781" t="s">
        <v>16829</v>
      </c>
      <c r="B12781" s="1" t="str">
        <f>HYPERLINK("https://asmlis.vasa.lt/Dashboard/Served?ServiceDateFrom=2025-11-24&amp;ServiceDateTo=2025-11-24&amp;DumpsterInvNr=13-L-304379", "13-L-304379")</f>
        <v>13-L-304379</v>
      </c>
      <c r="C12781">
        <v>5</v>
      </c>
      <c r="D12781" t="s">
        <v>16830</v>
      </c>
      <c r="E12781" t="s">
        <v>11</v>
      </c>
      <c r="G12781" t="s">
        <v>9</v>
      </c>
      <c r="H12781" t="s">
        <v>14</v>
      </c>
    </row>
    <row r="12782" spans="1:8" hidden="1" x14ac:dyDescent="0.25">
      <c r="A12782" t="s">
        <v>16831</v>
      </c>
      <c r="B12782" s="1" t="str">
        <f>HYPERLINK("https://asmlis.vasa.lt/Dashboard/Served?ServiceDateFrom=2025-11-24&amp;ServiceDateTo=2025-11-24&amp;DumpsterInvNr=13-L-108269", "13-L-108269")</f>
        <v>13-L-108269</v>
      </c>
      <c r="C12782">
        <v>0.12</v>
      </c>
      <c r="D12782" t="s">
        <v>16832</v>
      </c>
      <c r="E12782" t="s">
        <v>11</v>
      </c>
      <c r="G12782" t="s">
        <v>430</v>
      </c>
      <c r="H12782" t="s">
        <v>432</v>
      </c>
    </row>
    <row r="12783" spans="1:8" hidden="1" x14ac:dyDescent="0.25">
      <c r="A12783" t="s">
        <v>15850</v>
      </c>
      <c r="B12783" s="1" t="str">
        <f>HYPERLINK("https://asmlis.vasa.lt/Dashboard/Served?ServiceDateFrom=2025-11-24&amp;ServiceDateTo=2025-11-24&amp;DumpsterInvNr=13-L-149199", "13-L-149199")</f>
        <v>13-L-149199</v>
      </c>
      <c r="C12783">
        <v>0.24</v>
      </c>
      <c r="D12783" t="s">
        <v>16833</v>
      </c>
      <c r="E12783" t="s">
        <v>11</v>
      </c>
      <c r="G12783" t="s">
        <v>1912</v>
      </c>
      <c r="H12783" t="s">
        <v>432</v>
      </c>
    </row>
    <row r="12784" spans="1:8" hidden="1" x14ac:dyDescent="0.25">
      <c r="A12784" t="s">
        <v>16834</v>
      </c>
      <c r="B12784" s="1" t="str">
        <f>HYPERLINK("https://asmlis.vasa.lt/Dashboard/Served?ServiceDateFrom=2025-11-24&amp;ServiceDateTo=2025-11-24&amp;DumpsterInvNr=13-L-128906", "13-L-128906")</f>
        <v>13-L-128906</v>
      </c>
      <c r="C12784">
        <v>0.24</v>
      </c>
      <c r="D12784" t="s">
        <v>16835</v>
      </c>
      <c r="E12784" t="s">
        <v>11</v>
      </c>
      <c r="G12784" t="s">
        <v>430</v>
      </c>
      <c r="H12784" t="s">
        <v>432</v>
      </c>
    </row>
    <row r="12785" spans="1:8" hidden="1" x14ac:dyDescent="0.25">
      <c r="A12785" t="s">
        <v>16836</v>
      </c>
      <c r="B12785" s="1" t="str">
        <f>HYPERLINK("https://asmlis.vasa.lt/Dashboard/Served?ServiceDateFrom=2025-11-24&amp;ServiceDateTo=2025-11-24&amp;DumpsterInvNr=13-L-310346", "13-L-310346")</f>
        <v>13-L-310346</v>
      </c>
      <c r="C12785">
        <v>1.1000000000000001</v>
      </c>
      <c r="D12785" t="s">
        <v>3328</v>
      </c>
      <c r="E12785" t="s">
        <v>11</v>
      </c>
      <c r="F12785" t="s">
        <v>13</v>
      </c>
      <c r="G12785" t="s">
        <v>9</v>
      </c>
      <c r="H12785" t="s">
        <v>14</v>
      </c>
    </row>
    <row r="12786" spans="1:8" hidden="1" x14ac:dyDescent="0.25">
      <c r="A12786" t="s">
        <v>16837</v>
      </c>
      <c r="B12786" s="1" t="str">
        <f>HYPERLINK("https://asmlis.vasa.lt/Dashboard/Served?ServiceDateFrom=2025-11-24&amp;ServiceDateTo=2025-11-24&amp;DumpsterInvNr=13-L-421832", "13-L-421832")</f>
        <v>13-L-421832</v>
      </c>
      <c r="C12786">
        <v>5</v>
      </c>
      <c r="D12786" t="s">
        <v>12149</v>
      </c>
      <c r="E12786" t="s">
        <v>11</v>
      </c>
      <c r="F12786" t="s">
        <v>13</v>
      </c>
      <c r="G12786" t="s">
        <v>74</v>
      </c>
      <c r="H12786" t="s">
        <v>14</v>
      </c>
    </row>
    <row r="12787" spans="1:8" hidden="1" x14ac:dyDescent="0.25">
      <c r="A12787" t="s">
        <v>16838</v>
      </c>
      <c r="B12787" s="1" t="str">
        <f>HYPERLINK("https://asmlis.vasa.lt/Dashboard/Served?ServiceDateFrom=2025-11-24&amp;ServiceDateTo=2025-11-24&amp;DumpsterInvNr=13-L-108270", "13-L-108270")</f>
        <v>13-L-108270</v>
      </c>
      <c r="C12787">
        <v>0.24</v>
      </c>
      <c r="D12787" t="s">
        <v>16839</v>
      </c>
      <c r="E12787" t="s">
        <v>11</v>
      </c>
      <c r="G12787" t="s">
        <v>430</v>
      </c>
      <c r="H12787" t="s">
        <v>432</v>
      </c>
    </row>
    <row r="12788" spans="1:8" hidden="1" x14ac:dyDescent="0.25">
      <c r="A12788" t="s">
        <v>16841</v>
      </c>
      <c r="B12788" s="1" t="str">
        <f>HYPERLINK("https://asmlis.vasa.lt/Dashboard/Served?ServiceDateFrom=2025-11-24&amp;ServiceDateTo=2025-11-24&amp;DumpsterInvNr=13-P-507993", "13-P-507993")</f>
        <v>13-P-507993</v>
      </c>
      <c r="C12788">
        <v>0.24</v>
      </c>
      <c r="D12788" t="s">
        <v>16839</v>
      </c>
      <c r="E12788" t="s">
        <v>11</v>
      </c>
      <c r="G12788" t="s">
        <v>2178</v>
      </c>
      <c r="H12788" t="s">
        <v>432</v>
      </c>
    </row>
    <row r="12789" spans="1:8" hidden="1" x14ac:dyDescent="0.25">
      <c r="A12789" t="s">
        <v>16842</v>
      </c>
      <c r="B12789" s="1" t="str">
        <f>HYPERLINK("https://asmlis.vasa.lt/Dashboard/Served?ServiceDateFrom=2025-11-24&amp;ServiceDateTo=2025-11-24&amp;DumpsterInvNr=13-P-203786", "13-P-203786")</f>
        <v>13-P-203786</v>
      </c>
      <c r="C12789">
        <v>0.24</v>
      </c>
      <c r="D12789" t="s">
        <v>16843</v>
      </c>
      <c r="E12789" t="s">
        <v>11</v>
      </c>
      <c r="G12789" t="s">
        <v>234</v>
      </c>
      <c r="H12789" t="s">
        <v>14</v>
      </c>
    </row>
    <row r="12790" spans="1:8" hidden="1" x14ac:dyDescent="0.25">
      <c r="A12790" t="s">
        <v>16844</v>
      </c>
      <c r="B12790" s="1" t="str">
        <f>HYPERLINK("https://asmlis.vasa.lt/Dashboard/Served?ServiceDateFrom=2025-11-24&amp;ServiceDateTo=2025-11-24&amp;DumpsterInvNr=13-L-317150", "13-L-317150")</f>
        <v>13-L-317150</v>
      </c>
      <c r="C12790">
        <v>1.1000000000000001</v>
      </c>
      <c r="D12790" t="s">
        <v>3338</v>
      </c>
      <c r="E12790" t="s">
        <v>11</v>
      </c>
      <c r="F12790" t="s">
        <v>13</v>
      </c>
      <c r="G12790" t="s">
        <v>9</v>
      </c>
      <c r="H12790" t="s">
        <v>14</v>
      </c>
    </row>
    <row r="12791" spans="1:8" hidden="1" x14ac:dyDescent="0.25">
      <c r="A12791" t="s">
        <v>16845</v>
      </c>
      <c r="B12791" s="1" t="str">
        <f>HYPERLINK("https://asmlis.vasa.lt/Dashboard/Served?ServiceDateFrom=2025-11-24&amp;ServiceDateTo=2025-11-24&amp;DumpsterInvNr=13-P-409056", "13-P-409056")</f>
        <v>13-P-409056</v>
      </c>
      <c r="C12791">
        <v>1.1000000000000001</v>
      </c>
      <c r="D12791" t="s">
        <v>16846</v>
      </c>
      <c r="E12791" t="s">
        <v>11</v>
      </c>
      <c r="F12791" t="s">
        <v>13</v>
      </c>
      <c r="G12791" t="s">
        <v>264</v>
      </c>
      <c r="H12791" t="s">
        <v>14</v>
      </c>
    </row>
    <row r="12792" spans="1:8" hidden="1" x14ac:dyDescent="0.25">
      <c r="A12792" t="s">
        <v>16847</v>
      </c>
      <c r="B12792" s="1" t="str">
        <f>HYPERLINK("https://asmlis.vasa.lt/Dashboard/Served?ServiceDateFrom=2025-11-24&amp;ServiceDateTo=2025-11-24&amp;DumpsterInvNr=13-L-128907", "13-L-128907")</f>
        <v>13-L-128907</v>
      </c>
      <c r="C12792">
        <v>0.12</v>
      </c>
      <c r="D12792" t="s">
        <v>16848</v>
      </c>
      <c r="E12792" t="s">
        <v>11</v>
      </c>
      <c r="G12792" t="s">
        <v>430</v>
      </c>
      <c r="H12792" t="s">
        <v>432</v>
      </c>
    </row>
    <row r="12793" spans="1:8" hidden="1" x14ac:dyDescent="0.25">
      <c r="A12793" t="s">
        <v>16849</v>
      </c>
      <c r="B12793" s="1" t="str">
        <f>HYPERLINK("https://asmlis.vasa.lt/Dashboard/Served?ServiceDateFrom=2025-11-24&amp;ServiceDateTo=2025-11-24&amp;DumpsterInvNr=13-L-136694", "13-L-136694")</f>
        <v>13-L-136694</v>
      </c>
      <c r="C12793">
        <v>5</v>
      </c>
      <c r="D12793" t="s">
        <v>16850</v>
      </c>
      <c r="E12793" t="s">
        <v>11</v>
      </c>
      <c r="F12793" t="s">
        <v>13</v>
      </c>
      <c r="G12793" t="s">
        <v>430</v>
      </c>
      <c r="H12793" t="s">
        <v>432</v>
      </c>
    </row>
    <row r="12794" spans="1:8" hidden="1" x14ac:dyDescent="0.25">
      <c r="A12794" t="s">
        <v>16851</v>
      </c>
      <c r="B12794" s="1" t="str">
        <f>HYPERLINK("https://asmlis.vasa.lt/Dashboard/Served?ServiceDateFrom=2025-11-24&amp;ServiceDateTo=2025-11-24&amp;DumpsterInvNr=13-L-137615", "13-L-137615")</f>
        <v>13-L-137615</v>
      </c>
      <c r="C12794">
        <v>0.24</v>
      </c>
      <c r="D12794" t="s">
        <v>16852</v>
      </c>
      <c r="E12794" t="s">
        <v>11</v>
      </c>
      <c r="G12794" t="s">
        <v>1912</v>
      </c>
      <c r="H12794" t="s">
        <v>432</v>
      </c>
    </row>
    <row r="12795" spans="1:8" hidden="1" x14ac:dyDescent="0.25">
      <c r="A12795" t="s">
        <v>16853</v>
      </c>
      <c r="B12795" s="1" t="str">
        <f>HYPERLINK("https://asmlis.vasa.lt/Dashboard/Served?ServiceDateFrom=2025-11-24&amp;ServiceDateTo=2025-11-24&amp;DumpsterInvNr=13-L-137761", "13-L-137761")</f>
        <v>13-L-137761</v>
      </c>
      <c r="C12795">
        <v>5</v>
      </c>
      <c r="D12795" t="s">
        <v>16854</v>
      </c>
      <c r="E12795" t="s">
        <v>11</v>
      </c>
      <c r="F12795" t="s">
        <v>13</v>
      </c>
      <c r="G12795" t="s">
        <v>430</v>
      </c>
      <c r="H12795" t="s">
        <v>432</v>
      </c>
    </row>
    <row r="12796" spans="1:8" hidden="1" x14ac:dyDescent="0.25">
      <c r="A12796" t="s">
        <v>16855</v>
      </c>
      <c r="B12796" s="1" t="str">
        <f>HYPERLINK("https://asmlis.vasa.lt/Dashboard/Served?ServiceDateFrom=2025-11-24&amp;ServiceDateTo=2025-11-24&amp;DumpsterInvNr=13-L-124967", "13-L-124967")</f>
        <v>13-L-124967</v>
      </c>
      <c r="C12796">
        <v>0.24</v>
      </c>
      <c r="D12796" t="s">
        <v>16856</v>
      </c>
      <c r="E12796" t="s">
        <v>11</v>
      </c>
      <c r="G12796" t="s">
        <v>430</v>
      </c>
      <c r="H12796" t="s">
        <v>432</v>
      </c>
    </row>
    <row r="12797" spans="1:8" hidden="1" x14ac:dyDescent="0.25">
      <c r="A12797" t="s">
        <v>16855</v>
      </c>
      <c r="B12797" s="1" t="str">
        <f>HYPERLINK("https://asmlis.vasa.lt/Dashboard/Served?ServiceDateFrom=2025-11-24&amp;ServiceDateTo=2025-11-24&amp;DumpsterInvNr=13-P-507395", "13-P-507395")</f>
        <v>13-P-507395</v>
      </c>
      <c r="C12797">
        <v>0.24</v>
      </c>
      <c r="D12797" t="s">
        <v>16856</v>
      </c>
      <c r="E12797" t="s">
        <v>11</v>
      </c>
      <c r="G12797" t="s">
        <v>2178</v>
      </c>
      <c r="H12797" t="s">
        <v>432</v>
      </c>
    </row>
    <row r="12798" spans="1:8" hidden="1" x14ac:dyDescent="0.25">
      <c r="A12798" t="s">
        <v>16858</v>
      </c>
      <c r="B12798" s="1" t="str">
        <f>HYPERLINK("https://asmlis.vasa.lt/Dashboard/Served?ServiceDateFrom=2025-11-24&amp;ServiceDateTo=2025-11-24&amp;DumpsterInvNr=13-P-209522", "13-P-209522")</f>
        <v>13-P-209522</v>
      </c>
      <c r="C12798">
        <v>0.24</v>
      </c>
      <c r="D12798" t="s">
        <v>16859</v>
      </c>
      <c r="E12798" t="s">
        <v>11</v>
      </c>
      <c r="G12798" t="s">
        <v>234</v>
      </c>
      <c r="H12798" t="s">
        <v>14</v>
      </c>
    </row>
    <row r="12799" spans="1:8" hidden="1" x14ac:dyDescent="0.25">
      <c r="A12799" t="s">
        <v>16860</v>
      </c>
      <c r="B12799" s="1" t="str">
        <f>HYPERLINK("https://asmlis.vasa.lt/Dashboard/Served?ServiceDateFrom=2025-11-24&amp;ServiceDateTo=2025-11-24&amp;DumpsterInvNr=13-P-213472", "13-P-213472")</f>
        <v>13-P-213472</v>
      </c>
      <c r="C12799">
        <v>1.1000000000000001</v>
      </c>
      <c r="D12799" t="s">
        <v>16812</v>
      </c>
      <c r="E12799" t="s">
        <v>11</v>
      </c>
      <c r="G12799" t="s">
        <v>234</v>
      </c>
      <c r="H12799" t="s">
        <v>14</v>
      </c>
    </row>
    <row r="12800" spans="1:8" hidden="1" x14ac:dyDescent="0.25">
      <c r="A12800" t="s">
        <v>16861</v>
      </c>
      <c r="B12800" s="1" t="str">
        <f>HYPERLINK("https://asmlis.vasa.lt/Dashboard/Served?ServiceDateFrom=2025-11-24&amp;ServiceDateTo=2025-11-24&amp;DumpsterInvNr=13-P-302351", "13-P-302351")</f>
        <v>13-P-302351</v>
      </c>
      <c r="C12800">
        <v>5</v>
      </c>
      <c r="D12800" t="s">
        <v>13050</v>
      </c>
      <c r="E12800" t="s">
        <v>11</v>
      </c>
      <c r="G12800" t="s">
        <v>412</v>
      </c>
      <c r="H12800" t="s">
        <v>14</v>
      </c>
    </row>
    <row r="12801" spans="1:8" hidden="1" x14ac:dyDescent="0.25">
      <c r="A12801" t="s">
        <v>16861</v>
      </c>
      <c r="B12801" s="1" t="str">
        <f>HYPERLINK("https://asmlis.vasa.lt/Dashboard/Served?ServiceDateFrom=2025-11-24&amp;ServiceDateTo=2025-11-24&amp;DumpsterInvNr=13-P-409059", "13-P-409059")</f>
        <v>13-P-409059</v>
      </c>
      <c r="C12801">
        <v>1.1000000000000001</v>
      </c>
      <c r="D12801" t="s">
        <v>16862</v>
      </c>
      <c r="E12801" t="s">
        <v>11</v>
      </c>
      <c r="F12801" t="s">
        <v>13</v>
      </c>
      <c r="G12801" t="s">
        <v>264</v>
      </c>
      <c r="H12801" t="s">
        <v>14</v>
      </c>
    </row>
    <row r="12802" spans="1:8" hidden="1" x14ac:dyDescent="0.25">
      <c r="A12802" t="s">
        <v>16863</v>
      </c>
      <c r="B12802" s="1" t="str">
        <f>HYPERLINK("https://asmlis.vasa.lt/Dashboard/Served?ServiceDateFrom=2025-11-24&amp;ServiceDateTo=2025-11-24&amp;DumpsterInvNr=13-L-136222", "13-L-136222")</f>
        <v>13-L-136222</v>
      </c>
      <c r="C12802">
        <v>5</v>
      </c>
      <c r="D12802" t="s">
        <v>13127</v>
      </c>
      <c r="E12802" t="s">
        <v>11</v>
      </c>
      <c r="F12802" t="s">
        <v>13</v>
      </c>
      <c r="G12802" t="s">
        <v>1912</v>
      </c>
      <c r="H12802" t="s">
        <v>432</v>
      </c>
    </row>
    <row r="12803" spans="1:8" hidden="1" x14ac:dyDescent="0.25">
      <c r="A12803" t="s">
        <v>16864</v>
      </c>
      <c r="B12803" s="1" t="str">
        <f>HYPERLINK("https://asmlis.vasa.lt/Dashboard/Served?ServiceDateFrom=2025-11-24&amp;ServiceDateTo=2025-11-24&amp;DumpsterInvNr=13-P-500685", "13-P-500685")</f>
        <v>13-P-500685</v>
      </c>
      <c r="C12803">
        <v>5</v>
      </c>
      <c r="D12803" t="s">
        <v>12876</v>
      </c>
      <c r="E12803" t="s">
        <v>11</v>
      </c>
      <c r="F12803" t="s">
        <v>13</v>
      </c>
      <c r="G12803" t="s">
        <v>2178</v>
      </c>
      <c r="H12803" t="s">
        <v>432</v>
      </c>
    </row>
    <row r="12804" spans="1:8" hidden="1" x14ac:dyDescent="0.25">
      <c r="A12804" t="s">
        <v>16865</v>
      </c>
      <c r="B12804" s="1" t="str">
        <f>HYPERLINK("https://asmlis.vasa.lt/Dashboard/Served?ServiceDateFrom=2025-11-24&amp;ServiceDateTo=2025-11-24&amp;DumpsterInvNr=13-L-318384", "13-L-318384")</f>
        <v>13-L-318384</v>
      </c>
      <c r="C12804">
        <v>1.1000000000000001</v>
      </c>
      <c r="D12804" t="s">
        <v>3469</v>
      </c>
      <c r="E12804" t="s">
        <v>11</v>
      </c>
      <c r="G12804" t="s">
        <v>9</v>
      </c>
      <c r="H12804" t="s">
        <v>14</v>
      </c>
    </row>
    <row r="12805" spans="1:8" hidden="1" x14ac:dyDescent="0.25">
      <c r="A12805" t="s">
        <v>16866</v>
      </c>
      <c r="B12805" s="1" t="str">
        <f>HYPERLINK("https://asmlis.vasa.lt/Dashboard/Served?ServiceDateFrom=2025-11-24&amp;ServiceDateTo=2025-11-24&amp;DumpsterInvNr=13-L-314605", "13-L-314605")</f>
        <v>13-L-314605</v>
      </c>
      <c r="C12805">
        <v>1.1000000000000001</v>
      </c>
      <c r="D12805" t="s">
        <v>3469</v>
      </c>
      <c r="E12805" t="s">
        <v>11</v>
      </c>
      <c r="G12805" t="s">
        <v>9</v>
      </c>
      <c r="H12805" t="s">
        <v>14</v>
      </c>
    </row>
    <row r="12806" spans="1:8" hidden="1" x14ac:dyDescent="0.25">
      <c r="A12806" t="s">
        <v>16867</v>
      </c>
      <c r="B12806" s="1" t="str">
        <f>HYPERLINK("https://asmlis.vasa.lt/Dashboard/Served?ServiceDateFrom=2025-11-24&amp;ServiceDateTo=2025-11-24&amp;DumpsterInvNr=13-L-108275", "13-L-108275")</f>
        <v>13-L-108275</v>
      </c>
      <c r="C12806">
        <v>0.24</v>
      </c>
      <c r="D12806" t="s">
        <v>16868</v>
      </c>
      <c r="E12806" t="s">
        <v>11</v>
      </c>
      <c r="G12806" t="s">
        <v>430</v>
      </c>
      <c r="H12806" t="s">
        <v>432</v>
      </c>
    </row>
    <row r="12807" spans="1:8" hidden="1" x14ac:dyDescent="0.25">
      <c r="A12807" t="s">
        <v>16870</v>
      </c>
      <c r="B12807" s="1" t="str">
        <f>HYPERLINK("https://asmlis.vasa.lt/Dashboard/Served?ServiceDateFrom=2025-11-24&amp;ServiceDateTo=2025-11-24&amp;DumpsterInvNr=13-P-505361", "13-P-505361")</f>
        <v>13-P-505361</v>
      </c>
      <c r="C12807">
        <v>0.12</v>
      </c>
      <c r="D12807" t="s">
        <v>16868</v>
      </c>
      <c r="E12807" t="s">
        <v>11</v>
      </c>
      <c r="G12807" t="s">
        <v>2178</v>
      </c>
      <c r="H12807" t="s">
        <v>432</v>
      </c>
    </row>
    <row r="12808" spans="1:8" hidden="1" x14ac:dyDescent="0.25">
      <c r="A12808" t="s">
        <v>16871</v>
      </c>
      <c r="B12808" s="1" t="str">
        <f>HYPERLINK("https://asmlis.vasa.lt/Dashboard/Served?ServiceDateFrom=2025-11-24&amp;ServiceDateTo=2025-11-24&amp;DumpsterInvNr=13-L-310877", "13-L-310877")</f>
        <v>13-L-310877</v>
      </c>
      <c r="C12808">
        <v>1.1000000000000001</v>
      </c>
      <c r="D12808" t="s">
        <v>3469</v>
      </c>
      <c r="E12808" t="s">
        <v>11</v>
      </c>
      <c r="G12808" t="s">
        <v>9</v>
      </c>
      <c r="H12808" t="s">
        <v>14</v>
      </c>
    </row>
    <row r="12809" spans="1:8" hidden="1" x14ac:dyDescent="0.25">
      <c r="A12809" t="s">
        <v>16872</v>
      </c>
      <c r="B12809" s="1" t="str">
        <f>HYPERLINK("https://asmlis.vasa.lt/Dashboard/Served?ServiceDateFrom=2025-11-24&amp;ServiceDateTo=2025-11-24&amp;DumpsterInvNr=13-P-209582", "13-P-209582")</f>
        <v>13-P-209582</v>
      </c>
      <c r="C12809">
        <v>0.24</v>
      </c>
      <c r="D12809" t="s">
        <v>16873</v>
      </c>
      <c r="E12809" t="s">
        <v>11</v>
      </c>
      <c r="G12809" t="s">
        <v>234</v>
      </c>
      <c r="H12809" t="s">
        <v>14</v>
      </c>
    </row>
    <row r="12810" spans="1:8" hidden="1" x14ac:dyDescent="0.25">
      <c r="A12810" t="s">
        <v>16874</v>
      </c>
      <c r="B12810" s="1" t="str">
        <f>HYPERLINK("https://asmlis.vasa.lt/Dashboard/Served?ServiceDateFrom=2025-11-24&amp;ServiceDateTo=2025-11-24&amp;DumpsterInvNr=13-L-124968", "13-L-124968")</f>
        <v>13-L-124968</v>
      </c>
      <c r="C12810">
        <v>0.12</v>
      </c>
      <c r="D12810" t="s">
        <v>16875</v>
      </c>
      <c r="E12810" t="s">
        <v>11</v>
      </c>
      <c r="G12810" t="s">
        <v>430</v>
      </c>
      <c r="H12810" t="s">
        <v>432</v>
      </c>
    </row>
    <row r="12811" spans="1:8" hidden="1" x14ac:dyDescent="0.25">
      <c r="A12811" t="s">
        <v>16876</v>
      </c>
      <c r="B12811" s="1" t="str">
        <f>HYPERLINK("https://asmlis.vasa.lt/Dashboard/Served?ServiceDateFrom=2025-11-24&amp;ServiceDateTo=2025-11-24&amp;DumpsterInvNr=13-P-501868", "13-P-501868")</f>
        <v>13-P-501868</v>
      </c>
      <c r="C12811">
        <v>0.24</v>
      </c>
      <c r="D12811" t="s">
        <v>16875</v>
      </c>
      <c r="E12811" t="s">
        <v>11</v>
      </c>
      <c r="G12811" t="s">
        <v>2178</v>
      </c>
      <c r="H12811" t="s">
        <v>432</v>
      </c>
    </row>
    <row r="12812" spans="1:8" hidden="1" x14ac:dyDescent="0.25">
      <c r="A12812" t="s">
        <v>16877</v>
      </c>
      <c r="B12812" s="1" t="str">
        <f>HYPERLINK("https://asmlis.vasa.lt/Dashboard/Served?ServiceDateFrom=2025-11-24&amp;ServiceDateTo=2025-11-24&amp;DumpsterInvNr=13-L-137762", "13-L-137762")</f>
        <v>13-L-137762</v>
      </c>
      <c r="C12812">
        <v>5</v>
      </c>
      <c r="D12812" t="s">
        <v>16878</v>
      </c>
      <c r="E12812" t="s">
        <v>11</v>
      </c>
      <c r="F12812" t="s">
        <v>13</v>
      </c>
      <c r="G12812" t="s">
        <v>430</v>
      </c>
      <c r="H12812" t="s">
        <v>432</v>
      </c>
    </row>
    <row r="12813" spans="1:8" hidden="1" x14ac:dyDescent="0.25">
      <c r="A12813" t="s">
        <v>16879</v>
      </c>
      <c r="B12813" s="1" t="str">
        <f>HYPERLINK("https://asmlis.vasa.lt/Dashboard/Served?ServiceDateFrom=2025-11-24&amp;ServiceDateTo=2025-11-24&amp;DumpsterInvNr=13-P-203787", "13-P-203787")</f>
        <v>13-P-203787</v>
      </c>
      <c r="C12813">
        <v>0.24</v>
      </c>
      <c r="D12813" t="s">
        <v>16880</v>
      </c>
      <c r="E12813" t="s">
        <v>11</v>
      </c>
      <c r="G12813" t="s">
        <v>234</v>
      </c>
      <c r="H12813" t="s">
        <v>14</v>
      </c>
    </row>
    <row r="12814" spans="1:8" hidden="1" x14ac:dyDescent="0.25">
      <c r="A12814" t="s">
        <v>16879</v>
      </c>
      <c r="B12814" s="1" t="str">
        <f>HYPERLINK("https://asmlis.vasa.lt/Dashboard/Served?ServiceDateFrom=2025-11-24&amp;ServiceDateTo=2025-11-24&amp;DumpsterInvNr=13-P-209408", "13-P-209408")</f>
        <v>13-P-209408</v>
      </c>
      <c r="C12814">
        <v>0.24</v>
      </c>
      <c r="D12814" t="s">
        <v>16881</v>
      </c>
      <c r="E12814" t="s">
        <v>11</v>
      </c>
      <c r="G12814" t="s">
        <v>234</v>
      </c>
      <c r="H12814" t="s">
        <v>14</v>
      </c>
    </row>
    <row r="12815" spans="1:8" hidden="1" x14ac:dyDescent="0.25">
      <c r="A12815" t="s">
        <v>16882</v>
      </c>
      <c r="B12815" s="1" t="str">
        <f>HYPERLINK("https://asmlis.vasa.lt/Dashboard/Served?ServiceDateFrom=2025-11-24&amp;ServiceDateTo=2025-11-24&amp;DumpsterInvNr=13-L-124969", "13-L-124969")</f>
        <v>13-L-124969</v>
      </c>
      <c r="C12815">
        <v>0.24</v>
      </c>
      <c r="D12815" t="s">
        <v>16883</v>
      </c>
      <c r="E12815" t="s">
        <v>11</v>
      </c>
      <c r="G12815" t="s">
        <v>430</v>
      </c>
      <c r="H12815" t="s">
        <v>432</v>
      </c>
    </row>
    <row r="12816" spans="1:8" hidden="1" x14ac:dyDescent="0.25">
      <c r="A12816" t="s">
        <v>16882</v>
      </c>
      <c r="B12816" s="1" t="str">
        <f>HYPERLINK("https://asmlis.vasa.lt/Dashboard/Served?ServiceDateFrom=2025-11-24&amp;ServiceDateTo=2025-11-24&amp;DumpsterInvNr=13-L-109849", "13-L-109849")</f>
        <v>13-L-109849</v>
      </c>
      <c r="C12816">
        <v>0.24</v>
      </c>
      <c r="D12816" t="s">
        <v>16884</v>
      </c>
      <c r="E12816" t="s">
        <v>11</v>
      </c>
      <c r="G12816" t="s">
        <v>430</v>
      </c>
      <c r="H12816" t="s">
        <v>432</v>
      </c>
    </row>
    <row r="12817" spans="1:8" hidden="1" x14ac:dyDescent="0.25">
      <c r="A12817" t="s">
        <v>16882</v>
      </c>
      <c r="B12817" s="1" t="str">
        <f>HYPERLINK("https://asmlis.vasa.lt/Dashboard/Served?ServiceDateFrom=2025-11-24&amp;ServiceDateTo=2025-11-24&amp;DumpsterInvNr=13-P-502658", "13-P-502658")</f>
        <v>13-P-502658</v>
      </c>
      <c r="C12817">
        <v>0.24</v>
      </c>
      <c r="D12817" t="s">
        <v>16884</v>
      </c>
      <c r="E12817" t="s">
        <v>11</v>
      </c>
      <c r="G12817" t="s">
        <v>2178</v>
      </c>
      <c r="H12817" t="s">
        <v>432</v>
      </c>
    </row>
    <row r="12818" spans="1:8" hidden="1" x14ac:dyDescent="0.25">
      <c r="A12818" t="s">
        <v>16886</v>
      </c>
      <c r="B12818" s="1" t="str">
        <f>HYPERLINK("https://asmlis.vasa.lt/Dashboard/Served?ServiceDateFrom=2025-11-24&amp;ServiceDateTo=2025-11-24&amp;DumpsterInvNr=13-P-209407", "13-P-209407")</f>
        <v>13-P-209407</v>
      </c>
      <c r="C12818">
        <v>0.24</v>
      </c>
      <c r="D12818" t="s">
        <v>16887</v>
      </c>
      <c r="E12818" t="s">
        <v>11</v>
      </c>
      <c r="G12818" t="s">
        <v>234</v>
      </c>
      <c r="H12818" t="s">
        <v>14</v>
      </c>
    </row>
    <row r="12819" spans="1:8" hidden="1" x14ac:dyDescent="0.25">
      <c r="A12819" t="s">
        <v>16888</v>
      </c>
      <c r="B12819" s="1" t="str">
        <f>HYPERLINK("https://asmlis.vasa.lt/Dashboard/Served?ServiceDateFrom=2025-11-24&amp;ServiceDateTo=2025-11-24&amp;DumpsterInvNr=13-P-506675", "13-P-506675")</f>
        <v>13-P-506675</v>
      </c>
      <c r="C12819">
        <v>0.24</v>
      </c>
      <c r="D12819" t="s">
        <v>16883</v>
      </c>
      <c r="E12819" t="s">
        <v>11</v>
      </c>
      <c r="F12819" t="s">
        <v>1209</v>
      </c>
      <c r="G12819" t="s">
        <v>2178</v>
      </c>
      <c r="H12819" t="s">
        <v>432</v>
      </c>
    </row>
    <row r="12820" spans="1:8" hidden="1" x14ac:dyDescent="0.25">
      <c r="A12820" t="s">
        <v>16890</v>
      </c>
      <c r="B12820" s="1" t="str">
        <f>HYPERLINK("https://asmlis.vasa.lt/Dashboard/Served?ServiceDateFrom=2025-11-24&amp;ServiceDateTo=2025-11-24&amp;DumpsterInvNr=13-L-139247", "13-L-139247")</f>
        <v>13-L-139247</v>
      </c>
      <c r="C12820">
        <v>5</v>
      </c>
      <c r="D12820" t="s">
        <v>16891</v>
      </c>
      <c r="E12820" t="s">
        <v>11</v>
      </c>
      <c r="F12820" t="s">
        <v>13</v>
      </c>
      <c r="G12820" t="s">
        <v>430</v>
      </c>
      <c r="H12820" t="s">
        <v>432</v>
      </c>
    </row>
    <row r="12821" spans="1:8" hidden="1" x14ac:dyDescent="0.25">
      <c r="A12821" t="s">
        <v>16892</v>
      </c>
      <c r="B12821" s="1" t="str">
        <f>HYPERLINK("https://asmlis.vasa.lt/Dashboard/Served?ServiceDateFrom=2025-11-24&amp;ServiceDateTo=2025-11-24&amp;DumpsterInvNr=13-P-408962", "13-P-408962")</f>
        <v>13-P-408962</v>
      </c>
      <c r="C12821">
        <v>1.1000000000000001</v>
      </c>
      <c r="D12821" t="s">
        <v>16893</v>
      </c>
      <c r="E12821" t="s">
        <v>11</v>
      </c>
      <c r="G12821" t="s">
        <v>264</v>
      </c>
      <c r="H12821" t="s">
        <v>14</v>
      </c>
    </row>
    <row r="12822" spans="1:8" hidden="1" x14ac:dyDescent="0.25">
      <c r="A12822" t="s">
        <v>16894</v>
      </c>
      <c r="B12822" s="1" t="str">
        <f>HYPERLINK("https://asmlis.vasa.lt/Dashboard/Served?ServiceDateFrom=2025-11-24&amp;ServiceDateTo=2025-11-24&amp;DumpsterInvNr=13-T-000370", "13-T-000370")</f>
        <v>13-T-000370</v>
      </c>
      <c r="C12822">
        <v>2.5</v>
      </c>
      <c r="D12822" t="s">
        <v>16895</v>
      </c>
      <c r="E12822" t="s">
        <v>11</v>
      </c>
      <c r="F12822" t="s">
        <v>13</v>
      </c>
      <c r="G12822" t="s">
        <v>1899</v>
      </c>
      <c r="H12822" t="s">
        <v>432</v>
      </c>
    </row>
    <row r="12823" spans="1:8" hidden="1" x14ac:dyDescent="0.25">
      <c r="A12823" t="s">
        <v>16896</v>
      </c>
      <c r="B12823" s="1" t="str">
        <f>HYPERLINK("https://asmlis.vasa.lt/Dashboard/Served?ServiceDateFrom=2025-11-24&amp;ServiceDateTo=2025-11-24&amp;DumpsterInvNr=13-P-302358", "13-P-302358")</f>
        <v>13-P-302358</v>
      </c>
      <c r="C12823">
        <v>5</v>
      </c>
      <c r="D12823" t="s">
        <v>13005</v>
      </c>
      <c r="E12823" t="s">
        <v>11</v>
      </c>
      <c r="G12823" t="s">
        <v>412</v>
      </c>
      <c r="H12823" t="s">
        <v>14</v>
      </c>
    </row>
    <row r="12824" spans="1:8" hidden="1" x14ac:dyDescent="0.25">
      <c r="A12824" t="s">
        <v>16896</v>
      </c>
      <c r="B12824" s="1" t="str">
        <f>HYPERLINK("https://asmlis.vasa.lt/Dashboard/Served?ServiceDateFrom=2025-11-24&amp;ServiceDateTo=2025-11-24&amp;DumpsterInvNr=13-L-124970", "13-L-124970")</f>
        <v>13-L-124970</v>
      </c>
      <c r="C12824">
        <v>0.12</v>
      </c>
      <c r="D12824" t="s">
        <v>16897</v>
      </c>
      <c r="E12824" t="s">
        <v>11</v>
      </c>
      <c r="G12824" t="s">
        <v>430</v>
      </c>
      <c r="H12824" t="s">
        <v>432</v>
      </c>
    </row>
    <row r="12825" spans="1:8" hidden="1" x14ac:dyDescent="0.25">
      <c r="A12825" t="s">
        <v>16898</v>
      </c>
      <c r="B12825" s="1" t="str">
        <f>HYPERLINK("https://asmlis.vasa.lt/Dashboard/Served?ServiceDateFrom=2025-11-24&amp;ServiceDateTo=2025-11-24&amp;DumpsterInvNr=13-L-305491", "13-L-305491")</f>
        <v>13-L-305491</v>
      </c>
      <c r="C12825">
        <v>5</v>
      </c>
      <c r="D12825" t="s">
        <v>16899</v>
      </c>
      <c r="E12825" t="s">
        <v>11</v>
      </c>
      <c r="G12825" t="s">
        <v>9</v>
      </c>
      <c r="H12825" t="s">
        <v>14</v>
      </c>
    </row>
    <row r="12826" spans="1:8" hidden="1" x14ac:dyDescent="0.25">
      <c r="A12826" t="s">
        <v>16900</v>
      </c>
      <c r="B12826" s="1" t="str">
        <f>HYPERLINK("https://asmlis.vasa.lt/Dashboard/Served?ServiceDateFrom=2025-11-24&amp;ServiceDateTo=2025-11-24&amp;DumpsterInvNr=13-L-407197", "13-L-407197")</f>
        <v>13-L-407197</v>
      </c>
      <c r="C12826">
        <v>3</v>
      </c>
      <c r="D12826" t="s">
        <v>12132</v>
      </c>
      <c r="E12826" t="s">
        <v>11</v>
      </c>
      <c r="F12826" t="s">
        <v>13</v>
      </c>
      <c r="G12826" t="s">
        <v>74</v>
      </c>
      <c r="H12826" t="s">
        <v>14</v>
      </c>
    </row>
    <row r="12827" spans="1:8" hidden="1" x14ac:dyDescent="0.25">
      <c r="A12827" t="s">
        <v>16901</v>
      </c>
      <c r="B12827" s="1" t="str">
        <f>HYPERLINK("https://asmlis.vasa.lt/Dashboard/Served?ServiceDateFrom=2025-11-24&amp;ServiceDateTo=2025-11-24&amp;DumpsterInvNr=13-P-502679", "13-P-502679")</f>
        <v>13-P-502679</v>
      </c>
      <c r="C12827">
        <v>0.24</v>
      </c>
      <c r="D12827" t="s">
        <v>16897</v>
      </c>
      <c r="E12827" t="s">
        <v>11</v>
      </c>
      <c r="F12827" t="s">
        <v>1209</v>
      </c>
      <c r="G12827" t="s">
        <v>2178</v>
      </c>
      <c r="H12827" t="s">
        <v>432</v>
      </c>
    </row>
    <row r="12828" spans="1:8" hidden="1" x14ac:dyDescent="0.25">
      <c r="A12828" t="s">
        <v>16902</v>
      </c>
      <c r="B12828" s="1" t="str">
        <f>HYPERLINK("https://asmlis.vasa.lt/Dashboard/Served?ServiceDateFrom=2025-11-24&amp;ServiceDateTo=2025-11-24&amp;DumpsterInvNr=13-L-112479", "13-L-112479")</f>
        <v>13-L-112479</v>
      </c>
      <c r="C12828">
        <v>0.12</v>
      </c>
      <c r="D12828" t="s">
        <v>16903</v>
      </c>
      <c r="E12828" t="s">
        <v>11</v>
      </c>
      <c r="F12828" t="s">
        <v>1209</v>
      </c>
      <c r="G12828" t="s">
        <v>1912</v>
      </c>
      <c r="H12828" t="s">
        <v>432</v>
      </c>
    </row>
    <row r="12829" spans="1:8" hidden="1" x14ac:dyDescent="0.25">
      <c r="A12829" t="s">
        <v>16904</v>
      </c>
      <c r="B12829" s="1" t="str">
        <f>HYPERLINK("https://asmlis.vasa.lt/Dashboard/Served?ServiceDateFrom=2025-11-24&amp;ServiceDateTo=2025-11-24&amp;DumpsterInvNr=13-P-210137", "13-P-210137")</f>
        <v>13-P-210137</v>
      </c>
      <c r="C12829">
        <v>0.24</v>
      </c>
      <c r="D12829" t="s">
        <v>16905</v>
      </c>
      <c r="E12829" t="s">
        <v>11</v>
      </c>
      <c r="G12829" t="s">
        <v>234</v>
      </c>
      <c r="H12829" t="s">
        <v>14</v>
      </c>
    </row>
    <row r="12830" spans="1:8" hidden="1" x14ac:dyDescent="0.25">
      <c r="A12830" t="s">
        <v>16906</v>
      </c>
      <c r="B12830" s="1" t="str">
        <f>HYPERLINK("https://asmlis.vasa.lt/Dashboard/Served?ServiceDateFrom=2025-11-24&amp;ServiceDateTo=2025-11-24&amp;DumpsterInvNr=13-P-506754", "13-P-506754")</f>
        <v>13-P-506754</v>
      </c>
      <c r="C12830">
        <v>0.24</v>
      </c>
      <c r="D12830" t="s">
        <v>16907</v>
      </c>
      <c r="E12830" t="s">
        <v>11</v>
      </c>
      <c r="G12830" t="s">
        <v>2178</v>
      </c>
      <c r="H12830" t="s">
        <v>432</v>
      </c>
    </row>
    <row r="12831" spans="1:8" hidden="1" x14ac:dyDescent="0.25">
      <c r="A12831" t="s">
        <v>16908</v>
      </c>
      <c r="B12831" s="1" t="str">
        <f>HYPERLINK("https://asmlis.vasa.lt/Dashboard/Served?ServiceDateFrom=2025-11-24&amp;ServiceDateTo=2025-11-24&amp;DumpsterInvNr=13-L-131829", "13-L-131829")</f>
        <v>13-L-131829</v>
      </c>
      <c r="C12831">
        <v>0.24</v>
      </c>
      <c r="D12831" t="s">
        <v>16909</v>
      </c>
      <c r="E12831" t="s">
        <v>11</v>
      </c>
      <c r="G12831" t="s">
        <v>430</v>
      </c>
      <c r="H12831" t="s">
        <v>432</v>
      </c>
    </row>
    <row r="12832" spans="1:8" hidden="1" x14ac:dyDescent="0.25">
      <c r="A12832" t="s">
        <v>16910</v>
      </c>
      <c r="B12832" s="1" t="str">
        <f>HYPERLINK("https://asmlis.vasa.lt/Dashboard/Served?ServiceDateFrom=2025-11-24&amp;ServiceDateTo=2025-11-24&amp;DumpsterInvNr=13-P-115978", "13-P-115978")</f>
        <v>13-P-115978</v>
      </c>
      <c r="C12832">
        <v>1.1000000000000001</v>
      </c>
      <c r="D12832" t="s">
        <v>8289</v>
      </c>
      <c r="E12832" t="s">
        <v>11</v>
      </c>
      <c r="G12832" t="s">
        <v>1917</v>
      </c>
      <c r="H12832" t="s">
        <v>432</v>
      </c>
    </row>
    <row r="12833" spans="1:8" hidden="1" x14ac:dyDescent="0.25">
      <c r="A12833" t="s">
        <v>16911</v>
      </c>
      <c r="B12833" s="1" t="str">
        <f>HYPERLINK("https://asmlis.vasa.lt/Dashboard/Served?ServiceDateFrom=2025-11-24&amp;ServiceDateTo=2025-11-24&amp;DumpsterInvNr=13-L-147472", "13-L-147472")</f>
        <v>13-L-147472</v>
      </c>
      <c r="C12833">
        <v>5</v>
      </c>
      <c r="D12833" t="s">
        <v>16912</v>
      </c>
      <c r="E12833" t="s">
        <v>11</v>
      </c>
      <c r="F12833" t="s">
        <v>13</v>
      </c>
      <c r="G12833" t="s">
        <v>430</v>
      </c>
      <c r="H12833" t="s">
        <v>432</v>
      </c>
    </row>
    <row r="12834" spans="1:8" hidden="1" x14ac:dyDescent="0.25">
      <c r="A12834" t="s">
        <v>16914</v>
      </c>
      <c r="B12834" s="1" t="str">
        <f>HYPERLINK("https://asmlis.vasa.lt/Dashboard/Served?ServiceDateFrom=2025-11-24&amp;ServiceDateTo=2025-11-24&amp;DumpsterInvNr=13-P-203788", "13-P-203788")</f>
        <v>13-P-203788</v>
      </c>
      <c r="C12834">
        <v>0.24</v>
      </c>
      <c r="D12834" t="s">
        <v>16915</v>
      </c>
      <c r="E12834" t="s">
        <v>11</v>
      </c>
      <c r="G12834" t="s">
        <v>234</v>
      </c>
      <c r="H12834" t="s">
        <v>14</v>
      </c>
    </row>
    <row r="12835" spans="1:8" hidden="1" x14ac:dyDescent="0.25">
      <c r="A12835" t="s">
        <v>16916</v>
      </c>
      <c r="B12835" s="1" t="str">
        <f>HYPERLINK("https://asmlis.vasa.lt/Dashboard/Served?ServiceDateFrom=2025-11-24&amp;ServiceDateTo=2025-11-24&amp;DumpsterInvNr=13-P-209484", "13-P-209484")</f>
        <v>13-P-209484</v>
      </c>
      <c r="C12835">
        <v>0.24</v>
      </c>
      <c r="D12835" t="s">
        <v>16917</v>
      </c>
      <c r="E12835" t="s">
        <v>11</v>
      </c>
      <c r="F12835" t="s">
        <v>1209</v>
      </c>
      <c r="G12835" t="s">
        <v>234</v>
      </c>
      <c r="H12835" t="s">
        <v>14</v>
      </c>
    </row>
    <row r="12836" spans="1:8" hidden="1" x14ac:dyDescent="0.25">
      <c r="A12836" t="s">
        <v>16918</v>
      </c>
      <c r="B12836" s="1" t="str">
        <f>HYPERLINK("https://asmlis.vasa.lt/Dashboard/Served?ServiceDateFrom=2025-11-24&amp;ServiceDateTo=2025-11-24&amp;DumpsterInvNr=13-L-139846", "13-L-139846")</f>
        <v>13-L-139846</v>
      </c>
      <c r="C12836">
        <v>5</v>
      </c>
      <c r="D12836" t="s">
        <v>16919</v>
      </c>
      <c r="E12836" t="s">
        <v>11</v>
      </c>
      <c r="F12836" t="s">
        <v>13</v>
      </c>
      <c r="G12836" t="s">
        <v>430</v>
      </c>
      <c r="H12836" t="s">
        <v>432</v>
      </c>
    </row>
    <row r="12837" spans="1:8" hidden="1" x14ac:dyDescent="0.25">
      <c r="A12837" t="s">
        <v>16920</v>
      </c>
      <c r="B12837" s="1" t="str">
        <f>HYPERLINK("https://asmlis.vasa.lt/Dashboard/Served?ServiceDateFrom=2025-11-24&amp;ServiceDateTo=2025-11-24&amp;DumpsterInvNr=13-P-502328", "13-P-502328")</f>
        <v>13-P-502328</v>
      </c>
      <c r="C12837">
        <v>0.24</v>
      </c>
      <c r="D12837" t="s">
        <v>16921</v>
      </c>
      <c r="E12837" t="s">
        <v>11</v>
      </c>
      <c r="G12837" t="s">
        <v>2178</v>
      </c>
      <c r="H12837" t="s">
        <v>432</v>
      </c>
    </row>
    <row r="12838" spans="1:8" hidden="1" x14ac:dyDescent="0.25">
      <c r="A12838" t="s">
        <v>16922</v>
      </c>
      <c r="B12838" s="1" t="str">
        <f>HYPERLINK("https://asmlis.vasa.lt/Dashboard/Served?ServiceDateFrom=2025-11-24&amp;ServiceDateTo=2025-11-24&amp;DumpsterInvNr=13-L-124971", "13-L-124971")</f>
        <v>13-L-124971</v>
      </c>
      <c r="C12838">
        <v>0.24</v>
      </c>
      <c r="D12838" t="s">
        <v>16921</v>
      </c>
      <c r="E12838" t="s">
        <v>11</v>
      </c>
      <c r="G12838" t="s">
        <v>430</v>
      </c>
      <c r="H12838" t="s">
        <v>432</v>
      </c>
    </row>
    <row r="12839" spans="1:8" hidden="1" x14ac:dyDescent="0.25">
      <c r="A12839" t="s">
        <v>16923</v>
      </c>
      <c r="B12839" s="1" t="str">
        <f>HYPERLINK("https://asmlis.vasa.lt/Dashboard/Served?ServiceDateFrom=2025-11-24&amp;ServiceDateTo=2025-11-24&amp;DumpsterInvNr=13-P-209557", "13-P-209557")</f>
        <v>13-P-209557</v>
      </c>
      <c r="C12839">
        <v>0.24</v>
      </c>
      <c r="D12839" t="s">
        <v>16924</v>
      </c>
      <c r="E12839" t="s">
        <v>11</v>
      </c>
      <c r="F12839" t="s">
        <v>1209</v>
      </c>
      <c r="G12839" t="s">
        <v>234</v>
      </c>
      <c r="H12839" t="s">
        <v>14</v>
      </c>
    </row>
    <row r="12840" spans="1:8" hidden="1" x14ac:dyDescent="0.25">
      <c r="A12840" t="s">
        <v>16925</v>
      </c>
      <c r="B12840" s="1" t="str">
        <f>HYPERLINK("https://asmlis.vasa.lt/Dashboard/Served?ServiceDateFrom=2025-11-24&amp;ServiceDateTo=2025-11-24&amp;DumpsterInvNr=13-L-137384", "13-L-137384")</f>
        <v>13-L-137384</v>
      </c>
      <c r="C12840">
        <v>0.24</v>
      </c>
      <c r="D12840" t="s">
        <v>16926</v>
      </c>
      <c r="E12840" t="s">
        <v>11</v>
      </c>
      <c r="G12840" t="s">
        <v>1912</v>
      </c>
      <c r="H12840" t="s">
        <v>432</v>
      </c>
    </row>
    <row r="12841" spans="1:8" hidden="1" x14ac:dyDescent="0.25">
      <c r="A12841" t="s">
        <v>16927</v>
      </c>
      <c r="B12841" s="1" t="str">
        <f>HYPERLINK("https://asmlis.vasa.lt/Dashboard/Served?ServiceDateFrom=2025-11-24&amp;ServiceDateTo=2025-11-24&amp;DumpsterInvNr=13-L-110364", "13-L-110364")</f>
        <v>13-L-110364</v>
      </c>
      <c r="C12841">
        <v>0.24</v>
      </c>
      <c r="D12841" t="s">
        <v>16928</v>
      </c>
      <c r="E12841" t="s">
        <v>11</v>
      </c>
      <c r="G12841" t="s">
        <v>430</v>
      </c>
      <c r="H12841" t="s">
        <v>432</v>
      </c>
    </row>
    <row r="12842" spans="1:8" hidden="1" x14ac:dyDescent="0.25">
      <c r="A12842" t="s">
        <v>16927</v>
      </c>
      <c r="B12842" s="1" t="str">
        <f>HYPERLINK("https://asmlis.vasa.lt/Dashboard/Served?ServiceDateFrom=2025-11-24&amp;ServiceDateTo=2025-11-24&amp;DumpsterInvNr=13-P-502676", "13-P-502676")</f>
        <v>13-P-502676</v>
      </c>
      <c r="C12842">
        <v>0.24</v>
      </c>
      <c r="D12842" t="s">
        <v>16928</v>
      </c>
      <c r="E12842" t="s">
        <v>11</v>
      </c>
      <c r="G12842" t="s">
        <v>2178</v>
      </c>
      <c r="H12842" t="s">
        <v>432</v>
      </c>
    </row>
    <row r="12843" spans="1:8" hidden="1" x14ac:dyDescent="0.25">
      <c r="A12843" t="s">
        <v>16929</v>
      </c>
      <c r="B12843" s="1" t="str">
        <f>HYPERLINK("https://asmlis.vasa.lt/Dashboard/Served?ServiceDateFrom=2025-11-24&amp;ServiceDateTo=2025-11-24&amp;DumpsterInvNr=13-P-409158", "13-P-409158")</f>
        <v>13-P-409158</v>
      </c>
      <c r="C12843">
        <v>1.1000000000000001</v>
      </c>
      <c r="D12843" t="s">
        <v>16930</v>
      </c>
      <c r="E12843" t="s">
        <v>11</v>
      </c>
      <c r="G12843" t="s">
        <v>264</v>
      </c>
      <c r="H12843" t="s">
        <v>14</v>
      </c>
    </row>
    <row r="12844" spans="1:8" hidden="1" x14ac:dyDescent="0.25">
      <c r="A12844" t="s">
        <v>16931</v>
      </c>
      <c r="B12844" s="1" t="str">
        <f>HYPERLINK("https://asmlis.vasa.lt/Dashboard/Served?ServiceDateFrom=2025-11-24&amp;ServiceDateTo=2025-11-24&amp;DumpsterInvNr=13-L-141779", "13-L-141779")</f>
        <v>13-L-141779</v>
      </c>
      <c r="C12844">
        <v>0.24</v>
      </c>
      <c r="D12844" t="s">
        <v>16932</v>
      </c>
      <c r="E12844" t="s">
        <v>11</v>
      </c>
      <c r="F12844" t="s">
        <v>1209</v>
      </c>
      <c r="G12844" t="s">
        <v>1912</v>
      </c>
      <c r="H12844" t="s">
        <v>432</v>
      </c>
    </row>
    <row r="12845" spans="1:8" hidden="1" x14ac:dyDescent="0.25">
      <c r="A12845" t="s">
        <v>16933</v>
      </c>
      <c r="B12845" s="1" t="str">
        <f>HYPERLINK("https://asmlis.vasa.lt/Dashboard/Served?ServiceDateFrom=2025-11-24&amp;ServiceDateTo=2025-11-24&amp;DumpsterInvNr=13-L-113078", "13-L-113078")</f>
        <v>13-L-113078</v>
      </c>
      <c r="C12845">
        <v>0.24</v>
      </c>
      <c r="D12845" t="s">
        <v>16934</v>
      </c>
      <c r="E12845" t="s">
        <v>11</v>
      </c>
      <c r="G12845" t="s">
        <v>430</v>
      </c>
      <c r="H12845" t="s">
        <v>432</v>
      </c>
    </row>
    <row r="12846" spans="1:8" hidden="1" x14ac:dyDescent="0.25">
      <c r="A12846" t="s">
        <v>16935</v>
      </c>
      <c r="B12846" s="1" t="str">
        <f>HYPERLINK("https://asmlis.vasa.lt/Dashboard/Served?ServiceDateFrom=2025-11-24&amp;ServiceDateTo=2025-11-24&amp;DumpsterInvNr=13-P-504880", "13-P-504880")</f>
        <v>13-P-504880</v>
      </c>
      <c r="C12846">
        <v>5</v>
      </c>
      <c r="D12846" t="s">
        <v>16936</v>
      </c>
      <c r="E12846" t="s">
        <v>11</v>
      </c>
      <c r="F12846" t="s">
        <v>13</v>
      </c>
      <c r="G12846" t="s">
        <v>2178</v>
      </c>
      <c r="H12846" t="s">
        <v>432</v>
      </c>
    </row>
    <row r="12847" spans="1:8" hidden="1" x14ac:dyDescent="0.25">
      <c r="A12847" t="s">
        <v>16937</v>
      </c>
      <c r="B12847" s="1" t="str">
        <f>HYPERLINK("https://asmlis.vasa.lt/Dashboard/Served?ServiceDateFrom=2025-11-24&amp;ServiceDateTo=2025-11-24&amp;DumpsterInvNr=13-S-207846", "13-S-207846")</f>
        <v>13-S-207846</v>
      </c>
      <c r="C12847">
        <v>3</v>
      </c>
      <c r="D12847" t="s">
        <v>2248</v>
      </c>
      <c r="E12847" t="s">
        <v>11</v>
      </c>
      <c r="F12847" t="s">
        <v>13</v>
      </c>
      <c r="G12847" t="s">
        <v>234</v>
      </c>
      <c r="H12847" t="s">
        <v>14</v>
      </c>
    </row>
    <row r="12848" spans="1:8" hidden="1" x14ac:dyDescent="0.25">
      <c r="A12848" t="s">
        <v>16938</v>
      </c>
      <c r="B12848" s="1" t="str">
        <f>HYPERLINK("https://asmlis.vasa.lt/Dashboard/Served?ServiceDateFrom=2025-11-24&amp;ServiceDateTo=2025-11-24&amp;DumpsterInvNr=13-P-402032", "13-P-402032")</f>
        <v>13-P-402032</v>
      </c>
      <c r="C12848">
        <v>1.1000000000000001</v>
      </c>
      <c r="D12848" t="s">
        <v>16939</v>
      </c>
      <c r="E12848" t="s">
        <v>11</v>
      </c>
      <c r="F12848" t="s">
        <v>13</v>
      </c>
      <c r="G12848" t="s">
        <v>264</v>
      </c>
      <c r="H12848" t="s">
        <v>14</v>
      </c>
    </row>
    <row r="12849" spans="1:8" hidden="1" x14ac:dyDescent="0.25">
      <c r="A12849" t="s">
        <v>16940</v>
      </c>
      <c r="B12849" s="1" t="str">
        <f>HYPERLINK("https://asmlis.vasa.lt/Dashboard/Served?ServiceDateFrom=2025-11-24&amp;ServiceDateTo=2025-11-24&amp;DumpsterInvNr=13-P-402039", "13-P-402039")</f>
        <v>13-P-402039</v>
      </c>
      <c r="C12849">
        <v>1.1000000000000001</v>
      </c>
      <c r="D12849" t="s">
        <v>16939</v>
      </c>
      <c r="E12849" t="s">
        <v>11</v>
      </c>
      <c r="F12849" t="s">
        <v>13</v>
      </c>
      <c r="G12849" t="s">
        <v>264</v>
      </c>
      <c r="H12849" t="s">
        <v>14</v>
      </c>
    </row>
    <row r="12850" spans="1:8" hidden="1" x14ac:dyDescent="0.25">
      <c r="A12850" t="s">
        <v>16941</v>
      </c>
      <c r="B12850" s="1" t="str">
        <f>HYPERLINK("https://asmlis.vasa.lt/Dashboard/Served?ServiceDateFrom=2025-11-24&amp;ServiceDateTo=2025-11-24&amp;DumpsterInvNr=13-L-315160", "13-L-315160")</f>
        <v>13-L-315160</v>
      </c>
      <c r="C12850">
        <v>1.1000000000000001</v>
      </c>
      <c r="D12850" t="s">
        <v>4485</v>
      </c>
      <c r="E12850" t="s">
        <v>11</v>
      </c>
      <c r="G12850" t="s">
        <v>9</v>
      </c>
      <c r="H12850" t="s">
        <v>14</v>
      </c>
    </row>
    <row r="12851" spans="1:8" hidden="1" x14ac:dyDescent="0.25">
      <c r="A12851" t="s">
        <v>16942</v>
      </c>
      <c r="B12851" s="1" t="str">
        <f>HYPERLINK("https://asmlis.vasa.lt/Dashboard/Served?ServiceDateFrom=2025-11-24&amp;ServiceDateTo=2025-11-24&amp;DumpsterInvNr=13-L-113463", "13-L-113463")</f>
        <v>13-L-113463</v>
      </c>
      <c r="C12851">
        <v>0.24</v>
      </c>
      <c r="D12851" t="s">
        <v>16934</v>
      </c>
      <c r="E12851" t="s">
        <v>11</v>
      </c>
      <c r="G12851" t="s">
        <v>430</v>
      </c>
      <c r="H12851" t="s">
        <v>432</v>
      </c>
    </row>
    <row r="12852" spans="1:8" hidden="1" x14ac:dyDescent="0.25">
      <c r="A12852" t="s">
        <v>16943</v>
      </c>
      <c r="B12852" s="1" t="str">
        <f>HYPERLINK("https://asmlis.vasa.lt/Dashboard/Served?ServiceDateFrom=2025-11-24&amp;ServiceDateTo=2025-11-24&amp;DumpsterInvNr=13-P-209421", "13-P-209421")</f>
        <v>13-P-209421</v>
      </c>
      <c r="C12852">
        <v>0.24</v>
      </c>
      <c r="D12852" t="s">
        <v>16944</v>
      </c>
      <c r="E12852" t="s">
        <v>11</v>
      </c>
      <c r="G12852" t="s">
        <v>234</v>
      </c>
      <c r="H12852" t="s">
        <v>14</v>
      </c>
    </row>
    <row r="12853" spans="1:8" hidden="1" x14ac:dyDescent="0.25">
      <c r="A12853" t="s">
        <v>16945</v>
      </c>
      <c r="B12853" s="1" t="str">
        <f>HYPERLINK("https://asmlis.vasa.lt/Dashboard/Served?ServiceDateFrom=2025-11-24&amp;ServiceDateTo=2025-11-24&amp;DumpsterInvNr=13-L-315157", "13-L-315157")</f>
        <v>13-L-315157</v>
      </c>
      <c r="C12853">
        <v>1.1000000000000001</v>
      </c>
      <c r="D12853" t="s">
        <v>4485</v>
      </c>
      <c r="E12853" t="s">
        <v>11</v>
      </c>
      <c r="G12853" t="s">
        <v>9</v>
      </c>
      <c r="H12853" t="s">
        <v>14</v>
      </c>
    </row>
    <row r="12854" spans="1:8" hidden="1" x14ac:dyDescent="0.25">
      <c r="A12854" t="s">
        <v>16807</v>
      </c>
      <c r="B12854" s="1" t="str">
        <f>HYPERLINK("https://asmlis.vasa.lt/Dashboard/Served?ServiceDateFrom=2025-11-24&amp;ServiceDateTo=2025-11-24&amp;DumpsterInvNr=13-L-118396", "13-L-118396")</f>
        <v>13-L-118396</v>
      </c>
      <c r="C12854">
        <v>5</v>
      </c>
      <c r="D12854" t="s">
        <v>12917</v>
      </c>
      <c r="E12854" t="s">
        <v>11</v>
      </c>
      <c r="F12854" t="s">
        <v>13</v>
      </c>
      <c r="G12854" t="s">
        <v>1912</v>
      </c>
      <c r="H12854" t="s">
        <v>432</v>
      </c>
    </row>
    <row r="12855" spans="1:8" hidden="1" x14ac:dyDescent="0.25">
      <c r="A12855" t="s">
        <v>16946</v>
      </c>
      <c r="B12855" s="1" t="str">
        <f>HYPERLINK("https://asmlis.vasa.lt/Dashboard/Served?ServiceDateFrom=2025-11-24&amp;ServiceDateTo=2025-11-24&amp;DumpsterInvNr=13-P-106598", "13-P-106598")</f>
        <v>13-P-106598</v>
      </c>
      <c r="C12855">
        <v>0.77</v>
      </c>
      <c r="D12855" t="s">
        <v>16947</v>
      </c>
      <c r="E12855" t="s">
        <v>11</v>
      </c>
      <c r="G12855" t="s">
        <v>1917</v>
      </c>
      <c r="H12855" t="s">
        <v>432</v>
      </c>
    </row>
    <row r="12856" spans="1:8" hidden="1" x14ac:dyDescent="0.25">
      <c r="A12856" t="s">
        <v>16948</v>
      </c>
      <c r="B12856" s="1" t="str">
        <f>HYPERLINK("https://asmlis.vasa.lt/Dashboard/Served?ServiceDateFrom=2025-11-24&amp;ServiceDateTo=2025-11-24&amp;DumpsterInvNr=13-L-315159", "13-L-315159")</f>
        <v>13-L-315159</v>
      </c>
      <c r="C12856">
        <v>1.1000000000000001</v>
      </c>
      <c r="D12856" t="s">
        <v>4485</v>
      </c>
      <c r="E12856" t="s">
        <v>11</v>
      </c>
      <c r="G12856" t="s">
        <v>9</v>
      </c>
      <c r="H12856" t="s">
        <v>14</v>
      </c>
    </row>
    <row r="12857" spans="1:8" hidden="1" x14ac:dyDescent="0.25">
      <c r="A12857" t="s">
        <v>16948</v>
      </c>
      <c r="B12857" s="1" t="str">
        <f>HYPERLINK("https://asmlis.vasa.lt/Dashboard/Served?ServiceDateFrom=2025-11-24&amp;ServiceDateTo=2025-11-24&amp;DumpsterInvNr=13-L-316895", "13-L-316895")</f>
        <v>13-L-316895</v>
      </c>
      <c r="C12857">
        <v>1.1000000000000001</v>
      </c>
      <c r="D12857" t="s">
        <v>4485</v>
      </c>
      <c r="E12857" t="s">
        <v>11</v>
      </c>
      <c r="G12857" t="s">
        <v>9</v>
      </c>
      <c r="H12857" t="s">
        <v>14</v>
      </c>
    </row>
    <row r="12858" spans="1:8" hidden="1" x14ac:dyDescent="0.25">
      <c r="A12858" t="s">
        <v>16949</v>
      </c>
      <c r="B12858" s="1" t="str">
        <f>HYPERLINK("https://asmlis.vasa.lt/Dashboard/Served?ServiceDateFrom=2025-11-24&amp;ServiceDateTo=2025-11-24&amp;DumpsterInvNr=13-L-139845", "13-L-139845")</f>
        <v>13-L-139845</v>
      </c>
      <c r="C12858">
        <v>5</v>
      </c>
      <c r="D12858" t="s">
        <v>16950</v>
      </c>
      <c r="E12858" t="s">
        <v>11</v>
      </c>
      <c r="F12858" t="s">
        <v>13</v>
      </c>
      <c r="G12858" t="s">
        <v>430</v>
      </c>
      <c r="H12858" t="s">
        <v>432</v>
      </c>
    </row>
    <row r="12859" spans="1:8" hidden="1" x14ac:dyDescent="0.25">
      <c r="A12859" t="s">
        <v>16951</v>
      </c>
      <c r="B12859" s="1" t="str">
        <f>HYPERLINK("https://asmlis.vasa.lt/Dashboard/Served?ServiceDateFrom=2025-11-24&amp;ServiceDateTo=2025-11-24&amp;DumpsterInvNr=13-L-121222", "13-L-121222")</f>
        <v>13-L-121222</v>
      </c>
      <c r="C12859">
        <v>0.24</v>
      </c>
      <c r="D12859" t="s">
        <v>16952</v>
      </c>
      <c r="E12859" t="s">
        <v>11</v>
      </c>
      <c r="F12859" t="s">
        <v>1209</v>
      </c>
      <c r="G12859" t="s">
        <v>1912</v>
      </c>
      <c r="H12859" t="s">
        <v>432</v>
      </c>
    </row>
    <row r="12860" spans="1:8" hidden="1" x14ac:dyDescent="0.25">
      <c r="A12860" t="s">
        <v>16951</v>
      </c>
      <c r="B12860" s="1" t="str">
        <f>HYPERLINK("https://asmlis.vasa.lt/Dashboard/Served?ServiceDateFrom=2025-11-24&amp;ServiceDateTo=2025-11-24&amp;DumpsterInvNr=13-P-508437", "13-P-508437")</f>
        <v>13-P-508437</v>
      </c>
      <c r="C12860">
        <v>0.24</v>
      </c>
      <c r="D12860" t="s">
        <v>16953</v>
      </c>
      <c r="E12860" t="s">
        <v>11</v>
      </c>
      <c r="G12860" t="s">
        <v>2178</v>
      </c>
      <c r="H12860" t="s">
        <v>432</v>
      </c>
    </row>
    <row r="12861" spans="1:8" hidden="1" x14ac:dyDescent="0.25">
      <c r="A12861" t="s">
        <v>16954</v>
      </c>
      <c r="B12861" s="1" t="str">
        <f>HYPERLINK("https://asmlis.vasa.lt/Dashboard/Served?ServiceDateFrom=2025-11-24&amp;ServiceDateTo=2025-11-24&amp;DumpsterInvNr=13-L-109835", "13-L-109835")</f>
        <v>13-L-109835</v>
      </c>
      <c r="C12861">
        <v>0.12</v>
      </c>
      <c r="D12861" t="s">
        <v>16953</v>
      </c>
      <c r="E12861" t="s">
        <v>11</v>
      </c>
      <c r="G12861" t="s">
        <v>430</v>
      </c>
      <c r="H12861" t="s">
        <v>432</v>
      </c>
    </row>
    <row r="12862" spans="1:8" hidden="1" x14ac:dyDescent="0.25">
      <c r="A12862" t="s">
        <v>16954</v>
      </c>
      <c r="B12862" s="1" t="str">
        <f>HYPERLINK("https://asmlis.vasa.lt/Dashboard/Served?ServiceDateFrom=2025-11-24&amp;ServiceDateTo=2025-11-24&amp;DumpsterInvNr=13-P-208702", "13-P-208702")</f>
        <v>13-P-208702</v>
      </c>
      <c r="C12862">
        <v>0.24</v>
      </c>
      <c r="D12862" t="s">
        <v>16955</v>
      </c>
      <c r="E12862" t="s">
        <v>11</v>
      </c>
      <c r="G12862" t="s">
        <v>234</v>
      </c>
      <c r="H12862" t="s">
        <v>14</v>
      </c>
    </row>
    <row r="12863" spans="1:8" hidden="1" x14ac:dyDescent="0.25">
      <c r="A12863" t="s">
        <v>16956</v>
      </c>
      <c r="B12863" s="1" t="str">
        <f>HYPERLINK("https://asmlis.vasa.lt/Dashboard/Served?ServiceDateFrom=2025-11-24&amp;ServiceDateTo=2025-11-24&amp;DumpsterInvNr=13-L-110935", "13-L-110935")</f>
        <v>13-L-110935</v>
      </c>
      <c r="C12863">
        <v>0.12</v>
      </c>
      <c r="D12863" t="s">
        <v>16957</v>
      </c>
      <c r="E12863" t="s">
        <v>11</v>
      </c>
      <c r="F12863" t="s">
        <v>1209</v>
      </c>
      <c r="G12863" t="s">
        <v>430</v>
      </c>
      <c r="H12863" t="s">
        <v>432</v>
      </c>
    </row>
    <row r="12864" spans="1:8" hidden="1" x14ac:dyDescent="0.25">
      <c r="A12864" t="s">
        <v>16958</v>
      </c>
      <c r="B12864" s="1" t="str">
        <f>HYPERLINK("https://asmlis.vasa.lt/Dashboard/Served?ServiceDateFrom=2025-11-24&amp;ServiceDateTo=2025-11-24&amp;DumpsterInvNr=13-L-144801", "13-L-144801")</f>
        <v>13-L-144801</v>
      </c>
      <c r="C12864">
        <v>5</v>
      </c>
      <c r="D12864" t="s">
        <v>16959</v>
      </c>
      <c r="E12864" t="s">
        <v>11</v>
      </c>
      <c r="F12864" t="s">
        <v>13</v>
      </c>
      <c r="G12864" t="s">
        <v>430</v>
      </c>
      <c r="H12864" t="s">
        <v>432</v>
      </c>
    </row>
    <row r="12865" spans="1:8" hidden="1" x14ac:dyDescent="0.25">
      <c r="A12865" t="s">
        <v>16960</v>
      </c>
      <c r="B12865" s="1" t="str">
        <f>HYPERLINK("https://asmlis.vasa.lt/Dashboard/Served?ServiceDateFrom=2025-11-24&amp;ServiceDateTo=2025-11-24&amp;DumpsterInvNr=13-P-305415", "13-P-305415")</f>
        <v>13-P-305415</v>
      </c>
      <c r="C12865">
        <v>5</v>
      </c>
      <c r="D12865" t="s">
        <v>356</v>
      </c>
      <c r="E12865" t="s">
        <v>11</v>
      </c>
      <c r="G12865" t="s">
        <v>412</v>
      </c>
      <c r="H12865" t="s">
        <v>14</v>
      </c>
    </row>
    <row r="12866" spans="1:8" hidden="1" x14ac:dyDescent="0.25">
      <c r="A12866" t="s">
        <v>16961</v>
      </c>
      <c r="B12866" s="1" t="str">
        <f>HYPERLINK("https://asmlis.vasa.lt/Dashboard/Served?ServiceDateFrom=2025-11-24&amp;ServiceDateTo=2025-11-24&amp;DumpsterInvNr=13-L-120349", "13-L-120349")</f>
        <v>13-L-120349</v>
      </c>
      <c r="C12866">
        <v>0.24</v>
      </c>
      <c r="D12866" t="s">
        <v>16962</v>
      </c>
      <c r="E12866" t="s">
        <v>11</v>
      </c>
      <c r="G12866" t="s">
        <v>1912</v>
      </c>
      <c r="H12866" t="s">
        <v>432</v>
      </c>
    </row>
    <row r="12867" spans="1:8" hidden="1" x14ac:dyDescent="0.25">
      <c r="A12867" t="s">
        <v>16963</v>
      </c>
      <c r="B12867" s="1" t="str">
        <f>HYPERLINK("https://asmlis.vasa.lt/Dashboard/Served?ServiceDateFrom=2025-11-24&amp;ServiceDateTo=2025-11-24&amp;DumpsterInvNr=13-L-114177", "13-L-114177")</f>
        <v>13-L-114177</v>
      </c>
      <c r="C12867">
        <v>0.12</v>
      </c>
      <c r="D12867" t="s">
        <v>16964</v>
      </c>
      <c r="E12867" t="s">
        <v>11</v>
      </c>
      <c r="G12867" t="s">
        <v>430</v>
      </c>
      <c r="H12867" t="s">
        <v>432</v>
      </c>
    </row>
    <row r="12868" spans="1:8" hidden="1" x14ac:dyDescent="0.25">
      <c r="A12868" t="s">
        <v>16963</v>
      </c>
      <c r="B12868" s="1" t="str">
        <f>HYPERLINK("https://asmlis.vasa.lt/Dashboard/Served?ServiceDateFrom=2025-11-24&amp;ServiceDateTo=2025-11-24&amp;DumpsterInvNr=13-P-508438", "13-P-508438")</f>
        <v>13-P-508438</v>
      </c>
      <c r="C12868">
        <v>0.24</v>
      </c>
      <c r="D12868" t="s">
        <v>16964</v>
      </c>
      <c r="E12868" t="s">
        <v>11</v>
      </c>
      <c r="G12868" t="s">
        <v>2178</v>
      </c>
      <c r="H12868" t="s">
        <v>432</v>
      </c>
    </row>
    <row r="12869" spans="1:8" hidden="1" x14ac:dyDescent="0.25">
      <c r="A12869" t="s">
        <v>16966</v>
      </c>
      <c r="B12869" s="1" t="str">
        <f>HYPERLINK("https://asmlis.vasa.lt/Dashboard/Served?ServiceDateFrom=2025-11-24&amp;ServiceDateTo=2025-11-24&amp;DumpsterInvNr=13-P-209158", "13-P-209158")</f>
        <v>13-P-209158</v>
      </c>
      <c r="C12869">
        <v>0.24</v>
      </c>
      <c r="D12869" t="s">
        <v>16967</v>
      </c>
      <c r="E12869" t="s">
        <v>11</v>
      </c>
      <c r="G12869" t="s">
        <v>234</v>
      </c>
      <c r="H12869" t="s">
        <v>14</v>
      </c>
    </row>
    <row r="12870" spans="1:8" hidden="1" x14ac:dyDescent="0.25">
      <c r="A12870" t="s">
        <v>16968</v>
      </c>
      <c r="B12870" s="1" t="str">
        <f>HYPERLINK("https://asmlis.vasa.lt/Dashboard/Served?ServiceDateFrom=2025-11-24&amp;ServiceDateTo=2025-11-24&amp;DumpsterInvNr=13-L-318524", "13-L-318524")</f>
        <v>13-L-318524</v>
      </c>
      <c r="C12870">
        <v>0.77</v>
      </c>
      <c r="D12870" t="s">
        <v>16969</v>
      </c>
      <c r="E12870" t="s">
        <v>11</v>
      </c>
      <c r="G12870" t="s">
        <v>9</v>
      </c>
      <c r="H12870" t="s">
        <v>14</v>
      </c>
    </row>
    <row r="12871" spans="1:8" hidden="1" x14ac:dyDescent="0.25">
      <c r="A12871" t="s">
        <v>16970</v>
      </c>
      <c r="B12871" s="1" t="str">
        <f>HYPERLINK("https://asmlis.vasa.lt/Dashboard/Served?ServiceDateFrom=2025-11-24&amp;ServiceDateTo=2025-11-24&amp;DumpsterInvNr=13-L-110936", "13-L-110936")</f>
        <v>13-L-110936</v>
      </c>
      <c r="C12871">
        <v>0.24</v>
      </c>
      <c r="D12871" t="s">
        <v>16971</v>
      </c>
      <c r="E12871" t="s">
        <v>11</v>
      </c>
      <c r="G12871" t="s">
        <v>430</v>
      </c>
      <c r="H12871" t="s">
        <v>432</v>
      </c>
    </row>
    <row r="12872" spans="1:8" hidden="1" x14ac:dyDescent="0.25">
      <c r="A12872" t="s">
        <v>16970</v>
      </c>
      <c r="B12872" s="1" t="str">
        <f>HYPERLINK("https://asmlis.vasa.lt/Dashboard/Served?ServiceDateFrom=2025-11-24&amp;ServiceDateTo=2025-11-24&amp;DumpsterInvNr=13-P-508439", "13-P-508439")</f>
        <v>13-P-508439</v>
      </c>
      <c r="C12872">
        <v>0.12</v>
      </c>
      <c r="D12872" t="s">
        <v>16971</v>
      </c>
      <c r="E12872" t="s">
        <v>11</v>
      </c>
      <c r="G12872" t="s">
        <v>2178</v>
      </c>
      <c r="H12872" t="s">
        <v>432</v>
      </c>
    </row>
    <row r="12873" spans="1:8" hidden="1" x14ac:dyDescent="0.25">
      <c r="A12873" t="s">
        <v>16972</v>
      </c>
      <c r="B12873" s="1" t="str">
        <f>HYPERLINK("https://asmlis.vasa.lt/Dashboard/Served?ServiceDateFrom=2025-11-24&amp;ServiceDateTo=2025-11-24&amp;DumpsterInvNr=13-L-315000", "13-L-315000")</f>
        <v>13-L-315000</v>
      </c>
      <c r="C12873">
        <v>5</v>
      </c>
      <c r="D12873" t="s">
        <v>13256</v>
      </c>
      <c r="E12873" t="s">
        <v>11</v>
      </c>
      <c r="F12873" t="s">
        <v>13</v>
      </c>
      <c r="G12873" t="s">
        <v>9</v>
      </c>
      <c r="H12873" t="s">
        <v>14</v>
      </c>
    </row>
    <row r="12874" spans="1:8" hidden="1" x14ac:dyDescent="0.25">
      <c r="A12874" t="s">
        <v>16913</v>
      </c>
      <c r="B12874" s="1" t="str">
        <f>HYPERLINK("https://asmlis.vasa.lt/Dashboard/Served?ServiceDateFrom=2025-11-24&amp;ServiceDateTo=2025-11-24&amp;DumpsterInvNr=13-L-316104", "13-L-316104")</f>
        <v>13-L-316104</v>
      </c>
      <c r="C12874">
        <v>5</v>
      </c>
      <c r="D12874" t="s">
        <v>13256</v>
      </c>
      <c r="E12874" t="s">
        <v>11</v>
      </c>
      <c r="F12874" t="s">
        <v>13</v>
      </c>
      <c r="G12874" t="s">
        <v>9</v>
      </c>
      <c r="H12874" t="s">
        <v>14</v>
      </c>
    </row>
    <row r="12875" spans="1:8" hidden="1" x14ac:dyDescent="0.25">
      <c r="A12875" t="s">
        <v>16788</v>
      </c>
      <c r="B12875" s="1" t="str">
        <f>HYPERLINK("https://asmlis.vasa.lt/Dashboard/Served?ServiceDateFrom=2025-11-24&amp;ServiceDateTo=2025-11-24&amp;DumpsterInvNr=13-P-508440", "13-P-508440")</f>
        <v>13-P-508440</v>
      </c>
      <c r="C12875">
        <v>0.12</v>
      </c>
      <c r="D12875" t="s">
        <v>16973</v>
      </c>
      <c r="E12875" t="s">
        <v>11</v>
      </c>
      <c r="F12875" t="s">
        <v>1209</v>
      </c>
      <c r="G12875" t="s">
        <v>2178</v>
      </c>
      <c r="H12875" t="s">
        <v>432</v>
      </c>
    </row>
    <row r="12876" spans="1:8" hidden="1" x14ac:dyDescent="0.25">
      <c r="A12876" t="s">
        <v>16840</v>
      </c>
      <c r="B12876" s="1" t="str">
        <f>HYPERLINK("https://asmlis.vasa.lt/Dashboard/Served?ServiceDateFrom=2025-11-24&amp;ServiceDateTo=2025-11-24&amp;DumpsterInvNr=13-L-110339", "13-L-110339")</f>
        <v>13-L-110339</v>
      </c>
      <c r="C12876">
        <v>0.12</v>
      </c>
      <c r="D12876" t="s">
        <v>16973</v>
      </c>
      <c r="E12876" t="s">
        <v>11</v>
      </c>
      <c r="F12876" t="s">
        <v>1209</v>
      </c>
      <c r="G12876" t="s">
        <v>430</v>
      </c>
      <c r="H12876" t="s">
        <v>432</v>
      </c>
    </row>
    <row r="12877" spans="1:8" hidden="1" x14ac:dyDescent="0.25">
      <c r="A12877" t="s">
        <v>16974</v>
      </c>
      <c r="B12877" s="1" t="str">
        <f>HYPERLINK("https://asmlis.vasa.lt/Dashboard/Served?ServiceDateFrom=2025-11-24&amp;ServiceDateTo=2025-11-24&amp;DumpsterInvNr=13-P-209142", "13-P-209142")</f>
        <v>13-P-209142</v>
      </c>
      <c r="C12877">
        <v>0.24</v>
      </c>
      <c r="D12877" t="s">
        <v>16975</v>
      </c>
      <c r="E12877" t="s">
        <v>11</v>
      </c>
      <c r="G12877" t="s">
        <v>234</v>
      </c>
      <c r="H12877" t="s">
        <v>14</v>
      </c>
    </row>
    <row r="12878" spans="1:8" hidden="1" x14ac:dyDescent="0.25">
      <c r="A12878" t="s">
        <v>16857</v>
      </c>
      <c r="B12878" s="1" t="str">
        <f>HYPERLINK("https://asmlis.vasa.lt/Dashboard/Served?ServiceDateFrom=2025-11-24&amp;ServiceDateTo=2025-11-24&amp;DumpsterInvNr=13-P-504975", "13-P-504975")</f>
        <v>13-P-504975</v>
      </c>
      <c r="C12878">
        <v>0.12</v>
      </c>
      <c r="D12878" t="s">
        <v>16976</v>
      </c>
      <c r="E12878" t="s">
        <v>11</v>
      </c>
      <c r="F12878" t="s">
        <v>1209</v>
      </c>
      <c r="G12878" t="s">
        <v>2178</v>
      </c>
      <c r="H12878" t="s">
        <v>432</v>
      </c>
    </row>
    <row r="12879" spans="1:8" hidden="1" x14ac:dyDescent="0.25">
      <c r="A12879" t="s">
        <v>16869</v>
      </c>
      <c r="B12879" s="1" t="str">
        <f>HYPERLINK("https://asmlis.vasa.lt/Dashboard/Served?ServiceDateFrom=2025-11-24&amp;ServiceDateTo=2025-11-24&amp;DumpsterInvNr=13-L-109836", "13-L-109836")</f>
        <v>13-L-109836</v>
      </c>
      <c r="C12879">
        <v>0.24</v>
      </c>
      <c r="D12879" t="s">
        <v>16976</v>
      </c>
      <c r="E12879" t="s">
        <v>11</v>
      </c>
      <c r="F12879" t="s">
        <v>1209</v>
      </c>
      <c r="G12879" t="s">
        <v>430</v>
      </c>
      <c r="H12879" t="s">
        <v>432</v>
      </c>
    </row>
    <row r="12880" spans="1:8" hidden="1" x14ac:dyDescent="0.25">
      <c r="A12880" t="s">
        <v>16885</v>
      </c>
      <c r="B12880" s="1" t="str">
        <f>HYPERLINK("https://asmlis.vasa.lt/Dashboard/Served?ServiceDateFrom=2025-11-24&amp;ServiceDateTo=2025-11-24&amp;DumpsterInvNr=13-P-213297", "13-P-213297")</f>
        <v>13-P-213297</v>
      </c>
      <c r="C12880">
        <v>0.24</v>
      </c>
      <c r="D12880" t="s">
        <v>16977</v>
      </c>
      <c r="E12880" t="s">
        <v>11</v>
      </c>
      <c r="G12880" t="s">
        <v>234</v>
      </c>
      <c r="H12880" t="s">
        <v>14</v>
      </c>
    </row>
    <row r="12881" spans="1:8" hidden="1" x14ac:dyDescent="0.25">
      <c r="A12881" t="s">
        <v>16978</v>
      </c>
      <c r="B12881" s="1" t="str">
        <f>HYPERLINK("https://asmlis.vasa.lt/Dashboard/Served?ServiceDateFrom=2025-11-24&amp;ServiceDateTo=2025-11-24&amp;DumpsterInvNr=13-L-316898", "13-L-316898")</f>
        <v>13-L-316898</v>
      </c>
      <c r="C12881">
        <v>1.1000000000000001</v>
      </c>
      <c r="D12881" t="s">
        <v>16969</v>
      </c>
      <c r="E12881" t="s">
        <v>11</v>
      </c>
      <c r="G12881" t="s">
        <v>9</v>
      </c>
      <c r="H12881" t="s">
        <v>14</v>
      </c>
    </row>
    <row r="12882" spans="1:8" hidden="1" x14ac:dyDescent="0.25">
      <c r="A12882" t="s">
        <v>16889</v>
      </c>
      <c r="B12882" s="1" t="str">
        <f>HYPERLINK("https://asmlis.vasa.lt/Dashboard/Served?ServiceDateFrom=2025-11-24&amp;ServiceDateTo=2025-11-24&amp;DumpsterInvNr=13-L-110937", "13-L-110937")</f>
        <v>13-L-110937</v>
      </c>
      <c r="C12882">
        <v>0.12</v>
      </c>
      <c r="D12882" t="s">
        <v>16979</v>
      </c>
      <c r="E12882" t="s">
        <v>11</v>
      </c>
      <c r="F12882" t="s">
        <v>1209</v>
      </c>
      <c r="G12882" t="s">
        <v>430</v>
      </c>
      <c r="H12882" t="s">
        <v>432</v>
      </c>
    </row>
    <row r="12883" spans="1:8" hidden="1" x14ac:dyDescent="0.25">
      <c r="A12883" t="s">
        <v>16980</v>
      </c>
      <c r="B12883" s="1" t="str">
        <f>HYPERLINK("https://asmlis.vasa.lt/Dashboard/Served?ServiceDateFrom=2025-11-24&amp;ServiceDateTo=2025-11-24&amp;DumpsterInvNr=13-P-509175", "13-P-509175")</f>
        <v>13-P-509175</v>
      </c>
      <c r="C12883">
        <v>4</v>
      </c>
      <c r="D12883" t="s">
        <v>6610</v>
      </c>
      <c r="E12883" t="s">
        <v>11</v>
      </c>
      <c r="F12883" t="s">
        <v>13</v>
      </c>
      <c r="G12883" t="s">
        <v>2178</v>
      </c>
      <c r="H12883" t="s">
        <v>432</v>
      </c>
    </row>
    <row r="12884" spans="1:8" hidden="1" x14ac:dyDescent="0.25">
      <c r="A12884" t="s">
        <v>16981</v>
      </c>
      <c r="B12884" s="1" t="str">
        <f>HYPERLINK("https://asmlis.vasa.lt/Dashboard/Served?ServiceDateFrom=2025-11-24&amp;ServiceDateTo=2025-11-24&amp;DumpsterInvNr=13-P-501729", "13-P-501729")</f>
        <v>13-P-501729</v>
      </c>
      <c r="C12884">
        <v>4</v>
      </c>
      <c r="D12884" t="s">
        <v>6610</v>
      </c>
      <c r="E12884" t="s">
        <v>11</v>
      </c>
      <c r="F12884" t="s">
        <v>13</v>
      </c>
      <c r="G12884" t="s">
        <v>2178</v>
      </c>
      <c r="H12884" t="s">
        <v>432</v>
      </c>
    </row>
    <row r="12885" spans="1:8" hidden="1" x14ac:dyDescent="0.25">
      <c r="A12885" t="s">
        <v>16982</v>
      </c>
      <c r="B12885" s="1" t="str">
        <f>HYPERLINK("https://asmlis.vasa.lt/Dashboard/Served?ServiceDateFrom=2025-11-24&amp;ServiceDateTo=2025-11-24&amp;DumpsterInvNr=13-L-106519", "13-L-106519")</f>
        <v>13-L-106519</v>
      </c>
      <c r="C12885">
        <v>0.12</v>
      </c>
      <c r="D12885" t="s">
        <v>16983</v>
      </c>
      <c r="E12885" t="s">
        <v>11</v>
      </c>
      <c r="G12885" t="s">
        <v>1912</v>
      </c>
      <c r="H12885" t="s">
        <v>432</v>
      </c>
    </row>
    <row r="12886" spans="1:8" hidden="1" x14ac:dyDescent="0.25">
      <c r="A12886" t="s">
        <v>16984</v>
      </c>
      <c r="B12886" s="1" t="str">
        <f>HYPERLINK("https://asmlis.vasa.lt/Dashboard/Served?ServiceDateFrom=2025-11-24&amp;ServiceDateTo=2025-11-24&amp;DumpsterInvNr=13-L-319634", "13-L-319634")</f>
        <v>13-L-319634</v>
      </c>
      <c r="C12886">
        <v>0.77</v>
      </c>
      <c r="D12886" t="s">
        <v>16969</v>
      </c>
      <c r="E12886" t="s">
        <v>11</v>
      </c>
      <c r="G12886" t="s">
        <v>9</v>
      </c>
      <c r="H12886" t="s">
        <v>14</v>
      </c>
    </row>
    <row r="12887" spans="1:8" hidden="1" x14ac:dyDescent="0.25">
      <c r="A12887" t="s">
        <v>16985</v>
      </c>
      <c r="B12887" s="1" t="str">
        <f>HYPERLINK("https://asmlis.vasa.lt/Dashboard/Served?ServiceDateFrom=2025-11-24&amp;ServiceDateTo=2025-11-24&amp;DumpsterInvNr=13-L-134665", "13-L-134665")</f>
        <v>13-L-134665</v>
      </c>
      <c r="C12887">
        <v>5</v>
      </c>
      <c r="D12887" t="s">
        <v>12794</v>
      </c>
      <c r="E12887" t="s">
        <v>11</v>
      </c>
      <c r="F12887" t="s">
        <v>13</v>
      </c>
      <c r="G12887" t="s">
        <v>1912</v>
      </c>
      <c r="H12887" t="s">
        <v>432</v>
      </c>
    </row>
    <row r="12888" spans="1:8" hidden="1" x14ac:dyDescent="0.25">
      <c r="A12888" t="s">
        <v>16985</v>
      </c>
      <c r="B12888" s="1" t="str">
        <f>HYPERLINK("https://asmlis.vasa.lt/Dashboard/Served?ServiceDateFrom=2025-11-24&amp;ServiceDateTo=2025-11-24&amp;DumpsterInvNr=13-L-110938", "13-L-110938")</f>
        <v>13-L-110938</v>
      </c>
      <c r="C12888">
        <v>0.12</v>
      </c>
      <c r="D12888" t="s">
        <v>16986</v>
      </c>
      <c r="E12888" t="s">
        <v>11</v>
      </c>
      <c r="G12888" t="s">
        <v>430</v>
      </c>
      <c r="H12888" t="s">
        <v>432</v>
      </c>
    </row>
    <row r="12889" spans="1:8" hidden="1" x14ac:dyDescent="0.25">
      <c r="A12889" t="s">
        <v>16987</v>
      </c>
      <c r="B12889" s="1" t="str">
        <f>HYPERLINK("https://asmlis.vasa.lt/Dashboard/Served?ServiceDateFrom=2025-11-24&amp;ServiceDateTo=2025-11-24&amp;DumpsterInvNr=13-L-139770", "13-L-139770")</f>
        <v>13-L-139770</v>
      </c>
      <c r="C12889">
        <v>5</v>
      </c>
      <c r="D12889" t="s">
        <v>16988</v>
      </c>
      <c r="E12889" t="s">
        <v>11</v>
      </c>
      <c r="F12889" t="s">
        <v>13</v>
      </c>
      <c r="G12889" t="s">
        <v>430</v>
      </c>
      <c r="H12889" t="s">
        <v>432</v>
      </c>
    </row>
    <row r="12890" spans="1:8" hidden="1" x14ac:dyDescent="0.25">
      <c r="A12890" t="s">
        <v>16987</v>
      </c>
      <c r="B12890" s="1" t="str">
        <f>HYPERLINK("https://asmlis.vasa.lt/Dashboard/Served?ServiceDateFrom=2025-11-24&amp;ServiceDateTo=2025-11-24&amp;DumpsterInvNr=13-P-508443", "13-P-508443")</f>
        <v>13-P-508443</v>
      </c>
      <c r="C12890">
        <v>0.12</v>
      </c>
      <c r="D12890" t="s">
        <v>16986</v>
      </c>
      <c r="E12890" t="s">
        <v>11</v>
      </c>
      <c r="G12890" t="s">
        <v>2178</v>
      </c>
      <c r="H12890" t="s">
        <v>432</v>
      </c>
    </row>
    <row r="12891" spans="1:8" hidden="1" x14ac:dyDescent="0.25">
      <c r="A12891" t="s">
        <v>16987</v>
      </c>
      <c r="B12891" s="1" t="str">
        <f>HYPERLINK("https://asmlis.vasa.lt/Dashboard/Served?ServiceDateFrom=2025-11-24&amp;ServiceDateTo=2025-11-24&amp;DumpsterInvNr=13-L-149203", "13-L-149203")</f>
        <v>13-L-149203</v>
      </c>
      <c r="C12891">
        <v>0.24</v>
      </c>
      <c r="D12891" t="s">
        <v>16989</v>
      </c>
      <c r="E12891" t="s">
        <v>11</v>
      </c>
      <c r="G12891" t="s">
        <v>430</v>
      </c>
      <c r="H12891" t="s">
        <v>432</v>
      </c>
    </row>
    <row r="12892" spans="1:8" hidden="1" x14ac:dyDescent="0.25">
      <c r="A12892" t="s">
        <v>16990</v>
      </c>
      <c r="B12892" s="1" t="str">
        <f>HYPERLINK("https://asmlis.vasa.lt/Dashboard/Served?ServiceDateFrom=2025-11-24&amp;ServiceDateTo=2025-11-24&amp;DumpsterInvNr=13-P-508441", "13-P-508441")</f>
        <v>13-P-508441</v>
      </c>
      <c r="C12892">
        <v>0.12</v>
      </c>
      <c r="D12892" t="s">
        <v>16989</v>
      </c>
      <c r="E12892" t="s">
        <v>11</v>
      </c>
      <c r="G12892" t="s">
        <v>2178</v>
      </c>
      <c r="H12892" t="s">
        <v>432</v>
      </c>
    </row>
    <row r="12893" spans="1:8" hidden="1" x14ac:dyDescent="0.25">
      <c r="A12893" t="s">
        <v>16991</v>
      </c>
      <c r="B12893" s="1" t="str">
        <f>HYPERLINK("https://asmlis.vasa.lt/Dashboard/Served?ServiceDateFrom=2025-11-24&amp;ServiceDateTo=2025-11-24&amp;DumpsterInvNr=13-L-420931", "13-L-420931")</f>
        <v>13-L-420931</v>
      </c>
      <c r="C12893">
        <v>3</v>
      </c>
      <c r="D12893" t="s">
        <v>12259</v>
      </c>
      <c r="E12893" t="s">
        <v>11</v>
      </c>
      <c r="F12893" t="s">
        <v>13</v>
      </c>
      <c r="G12893" t="s">
        <v>74</v>
      </c>
      <c r="H12893" t="s">
        <v>14</v>
      </c>
    </row>
    <row r="12894" spans="1:8" hidden="1" x14ac:dyDescent="0.25">
      <c r="A12894" t="s">
        <v>16992</v>
      </c>
      <c r="B12894" s="1" t="str">
        <f>HYPERLINK("https://asmlis.vasa.lt/Dashboard/Served?ServiceDateFrom=2025-11-24&amp;ServiceDateTo=2025-11-24&amp;DumpsterInvNr=13-L-104015", "13-L-104015")</f>
        <v>13-L-104015</v>
      </c>
      <c r="C12894">
        <v>5</v>
      </c>
      <c r="D12894" t="s">
        <v>16993</v>
      </c>
      <c r="E12894" t="s">
        <v>11</v>
      </c>
      <c r="F12894" t="s">
        <v>13</v>
      </c>
      <c r="G12894" t="s">
        <v>430</v>
      </c>
      <c r="H12894" t="s">
        <v>432</v>
      </c>
    </row>
    <row r="12895" spans="1:8" hidden="1" x14ac:dyDescent="0.25">
      <c r="A12895" t="s">
        <v>16995</v>
      </c>
      <c r="B12895" s="1" t="str">
        <f>HYPERLINK("https://asmlis.vasa.lt/Dashboard/Served?ServiceDateFrom=2025-11-24&amp;ServiceDateTo=2025-11-24&amp;DumpsterInvNr=13-P-105224", "13-P-105224")</f>
        <v>13-P-105224</v>
      </c>
      <c r="C12895">
        <v>1.1000000000000001</v>
      </c>
      <c r="D12895" t="s">
        <v>16996</v>
      </c>
      <c r="E12895" t="s">
        <v>11</v>
      </c>
      <c r="G12895" t="s">
        <v>1917</v>
      </c>
      <c r="H12895" t="s">
        <v>432</v>
      </c>
    </row>
    <row r="12896" spans="1:8" hidden="1" x14ac:dyDescent="0.25">
      <c r="A12896" t="s">
        <v>16997</v>
      </c>
      <c r="B12896" s="1" t="str">
        <f>HYPERLINK("https://asmlis.vasa.lt/Dashboard/Served?ServiceDateFrom=2025-11-24&amp;ServiceDateTo=2025-11-24&amp;DumpsterInvNr=13-L-110939", "13-L-110939")</f>
        <v>13-L-110939</v>
      </c>
      <c r="C12896">
        <v>0.24</v>
      </c>
      <c r="D12896" t="s">
        <v>16998</v>
      </c>
      <c r="E12896" t="s">
        <v>11</v>
      </c>
      <c r="G12896" t="s">
        <v>430</v>
      </c>
      <c r="H12896" t="s">
        <v>432</v>
      </c>
    </row>
    <row r="12897" spans="1:10" hidden="1" x14ac:dyDescent="0.25">
      <c r="A12897" t="s">
        <v>16997</v>
      </c>
      <c r="B12897" s="1" t="str">
        <f>HYPERLINK("https://asmlis.vasa.lt/Dashboard/Served?ServiceDateFrom=2025-11-24&amp;ServiceDateTo=2025-11-24&amp;DumpsterInvNr=13-L-124973", "13-L-124973")</f>
        <v>13-L-124973</v>
      </c>
      <c r="C12897">
        <v>0.24</v>
      </c>
      <c r="D12897" t="s">
        <v>17000</v>
      </c>
      <c r="E12897" t="s">
        <v>11</v>
      </c>
      <c r="G12897" t="s">
        <v>430</v>
      </c>
      <c r="H12897" t="s">
        <v>432</v>
      </c>
    </row>
    <row r="12898" spans="1:10" hidden="1" x14ac:dyDescent="0.25">
      <c r="A12898" t="s">
        <v>17001</v>
      </c>
      <c r="B12898" s="1" t="str">
        <f>HYPERLINK("https://asmlis.vasa.lt/Dashboard/Served?ServiceDateFrom=2025-11-24&amp;ServiceDateTo=2025-11-24&amp;DumpsterInvNr=13-P-506044", "13-P-506044")</f>
        <v>13-P-506044</v>
      </c>
      <c r="C12898">
        <v>0.24</v>
      </c>
      <c r="D12898" t="s">
        <v>16998</v>
      </c>
      <c r="E12898" t="s">
        <v>11</v>
      </c>
      <c r="G12898" t="s">
        <v>2178</v>
      </c>
      <c r="H12898" t="s">
        <v>432</v>
      </c>
    </row>
    <row r="12899" spans="1:10" hidden="1" x14ac:dyDescent="0.25">
      <c r="A12899" t="s">
        <v>17002</v>
      </c>
      <c r="B12899" s="1" t="str">
        <f>HYPERLINK("https://asmlis.vasa.lt/Dashboard/Served?ServiceDateFrom=2025-11-24&amp;ServiceDateTo=2025-11-24&amp;DumpsterInvNr=13-P-508444", "13-P-508444")</f>
        <v>13-P-508444</v>
      </c>
      <c r="C12899">
        <v>0.24</v>
      </c>
      <c r="D12899" t="s">
        <v>17000</v>
      </c>
      <c r="E12899" t="s">
        <v>11</v>
      </c>
      <c r="G12899" t="s">
        <v>2178</v>
      </c>
      <c r="H12899" t="s">
        <v>432</v>
      </c>
    </row>
    <row r="12900" spans="1:10" hidden="1" x14ac:dyDescent="0.25">
      <c r="A12900" t="s">
        <v>17003</v>
      </c>
      <c r="B12900" s="1" t="str">
        <f>HYPERLINK("https://asmlis.vasa.lt/Dashboard/Served?ServiceDateFrom=2025-11-24&amp;ServiceDateTo=2025-11-24&amp;DumpsterInvNr=13-L-317753", "13-L-317753")</f>
        <v>13-L-317753</v>
      </c>
      <c r="C12900">
        <v>1.1000000000000001</v>
      </c>
      <c r="D12900" t="s">
        <v>17004</v>
      </c>
      <c r="E12900" t="s">
        <v>11</v>
      </c>
      <c r="G12900" t="s">
        <v>9</v>
      </c>
      <c r="H12900" t="s">
        <v>14</v>
      </c>
    </row>
    <row r="12901" spans="1:10" hidden="1" x14ac:dyDescent="0.25">
      <c r="A12901" t="s">
        <v>17003</v>
      </c>
      <c r="B12901" s="1" t="str">
        <f>HYPERLINK("https://asmlis.vasa.lt/Dashboard/Served?ServiceDateFrom=2025-11-24&amp;ServiceDateTo=2025-11-24&amp;DumpsterInvNr=13-L-314319", "13-L-314319")</f>
        <v>13-L-314319</v>
      </c>
      <c r="C12901">
        <v>5</v>
      </c>
      <c r="D12901" t="s">
        <v>11687</v>
      </c>
      <c r="E12901" t="s">
        <v>11</v>
      </c>
      <c r="F12901" t="s">
        <v>2960</v>
      </c>
      <c r="G12901" t="s">
        <v>9</v>
      </c>
      <c r="H12901" t="s">
        <v>14</v>
      </c>
      <c r="J12901" t="s">
        <v>17519</v>
      </c>
    </row>
    <row r="12902" spans="1:10" hidden="1" x14ac:dyDescent="0.25">
      <c r="A12902" t="s">
        <v>17005</v>
      </c>
      <c r="B12902" s="1" t="str">
        <f>HYPERLINK("https://asmlis.vasa.lt/Dashboard/Served?ServiceDateFrom=2025-11-24&amp;ServiceDateTo=2025-11-24&amp;DumpsterInvNr=13-L-133381", "13-L-133381")</f>
        <v>13-L-133381</v>
      </c>
      <c r="C12902">
        <v>0.24</v>
      </c>
      <c r="D12902" t="s">
        <v>17006</v>
      </c>
      <c r="E12902" t="s">
        <v>11</v>
      </c>
      <c r="G12902" t="s">
        <v>430</v>
      </c>
      <c r="H12902" t="s">
        <v>432</v>
      </c>
    </row>
    <row r="12903" spans="1:10" hidden="1" x14ac:dyDescent="0.25">
      <c r="A12903" t="s">
        <v>17007</v>
      </c>
      <c r="B12903" s="1" t="str">
        <f>HYPERLINK("https://asmlis.vasa.lt/Dashboard/Served?ServiceDateFrom=2025-11-24&amp;ServiceDateTo=2025-11-24&amp;DumpsterInvNr=13-P-415948", "13-P-415948")</f>
        <v>13-P-415948</v>
      </c>
      <c r="C12903">
        <v>1.1000000000000001</v>
      </c>
      <c r="D12903" t="s">
        <v>12993</v>
      </c>
      <c r="E12903" t="s">
        <v>11</v>
      </c>
      <c r="F12903" t="s">
        <v>13</v>
      </c>
      <c r="G12903" t="s">
        <v>264</v>
      </c>
      <c r="H12903" t="s">
        <v>14</v>
      </c>
    </row>
    <row r="12904" spans="1:10" hidden="1" x14ac:dyDescent="0.25">
      <c r="A12904" t="s">
        <v>17008</v>
      </c>
      <c r="B12904" s="1" t="str">
        <f>HYPERLINK("https://asmlis.vasa.lt/Dashboard/Served?ServiceDateFrom=2025-11-24&amp;ServiceDateTo=2025-11-24&amp;DumpsterInvNr=13-L-307045", "13-L-307045")</f>
        <v>13-L-307045</v>
      </c>
      <c r="C12904">
        <v>0.77</v>
      </c>
      <c r="D12904" t="s">
        <v>16969</v>
      </c>
      <c r="E12904" t="s">
        <v>11</v>
      </c>
      <c r="G12904" t="s">
        <v>9</v>
      </c>
      <c r="H12904" t="s">
        <v>14</v>
      </c>
    </row>
    <row r="12905" spans="1:10" hidden="1" x14ac:dyDescent="0.25">
      <c r="A12905" t="s">
        <v>17008</v>
      </c>
      <c r="B12905" s="1" t="str">
        <f>HYPERLINK("https://asmlis.vasa.lt/Dashboard/Served?ServiceDateFrom=2025-11-24&amp;ServiceDateTo=2025-11-24&amp;DumpsterInvNr=13-P-508445", "13-P-508445")</f>
        <v>13-P-508445</v>
      </c>
      <c r="C12905">
        <v>0.24</v>
      </c>
      <c r="D12905" t="s">
        <v>17006</v>
      </c>
      <c r="E12905" t="s">
        <v>11</v>
      </c>
      <c r="G12905" t="s">
        <v>2178</v>
      </c>
      <c r="H12905" t="s">
        <v>432</v>
      </c>
    </row>
    <row r="12906" spans="1:10" hidden="1" x14ac:dyDescent="0.25">
      <c r="A12906" t="s">
        <v>17009</v>
      </c>
      <c r="B12906" s="1" t="str">
        <f>HYPERLINK("https://asmlis.vasa.lt/Dashboard/Served?ServiceDateFrom=2025-11-24&amp;ServiceDateTo=2025-11-24&amp;DumpsterInvNr=13-L-139844", "13-L-139844")</f>
        <v>13-L-139844</v>
      </c>
      <c r="C12906">
        <v>5</v>
      </c>
      <c r="D12906" t="s">
        <v>17010</v>
      </c>
      <c r="E12906" t="s">
        <v>11</v>
      </c>
      <c r="F12906" t="s">
        <v>13</v>
      </c>
      <c r="G12906" t="s">
        <v>430</v>
      </c>
      <c r="H12906" t="s">
        <v>432</v>
      </c>
    </row>
    <row r="12907" spans="1:10" hidden="1" x14ac:dyDescent="0.25">
      <c r="A12907" t="s">
        <v>17011</v>
      </c>
      <c r="B12907" s="1" t="str">
        <f>HYPERLINK("https://asmlis.vasa.lt/Dashboard/Served?ServiceDateFrom=2025-11-24&amp;ServiceDateTo=2025-11-24&amp;DumpsterInvNr=13-P-115421", "13-P-115421")</f>
        <v>13-P-115421</v>
      </c>
      <c r="C12907">
        <v>1.1000000000000001</v>
      </c>
      <c r="D12907" t="s">
        <v>8174</v>
      </c>
      <c r="E12907" t="s">
        <v>11</v>
      </c>
      <c r="G12907" t="s">
        <v>1917</v>
      </c>
      <c r="H12907" t="s">
        <v>432</v>
      </c>
    </row>
    <row r="12908" spans="1:10" hidden="1" x14ac:dyDescent="0.25">
      <c r="A12908" t="s">
        <v>17012</v>
      </c>
      <c r="B12908" s="1" t="str">
        <f>HYPERLINK("https://asmlis.vasa.lt/Dashboard/Served?ServiceDateFrom=2025-11-24&amp;ServiceDateTo=2025-11-24&amp;DumpsterInvNr=13-L-318523", "13-L-318523")</f>
        <v>13-L-318523</v>
      </c>
      <c r="C12908">
        <v>0.77</v>
      </c>
      <c r="D12908" t="s">
        <v>16969</v>
      </c>
      <c r="E12908" t="s">
        <v>11</v>
      </c>
      <c r="G12908" t="s">
        <v>9</v>
      </c>
      <c r="H12908" t="s">
        <v>14</v>
      </c>
    </row>
    <row r="12909" spans="1:10" hidden="1" x14ac:dyDescent="0.25">
      <c r="A12909" t="s">
        <v>17013</v>
      </c>
      <c r="B12909" s="1" t="str">
        <f>HYPERLINK("https://asmlis.vasa.lt/Dashboard/Served?ServiceDateFrom=2025-11-24&amp;ServiceDateTo=2025-11-24&amp;DumpsterInvNr=13-L-106386", "13-L-106386")</f>
        <v>13-L-106386</v>
      </c>
      <c r="C12909">
        <v>0.24</v>
      </c>
      <c r="D12909" t="s">
        <v>17014</v>
      </c>
      <c r="E12909" t="s">
        <v>11</v>
      </c>
      <c r="G12909" t="s">
        <v>1912</v>
      </c>
      <c r="H12909" t="s">
        <v>432</v>
      </c>
    </row>
    <row r="12910" spans="1:10" hidden="1" x14ac:dyDescent="0.25">
      <c r="A12910" t="s">
        <v>17015</v>
      </c>
      <c r="B12910" s="1" t="str">
        <f>HYPERLINK("https://asmlis.vasa.lt/Dashboard/Served?ServiceDateFrom=2025-11-24&amp;ServiceDateTo=2025-11-24&amp;DumpsterInvNr=13-L-132691", "13-L-132691")</f>
        <v>13-L-132691</v>
      </c>
      <c r="C12910">
        <v>0.24</v>
      </c>
      <c r="D12910" t="s">
        <v>17016</v>
      </c>
      <c r="E12910" t="s">
        <v>11</v>
      </c>
      <c r="G12910" t="s">
        <v>430</v>
      </c>
      <c r="H12910" t="s">
        <v>432</v>
      </c>
    </row>
    <row r="12911" spans="1:10" hidden="1" x14ac:dyDescent="0.25">
      <c r="A12911" t="s">
        <v>17017</v>
      </c>
      <c r="B12911" s="1" t="str">
        <f>HYPERLINK("https://asmlis.vasa.lt/Dashboard/Served?ServiceDateFrom=2025-11-24&amp;ServiceDateTo=2025-11-24&amp;DumpsterInvNr=13-L-104013", "13-L-104013")</f>
        <v>13-L-104013</v>
      </c>
      <c r="C12911">
        <v>5</v>
      </c>
      <c r="D12911" t="s">
        <v>17018</v>
      </c>
      <c r="E12911" t="s">
        <v>11</v>
      </c>
      <c r="F12911" t="s">
        <v>13</v>
      </c>
      <c r="G12911" t="s">
        <v>430</v>
      </c>
      <c r="H12911" t="s">
        <v>432</v>
      </c>
    </row>
    <row r="12912" spans="1:10" hidden="1" x14ac:dyDescent="0.25">
      <c r="A12912" t="s">
        <v>17019</v>
      </c>
      <c r="B12912" s="1" t="str">
        <f>HYPERLINK("https://asmlis.vasa.lt/Dashboard/Served?ServiceDateFrom=2025-11-24&amp;ServiceDateTo=2025-11-24&amp;DumpsterInvNr=13-P-509096", "13-P-509096")</f>
        <v>13-P-509096</v>
      </c>
      <c r="C12912">
        <v>0.24</v>
      </c>
      <c r="D12912" t="s">
        <v>17020</v>
      </c>
      <c r="E12912" t="s">
        <v>11</v>
      </c>
      <c r="G12912" t="s">
        <v>2178</v>
      </c>
      <c r="H12912" t="s">
        <v>432</v>
      </c>
    </row>
    <row r="12913" spans="1:8" hidden="1" x14ac:dyDescent="0.25">
      <c r="A12913" t="s">
        <v>17021</v>
      </c>
      <c r="B12913" s="1" t="str">
        <f>HYPERLINK("https://asmlis.vasa.lt/Dashboard/Served?ServiceDateFrom=2025-11-24&amp;ServiceDateTo=2025-11-24&amp;DumpsterInvNr=13-L-104014", "13-L-104014")</f>
        <v>13-L-104014</v>
      </c>
      <c r="C12913">
        <v>5</v>
      </c>
      <c r="D12913" t="s">
        <v>17018</v>
      </c>
      <c r="E12913" t="s">
        <v>11</v>
      </c>
      <c r="F12913" t="s">
        <v>13</v>
      </c>
      <c r="G12913" t="s">
        <v>430</v>
      </c>
      <c r="H12913" t="s">
        <v>432</v>
      </c>
    </row>
    <row r="12914" spans="1:8" hidden="1" x14ac:dyDescent="0.25">
      <c r="A12914" t="s">
        <v>17022</v>
      </c>
      <c r="B12914" s="1" t="str">
        <f>HYPERLINK("https://asmlis.vasa.lt/Dashboard/Served?ServiceDateFrom=2025-11-24&amp;ServiceDateTo=2025-11-24&amp;DumpsterInvNr=DGA-ZALVARIS", "DGA-ZALVARIS")</f>
        <v>DGA-ZALVARIS</v>
      </c>
      <c r="C12914">
        <v>1</v>
      </c>
      <c r="D12914" t="s">
        <v>3973</v>
      </c>
      <c r="E12914" t="s">
        <v>12</v>
      </c>
      <c r="F12914" t="s">
        <v>17023</v>
      </c>
      <c r="G12914" t="s">
        <v>6763</v>
      </c>
      <c r="H12914" t="s">
        <v>6765</v>
      </c>
    </row>
    <row r="12915" spans="1:8" hidden="1" x14ac:dyDescent="0.25">
      <c r="A12915" t="s">
        <v>17022</v>
      </c>
      <c r="B12915" s="1" t="str">
        <f>HYPERLINK("https://asmlis.vasa.lt/Dashboard/Served?ServiceDateFrom=2025-11-24&amp;ServiceDateTo=2025-11-24&amp;DumpsterInvNr=13-L-124979", "13-L-124979")</f>
        <v>13-L-124979</v>
      </c>
      <c r="C12915">
        <v>0.24</v>
      </c>
      <c r="D12915" t="s">
        <v>17020</v>
      </c>
      <c r="E12915" t="s">
        <v>11</v>
      </c>
      <c r="G12915" t="s">
        <v>430</v>
      </c>
      <c r="H12915" t="s">
        <v>432</v>
      </c>
    </row>
    <row r="12916" spans="1:8" hidden="1" x14ac:dyDescent="0.25">
      <c r="A12916" t="s">
        <v>17024</v>
      </c>
      <c r="B12916" s="1" t="str">
        <f>HYPERLINK("https://asmlis.vasa.lt/Dashboard/Served?ServiceDateFrom=2025-11-24&amp;ServiceDateTo=2025-11-24&amp;DumpsterInvNr=13-L-124978", "13-L-124978")</f>
        <v>13-L-124978</v>
      </c>
      <c r="C12916">
        <v>0.12</v>
      </c>
      <c r="D12916" t="s">
        <v>17025</v>
      </c>
      <c r="E12916" t="s">
        <v>11</v>
      </c>
      <c r="F12916" t="s">
        <v>1209</v>
      </c>
      <c r="G12916" t="s">
        <v>430</v>
      </c>
      <c r="H12916" t="s">
        <v>432</v>
      </c>
    </row>
    <row r="12917" spans="1:8" hidden="1" x14ac:dyDescent="0.25">
      <c r="A12917" t="s">
        <v>17026</v>
      </c>
      <c r="B12917" s="1" t="str">
        <f>HYPERLINK("https://asmlis.vasa.lt/Dashboard/Served?ServiceDateFrom=2025-11-24&amp;ServiceDateTo=2025-11-24&amp;DumpsterInvNr=13-P-305414", "13-P-305414")</f>
        <v>13-P-305414</v>
      </c>
      <c r="C12917">
        <v>5</v>
      </c>
      <c r="D12917" t="s">
        <v>13865</v>
      </c>
      <c r="E12917" t="s">
        <v>11</v>
      </c>
      <c r="G12917" t="s">
        <v>412</v>
      </c>
      <c r="H12917" t="s">
        <v>14</v>
      </c>
    </row>
    <row r="12918" spans="1:8" hidden="1" x14ac:dyDescent="0.25">
      <c r="A12918" t="s">
        <v>17027</v>
      </c>
      <c r="B12918" s="1" t="str">
        <f>HYPERLINK("https://asmlis.vasa.lt/Dashboard/Served?ServiceDateFrom=2025-11-24&amp;ServiceDateTo=2025-11-24&amp;DumpsterInvNr=13-L-124974", "13-L-124974")</f>
        <v>13-L-124974</v>
      </c>
      <c r="C12918">
        <v>0.24</v>
      </c>
      <c r="D12918" t="s">
        <v>17028</v>
      </c>
      <c r="E12918" t="s">
        <v>11</v>
      </c>
      <c r="G12918" t="s">
        <v>430</v>
      </c>
      <c r="H12918" t="s">
        <v>432</v>
      </c>
    </row>
    <row r="12919" spans="1:8" hidden="1" x14ac:dyDescent="0.25">
      <c r="A12919" t="s">
        <v>17029</v>
      </c>
      <c r="B12919" s="1" t="str">
        <f>HYPERLINK("https://asmlis.vasa.lt/Dashboard/Served?ServiceDateFrom=2025-11-24&amp;ServiceDateTo=2025-11-24&amp;DumpsterInvNr=13-P-508447", "13-P-508447")</f>
        <v>13-P-508447</v>
      </c>
      <c r="C12919">
        <v>0.12</v>
      </c>
      <c r="D12919" t="s">
        <v>17028</v>
      </c>
      <c r="E12919" t="s">
        <v>11</v>
      </c>
      <c r="G12919" t="s">
        <v>2178</v>
      </c>
      <c r="H12919" t="s">
        <v>432</v>
      </c>
    </row>
    <row r="12920" spans="1:8" hidden="1" x14ac:dyDescent="0.25">
      <c r="A12920" t="s">
        <v>17030</v>
      </c>
      <c r="B12920" s="1" t="str">
        <f>HYPERLINK("https://asmlis.vasa.lt/Dashboard/Served?ServiceDateFrom=2025-11-24&amp;ServiceDateTo=2025-11-24&amp;DumpsterInvNr=13-L-314653", "13-L-314653")</f>
        <v>13-L-314653</v>
      </c>
      <c r="C12920">
        <v>5</v>
      </c>
      <c r="D12920" t="s">
        <v>13425</v>
      </c>
      <c r="E12920" t="s">
        <v>11</v>
      </c>
      <c r="G12920" t="s">
        <v>9</v>
      </c>
      <c r="H12920" t="s">
        <v>14</v>
      </c>
    </row>
    <row r="12921" spans="1:8" hidden="1" x14ac:dyDescent="0.25">
      <c r="A12921" t="s">
        <v>17031</v>
      </c>
      <c r="B12921" s="1" t="str">
        <f>HYPERLINK("https://asmlis.vasa.lt/Dashboard/Served?ServiceDateFrom=2025-11-24&amp;ServiceDateTo=2025-11-24&amp;DumpsterInvNr=13-L-140227", "13-L-140227")</f>
        <v>13-L-140227</v>
      </c>
      <c r="C12921">
        <v>0.24</v>
      </c>
      <c r="D12921" t="s">
        <v>17032</v>
      </c>
      <c r="E12921" t="s">
        <v>11</v>
      </c>
      <c r="G12921" t="s">
        <v>1912</v>
      </c>
      <c r="H12921" t="s">
        <v>432</v>
      </c>
    </row>
    <row r="12922" spans="1:8" hidden="1" x14ac:dyDescent="0.25">
      <c r="A12922" t="s">
        <v>17033</v>
      </c>
      <c r="B12922" s="1" t="str">
        <f>HYPERLINK("https://asmlis.vasa.lt/Dashboard/Served?ServiceDateFrom=2025-11-24&amp;ServiceDateTo=2025-11-24&amp;DumpsterInvNr=13-P-508006", "13-P-508006")</f>
        <v>13-P-508006</v>
      </c>
      <c r="C12922">
        <v>5</v>
      </c>
      <c r="D12922" t="s">
        <v>9377</v>
      </c>
      <c r="E12922" t="s">
        <v>11</v>
      </c>
      <c r="F12922" t="s">
        <v>13</v>
      </c>
      <c r="G12922" t="s">
        <v>2178</v>
      </c>
      <c r="H12922" t="s">
        <v>432</v>
      </c>
    </row>
    <row r="12923" spans="1:8" hidden="1" x14ac:dyDescent="0.25">
      <c r="A12923" t="s">
        <v>17034</v>
      </c>
      <c r="B12923" s="1" t="str">
        <f>HYPERLINK("https://asmlis.vasa.lt/Dashboard/Served?ServiceDateFrom=2025-11-24&amp;ServiceDateTo=2025-11-24&amp;DumpsterInvNr=13-L-317963", "13-L-317963")</f>
        <v>13-L-317963</v>
      </c>
      <c r="C12923">
        <v>0.77</v>
      </c>
      <c r="D12923" t="s">
        <v>17035</v>
      </c>
      <c r="E12923" t="s">
        <v>11</v>
      </c>
      <c r="G12923" t="s">
        <v>9</v>
      </c>
      <c r="H12923" t="s">
        <v>14</v>
      </c>
    </row>
    <row r="12924" spans="1:8" hidden="1" x14ac:dyDescent="0.25">
      <c r="A12924" t="s">
        <v>17036</v>
      </c>
      <c r="B12924" s="1" t="str">
        <f>HYPERLINK("https://asmlis.vasa.lt/Dashboard/Served?ServiceDateFrom=2025-11-24&amp;ServiceDateTo=2025-11-24&amp;DumpsterInvNr=13-L-115767", "13-L-115767")</f>
        <v>13-L-115767</v>
      </c>
      <c r="C12924">
        <v>0.12</v>
      </c>
      <c r="D12924" t="s">
        <v>17037</v>
      </c>
      <c r="E12924" t="s">
        <v>11</v>
      </c>
      <c r="G12924" t="s">
        <v>1912</v>
      </c>
      <c r="H12924" t="s">
        <v>432</v>
      </c>
    </row>
    <row r="12925" spans="1:8" hidden="1" x14ac:dyDescent="0.25">
      <c r="A12925" t="s">
        <v>17036</v>
      </c>
      <c r="B12925" s="1" t="str">
        <f>HYPERLINK("https://asmlis.vasa.lt/Dashboard/Served?ServiceDateFrom=2025-11-24&amp;ServiceDateTo=2025-11-24&amp;DumpsterInvNr=13-P-416456", "13-P-416456")</f>
        <v>13-P-416456</v>
      </c>
      <c r="C12925">
        <v>1.1000000000000001</v>
      </c>
      <c r="D12925" t="s">
        <v>13715</v>
      </c>
      <c r="E12925" t="s">
        <v>11</v>
      </c>
      <c r="F12925" t="s">
        <v>13</v>
      </c>
      <c r="G12925" t="s">
        <v>264</v>
      </c>
      <c r="H12925" t="s">
        <v>14</v>
      </c>
    </row>
    <row r="12926" spans="1:8" hidden="1" x14ac:dyDescent="0.25">
      <c r="A12926" t="s">
        <v>17039</v>
      </c>
      <c r="B12926" s="1" t="str">
        <f>HYPERLINK("https://asmlis.vasa.lt/Dashboard/Served?ServiceDateFrom=2025-11-24&amp;ServiceDateTo=2025-11-24&amp;DumpsterInvNr=13-L-139233", "13-L-139233")</f>
        <v>13-L-139233</v>
      </c>
      <c r="C12926">
        <v>5</v>
      </c>
      <c r="D12926" t="s">
        <v>17040</v>
      </c>
      <c r="E12926" t="s">
        <v>11</v>
      </c>
      <c r="F12926" t="s">
        <v>13</v>
      </c>
      <c r="G12926" t="s">
        <v>1912</v>
      </c>
      <c r="H12926" t="s">
        <v>432</v>
      </c>
    </row>
    <row r="12927" spans="1:8" hidden="1" x14ac:dyDescent="0.25">
      <c r="A12927" t="s">
        <v>17041</v>
      </c>
      <c r="B12927" s="1" t="str">
        <f>HYPERLINK("https://asmlis.vasa.lt/Dashboard/Served?ServiceDateFrom=2025-11-24&amp;ServiceDateTo=2025-11-24&amp;DumpsterInvNr=13-T-000068", "13-T-000068")</f>
        <v>13-T-000068</v>
      </c>
      <c r="C12927">
        <v>2.5</v>
      </c>
      <c r="D12927" t="s">
        <v>205</v>
      </c>
      <c r="E12927" t="s">
        <v>11</v>
      </c>
      <c r="F12927" t="s">
        <v>13</v>
      </c>
      <c r="G12927" t="s">
        <v>1899</v>
      </c>
      <c r="H12927" t="s">
        <v>432</v>
      </c>
    </row>
    <row r="12928" spans="1:8" hidden="1" x14ac:dyDescent="0.25">
      <c r="A12928" t="s">
        <v>17042</v>
      </c>
      <c r="B12928" s="1" t="str">
        <f>HYPERLINK("https://asmlis.vasa.lt/Dashboard/Served?ServiceDateFrom=2025-11-24&amp;ServiceDateTo=2025-11-24&amp;DumpsterInvNr=13-T-000067", "13-T-000067")</f>
        <v>13-T-000067</v>
      </c>
      <c r="C12928">
        <v>2.5</v>
      </c>
      <c r="D12928" t="s">
        <v>205</v>
      </c>
      <c r="E12928" t="s">
        <v>11</v>
      </c>
      <c r="F12928" t="s">
        <v>13</v>
      </c>
      <c r="G12928" t="s">
        <v>1899</v>
      </c>
      <c r="H12928" t="s">
        <v>432</v>
      </c>
    </row>
    <row r="12929" spans="1:10" hidden="1" x14ac:dyDescent="0.25">
      <c r="A12929" t="s">
        <v>17043</v>
      </c>
      <c r="B12929" s="1" t="str">
        <f>HYPERLINK("https://asmlis.vasa.lt/Dashboard/Served?ServiceDateFrom=2025-11-24&amp;ServiceDateTo=2025-11-24&amp;DumpsterInvNr=13-L-300262", "13-L-300262")</f>
        <v>13-L-300262</v>
      </c>
      <c r="C12929">
        <v>5</v>
      </c>
      <c r="D12929" t="s">
        <v>11810</v>
      </c>
      <c r="E12929" t="s">
        <v>11</v>
      </c>
      <c r="G12929" t="s">
        <v>9</v>
      </c>
      <c r="H12929" t="s">
        <v>14</v>
      </c>
    </row>
    <row r="12930" spans="1:10" x14ac:dyDescent="0.25">
      <c r="A12930" t="s">
        <v>17044</v>
      </c>
      <c r="B12930" s="1" t="str">
        <f>HYPERLINK("https://asmlis.vasa.lt/Dashboard/Served?ServiceDateFrom=2025-11-24&amp;ServiceDateTo=2025-11-24&amp;DumpsterInvNr=13-P-101238", "13-P-101238")</f>
        <v>13-P-101238</v>
      </c>
      <c r="C12930">
        <v>0.77</v>
      </c>
      <c r="D12930" t="s">
        <v>17045</v>
      </c>
      <c r="E12930" t="s">
        <v>11</v>
      </c>
      <c r="F12930" t="s">
        <v>2491</v>
      </c>
      <c r="G12930" t="s">
        <v>1917</v>
      </c>
      <c r="H12930" t="s">
        <v>432</v>
      </c>
      <c r="J12930" t="s">
        <v>17511</v>
      </c>
    </row>
    <row r="12931" spans="1:10" hidden="1" x14ac:dyDescent="0.25">
      <c r="A12931" t="s">
        <v>17044</v>
      </c>
      <c r="B12931" s="1" t="str">
        <f>HYPERLINK("https://asmlis.vasa.lt/Dashboard/Served?ServiceDateFrom=2025-11-24&amp;ServiceDateTo=2025-11-24&amp;DumpsterInvNr=13-L-112212", "13-L-112212")</f>
        <v>13-L-112212</v>
      </c>
      <c r="C12931">
        <v>0.24</v>
      </c>
      <c r="D12931" t="s">
        <v>17046</v>
      </c>
      <c r="E12931" t="s">
        <v>11</v>
      </c>
      <c r="G12931" t="s">
        <v>430</v>
      </c>
      <c r="H12931" t="s">
        <v>432</v>
      </c>
    </row>
    <row r="12932" spans="1:10" hidden="1" x14ac:dyDescent="0.25">
      <c r="A12932" t="s">
        <v>17047</v>
      </c>
      <c r="B12932" s="1" t="str">
        <f>HYPERLINK("https://asmlis.vasa.lt/Dashboard/Served?ServiceDateFrom=2025-11-24&amp;ServiceDateTo=2025-11-24&amp;DumpsterInvNr=13-P-507393", "13-P-507393")</f>
        <v>13-P-507393</v>
      </c>
      <c r="C12932">
        <v>0.24</v>
      </c>
      <c r="D12932" t="s">
        <v>17046</v>
      </c>
      <c r="E12932" t="s">
        <v>11</v>
      </c>
      <c r="G12932" t="s">
        <v>2178</v>
      </c>
      <c r="H12932" t="s">
        <v>432</v>
      </c>
    </row>
    <row r="12933" spans="1:10" hidden="1" x14ac:dyDescent="0.25">
      <c r="A12933" t="s">
        <v>17048</v>
      </c>
      <c r="B12933" s="1" t="str">
        <f>HYPERLINK("https://asmlis.vasa.lt/Dashboard/Served?ServiceDateFrom=2025-11-24&amp;ServiceDateTo=2025-11-24&amp;DumpsterInvNr=13-L-115760", "13-L-115760")</f>
        <v>13-L-115760</v>
      </c>
      <c r="C12933">
        <v>0.12</v>
      </c>
      <c r="D12933" t="s">
        <v>17049</v>
      </c>
      <c r="E12933" t="s">
        <v>11</v>
      </c>
      <c r="G12933" t="s">
        <v>1912</v>
      </c>
      <c r="H12933" t="s">
        <v>432</v>
      </c>
    </row>
    <row r="12934" spans="1:10" hidden="1" x14ac:dyDescent="0.25">
      <c r="A12934" t="s">
        <v>17050</v>
      </c>
      <c r="B12934" s="1" t="str">
        <f>HYPERLINK("https://asmlis.vasa.lt/Dashboard/Served?ServiceDateFrom=2025-11-24&amp;ServiceDateTo=2025-11-24&amp;DumpsterInvNr=13-P-505046", "13-P-505046")</f>
        <v>13-P-505046</v>
      </c>
      <c r="C12934">
        <v>0.24</v>
      </c>
      <c r="D12934" t="s">
        <v>17046</v>
      </c>
      <c r="E12934" t="s">
        <v>11</v>
      </c>
      <c r="G12934" t="s">
        <v>2178</v>
      </c>
      <c r="H12934" t="s">
        <v>432</v>
      </c>
    </row>
    <row r="12935" spans="1:10" hidden="1" x14ac:dyDescent="0.25">
      <c r="A12935" t="s">
        <v>17051</v>
      </c>
      <c r="B12935" s="1" t="str">
        <f>HYPERLINK("https://asmlis.vasa.lt/Dashboard/Served?ServiceDateFrom=2025-11-24&amp;ServiceDateTo=2025-11-24&amp;DumpsterInvNr=13-L-104016", "13-L-104016")</f>
        <v>13-L-104016</v>
      </c>
      <c r="C12935">
        <v>5</v>
      </c>
      <c r="D12935" t="s">
        <v>17052</v>
      </c>
      <c r="E12935" t="s">
        <v>11</v>
      </c>
      <c r="F12935" t="s">
        <v>13</v>
      </c>
      <c r="G12935" t="s">
        <v>430</v>
      </c>
      <c r="H12935" t="s">
        <v>432</v>
      </c>
    </row>
    <row r="12936" spans="1:10" hidden="1" x14ac:dyDescent="0.25">
      <c r="A12936" t="s">
        <v>17053</v>
      </c>
      <c r="B12936" s="1" t="str">
        <f>HYPERLINK("https://asmlis.vasa.lt/Dashboard/Served?ServiceDateFrom=2025-11-24&amp;ServiceDateTo=2025-11-24&amp;DumpsterInvNr=13-L-314144", "13-L-314144")</f>
        <v>13-L-314144</v>
      </c>
      <c r="C12936">
        <v>0.77</v>
      </c>
      <c r="D12936" t="s">
        <v>16969</v>
      </c>
      <c r="E12936" t="s">
        <v>11</v>
      </c>
      <c r="F12936" t="s">
        <v>13</v>
      </c>
      <c r="G12936" t="s">
        <v>9</v>
      </c>
      <c r="H12936" t="s">
        <v>14</v>
      </c>
    </row>
    <row r="12937" spans="1:10" hidden="1" x14ac:dyDescent="0.25">
      <c r="A12937" t="s">
        <v>17054</v>
      </c>
      <c r="B12937" s="1" t="str">
        <f>HYPERLINK("https://asmlis.vasa.lt/Dashboard/Served?ServiceDateFrom=2025-11-24&amp;ServiceDateTo=2025-11-24&amp;DumpsterInvNr=13-L-313342", "13-L-313342")</f>
        <v>13-L-313342</v>
      </c>
      <c r="C12937">
        <v>0.77</v>
      </c>
      <c r="D12937" t="s">
        <v>17035</v>
      </c>
      <c r="E12937" t="s">
        <v>11</v>
      </c>
      <c r="F12937" t="s">
        <v>13</v>
      </c>
      <c r="G12937" t="s">
        <v>9</v>
      </c>
      <c r="H12937" t="s">
        <v>14</v>
      </c>
    </row>
    <row r="12938" spans="1:10" hidden="1" x14ac:dyDescent="0.25">
      <c r="A12938" t="s">
        <v>17055</v>
      </c>
      <c r="B12938" s="1" t="str">
        <f>HYPERLINK("https://asmlis.vasa.lt/Dashboard/Served?ServiceDateFrom=2025-11-24&amp;ServiceDateTo=2025-11-24&amp;DumpsterInvNr=13-L-309679", "13-L-309679")</f>
        <v>13-L-309679</v>
      </c>
      <c r="C12938">
        <v>0.77</v>
      </c>
      <c r="D12938" t="s">
        <v>16969</v>
      </c>
      <c r="E12938" t="s">
        <v>11</v>
      </c>
      <c r="F12938" t="s">
        <v>13</v>
      </c>
      <c r="G12938" t="s">
        <v>9</v>
      </c>
      <c r="H12938" t="s">
        <v>14</v>
      </c>
    </row>
    <row r="12939" spans="1:10" hidden="1" x14ac:dyDescent="0.25">
      <c r="A12939" t="s">
        <v>17055</v>
      </c>
      <c r="B12939" s="1" t="str">
        <f>HYPERLINK("https://asmlis.vasa.lt/Dashboard/Served?ServiceDateFrom=2025-11-24&amp;ServiceDateTo=2025-11-24&amp;DumpsterInvNr=13-P-305413", "13-P-305413")</f>
        <v>13-P-305413</v>
      </c>
      <c r="C12939">
        <v>5</v>
      </c>
      <c r="D12939" t="s">
        <v>13938</v>
      </c>
      <c r="E12939" t="s">
        <v>11</v>
      </c>
      <c r="G12939" t="s">
        <v>412</v>
      </c>
      <c r="H12939" t="s">
        <v>14</v>
      </c>
    </row>
    <row r="12940" spans="1:10" hidden="1" x14ac:dyDescent="0.25">
      <c r="A12940" t="s">
        <v>17056</v>
      </c>
      <c r="B12940" s="1" t="str">
        <f>HYPERLINK("https://asmlis.vasa.lt/Dashboard/Served?ServiceDateFrom=2025-11-24&amp;ServiceDateTo=2025-11-24&amp;DumpsterInvNr=13-L-123410", "13-L-123410")</f>
        <v>13-L-123410</v>
      </c>
      <c r="C12940">
        <v>0.24</v>
      </c>
      <c r="D12940" t="s">
        <v>17057</v>
      </c>
      <c r="E12940" t="s">
        <v>11</v>
      </c>
      <c r="G12940" t="s">
        <v>430</v>
      </c>
      <c r="H12940" t="s">
        <v>432</v>
      </c>
    </row>
    <row r="12941" spans="1:10" hidden="1" x14ac:dyDescent="0.25">
      <c r="A12941" t="s">
        <v>17058</v>
      </c>
      <c r="B12941" s="1" t="str">
        <f>HYPERLINK("https://asmlis.vasa.lt/Dashboard/Served?ServiceDateFrom=2025-11-24&amp;ServiceDateTo=2025-11-24&amp;DumpsterInvNr=13-P-507394", "13-P-507394")</f>
        <v>13-P-507394</v>
      </c>
      <c r="C12941">
        <v>0.24</v>
      </c>
      <c r="D12941" t="s">
        <v>17057</v>
      </c>
      <c r="E12941" t="s">
        <v>11</v>
      </c>
      <c r="G12941" t="s">
        <v>2178</v>
      </c>
      <c r="H12941" t="s">
        <v>432</v>
      </c>
    </row>
    <row r="12942" spans="1:10" hidden="1" x14ac:dyDescent="0.25">
      <c r="A12942" t="s">
        <v>17059</v>
      </c>
      <c r="B12942" s="1" t="str">
        <f>HYPERLINK("https://asmlis.vasa.lt/Dashboard/Served?ServiceDateFrom=2025-11-24&amp;ServiceDateTo=2025-11-24&amp;DumpsterInvNr=13-P-401299", "13-P-401299")</f>
        <v>13-P-401299</v>
      </c>
      <c r="C12942">
        <v>1.1000000000000001</v>
      </c>
      <c r="D12942" t="s">
        <v>14289</v>
      </c>
      <c r="E12942" t="s">
        <v>11</v>
      </c>
      <c r="F12942" t="s">
        <v>13</v>
      </c>
      <c r="G12942" t="s">
        <v>264</v>
      </c>
      <c r="H12942" t="s">
        <v>14</v>
      </c>
    </row>
    <row r="12943" spans="1:10" hidden="1" x14ac:dyDescent="0.25">
      <c r="A12943" t="s">
        <v>17060</v>
      </c>
      <c r="B12943" s="1" t="str">
        <f>HYPERLINK("https://asmlis.vasa.lt/Dashboard/Served?ServiceDateFrom=2025-11-24&amp;ServiceDateTo=2025-11-24&amp;DumpsterInvNr=13-L-115816", "13-L-115816")</f>
        <v>13-L-115816</v>
      </c>
      <c r="C12943">
        <v>0.24</v>
      </c>
      <c r="D12943" t="s">
        <v>17061</v>
      </c>
      <c r="E12943" t="s">
        <v>11</v>
      </c>
      <c r="F12943" t="s">
        <v>1209</v>
      </c>
      <c r="G12943" t="s">
        <v>1912</v>
      </c>
      <c r="H12943" t="s">
        <v>432</v>
      </c>
    </row>
    <row r="12944" spans="1:10" hidden="1" x14ac:dyDescent="0.25">
      <c r="A12944" t="s">
        <v>17062</v>
      </c>
      <c r="B12944" s="1" t="str">
        <f>HYPERLINK("https://asmlis.vasa.lt/Dashboard/Served?ServiceDateFrom=2025-11-24&amp;ServiceDateTo=2025-11-24&amp;DumpsterInvNr=13-P-401709", "13-P-401709")</f>
        <v>13-P-401709</v>
      </c>
      <c r="C12944">
        <v>1.1000000000000001</v>
      </c>
      <c r="D12944" t="s">
        <v>14281</v>
      </c>
      <c r="E12944" t="s">
        <v>11</v>
      </c>
      <c r="F12944" t="s">
        <v>13</v>
      </c>
      <c r="G12944" t="s">
        <v>264</v>
      </c>
      <c r="H12944" t="s">
        <v>14</v>
      </c>
    </row>
    <row r="12945" spans="1:8" hidden="1" x14ac:dyDescent="0.25">
      <c r="A12945" t="s">
        <v>17063</v>
      </c>
      <c r="B12945" s="1" t="str">
        <f>HYPERLINK("https://asmlis.vasa.lt/Dashboard/Served?ServiceDateFrom=2025-11-24&amp;ServiceDateTo=2025-11-24&amp;DumpsterInvNr=13-L-302739", "13-L-302739")</f>
        <v>13-L-302739</v>
      </c>
      <c r="C12945">
        <v>0.77</v>
      </c>
      <c r="D12945" t="s">
        <v>17064</v>
      </c>
      <c r="E12945" t="s">
        <v>11</v>
      </c>
      <c r="G12945" t="s">
        <v>9</v>
      </c>
      <c r="H12945" t="s">
        <v>14</v>
      </c>
    </row>
    <row r="12946" spans="1:8" hidden="1" x14ac:dyDescent="0.25">
      <c r="A12946" t="s">
        <v>17065</v>
      </c>
      <c r="B12946" s="1" t="str">
        <f>HYPERLINK("https://asmlis.vasa.lt/Dashboard/Served?ServiceDateFrom=2025-11-24&amp;ServiceDateTo=2025-11-24&amp;DumpsterInvNr=13-L-135209", "13-L-135209")</f>
        <v>13-L-135209</v>
      </c>
      <c r="C12946">
        <v>0.24</v>
      </c>
      <c r="D12946" t="s">
        <v>17066</v>
      </c>
      <c r="E12946" t="s">
        <v>11</v>
      </c>
      <c r="G12946" t="s">
        <v>430</v>
      </c>
      <c r="H12946" t="s">
        <v>432</v>
      </c>
    </row>
    <row r="12947" spans="1:8" hidden="1" x14ac:dyDescent="0.25">
      <c r="A12947" t="s">
        <v>17067</v>
      </c>
      <c r="B12947" s="1" t="str">
        <f>HYPERLINK("https://asmlis.vasa.lt/Dashboard/Served?ServiceDateFrom=2025-11-24&amp;ServiceDateTo=2025-11-24&amp;DumpsterInvNr=13-L-108274", "13-L-108274")</f>
        <v>13-L-108274</v>
      </c>
      <c r="C12947">
        <v>0.12</v>
      </c>
      <c r="D12947" t="s">
        <v>17068</v>
      </c>
      <c r="E12947" t="s">
        <v>11</v>
      </c>
      <c r="G12947" t="s">
        <v>430</v>
      </c>
      <c r="H12947" t="s">
        <v>432</v>
      </c>
    </row>
    <row r="12948" spans="1:8" hidden="1" x14ac:dyDescent="0.25">
      <c r="A12948" t="s">
        <v>17069</v>
      </c>
      <c r="B12948" s="1" t="str">
        <f>HYPERLINK("https://asmlis.vasa.lt/Dashboard/Served?ServiceDateFrom=2025-11-24&amp;ServiceDateTo=2025-11-24&amp;DumpsterInvNr=13-P-507178", "13-P-507178")</f>
        <v>13-P-507178</v>
      </c>
      <c r="C12948">
        <v>0.24</v>
      </c>
      <c r="D12948" t="s">
        <v>17066</v>
      </c>
      <c r="E12948" t="s">
        <v>11</v>
      </c>
      <c r="G12948" t="s">
        <v>2178</v>
      </c>
      <c r="H12948" t="s">
        <v>432</v>
      </c>
    </row>
    <row r="12949" spans="1:8" hidden="1" x14ac:dyDescent="0.25">
      <c r="A12949" t="s">
        <v>17070</v>
      </c>
      <c r="B12949" s="1" t="str">
        <f>HYPERLINK("https://asmlis.vasa.lt/Dashboard/Served?ServiceDateFrom=2025-11-24&amp;ServiceDateTo=2025-11-24&amp;DumpsterInvNr=13-P-301644", "13-P-301644")</f>
        <v>13-P-301644</v>
      </c>
      <c r="C12949">
        <v>5</v>
      </c>
      <c r="D12949" t="s">
        <v>13938</v>
      </c>
      <c r="E12949" t="s">
        <v>11</v>
      </c>
      <c r="F12949" t="s">
        <v>13</v>
      </c>
      <c r="G12949" t="s">
        <v>412</v>
      </c>
      <c r="H12949" t="s">
        <v>14</v>
      </c>
    </row>
    <row r="12950" spans="1:8" hidden="1" x14ac:dyDescent="0.25">
      <c r="A12950" t="s">
        <v>17071</v>
      </c>
      <c r="B12950" s="1" t="str">
        <f>HYPERLINK("https://asmlis.vasa.lt/Dashboard/Served?ServiceDateFrom=2025-11-24&amp;ServiceDateTo=2025-11-24&amp;DumpsterInvNr=13-P-505362", "13-P-505362")</f>
        <v>13-P-505362</v>
      </c>
      <c r="C12950">
        <v>0.12</v>
      </c>
      <c r="D12950" t="s">
        <v>17068</v>
      </c>
      <c r="E12950" t="s">
        <v>11</v>
      </c>
      <c r="G12950" t="s">
        <v>2178</v>
      </c>
      <c r="H12950" t="s">
        <v>432</v>
      </c>
    </row>
    <row r="12951" spans="1:8" hidden="1" x14ac:dyDescent="0.25">
      <c r="A12951" t="s">
        <v>17072</v>
      </c>
      <c r="B12951" s="1" t="str">
        <f>HYPERLINK("https://asmlis.vasa.lt/Dashboard/Served?ServiceDateFrom=2025-11-24&amp;ServiceDateTo=2025-11-24&amp;DumpsterInvNr=13-P-501766", "13-P-501766")</f>
        <v>13-P-501766</v>
      </c>
      <c r="C12951">
        <v>5</v>
      </c>
      <c r="D12951" t="s">
        <v>9467</v>
      </c>
      <c r="E12951" t="s">
        <v>11</v>
      </c>
      <c r="F12951" t="s">
        <v>13</v>
      </c>
      <c r="G12951" t="s">
        <v>2178</v>
      </c>
      <c r="H12951" t="s">
        <v>432</v>
      </c>
    </row>
    <row r="12952" spans="1:8" hidden="1" x14ac:dyDescent="0.25">
      <c r="A12952" t="s">
        <v>17073</v>
      </c>
      <c r="B12952" s="1" t="str">
        <f>HYPERLINK("https://asmlis.vasa.lt/Dashboard/Served?ServiceDateFrom=2025-11-24&amp;ServiceDateTo=2025-11-24&amp;DumpsterInvNr=13-P-501767", "13-P-501767")</f>
        <v>13-P-501767</v>
      </c>
      <c r="C12952">
        <v>5</v>
      </c>
      <c r="D12952" t="s">
        <v>9467</v>
      </c>
      <c r="E12952" t="s">
        <v>11</v>
      </c>
      <c r="F12952" t="s">
        <v>13</v>
      </c>
      <c r="G12952" t="s">
        <v>2178</v>
      </c>
      <c r="H12952" t="s">
        <v>432</v>
      </c>
    </row>
    <row r="12953" spans="1:8" hidden="1" x14ac:dyDescent="0.25">
      <c r="A12953" t="s">
        <v>17074</v>
      </c>
      <c r="B12953" s="1" t="str">
        <f>HYPERLINK("https://asmlis.vasa.lt/Dashboard/Served?ServiceDateFrom=2025-11-24&amp;ServiceDateTo=2025-11-24&amp;DumpsterInvNr=13-L-114842", "13-L-114842")</f>
        <v>13-L-114842</v>
      </c>
      <c r="C12953">
        <v>0.24</v>
      </c>
      <c r="D12953" t="s">
        <v>17075</v>
      </c>
      <c r="E12953" t="s">
        <v>11</v>
      </c>
      <c r="G12953" t="s">
        <v>1912</v>
      </c>
      <c r="H12953" t="s">
        <v>432</v>
      </c>
    </row>
    <row r="12954" spans="1:8" hidden="1" x14ac:dyDescent="0.25">
      <c r="A12954" t="s">
        <v>17076</v>
      </c>
      <c r="B12954" s="1" t="str">
        <f>HYPERLINK("https://asmlis.vasa.lt/Dashboard/Served?ServiceDateFrom=2025-11-24&amp;ServiceDateTo=2025-11-24&amp;DumpsterInvNr=13-L-313527", "13-L-313527")</f>
        <v>13-L-313527</v>
      </c>
      <c r="C12954">
        <v>5</v>
      </c>
      <c r="D12954" t="s">
        <v>13060</v>
      </c>
      <c r="E12954" t="s">
        <v>11</v>
      </c>
      <c r="G12954" t="s">
        <v>9</v>
      </c>
      <c r="H12954" t="s">
        <v>14</v>
      </c>
    </row>
    <row r="12955" spans="1:8" hidden="1" x14ac:dyDescent="0.25">
      <c r="A12955" t="s">
        <v>17077</v>
      </c>
      <c r="B12955" s="1" t="str">
        <f>HYPERLINK("https://asmlis.vasa.lt/Dashboard/Served?ServiceDateFrom=2025-11-24&amp;ServiceDateTo=2025-11-24&amp;DumpsterInvNr=13-L-108273", "13-L-108273")</f>
        <v>13-L-108273</v>
      </c>
      <c r="C12955">
        <v>0.12</v>
      </c>
      <c r="D12955" t="s">
        <v>17078</v>
      </c>
      <c r="E12955" t="s">
        <v>11</v>
      </c>
      <c r="G12955" t="s">
        <v>430</v>
      </c>
      <c r="H12955" t="s">
        <v>432</v>
      </c>
    </row>
    <row r="12956" spans="1:8" hidden="1" x14ac:dyDescent="0.25">
      <c r="A12956" t="s">
        <v>17079</v>
      </c>
      <c r="B12956" s="1" t="str">
        <f>HYPERLINK("https://asmlis.vasa.lt/Dashboard/Served?ServiceDateFrom=2025-11-24&amp;ServiceDateTo=2025-11-24&amp;DumpsterInvNr=13-L-137714", "13-L-137714")</f>
        <v>13-L-137714</v>
      </c>
      <c r="C12956">
        <v>5</v>
      </c>
      <c r="D12956" t="s">
        <v>17080</v>
      </c>
      <c r="E12956" t="s">
        <v>11</v>
      </c>
      <c r="F12956" t="s">
        <v>13</v>
      </c>
      <c r="G12956" t="s">
        <v>1912</v>
      </c>
      <c r="H12956" t="s">
        <v>432</v>
      </c>
    </row>
    <row r="12957" spans="1:8" hidden="1" x14ac:dyDescent="0.25">
      <c r="A12957" t="s">
        <v>17081</v>
      </c>
      <c r="B12957" s="1" t="str">
        <f>HYPERLINK("https://asmlis.vasa.lt/Dashboard/Served?ServiceDateFrom=2025-11-24&amp;ServiceDateTo=2025-11-24&amp;DumpsterInvNr=13-L-145739", "13-L-145739")</f>
        <v>13-L-145739</v>
      </c>
      <c r="C12957">
        <v>0.24</v>
      </c>
      <c r="D12957" t="s">
        <v>17082</v>
      </c>
      <c r="E12957" t="s">
        <v>11</v>
      </c>
      <c r="G12957" t="s">
        <v>430</v>
      </c>
      <c r="H12957" t="s">
        <v>432</v>
      </c>
    </row>
    <row r="12958" spans="1:8" hidden="1" x14ac:dyDescent="0.25">
      <c r="A12958" t="s">
        <v>17083</v>
      </c>
      <c r="B12958" s="1" t="str">
        <f>HYPERLINK("https://asmlis.vasa.lt/Dashboard/Served?ServiceDateFrom=2025-11-24&amp;ServiceDateTo=2025-11-24&amp;DumpsterInvNr=13-L-113308", "13-L-113308")</f>
        <v>13-L-113308</v>
      </c>
      <c r="C12958">
        <v>5</v>
      </c>
      <c r="D12958" t="s">
        <v>17084</v>
      </c>
      <c r="E12958" t="s">
        <v>11</v>
      </c>
      <c r="F12958" t="s">
        <v>13</v>
      </c>
      <c r="G12958" t="s">
        <v>430</v>
      </c>
      <c r="H12958" t="s">
        <v>432</v>
      </c>
    </row>
    <row r="12959" spans="1:8" hidden="1" x14ac:dyDescent="0.25">
      <c r="A12959" t="s">
        <v>17083</v>
      </c>
      <c r="B12959" s="1" t="str">
        <f>HYPERLINK("https://asmlis.vasa.lt/Dashboard/Served?ServiceDateFrom=2025-11-24&amp;ServiceDateTo=2025-11-24&amp;DumpsterInvNr=13-P-506962", "13-P-506962")</f>
        <v>13-P-506962</v>
      </c>
      <c r="C12959">
        <v>0.24</v>
      </c>
      <c r="D12959" t="s">
        <v>17082</v>
      </c>
      <c r="E12959" t="s">
        <v>11</v>
      </c>
      <c r="G12959" t="s">
        <v>2178</v>
      </c>
      <c r="H12959" t="s">
        <v>432</v>
      </c>
    </row>
    <row r="12960" spans="1:8" hidden="1" x14ac:dyDescent="0.25">
      <c r="A12960" t="s">
        <v>17085</v>
      </c>
      <c r="B12960" s="1" t="str">
        <f>HYPERLINK("https://asmlis.vasa.lt/Dashboard/Served?ServiceDateFrom=2025-11-24&amp;ServiceDateTo=2025-11-24&amp;DumpsterInvNr=DGA-ZALVARIS", "DGA-ZALVARIS")</f>
        <v>DGA-ZALVARIS</v>
      </c>
      <c r="C12960">
        <v>1</v>
      </c>
      <c r="D12960" t="s">
        <v>16478</v>
      </c>
      <c r="E12960" t="s">
        <v>12</v>
      </c>
      <c r="F12960" t="s">
        <v>17086</v>
      </c>
      <c r="G12960" t="s">
        <v>6763</v>
      </c>
      <c r="H12960" t="s">
        <v>6765</v>
      </c>
    </row>
    <row r="12961" spans="1:8" hidden="1" x14ac:dyDescent="0.25">
      <c r="A12961" t="s">
        <v>17087</v>
      </c>
      <c r="B12961" s="1" t="str">
        <f>HYPERLINK("https://asmlis.vasa.lt/Dashboard/Served?ServiceDateFrom=2025-11-24&amp;ServiceDateTo=2025-11-24&amp;DumpsterInvNr=13-P-401194", "13-P-401194")</f>
        <v>13-P-401194</v>
      </c>
      <c r="C12961">
        <v>1.1000000000000001</v>
      </c>
      <c r="D12961" t="s">
        <v>8725</v>
      </c>
      <c r="E12961" t="s">
        <v>11</v>
      </c>
      <c r="F12961" t="s">
        <v>13</v>
      </c>
      <c r="G12961" t="s">
        <v>264</v>
      </c>
      <c r="H12961" t="s">
        <v>14</v>
      </c>
    </row>
    <row r="12962" spans="1:8" hidden="1" x14ac:dyDescent="0.25">
      <c r="A12962" t="s">
        <v>17088</v>
      </c>
      <c r="B12962" s="1" t="str">
        <f>HYPERLINK("https://asmlis.vasa.lt/Dashboard/Served?ServiceDateFrom=2025-11-24&amp;ServiceDateTo=2025-11-24&amp;DumpsterInvNr=13-P-116462", "13-P-116462")</f>
        <v>13-P-116462</v>
      </c>
      <c r="C12962">
        <v>1.1000000000000001</v>
      </c>
      <c r="D12962" t="s">
        <v>17089</v>
      </c>
      <c r="E12962" t="s">
        <v>11</v>
      </c>
      <c r="G12962" t="s">
        <v>1917</v>
      </c>
      <c r="H12962" t="s">
        <v>432</v>
      </c>
    </row>
    <row r="12963" spans="1:8" hidden="1" x14ac:dyDescent="0.25">
      <c r="A12963" t="s">
        <v>17090</v>
      </c>
      <c r="B12963" s="1" t="str">
        <f>HYPERLINK("https://asmlis.vasa.lt/Dashboard/Served?ServiceDateFrom=2025-11-24&amp;ServiceDateTo=2025-11-24&amp;DumpsterInvNr=13-L-318402", "13-L-318402")</f>
        <v>13-L-318402</v>
      </c>
      <c r="C12963">
        <v>1.1000000000000001</v>
      </c>
      <c r="D12963" t="s">
        <v>17091</v>
      </c>
      <c r="E12963" t="s">
        <v>11</v>
      </c>
      <c r="G12963" t="s">
        <v>9</v>
      </c>
      <c r="H12963" t="s">
        <v>14</v>
      </c>
    </row>
    <row r="12964" spans="1:8" hidden="1" x14ac:dyDescent="0.25">
      <c r="A12964" t="s">
        <v>17092</v>
      </c>
      <c r="B12964" s="1" t="str">
        <f>HYPERLINK("https://asmlis.vasa.lt/Dashboard/Served?ServiceDateFrom=2025-11-24&amp;ServiceDateTo=2025-11-24&amp;DumpsterInvNr=13-P-502827", "13-P-502827")</f>
        <v>13-P-502827</v>
      </c>
      <c r="C12964">
        <v>0.24</v>
      </c>
      <c r="D12964" t="s">
        <v>17093</v>
      </c>
      <c r="E12964" t="s">
        <v>11</v>
      </c>
      <c r="G12964" t="s">
        <v>2178</v>
      </c>
      <c r="H12964" t="s">
        <v>432</v>
      </c>
    </row>
    <row r="12965" spans="1:8" hidden="1" x14ac:dyDescent="0.25">
      <c r="A12965" t="s">
        <v>17092</v>
      </c>
      <c r="B12965" s="1" t="str">
        <f>HYPERLINK("https://asmlis.vasa.lt/Dashboard/Served?ServiceDateFrom=2025-11-24&amp;ServiceDateTo=2025-11-24&amp;DumpsterInvNr=13-L-128633", "13-L-128633")</f>
        <v>13-L-128633</v>
      </c>
      <c r="C12965">
        <v>0.24</v>
      </c>
      <c r="D12965" t="s">
        <v>17093</v>
      </c>
      <c r="E12965" t="s">
        <v>11</v>
      </c>
      <c r="G12965" t="s">
        <v>430</v>
      </c>
      <c r="H12965" t="s">
        <v>432</v>
      </c>
    </row>
    <row r="12966" spans="1:8" hidden="1" x14ac:dyDescent="0.25">
      <c r="A12966" t="s">
        <v>17094</v>
      </c>
      <c r="B12966" s="1" t="str">
        <f>HYPERLINK("https://asmlis.vasa.lt/Dashboard/Served?ServiceDateFrom=2025-11-24&amp;ServiceDateTo=2025-11-24&amp;DumpsterInvNr=13-L-114256", "13-L-114256")</f>
        <v>13-L-114256</v>
      </c>
      <c r="C12966">
        <v>0.12</v>
      </c>
      <c r="D12966" t="s">
        <v>17093</v>
      </c>
      <c r="E12966" t="s">
        <v>11</v>
      </c>
      <c r="F12966" t="s">
        <v>1209</v>
      </c>
      <c r="G12966" t="s">
        <v>430</v>
      </c>
      <c r="H12966" t="s">
        <v>432</v>
      </c>
    </row>
    <row r="12967" spans="1:8" hidden="1" x14ac:dyDescent="0.25">
      <c r="A12967" t="s">
        <v>16965</v>
      </c>
      <c r="B12967" s="1" t="str">
        <f>HYPERLINK("https://asmlis.vasa.lt/Dashboard/Served?ServiceDateFrom=2025-11-24&amp;ServiceDateTo=2025-11-24&amp;DumpsterInvNr=13-L-311760", "13-L-311760")</f>
        <v>13-L-311760</v>
      </c>
      <c r="C12967">
        <v>1.1000000000000001</v>
      </c>
      <c r="D12967" t="s">
        <v>17091</v>
      </c>
      <c r="E12967" t="s">
        <v>11</v>
      </c>
      <c r="G12967" t="s">
        <v>9</v>
      </c>
      <c r="H12967" t="s">
        <v>14</v>
      </c>
    </row>
    <row r="12968" spans="1:8" hidden="1" x14ac:dyDescent="0.25">
      <c r="A12968" t="s">
        <v>16965</v>
      </c>
      <c r="B12968" s="1" t="str">
        <f>HYPERLINK("https://asmlis.vasa.lt/Dashboard/Served?ServiceDateFrom=2025-11-24&amp;ServiceDateTo=2025-11-24&amp;DumpsterInvNr=13-L-108272", "13-L-108272")</f>
        <v>13-L-108272</v>
      </c>
      <c r="C12968">
        <v>0.12</v>
      </c>
      <c r="D12968" t="s">
        <v>17095</v>
      </c>
      <c r="E12968" t="s">
        <v>11</v>
      </c>
      <c r="F12968" t="s">
        <v>1209</v>
      </c>
      <c r="G12968" t="s">
        <v>430</v>
      </c>
      <c r="H12968" t="s">
        <v>432</v>
      </c>
    </row>
    <row r="12969" spans="1:8" hidden="1" x14ac:dyDescent="0.25">
      <c r="A12969" t="s">
        <v>17038</v>
      </c>
      <c r="B12969" s="1" t="str">
        <f>HYPERLINK("https://asmlis.vasa.lt/Dashboard/Served?ServiceDateFrom=2025-11-24&amp;ServiceDateTo=2025-11-24&amp;DumpsterInvNr=13-P-505364", "13-P-505364")</f>
        <v>13-P-505364</v>
      </c>
      <c r="C12969">
        <v>0.12</v>
      </c>
      <c r="D12969" t="s">
        <v>17095</v>
      </c>
      <c r="E12969" t="s">
        <v>11</v>
      </c>
      <c r="F12969" t="s">
        <v>1209</v>
      </c>
      <c r="G12969" t="s">
        <v>2178</v>
      </c>
      <c r="H12969" t="s">
        <v>432</v>
      </c>
    </row>
    <row r="12970" spans="1:8" hidden="1" x14ac:dyDescent="0.25">
      <c r="A12970" t="s">
        <v>16999</v>
      </c>
      <c r="B12970" s="1" t="str">
        <f>HYPERLINK("https://asmlis.vasa.lt/Dashboard/Served?ServiceDateFrom=2025-11-24&amp;ServiceDateTo=2025-11-24&amp;DumpsterInvNr=13-S-210171", "13-S-210171")</f>
        <v>13-S-210171</v>
      </c>
      <c r="C12970">
        <v>3</v>
      </c>
      <c r="D12970" t="s">
        <v>4016</v>
      </c>
      <c r="E12970" t="s">
        <v>11</v>
      </c>
      <c r="F12970" t="s">
        <v>13</v>
      </c>
      <c r="G12970" t="s">
        <v>234</v>
      </c>
      <c r="H12970" t="s">
        <v>14</v>
      </c>
    </row>
    <row r="12971" spans="1:8" hidden="1" x14ac:dyDescent="0.25">
      <c r="A12971" t="s">
        <v>16994</v>
      </c>
      <c r="B12971" s="1" t="str">
        <f>HYPERLINK("https://asmlis.vasa.lt/Dashboard/Served?ServiceDateFrom=2025-11-24&amp;ServiceDateTo=2025-11-24&amp;DumpsterInvNr=13-P-305412", "13-P-305412")</f>
        <v>13-P-305412</v>
      </c>
      <c r="C12971">
        <v>5</v>
      </c>
      <c r="D12971" t="s">
        <v>374</v>
      </c>
      <c r="E12971" t="s">
        <v>11</v>
      </c>
      <c r="F12971" t="s">
        <v>13</v>
      </c>
      <c r="G12971" t="s">
        <v>412</v>
      </c>
      <c r="H12971" t="s">
        <v>14</v>
      </c>
    </row>
    <row r="12972" spans="1:8" hidden="1" x14ac:dyDescent="0.25">
      <c r="A12972" t="s">
        <v>17096</v>
      </c>
      <c r="B12972" s="1" t="str">
        <f>HYPERLINK("https://asmlis.vasa.lt/Dashboard/Served?ServiceDateFrom=2025-11-24&amp;ServiceDateTo=2025-11-24&amp;DumpsterInvNr=13-P-501779", "13-P-501779")</f>
        <v>13-P-501779</v>
      </c>
      <c r="C12972">
        <v>5</v>
      </c>
      <c r="D12972" t="s">
        <v>9549</v>
      </c>
      <c r="E12972" t="s">
        <v>11</v>
      </c>
      <c r="F12972" t="s">
        <v>13</v>
      </c>
      <c r="G12972" t="s">
        <v>2178</v>
      </c>
      <c r="H12972" t="s">
        <v>432</v>
      </c>
    </row>
    <row r="12973" spans="1:8" hidden="1" x14ac:dyDescent="0.25">
      <c r="A12973" t="s">
        <v>17097</v>
      </c>
      <c r="B12973" s="1" t="str">
        <f>HYPERLINK("https://asmlis.vasa.lt/Dashboard/Served?ServiceDateFrom=2025-11-24&amp;ServiceDateTo=2025-11-24&amp;DumpsterInvNr=13-L-144992", "13-L-144992")</f>
        <v>13-L-144992</v>
      </c>
      <c r="C12973">
        <v>5</v>
      </c>
      <c r="D12973" t="s">
        <v>17098</v>
      </c>
      <c r="E12973" t="s">
        <v>11</v>
      </c>
      <c r="F12973" t="s">
        <v>13</v>
      </c>
      <c r="G12973" t="s">
        <v>430</v>
      </c>
      <c r="H12973" t="s">
        <v>432</v>
      </c>
    </row>
    <row r="12974" spans="1:8" hidden="1" x14ac:dyDescent="0.25">
      <c r="A12974" t="s">
        <v>17099</v>
      </c>
      <c r="B12974" s="1" t="str">
        <f>HYPERLINK("https://asmlis.vasa.lt/Dashboard/Served?ServiceDateFrom=2025-11-24&amp;ServiceDateTo=2025-11-24&amp;DumpsterInvNr=13-S-208807", "13-S-208807")</f>
        <v>13-S-208807</v>
      </c>
      <c r="C12974">
        <v>1.3</v>
      </c>
      <c r="D12974" t="s">
        <v>4016</v>
      </c>
      <c r="E12974" t="s">
        <v>11</v>
      </c>
      <c r="F12974" t="s">
        <v>13</v>
      </c>
      <c r="G12974" t="s">
        <v>234</v>
      </c>
      <c r="H12974" t="s">
        <v>14</v>
      </c>
    </row>
    <row r="12975" spans="1:8" hidden="1" x14ac:dyDescent="0.25">
      <c r="A12975" t="s">
        <v>17100</v>
      </c>
      <c r="B12975" s="1" t="str">
        <f>HYPERLINK("https://asmlis.vasa.lt/Dashboard/Served?ServiceDateFrom=2025-11-24&amp;ServiceDateTo=2025-11-24&amp;DumpsterInvNr=13-L-141516", "13-L-141516")</f>
        <v>13-L-141516</v>
      </c>
      <c r="C12975">
        <v>5</v>
      </c>
      <c r="D12975" t="s">
        <v>17101</v>
      </c>
      <c r="E12975" t="s">
        <v>11</v>
      </c>
      <c r="F12975" t="s">
        <v>13</v>
      </c>
      <c r="G12975" t="s">
        <v>430</v>
      </c>
      <c r="H12975" t="s">
        <v>432</v>
      </c>
    </row>
    <row r="12976" spans="1:8" hidden="1" x14ac:dyDescent="0.25">
      <c r="A12976" t="s">
        <v>17102</v>
      </c>
      <c r="B12976" s="1" t="str">
        <f>HYPERLINK("https://asmlis.vasa.lt/Dashboard/Served?ServiceDateFrom=2025-11-24&amp;ServiceDateTo=2025-11-24&amp;DumpsterInvNr=13-L-139007", "13-L-139007")</f>
        <v>13-L-139007</v>
      </c>
      <c r="C12976">
        <v>0.24</v>
      </c>
      <c r="D12976" t="s">
        <v>5125</v>
      </c>
      <c r="E12976" t="s">
        <v>11</v>
      </c>
      <c r="F12976" t="s">
        <v>1209</v>
      </c>
      <c r="G12976" t="s">
        <v>430</v>
      </c>
      <c r="H12976" t="s">
        <v>432</v>
      </c>
    </row>
    <row r="12977" spans="1:10" hidden="1" x14ac:dyDescent="0.25">
      <c r="A12977" t="s">
        <v>17103</v>
      </c>
      <c r="B12977" s="1" t="str">
        <f>HYPERLINK("https://asmlis.vasa.lt/Dashboard/Served?ServiceDateFrom=2025-11-24&amp;ServiceDateTo=2025-11-24&amp;DumpsterInvNr=13-L-123964", "13-L-123964")</f>
        <v>13-L-123964</v>
      </c>
      <c r="C12977">
        <v>0.24</v>
      </c>
      <c r="D12977" t="s">
        <v>17104</v>
      </c>
      <c r="E12977" t="s">
        <v>11</v>
      </c>
      <c r="G12977" t="s">
        <v>1912</v>
      </c>
      <c r="H12977" t="s">
        <v>432</v>
      </c>
    </row>
    <row r="12978" spans="1:10" hidden="1" x14ac:dyDescent="0.25">
      <c r="A12978" t="s">
        <v>17105</v>
      </c>
      <c r="B12978" s="1" t="str">
        <f>HYPERLINK("https://asmlis.vasa.lt/Dashboard/Served?ServiceDateFrom=2025-11-24&amp;ServiceDateTo=2025-11-24&amp;DumpsterInvNr=DGA-ZALVARIS", "DGA-ZALVARIS")</f>
        <v>DGA-ZALVARIS</v>
      </c>
      <c r="C12978">
        <v>1</v>
      </c>
      <c r="D12978" t="s">
        <v>15762</v>
      </c>
      <c r="E12978" t="s">
        <v>12</v>
      </c>
      <c r="F12978" t="s">
        <v>17106</v>
      </c>
      <c r="G12978" t="s">
        <v>6763</v>
      </c>
      <c r="H12978" t="s">
        <v>6765</v>
      </c>
    </row>
    <row r="12979" spans="1:10" hidden="1" x14ac:dyDescent="0.25">
      <c r="A12979" t="s">
        <v>17107</v>
      </c>
      <c r="B12979" s="1" t="str">
        <f>HYPERLINK("https://asmlis.vasa.lt/Dashboard/Served?ServiceDateFrom=2025-11-24&amp;ServiceDateTo=2025-11-24&amp;DumpsterInvNr=13-L-118399", "13-L-118399")</f>
        <v>13-L-118399</v>
      </c>
      <c r="C12979">
        <v>0.24</v>
      </c>
      <c r="D12979" t="s">
        <v>17104</v>
      </c>
      <c r="E12979" t="s">
        <v>11</v>
      </c>
      <c r="F12979" t="s">
        <v>1209</v>
      </c>
      <c r="G12979" t="s">
        <v>1912</v>
      </c>
      <c r="H12979" t="s">
        <v>432</v>
      </c>
    </row>
    <row r="12980" spans="1:10" hidden="1" x14ac:dyDescent="0.25">
      <c r="A12980" t="s">
        <v>17108</v>
      </c>
      <c r="B12980" s="1" t="str">
        <f>HYPERLINK("https://asmlis.vasa.lt/Dashboard/Served?ServiceDateFrom=2025-11-24&amp;ServiceDateTo=2025-11-24&amp;DumpsterInvNr=13-L-139842", "13-L-139842")</f>
        <v>13-L-139842</v>
      </c>
      <c r="C12980">
        <v>5</v>
      </c>
      <c r="D12980" t="s">
        <v>17109</v>
      </c>
      <c r="E12980" t="s">
        <v>11</v>
      </c>
      <c r="F12980" t="s">
        <v>13</v>
      </c>
      <c r="G12980" t="s">
        <v>1912</v>
      </c>
      <c r="H12980" t="s">
        <v>432</v>
      </c>
    </row>
    <row r="12981" spans="1:10" hidden="1" x14ac:dyDescent="0.25">
      <c r="A12981" t="s">
        <v>17110</v>
      </c>
      <c r="B12981" s="1" t="str">
        <f>HYPERLINK("https://asmlis.vasa.lt/Dashboard/Served?ServiceDateFrom=2025-11-24&amp;ServiceDateTo=2025-11-24&amp;DumpsterInvNr=13-P-213283", "13-P-213283")</f>
        <v>13-P-213283</v>
      </c>
      <c r="C12981">
        <v>1.1000000000000001</v>
      </c>
      <c r="D12981" t="s">
        <v>9704</v>
      </c>
      <c r="E12981" t="s">
        <v>11</v>
      </c>
      <c r="G12981" t="s">
        <v>234</v>
      </c>
      <c r="H12981" t="s">
        <v>14</v>
      </c>
    </row>
    <row r="12982" spans="1:10" hidden="1" x14ac:dyDescent="0.25">
      <c r="A12982" t="s">
        <v>17111</v>
      </c>
      <c r="B12982" s="1" t="str">
        <f>HYPERLINK("https://asmlis.vasa.lt/Dashboard/Served?ServiceDateFrom=2025-11-24&amp;ServiceDateTo=2025-11-24&amp;DumpsterInvNr=13-P-500694", "13-P-500694")</f>
        <v>13-P-500694</v>
      </c>
      <c r="C12982">
        <v>3</v>
      </c>
      <c r="D12982" t="s">
        <v>9467</v>
      </c>
      <c r="E12982" t="s">
        <v>11</v>
      </c>
      <c r="F12982" t="s">
        <v>13</v>
      </c>
      <c r="G12982" t="s">
        <v>2178</v>
      </c>
      <c r="H12982" t="s">
        <v>432</v>
      </c>
    </row>
    <row r="12983" spans="1:10" x14ac:dyDescent="0.25">
      <c r="A12983" t="s">
        <v>17112</v>
      </c>
      <c r="B12983" s="1" t="str">
        <f>HYPERLINK("https://asmlis.vasa.lt/Dashboard/Served?ServiceDateFrom=2025-11-24&amp;ServiceDateTo=2025-11-24&amp;DumpsterInvNr=13-P-401567", "13-P-401567")</f>
        <v>13-P-401567</v>
      </c>
      <c r="C12983">
        <v>1.1000000000000001</v>
      </c>
      <c r="D12983" t="s">
        <v>14573</v>
      </c>
      <c r="E12983" t="s">
        <v>11</v>
      </c>
      <c r="F12983" t="s">
        <v>1215</v>
      </c>
      <c r="G12983" t="s">
        <v>264</v>
      </c>
      <c r="H12983" t="s">
        <v>14</v>
      </c>
      <c r="J12983" t="s">
        <v>17511</v>
      </c>
    </row>
    <row r="12984" spans="1:10" hidden="1" x14ac:dyDescent="0.25">
      <c r="A12984" t="s">
        <v>17113</v>
      </c>
      <c r="B12984" s="1" t="str">
        <f>HYPERLINK("https://asmlis.vasa.lt/Dashboard/Served?ServiceDateFrom=2025-11-24&amp;ServiceDateTo=2025-11-24&amp;DumpsterInvNr=13-P-500695", "13-P-500695")</f>
        <v>13-P-500695</v>
      </c>
      <c r="C12984">
        <v>3</v>
      </c>
      <c r="D12984" t="s">
        <v>9467</v>
      </c>
      <c r="E12984" t="s">
        <v>11</v>
      </c>
      <c r="F12984" t="s">
        <v>13</v>
      </c>
      <c r="G12984" t="s">
        <v>2178</v>
      </c>
      <c r="H12984" t="s">
        <v>432</v>
      </c>
    </row>
    <row r="12985" spans="1:10" hidden="1" x14ac:dyDescent="0.25">
      <c r="A12985" t="s">
        <v>17114</v>
      </c>
      <c r="B12985" s="1" t="str">
        <f>HYPERLINK("https://asmlis.vasa.lt/Dashboard/Served?ServiceDateFrom=2025-11-24&amp;ServiceDateTo=2025-11-24&amp;DumpsterInvNr=13-P-305411", "13-P-305411")</f>
        <v>13-P-305411</v>
      </c>
      <c r="C12985">
        <v>5</v>
      </c>
      <c r="D12985" t="s">
        <v>13826</v>
      </c>
      <c r="E12985" t="s">
        <v>11</v>
      </c>
      <c r="G12985" t="s">
        <v>412</v>
      </c>
      <c r="H12985" t="s">
        <v>14</v>
      </c>
    </row>
    <row r="12986" spans="1:10" x14ac:dyDescent="0.25">
      <c r="A12986" t="s">
        <v>17115</v>
      </c>
      <c r="B12986" s="1" t="str">
        <f>HYPERLINK("https://asmlis.vasa.lt/Dashboard/Served?ServiceDateFrom=2025-11-24&amp;ServiceDateTo=2025-11-24&amp;DumpsterInvNr=13-P-401606", "13-P-401606")</f>
        <v>13-P-401606</v>
      </c>
      <c r="C12986">
        <v>1.1000000000000001</v>
      </c>
      <c r="D12986" t="s">
        <v>14573</v>
      </c>
      <c r="E12986" t="s">
        <v>11</v>
      </c>
      <c r="F12986" t="s">
        <v>1215</v>
      </c>
      <c r="G12986" t="s">
        <v>264</v>
      </c>
      <c r="H12986" t="s">
        <v>14</v>
      </c>
      <c r="J12986" t="s">
        <v>17511</v>
      </c>
    </row>
    <row r="12987" spans="1:10" hidden="1" x14ac:dyDescent="0.25">
      <c r="A12987" t="s">
        <v>17116</v>
      </c>
      <c r="B12987" s="1" t="str">
        <f>HYPERLINK("https://asmlis.vasa.lt/Dashboard/Served?ServiceDateFrom=2025-11-24&amp;ServiceDateTo=2025-11-24&amp;DumpsterInvNr=13-P-105551", "13-P-105551")</f>
        <v>13-P-105551</v>
      </c>
      <c r="C12987">
        <v>1.1000000000000001</v>
      </c>
      <c r="D12987" t="s">
        <v>17117</v>
      </c>
      <c r="E12987" t="s">
        <v>11</v>
      </c>
      <c r="G12987" t="s">
        <v>1917</v>
      </c>
      <c r="H12987" t="s">
        <v>432</v>
      </c>
    </row>
    <row r="12988" spans="1:10" hidden="1" x14ac:dyDescent="0.25">
      <c r="A12988" t="s">
        <v>17118</v>
      </c>
      <c r="B12988" s="1" t="str">
        <f>HYPERLINK("https://asmlis.vasa.lt/Dashboard/Served?ServiceDateFrom=2025-11-24&amp;ServiceDateTo=2025-11-24&amp;DumpsterInvNr=13-L-301858", "13-L-301858")</f>
        <v>13-L-301858</v>
      </c>
      <c r="C12988">
        <v>0.77</v>
      </c>
      <c r="D12988" t="s">
        <v>17119</v>
      </c>
      <c r="E12988" t="s">
        <v>11</v>
      </c>
      <c r="G12988" t="s">
        <v>9</v>
      </c>
      <c r="H12988" t="s">
        <v>14</v>
      </c>
    </row>
    <row r="12989" spans="1:10" x14ac:dyDescent="0.25">
      <c r="A12989" t="s">
        <v>17120</v>
      </c>
      <c r="B12989" s="1" t="str">
        <f>HYPERLINK("https://asmlis.vasa.lt/Dashboard/Served?ServiceDateFrom=2025-11-24&amp;ServiceDateTo=2025-11-24&amp;DumpsterInvNr=13-P-401695", "13-P-401695")</f>
        <v>13-P-401695</v>
      </c>
      <c r="C12989">
        <v>1.1000000000000001</v>
      </c>
      <c r="D12989" t="s">
        <v>14573</v>
      </c>
      <c r="E12989" t="s">
        <v>11</v>
      </c>
      <c r="F12989" t="s">
        <v>1215</v>
      </c>
      <c r="G12989" t="s">
        <v>264</v>
      </c>
      <c r="H12989" t="s">
        <v>14</v>
      </c>
      <c r="J12989" t="s">
        <v>17511</v>
      </c>
    </row>
    <row r="12990" spans="1:10" hidden="1" x14ac:dyDescent="0.25">
      <c r="A12990" t="s">
        <v>17121</v>
      </c>
      <c r="B12990" s="1" t="str">
        <f>HYPERLINK("https://asmlis.vasa.lt/Dashboard/Served?ServiceDateFrom=2025-11-24&amp;ServiceDateTo=2025-11-24&amp;DumpsterInvNr=13-L-104241", "13-L-104241")</f>
        <v>13-L-104241</v>
      </c>
      <c r="C12990">
        <v>3</v>
      </c>
      <c r="D12990" t="s">
        <v>17122</v>
      </c>
      <c r="E12990" t="s">
        <v>11</v>
      </c>
      <c r="F12990" t="s">
        <v>13</v>
      </c>
      <c r="G12990" t="s">
        <v>430</v>
      </c>
      <c r="H12990" t="s">
        <v>432</v>
      </c>
    </row>
    <row r="12991" spans="1:10" hidden="1" x14ac:dyDescent="0.25">
      <c r="A12991" t="s">
        <v>17123</v>
      </c>
      <c r="B12991" s="1" t="str">
        <f>HYPERLINK("https://asmlis.vasa.lt/Dashboard/Served?ServiceDateFrom=2025-11-24&amp;ServiceDateTo=2025-11-24&amp;DumpsterInvNr=13-L-301857", "13-L-301857")</f>
        <v>13-L-301857</v>
      </c>
      <c r="C12991">
        <v>0.77</v>
      </c>
      <c r="D12991" t="s">
        <v>17119</v>
      </c>
      <c r="E12991" t="s">
        <v>11</v>
      </c>
      <c r="F12991" t="s">
        <v>13</v>
      </c>
      <c r="G12991" t="s">
        <v>9</v>
      </c>
      <c r="H12991" t="s">
        <v>14</v>
      </c>
    </row>
    <row r="12992" spans="1:10" hidden="1" x14ac:dyDescent="0.25">
      <c r="A12992" t="s">
        <v>17124</v>
      </c>
      <c r="B12992" s="1" t="str">
        <f>HYPERLINK("https://asmlis.vasa.lt/Dashboard/Served?ServiceDateFrom=2025-11-24&amp;ServiceDateTo=2025-11-24&amp;DumpsterInvNr=13-L-317083", "13-L-317083")</f>
        <v>13-L-317083</v>
      </c>
      <c r="C12992">
        <v>0.77</v>
      </c>
      <c r="D12992" t="s">
        <v>17119</v>
      </c>
      <c r="E12992" t="s">
        <v>11</v>
      </c>
      <c r="F12992" t="s">
        <v>13</v>
      </c>
      <c r="G12992" t="s">
        <v>9</v>
      </c>
      <c r="H12992" t="s">
        <v>14</v>
      </c>
    </row>
    <row r="12993" spans="1:10" hidden="1" x14ac:dyDescent="0.25">
      <c r="A12993" t="s">
        <v>17125</v>
      </c>
      <c r="B12993" s="1" t="str">
        <f>HYPERLINK("https://asmlis.vasa.lt/Dashboard/Served?ServiceDateFrom=2025-11-24&amp;ServiceDateTo=2025-11-24&amp;DumpsterInvNr=13-T-000399", "13-T-000399")</f>
        <v>13-T-000399</v>
      </c>
      <c r="C12993">
        <v>2.5</v>
      </c>
      <c r="D12993" t="s">
        <v>17126</v>
      </c>
      <c r="E12993" t="s">
        <v>11</v>
      </c>
      <c r="F12993" t="s">
        <v>13</v>
      </c>
      <c r="G12993" t="s">
        <v>1899</v>
      </c>
      <c r="H12993" t="s">
        <v>432</v>
      </c>
    </row>
    <row r="12994" spans="1:10" hidden="1" x14ac:dyDescent="0.25">
      <c r="A12994" t="s">
        <v>17127</v>
      </c>
      <c r="B12994" s="1" t="str">
        <f>HYPERLINK("https://asmlis.vasa.lt/Dashboard/Served?ServiceDateFrom=2025-11-24&amp;ServiceDateTo=2025-11-24&amp;DumpsterInvNr=13-P-305408", "13-P-305408")</f>
        <v>13-P-305408</v>
      </c>
      <c r="C12994">
        <v>3</v>
      </c>
      <c r="D12994" t="s">
        <v>13746</v>
      </c>
      <c r="E12994" t="s">
        <v>11</v>
      </c>
      <c r="G12994" t="s">
        <v>412</v>
      </c>
      <c r="H12994" t="s">
        <v>14</v>
      </c>
    </row>
    <row r="12995" spans="1:10" hidden="1" x14ac:dyDescent="0.25">
      <c r="A12995" t="s">
        <v>17128</v>
      </c>
      <c r="B12995" s="1" t="str">
        <f>HYPERLINK("https://asmlis.vasa.lt/Dashboard/Served?ServiceDateFrom=2025-11-24&amp;ServiceDateTo=2025-11-24&amp;DumpsterInvNr=DGA-ZALVARIS", "DGA-ZALVARIS")</f>
        <v>DGA-ZALVARIS</v>
      </c>
      <c r="C12995">
        <v>1</v>
      </c>
      <c r="D12995" t="s">
        <v>16950</v>
      </c>
      <c r="E12995" t="s">
        <v>12</v>
      </c>
      <c r="F12995" t="s">
        <v>17129</v>
      </c>
      <c r="G12995" t="s">
        <v>6763</v>
      </c>
      <c r="H12995" t="s">
        <v>6765</v>
      </c>
    </row>
    <row r="12996" spans="1:10" hidden="1" x14ac:dyDescent="0.25">
      <c r="A12996" t="s">
        <v>17130</v>
      </c>
      <c r="B12996" s="1" t="str">
        <f>HYPERLINK("https://asmlis.vasa.lt/Dashboard/Served?ServiceDateFrom=2025-11-24&amp;ServiceDateTo=2025-11-24&amp;DumpsterInvNr=13-L-144802", "13-L-144802")</f>
        <v>13-L-144802</v>
      </c>
      <c r="C12996">
        <v>5</v>
      </c>
      <c r="D12996" t="s">
        <v>7730</v>
      </c>
      <c r="E12996" t="s">
        <v>11</v>
      </c>
      <c r="F12996" t="s">
        <v>13</v>
      </c>
      <c r="G12996" t="s">
        <v>430</v>
      </c>
      <c r="H12996" t="s">
        <v>432</v>
      </c>
    </row>
    <row r="12997" spans="1:10" hidden="1" x14ac:dyDescent="0.25">
      <c r="A12997" t="s">
        <v>17131</v>
      </c>
      <c r="B12997" s="1" t="str">
        <f>HYPERLINK("https://asmlis.vasa.lt/Dashboard/Served?ServiceDateFrom=2025-11-24&amp;ServiceDateTo=2025-11-24&amp;DumpsterInvNr=13-P-305407", "13-P-305407")</f>
        <v>13-P-305407</v>
      </c>
      <c r="C12997">
        <v>3</v>
      </c>
      <c r="D12997" t="s">
        <v>13746</v>
      </c>
      <c r="E12997" t="s">
        <v>11</v>
      </c>
      <c r="G12997" t="s">
        <v>412</v>
      </c>
      <c r="H12997" t="s">
        <v>14</v>
      </c>
    </row>
    <row r="12998" spans="1:10" hidden="1" x14ac:dyDescent="0.25">
      <c r="A12998" t="s">
        <v>17132</v>
      </c>
      <c r="B12998" s="1" t="str">
        <f>HYPERLINK("https://asmlis.vasa.lt/Dashboard/Served?ServiceDateFrom=2025-11-24&amp;ServiceDateTo=2025-11-24&amp;DumpsterInvNr=13-P-115777", "13-P-115777")</f>
        <v>13-P-115777</v>
      </c>
      <c r="C12998">
        <v>1.1000000000000001</v>
      </c>
      <c r="D12998" t="s">
        <v>17133</v>
      </c>
      <c r="E12998" t="s">
        <v>11</v>
      </c>
      <c r="G12998" t="s">
        <v>1917</v>
      </c>
      <c r="H12998" t="s">
        <v>432</v>
      </c>
    </row>
    <row r="12999" spans="1:10" hidden="1" x14ac:dyDescent="0.25">
      <c r="A12999" t="s">
        <v>17134</v>
      </c>
      <c r="B12999" s="1" t="str">
        <f>HYPERLINK("https://asmlis.vasa.lt/Dashboard/Served?ServiceDateFrom=2025-11-24&amp;ServiceDateTo=2025-11-24&amp;DumpsterInvNr=13-L-318909", "13-L-318909")</f>
        <v>13-L-318909</v>
      </c>
      <c r="C12999">
        <v>1.1000000000000001</v>
      </c>
      <c r="D12999" t="s">
        <v>17135</v>
      </c>
      <c r="E12999" t="s">
        <v>11</v>
      </c>
      <c r="G12999" t="s">
        <v>9</v>
      </c>
      <c r="H12999" t="s">
        <v>14</v>
      </c>
    </row>
    <row r="13000" spans="1:10" hidden="1" x14ac:dyDescent="0.25">
      <c r="A13000" t="s">
        <v>17136</v>
      </c>
      <c r="B13000" s="1" t="str">
        <f>HYPERLINK("https://asmlis.vasa.lt/Dashboard/Served?ServiceDateFrom=2025-11-24&amp;ServiceDateTo=2025-11-24&amp;DumpsterInvNr=13-P-500692", "13-P-500692")</f>
        <v>13-P-500692</v>
      </c>
      <c r="C13000">
        <v>5</v>
      </c>
      <c r="D13000" t="s">
        <v>17137</v>
      </c>
      <c r="E13000" t="s">
        <v>11</v>
      </c>
      <c r="F13000" t="s">
        <v>13</v>
      </c>
      <c r="G13000" t="s">
        <v>2178</v>
      </c>
      <c r="H13000" t="s">
        <v>432</v>
      </c>
    </row>
    <row r="13001" spans="1:10" hidden="1" x14ac:dyDescent="0.25">
      <c r="A13001" t="s">
        <v>17138</v>
      </c>
      <c r="B13001" s="1" t="str">
        <f>HYPERLINK("https://asmlis.vasa.lt/Dashboard/Served?ServiceDateFrom=2025-11-24&amp;ServiceDateTo=2025-11-24&amp;DumpsterInvNr=13-L-318899", "13-L-318899")</f>
        <v>13-L-318899</v>
      </c>
      <c r="C13001">
        <v>1.1000000000000001</v>
      </c>
      <c r="D13001" t="s">
        <v>17135</v>
      </c>
      <c r="E13001" t="s">
        <v>11</v>
      </c>
      <c r="G13001" t="s">
        <v>9</v>
      </c>
      <c r="H13001" t="s">
        <v>14</v>
      </c>
    </row>
    <row r="13002" spans="1:10" hidden="1" x14ac:dyDescent="0.25">
      <c r="A13002" t="s">
        <v>17139</v>
      </c>
      <c r="B13002" s="1" t="str">
        <f>HYPERLINK("https://asmlis.vasa.lt/Dashboard/Served?ServiceDateFrom=2025-11-24&amp;ServiceDateTo=2025-11-24&amp;DumpsterInvNr=13-L-316672", "13-L-316672")</f>
        <v>13-L-316672</v>
      </c>
      <c r="C13002">
        <v>1.1000000000000001</v>
      </c>
      <c r="D13002" t="s">
        <v>17135</v>
      </c>
      <c r="E13002" t="s">
        <v>11</v>
      </c>
      <c r="G13002" t="s">
        <v>9</v>
      </c>
      <c r="H13002" t="s">
        <v>14</v>
      </c>
    </row>
    <row r="13003" spans="1:10" hidden="1" x14ac:dyDescent="0.25">
      <c r="A13003" t="s">
        <v>17140</v>
      </c>
      <c r="B13003" s="1" t="str">
        <f>HYPERLINK("https://asmlis.vasa.lt/Dashboard/Served?ServiceDateFrom=2025-11-24&amp;ServiceDateTo=2025-11-24&amp;DumpsterInvNr=13-P-115174", "13-P-115174")</f>
        <v>13-P-115174</v>
      </c>
      <c r="C13003">
        <v>0.66</v>
      </c>
      <c r="D13003" t="s">
        <v>9054</v>
      </c>
      <c r="E13003" t="s">
        <v>11</v>
      </c>
      <c r="F13003" t="s">
        <v>13</v>
      </c>
      <c r="G13003" t="s">
        <v>1917</v>
      </c>
      <c r="H13003" t="s">
        <v>432</v>
      </c>
    </row>
    <row r="13004" spans="1:10" hidden="1" x14ac:dyDescent="0.25">
      <c r="A13004" t="s">
        <v>17141</v>
      </c>
      <c r="B13004" s="1" t="str">
        <f>HYPERLINK("https://asmlis.vasa.lt/Dashboard/Served?ServiceDateFrom=2025-11-24&amp;ServiceDateTo=2025-11-24&amp;DumpsterInvNr=13-L-317894", "13-L-317894")</f>
        <v>13-L-317894</v>
      </c>
      <c r="C13004">
        <v>1.1000000000000001</v>
      </c>
      <c r="D13004" t="s">
        <v>5953</v>
      </c>
      <c r="E13004" t="s">
        <v>11</v>
      </c>
      <c r="G13004" t="s">
        <v>9</v>
      </c>
      <c r="H13004" t="s">
        <v>14</v>
      </c>
    </row>
    <row r="13005" spans="1:10" hidden="1" x14ac:dyDescent="0.25">
      <c r="A13005" t="s">
        <v>17142</v>
      </c>
      <c r="B13005" s="1" t="str">
        <f>HYPERLINK("https://asmlis.vasa.lt/Dashboard/Served?ServiceDateFrom=2025-11-24&amp;ServiceDateTo=2025-11-24&amp;DumpsterInvNr=13-P-500698", "13-P-500698")</f>
        <v>13-P-500698</v>
      </c>
      <c r="C13005">
        <v>2.5</v>
      </c>
      <c r="D13005" t="s">
        <v>11546</v>
      </c>
      <c r="E13005" t="s">
        <v>11</v>
      </c>
      <c r="F13005" t="s">
        <v>13</v>
      </c>
      <c r="G13005" t="s">
        <v>2178</v>
      </c>
      <c r="H13005" t="s">
        <v>432</v>
      </c>
    </row>
    <row r="13006" spans="1:10" hidden="1" x14ac:dyDescent="0.25">
      <c r="A13006" t="s">
        <v>17143</v>
      </c>
      <c r="B13006" s="1" t="str">
        <f>HYPERLINK("https://asmlis.vasa.lt/Dashboard/Served?ServiceDateFrom=2025-11-24&amp;ServiceDateTo=2025-11-24&amp;DumpsterInvNr=13-P-305409", "13-P-305409")</f>
        <v>13-P-305409</v>
      </c>
      <c r="C13006">
        <v>5</v>
      </c>
      <c r="D13006" t="s">
        <v>387</v>
      </c>
      <c r="E13006" t="s">
        <v>11</v>
      </c>
      <c r="G13006" t="s">
        <v>412</v>
      </c>
      <c r="H13006" t="s">
        <v>14</v>
      </c>
    </row>
    <row r="13007" spans="1:10" hidden="1" x14ac:dyDescent="0.25">
      <c r="A13007" t="s">
        <v>17144</v>
      </c>
      <c r="B13007" s="1" t="str">
        <f>HYPERLINK("https://asmlis.vasa.lt/Dashboard/Served?ServiceDateFrom=2025-11-24&amp;ServiceDateTo=2025-11-24&amp;DumpsterInvNr=13-L-137809", "13-L-137809")</f>
        <v>13-L-137809</v>
      </c>
      <c r="C13007">
        <v>5</v>
      </c>
      <c r="D13007" t="s">
        <v>17145</v>
      </c>
      <c r="E13007" t="s">
        <v>11</v>
      </c>
      <c r="F13007" t="s">
        <v>13</v>
      </c>
      <c r="G13007" t="s">
        <v>1912</v>
      </c>
      <c r="H13007" t="s">
        <v>432</v>
      </c>
    </row>
    <row r="13008" spans="1:10" x14ac:dyDescent="0.25">
      <c r="A13008" t="s">
        <v>17146</v>
      </c>
      <c r="B13008" s="1" t="str">
        <f>HYPERLINK("https://asmlis.vasa.lt/Dashboard/Served?ServiceDateFrom=2025-11-24&amp;ServiceDateTo=2025-11-24&amp;DumpsterInvNr=13-P-116458", "13-P-116458")</f>
        <v>13-P-116458</v>
      </c>
      <c r="C13008">
        <v>1.1000000000000001</v>
      </c>
      <c r="D13008" t="s">
        <v>17147</v>
      </c>
      <c r="E13008" t="s">
        <v>11</v>
      </c>
      <c r="F13008" t="s">
        <v>2491</v>
      </c>
      <c r="G13008" t="s">
        <v>1917</v>
      </c>
      <c r="H13008" t="s">
        <v>432</v>
      </c>
      <c r="J13008" t="s">
        <v>17511</v>
      </c>
    </row>
    <row r="13009" spans="1:8" hidden="1" x14ac:dyDescent="0.25">
      <c r="A13009" t="s">
        <v>17148</v>
      </c>
      <c r="B13009" s="1" t="str">
        <f>HYPERLINK("https://asmlis.vasa.lt/Dashboard/Served?ServiceDateFrom=2025-11-24&amp;ServiceDateTo=2025-11-24&amp;DumpsterInvNr=13-L-317892", "13-L-317892")</f>
        <v>13-L-317892</v>
      </c>
      <c r="C13009">
        <v>1.1000000000000001</v>
      </c>
      <c r="D13009" t="s">
        <v>5953</v>
      </c>
      <c r="E13009" t="s">
        <v>11</v>
      </c>
      <c r="G13009" t="s">
        <v>9</v>
      </c>
      <c r="H13009" t="s">
        <v>14</v>
      </c>
    </row>
    <row r="13010" spans="1:8" hidden="1" x14ac:dyDescent="0.25">
      <c r="A13010" t="s">
        <v>16718</v>
      </c>
      <c r="B13010" s="1" t="str">
        <f>HYPERLINK("https://asmlis.vasa.lt/Dashboard/Served?ServiceDateFrom=2025-11-24&amp;ServiceDateTo=2025-11-24&amp;DumpsterInvNr=13-P-401577", "13-P-401577")</f>
        <v>13-P-401577</v>
      </c>
      <c r="C13010">
        <v>1.1000000000000001</v>
      </c>
      <c r="D13010" t="s">
        <v>10530</v>
      </c>
      <c r="E13010" t="s">
        <v>11</v>
      </c>
      <c r="G13010" t="s">
        <v>264</v>
      </c>
      <c r="H13010" t="s">
        <v>14</v>
      </c>
    </row>
    <row r="13011" spans="1:8" hidden="1" x14ac:dyDescent="0.25">
      <c r="A13011" t="s">
        <v>17149</v>
      </c>
      <c r="B13011" s="1" t="str">
        <f>HYPERLINK("https://asmlis.vasa.lt/Dashboard/Served?ServiceDateFrom=2025-11-24&amp;ServiceDateTo=2025-11-24&amp;DumpsterInvNr=13-L-143808", "13-L-143808")</f>
        <v>13-L-143808</v>
      </c>
      <c r="C13011">
        <v>5</v>
      </c>
      <c r="D13011" t="s">
        <v>15245</v>
      </c>
      <c r="E13011" t="s">
        <v>11</v>
      </c>
      <c r="F13011" t="s">
        <v>13</v>
      </c>
      <c r="G13011" t="s">
        <v>430</v>
      </c>
      <c r="H13011" t="s">
        <v>432</v>
      </c>
    </row>
    <row r="13012" spans="1:8" hidden="1" x14ac:dyDescent="0.25">
      <c r="A13012" t="s">
        <v>17150</v>
      </c>
      <c r="B13012" s="1" t="str">
        <f>HYPERLINK("https://asmlis.vasa.lt/Dashboard/Served?ServiceDateFrom=2025-11-24&amp;ServiceDateTo=2025-11-24&amp;DumpsterInvNr=13-L-317893", "13-L-317893")</f>
        <v>13-L-317893</v>
      </c>
      <c r="C13012">
        <v>1.1000000000000001</v>
      </c>
      <c r="D13012" t="s">
        <v>5953</v>
      </c>
      <c r="E13012" t="s">
        <v>11</v>
      </c>
      <c r="G13012" t="s">
        <v>9</v>
      </c>
      <c r="H13012" t="s">
        <v>14</v>
      </c>
    </row>
    <row r="13013" spans="1:8" hidden="1" x14ac:dyDescent="0.25">
      <c r="A13013" t="s">
        <v>17151</v>
      </c>
      <c r="B13013" s="1" t="str">
        <f>HYPERLINK("https://asmlis.vasa.lt/Dashboard/Served?ServiceDateFrom=2025-11-24&amp;ServiceDateTo=2025-11-24&amp;DumpsterInvNr=13-P-501851", "13-P-501851")</f>
        <v>13-P-501851</v>
      </c>
      <c r="C13013">
        <v>3</v>
      </c>
      <c r="D13013" t="s">
        <v>17152</v>
      </c>
      <c r="E13013" t="s">
        <v>11</v>
      </c>
      <c r="F13013" t="s">
        <v>13</v>
      </c>
      <c r="G13013" t="s">
        <v>2178</v>
      </c>
      <c r="H13013" t="s">
        <v>432</v>
      </c>
    </row>
    <row r="13014" spans="1:8" hidden="1" x14ac:dyDescent="0.25">
      <c r="A13014" t="s">
        <v>17151</v>
      </c>
      <c r="B13014" s="1" t="str">
        <f>HYPERLINK("https://asmlis.vasa.lt/Dashboard/Served?ServiceDateFrom=2025-11-24&amp;ServiceDateTo=2025-11-24&amp;DumpsterInvNr=13-L-117749", "13-L-117749")</f>
        <v>13-L-117749</v>
      </c>
      <c r="C13014">
        <v>0.12</v>
      </c>
      <c r="D13014" t="s">
        <v>17153</v>
      </c>
      <c r="E13014" t="s">
        <v>11</v>
      </c>
      <c r="G13014" t="s">
        <v>1912</v>
      </c>
      <c r="H13014" t="s">
        <v>432</v>
      </c>
    </row>
    <row r="13015" spans="1:8" hidden="1" x14ac:dyDescent="0.25">
      <c r="A13015" t="s">
        <v>17154</v>
      </c>
      <c r="B13015" s="1" t="str">
        <f>HYPERLINK("https://asmlis.vasa.lt/Dashboard/Served?ServiceDateFrom=2025-11-24&amp;ServiceDateTo=2025-11-24&amp;DumpsterInvNr=DGA-ZALVARIS", "DGA-ZALVARIS")</f>
        <v>DGA-ZALVARIS</v>
      </c>
      <c r="C13015">
        <v>1</v>
      </c>
      <c r="D13015" t="s">
        <v>3860</v>
      </c>
      <c r="E13015" t="s">
        <v>12</v>
      </c>
      <c r="F13015" t="s">
        <v>17155</v>
      </c>
      <c r="G13015" t="s">
        <v>6763</v>
      </c>
      <c r="H13015" t="s">
        <v>6765</v>
      </c>
    </row>
    <row r="13016" spans="1:8" hidden="1" x14ac:dyDescent="0.25">
      <c r="A13016" t="s">
        <v>17156</v>
      </c>
      <c r="B13016" s="1" t="str">
        <f>HYPERLINK("https://asmlis.vasa.lt/Dashboard/Served?ServiceDateFrom=2025-11-24&amp;ServiceDateTo=2025-11-24&amp;DumpsterInvNr=13-P-114631", "13-P-114631")</f>
        <v>13-P-114631</v>
      </c>
      <c r="C13016">
        <v>0.24</v>
      </c>
      <c r="D13016" t="s">
        <v>17153</v>
      </c>
      <c r="E13016" t="s">
        <v>11</v>
      </c>
      <c r="G13016" t="s">
        <v>1917</v>
      </c>
      <c r="H13016" t="s">
        <v>432</v>
      </c>
    </row>
    <row r="13017" spans="1:8" hidden="1" x14ac:dyDescent="0.25">
      <c r="A13017" t="s">
        <v>17157</v>
      </c>
      <c r="B13017" s="1" t="str">
        <f>HYPERLINK("https://asmlis.vasa.lt/Dashboard/Served?ServiceDateFrom=2025-11-24&amp;ServiceDateTo=2025-11-24&amp;DumpsterInvNr=13-L-318900", "13-L-318900")</f>
        <v>13-L-318900</v>
      </c>
      <c r="C13017">
        <v>0.77</v>
      </c>
      <c r="D13017" t="s">
        <v>17158</v>
      </c>
      <c r="E13017" t="s">
        <v>11</v>
      </c>
      <c r="G13017" t="s">
        <v>9</v>
      </c>
      <c r="H13017" t="s">
        <v>14</v>
      </c>
    </row>
    <row r="13018" spans="1:8" hidden="1" x14ac:dyDescent="0.25">
      <c r="A13018" t="s">
        <v>17159</v>
      </c>
      <c r="B13018" s="1" t="str">
        <f>HYPERLINK("https://asmlis.vasa.lt/Dashboard/Served?ServiceDateFrom=2025-11-24&amp;ServiceDateTo=2025-11-24&amp;DumpsterInvNr=13-L-318698", "13-L-318698")</f>
        <v>13-L-318698</v>
      </c>
      <c r="C13018">
        <v>0.66</v>
      </c>
      <c r="D13018" t="s">
        <v>17158</v>
      </c>
      <c r="E13018" t="s">
        <v>11</v>
      </c>
      <c r="G13018" t="s">
        <v>9</v>
      </c>
      <c r="H13018" t="s">
        <v>14</v>
      </c>
    </row>
    <row r="13019" spans="1:8" hidden="1" x14ac:dyDescent="0.25">
      <c r="A13019" t="s">
        <v>17160</v>
      </c>
      <c r="B13019" s="1" t="str">
        <f>HYPERLINK("https://asmlis.vasa.lt/Dashboard/Served?ServiceDateFrom=2025-11-24&amp;ServiceDateTo=2025-11-24&amp;DumpsterInvNr=13-T-000103", "13-T-000103")</f>
        <v>13-T-000103</v>
      </c>
      <c r="C13019">
        <v>2.5</v>
      </c>
      <c r="D13019" t="s">
        <v>17161</v>
      </c>
      <c r="E13019" t="s">
        <v>11</v>
      </c>
      <c r="F13019" t="s">
        <v>13</v>
      </c>
      <c r="G13019" t="s">
        <v>1899</v>
      </c>
      <c r="H13019" t="s">
        <v>432</v>
      </c>
    </row>
    <row r="13020" spans="1:8" hidden="1" x14ac:dyDescent="0.25">
      <c r="A13020" t="s">
        <v>17162</v>
      </c>
      <c r="B13020" s="1" t="str">
        <f>HYPERLINK("https://asmlis.vasa.lt/Dashboard/Served?ServiceDateFrom=2025-11-24&amp;ServiceDateTo=2025-11-24&amp;DumpsterInvNr=13-P-115225", "13-P-115225")</f>
        <v>13-P-115225</v>
      </c>
      <c r="C13020">
        <v>1.1000000000000001</v>
      </c>
      <c r="D13020" t="s">
        <v>17163</v>
      </c>
      <c r="E13020" t="s">
        <v>11</v>
      </c>
      <c r="G13020" t="s">
        <v>1917</v>
      </c>
      <c r="H13020" t="s">
        <v>432</v>
      </c>
    </row>
    <row r="13021" spans="1:8" hidden="1" x14ac:dyDescent="0.25">
      <c r="A13021" t="s">
        <v>16422</v>
      </c>
      <c r="B13021" s="1" t="str">
        <f>HYPERLINK("https://asmlis.vasa.lt/Dashboard/Served?ServiceDateFrom=2025-11-24&amp;ServiceDateTo=2025-11-24&amp;DumpsterInvNr=13-T-000096", "13-T-000096")</f>
        <v>13-T-000096</v>
      </c>
      <c r="C13021">
        <v>2.5</v>
      </c>
      <c r="D13021" t="s">
        <v>17161</v>
      </c>
      <c r="E13021" t="s">
        <v>11</v>
      </c>
      <c r="F13021" t="s">
        <v>13</v>
      </c>
      <c r="G13021" t="s">
        <v>1899</v>
      </c>
      <c r="H13021" t="s">
        <v>432</v>
      </c>
    </row>
    <row r="13022" spans="1:8" hidden="1" x14ac:dyDescent="0.25">
      <c r="A13022" t="s">
        <v>16782</v>
      </c>
      <c r="B13022" s="1" t="str">
        <f>HYPERLINK("https://asmlis.vasa.lt/Dashboard/Served?ServiceDateFrom=2025-11-24&amp;ServiceDateTo=2025-11-24&amp;DumpsterInvNr=13-L-139840", "13-L-139840")</f>
        <v>13-L-139840</v>
      </c>
      <c r="C13022">
        <v>5</v>
      </c>
      <c r="D13022" t="s">
        <v>17164</v>
      </c>
      <c r="E13022" t="s">
        <v>11</v>
      </c>
      <c r="F13022" t="s">
        <v>13</v>
      </c>
      <c r="G13022" t="s">
        <v>1912</v>
      </c>
      <c r="H13022" t="s">
        <v>432</v>
      </c>
    </row>
    <row r="13023" spans="1:8" hidden="1" x14ac:dyDescent="0.25">
      <c r="A13023" t="s">
        <v>17165</v>
      </c>
      <c r="B13023" s="1" t="str">
        <f>HYPERLINK("https://asmlis.vasa.lt/Dashboard/Served?ServiceDateFrom=2025-11-24&amp;ServiceDateTo=2025-11-24&amp;DumpsterInvNr=13-P-305410", "13-P-305410")</f>
        <v>13-P-305410</v>
      </c>
      <c r="C13023">
        <v>5</v>
      </c>
      <c r="D13023" t="s">
        <v>407</v>
      </c>
      <c r="E13023" t="s">
        <v>11</v>
      </c>
      <c r="G13023" t="s">
        <v>412</v>
      </c>
      <c r="H13023" t="s">
        <v>14</v>
      </c>
    </row>
    <row r="13024" spans="1:8" hidden="1" x14ac:dyDescent="0.25">
      <c r="A13024" t="s">
        <v>17166</v>
      </c>
      <c r="B13024" s="1" t="str">
        <f>HYPERLINK("https://asmlis.vasa.lt/Dashboard/Served?ServiceDateFrom=2025-11-24&amp;ServiceDateTo=2025-11-24&amp;DumpsterInvNr=13-P-212587", "13-P-212587")</f>
        <v>13-P-212587</v>
      </c>
      <c r="C13024">
        <v>1.1000000000000001</v>
      </c>
      <c r="D13024" t="s">
        <v>17167</v>
      </c>
      <c r="E13024" t="s">
        <v>11</v>
      </c>
      <c r="G13024" t="s">
        <v>234</v>
      </c>
      <c r="H13024" t="s">
        <v>14</v>
      </c>
    </row>
    <row r="13025" spans="1:8" hidden="1" x14ac:dyDescent="0.25">
      <c r="A13025" t="s">
        <v>17168</v>
      </c>
      <c r="B13025" s="1" t="str">
        <f>HYPERLINK("https://asmlis.vasa.lt/Dashboard/Served?ServiceDateFrom=2025-11-24&amp;ServiceDateTo=2025-11-24&amp;DumpsterInvNr=13-P-115274", "13-P-115274")</f>
        <v>13-P-115274</v>
      </c>
      <c r="C13025">
        <v>0.77</v>
      </c>
      <c r="D13025" t="s">
        <v>17169</v>
      </c>
      <c r="E13025" t="s">
        <v>11</v>
      </c>
      <c r="G13025" t="s">
        <v>1917</v>
      </c>
      <c r="H13025" t="s">
        <v>432</v>
      </c>
    </row>
    <row r="13026" spans="1:8" hidden="1" x14ac:dyDescent="0.25">
      <c r="A13026" t="s">
        <v>17170</v>
      </c>
      <c r="B13026" s="1" t="str">
        <f>HYPERLINK("https://asmlis.vasa.lt/Dashboard/Served?ServiceDateFrom=2025-11-24&amp;ServiceDateTo=2025-11-24&amp;DumpsterInvNr=13-P-305406", "13-P-305406")</f>
        <v>13-P-305406</v>
      </c>
      <c r="C13026">
        <v>5</v>
      </c>
      <c r="D13026" t="s">
        <v>441</v>
      </c>
      <c r="E13026" t="s">
        <v>11</v>
      </c>
      <c r="G13026" t="s">
        <v>412</v>
      </c>
      <c r="H13026" t="s">
        <v>14</v>
      </c>
    </row>
    <row r="13027" spans="1:8" hidden="1" x14ac:dyDescent="0.25">
      <c r="A13027" t="s">
        <v>17171</v>
      </c>
      <c r="B13027" s="1" t="str">
        <f>HYPERLINK("https://asmlis.vasa.lt/Dashboard/Served?ServiceDateFrom=2025-11-24&amp;ServiceDateTo=2025-11-24&amp;DumpsterInvNr=13-P-500663", "13-P-500663")</f>
        <v>13-P-500663</v>
      </c>
      <c r="C13027">
        <v>4</v>
      </c>
      <c r="D13027" t="s">
        <v>5209</v>
      </c>
      <c r="E13027" t="s">
        <v>11</v>
      </c>
      <c r="F13027" t="s">
        <v>13</v>
      </c>
      <c r="G13027" t="s">
        <v>2178</v>
      </c>
      <c r="H13027" t="s">
        <v>432</v>
      </c>
    </row>
    <row r="13028" spans="1:8" hidden="1" x14ac:dyDescent="0.25">
      <c r="A13028" t="s">
        <v>17172</v>
      </c>
      <c r="B13028" s="1" t="str">
        <f>HYPERLINK("https://asmlis.vasa.lt/Dashboard/Served?ServiceDateFrom=2025-11-24&amp;ServiceDateTo=2025-11-24&amp;DumpsterInvNr=13-P-504875", "13-P-504875")</f>
        <v>13-P-504875</v>
      </c>
      <c r="C13028">
        <v>4</v>
      </c>
      <c r="D13028" t="s">
        <v>5209</v>
      </c>
      <c r="E13028" t="s">
        <v>11</v>
      </c>
      <c r="F13028" t="s">
        <v>13</v>
      </c>
      <c r="G13028" t="s">
        <v>2178</v>
      </c>
      <c r="H13028" t="s">
        <v>432</v>
      </c>
    </row>
    <row r="13029" spans="1:8" hidden="1" x14ac:dyDescent="0.25">
      <c r="A13029" t="s">
        <v>17173</v>
      </c>
      <c r="B13029" s="1" t="str">
        <f>HYPERLINK("https://asmlis.vasa.lt/Dashboard/Served?ServiceDateFrom=2025-11-24&amp;ServiceDateTo=2025-11-24&amp;DumpsterInvNr=13-P-115086", "13-P-115086")</f>
        <v>13-P-115086</v>
      </c>
      <c r="C13029">
        <v>1.1000000000000001</v>
      </c>
      <c r="D13029" t="s">
        <v>17174</v>
      </c>
      <c r="E13029" t="s">
        <v>11</v>
      </c>
      <c r="G13029" t="s">
        <v>1917</v>
      </c>
      <c r="H13029" t="s">
        <v>432</v>
      </c>
    </row>
    <row r="13030" spans="1:8" hidden="1" x14ac:dyDescent="0.25">
      <c r="A13030" t="s">
        <v>17175</v>
      </c>
      <c r="B13030" s="1" t="str">
        <f>HYPERLINK("https://asmlis.vasa.lt/Dashboard/Served?ServiceDateFrom=2025-11-24&amp;ServiceDateTo=2025-11-24&amp;DumpsterInvNr=13-P-402567", "13-P-402567")</f>
        <v>13-P-402567</v>
      </c>
      <c r="C13030">
        <v>1.1000000000000001</v>
      </c>
      <c r="D13030" t="s">
        <v>9592</v>
      </c>
      <c r="E13030" t="s">
        <v>11</v>
      </c>
      <c r="G13030" t="s">
        <v>264</v>
      </c>
      <c r="H13030" t="s">
        <v>14</v>
      </c>
    </row>
    <row r="13031" spans="1:8" hidden="1" x14ac:dyDescent="0.25">
      <c r="A13031" t="s">
        <v>17176</v>
      </c>
      <c r="B13031" s="1" t="str">
        <f>HYPERLINK("https://asmlis.vasa.lt/Dashboard/Served?ServiceDateFrom=2025-11-24&amp;ServiceDateTo=2025-11-24&amp;DumpsterInvNr=13-P-402587", "13-P-402587")</f>
        <v>13-P-402587</v>
      </c>
      <c r="C13031">
        <v>1.1000000000000001</v>
      </c>
      <c r="D13031" t="s">
        <v>9592</v>
      </c>
      <c r="E13031" t="s">
        <v>11</v>
      </c>
      <c r="F13031" t="s">
        <v>13</v>
      </c>
      <c r="G13031" t="s">
        <v>264</v>
      </c>
      <c r="H13031" t="s">
        <v>14</v>
      </c>
    </row>
    <row r="13032" spans="1:8" hidden="1" x14ac:dyDescent="0.25">
      <c r="A13032" t="s">
        <v>17177</v>
      </c>
      <c r="B13032" s="1" t="str">
        <f>HYPERLINK("https://asmlis.vasa.lt/Dashboard/Served?ServiceDateFrom=2025-11-24&amp;ServiceDateTo=2025-11-24&amp;DumpsterInvNr=13-L-307004", "13-L-307004")</f>
        <v>13-L-307004</v>
      </c>
      <c r="C13032">
        <v>1.1000000000000001</v>
      </c>
      <c r="D13032" t="s">
        <v>17178</v>
      </c>
      <c r="E13032" t="s">
        <v>11</v>
      </c>
      <c r="G13032" t="s">
        <v>9</v>
      </c>
      <c r="H13032" t="s">
        <v>14</v>
      </c>
    </row>
    <row r="13033" spans="1:8" hidden="1" x14ac:dyDescent="0.25">
      <c r="A13033" t="s">
        <v>17179</v>
      </c>
      <c r="B13033" s="1" t="str">
        <f>HYPERLINK("https://asmlis.vasa.lt/Dashboard/Served?ServiceDateFrom=2025-11-24&amp;ServiceDateTo=2025-11-24&amp;DumpsterInvNr=13-L-131516", "13-L-131516")</f>
        <v>13-L-131516</v>
      </c>
      <c r="C13033">
        <v>5</v>
      </c>
      <c r="D13033" t="s">
        <v>12797</v>
      </c>
      <c r="E13033" t="s">
        <v>11</v>
      </c>
      <c r="F13033" t="s">
        <v>13</v>
      </c>
      <c r="G13033" t="s">
        <v>1912</v>
      </c>
      <c r="H13033" t="s">
        <v>432</v>
      </c>
    </row>
    <row r="13034" spans="1:8" hidden="1" x14ac:dyDescent="0.25">
      <c r="A13034" t="s">
        <v>17180</v>
      </c>
      <c r="B13034" s="1" t="str">
        <f>HYPERLINK("https://asmlis.vasa.lt/Dashboard/Served?ServiceDateFrom=2025-11-24&amp;ServiceDateTo=2025-11-24&amp;DumpsterInvNr=13-P-305405", "13-P-305405")</f>
        <v>13-P-305405</v>
      </c>
      <c r="C13034">
        <v>5</v>
      </c>
      <c r="D13034" t="s">
        <v>492</v>
      </c>
      <c r="E13034" t="s">
        <v>11</v>
      </c>
      <c r="F13034" t="s">
        <v>13</v>
      </c>
      <c r="G13034" t="s">
        <v>412</v>
      </c>
      <c r="H13034" t="s">
        <v>14</v>
      </c>
    </row>
    <row r="13035" spans="1:8" hidden="1" x14ac:dyDescent="0.25">
      <c r="A13035" t="s">
        <v>17181</v>
      </c>
      <c r="B13035" s="1" t="str">
        <f>HYPERLINK("https://asmlis.vasa.lt/Dashboard/Served?ServiceDateFrom=2025-11-24&amp;ServiceDateTo=2025-11-24&amp;DumpsterInvNr=13-P-204387", "13-P-204387")</f>
        <v>13-P-204387</v>
      </c>
      <c r="C13035">
        <v>0.77</v>
      </c>
      <c r="D13035" t="s">
        <v>17182</v>
      </c>
      <c r="E13035" t="s">
        <v>11</v>
      </c>
      <c r="G13035" t="s">
        <v>234</v>
      </c>
      <c r="H13035" t="s">
        <v>13</v>
      </c>
    </row>
    <row r="13036" spans="1:8" hidden="1" x14ac:dyDescent="0.25">
      <c r="A13036" t="s">
        <v>17183</v>
      </c>
      <c r="B13036" s="1" t="str">
        <f>HYPERLINK("https://asmlis.vasa.lt/Dashboard/Served?ServiceDateFrom=2025-11-24&amp;ServiceDateTo=2025-11-24&amp;DumpsterInvNr=13-L-134746", "13-L-134746")</f>
        <v>13-L-134746</v>
      </c>
      <c r="C13036">
        <v>5</v>
      </c>
      <c r="D13036" t="s">
        <v>9395</v>
      </c>
      <c r="E13036" t="s">
        <v>11</v>
      </c>
      <c r="F13036" t="s">
        <v>13</v>
      </c>
      <c r="G13036" t="s">
        <v>430</v>
      </c>
      <c r="H13036" t="s">
        <v>432</v>
      </c>
    </row>
    <row r="13037" spans="1:8" hidden="1" x14ac:dyDescent="0.25">
      <c r="A13037" t="s">
        <v>17184</v>
      </c>
      <c r="B13037" s="1" t="str">
        <f>HYPERLINK("https://asmlis.vasa.lt/Dashboard/Served?ServiceDateFrom=2025-11-24&amp;ServiceDateTo=2025-11-24&amp;DumpsterInvNr=13-P-204459", "13-P-204459")</f>
        <v>13-P-204459</v>
      </c>
      <c r="C13037">
        <v>0.77</v>
      </c>
      <c r="D13037" t="s">
        <v>17182</v>
      </c>
      <c r="E13037" t="s">
        <v>11</v>
      </c>
      <c r="F13037" t="s">
        <v>13</v>
      </c>
      <c r="G13037" t="s">
        <v>234</v>
      </c>
      <c r="H13037" t="s">
        <v>13</v>
      </c>
    </row>
    <row r="13038" spans="1:8" hidden="1" x14ac:dyDescent="0.25">
      <c r="A13038" t="s">
        <v>16011</v>
      </c>
      <c r="B13038" s="1" t="str">
        <f>HYPERLINK("https://asmlis.vasa.lt/Dashboard/Served?ServiceDateFrom=2025-11-24&amp;ServiceDateTo=2025-11-24&amp;DumpsterInvNr=13-P-105559", "13-P-105559")</f>
        <v>13-P-105559</v>
      </c>
      <c r="C13038">
        <v>1.1000000000000001</v>
      </c>
      <c r="D13038" t="s">
        <v>9610</v>
      </c>
      <c r="E13038" t="s">
        <v>11</v>
      </c>
      <c r="G13038" t="s">
        <v>1917</v>
      </c>
      <c r="H13038" t="s">
        <v>432</v>
      </c>
    </row>
    <row r="13039" spans="1:8" hidden="1" x14ac:dyDescent="0.25">
      <c r="A13039" t="s">
        <v>17185</v>
      </c>
      <c r="B13039" s="1" t="str">
        <f>HYPERLINK("https://asmlis.vasa.lt/Dashboard/Served?ServiceDateFrom=2025-11-24&amp;ServiceDateTo=2025-11-24&amp;DumpsterInvNr=13-P-301703", "13-P-301703")</f>
        <v>13-P-301703</v>
      </c>
      <c r="C13039">
        <v>5</v>
      </c>
      <c r="D13039" t="s">
        <v>471</v>
      </c>
      <c r="E13039" t="s">
        <v>11</v>
      </c>
      <c r="G13039" t="s">
        <v>412</v>
      </c>
      <c r="H13039" t="s">
        <v>14</v>
      </c>
    </row>
    <row r="13040" spans="1:8" hidden="1" x14ac:dyDescent="0.25">
      <c r="A13040" t="s">
        <v>17186</v>
      </c>
      <c r="B13040" s="1" t="str">
        <f>HYPERLINK("https://asmlis.vasa.lt/Dashboard/Served?ServiceDateFrom=2025-11-24&amp;ServiceDateTo=2025-11-24&amp;DumpsterInvNr=13-P-416419", "13-P-416419")</f>
        <v>13-P-416419</v>
      </c>
      <c r="C13040">
        <v>1.1000000000000001</v>
      </c>
      <c r="D13040" t="s">
        <v>11358</v>
      </c>
      <c r="E13040" t="s">
        <v>11</v>
      </c>
      <c r="F13040" t="s">
        <v>13</v>
      </c>
      <c r="G13040" t="s">
        <v>264</v>
      </c>
      <c r="H13040" t="s">
        <v>14</v>
      </c>
    </row>
    <row r="13041" spans="1:8" hidden="1" x14ac:dyDescent="0.25">
      <c r="A13041" t="s">
        <v>17187</v>
      </c>
      <c r="B13041" s="1" t="str">
        <f>HYPERLINK("https://asmlis.vasa.lt/Dashboard/Served?ServiceDateFrom=2025-11-24&amp;ServiceDateTo=2025-11-24&amp;DumpsterInvNr=13-P-416432", "13-P-416432")</f>
        <v>13-P-416432</v>
      </c>
      <c r="C13041">
        <v>1.1000000000000001</v>
      </c>
      <c r="D13041" t="s">
        <v>11358</v>
      </c>
      <c r="E13041" t="s">
        <v>11</v>
      </c>
      <c r="F13041" t="s">
        <v>13</v>
      </c>
      <c r="G13041" t="s">
        <v>264</v>
      </c>
      <c r="H13041" t="s">
        <v>14</v>
      </c>
    </row>
    <row r="13042" spans="1:8" hidden="1" x14ac:dyDescent="0.25">
      <c r="A13042" t="s">
        <v>17188</v>
      </c>
      <c r="B13042" s="1" t="str">
        <f>HYPERLINK("https://asmlis.vasa.lt/Dashboard/Served?ServiceDateFrom=2025-11-24&amp;ServiceDateTo=2025-11-24&amp;DumpsterInvNr=13-L-316811", "13-L-316811")</f>
        <v>13-L-316811</v>
      </c>
      <c r="C13042">
        <v>1.1000000000000001</v>
      </c>
      <c r="D13042" t="s">
        <v>17189</v>
      </c>
      <c r="E13042" t="s">
        <v>11</v>
      </c>
      <c r="G13042" t="s">
        <v>9</v>
      </c>
      <c r="H13042" t="s">
        <v>14</v>
      </c>
    </row>
    <row r="13043" spans="1:8" hidden="1" x14ac:dyDescent="0.25">
      <c r="A13043" t="s">
        <v>17190</v>
      </c>
      <c r="B13043" s="1" t="str">
        <f>HYPERLINK("https://asmlis.vasa.lt/Dashboard/Served?ServiceDateFrom=2025-11-24&amp;ServiceDateTo=2025-11-24&amp;DumpsterInvNr=13-L-316812", "13-L-316812")</f>
        <v>13-L-316812</v>
      </c>
      <c r="C13043">
        <v>1.1000000000000001</v>
      </c>
      <c r="D13043" t="s">
        <v>17189</v>
      </c>
      <c r="E13043" t="s">
        <v>11</v>
      </c>
      <c r="G13043" t="s">
        <v>9</v>
      </c>
      <c r="H13043" t="s">
        <v>14</v>
      </c>
    </row>
    <row r="13044" spans="1:8" hidden="1" x14ac:dyDescent="0.25">
      <c r="A13044" t="s">
        <v>17191</v>
      </c>
      <c r="B13044" s="1" t="str">
        <f>HYPERLINK("https://asmlis.vasa.lt/Dashboard/Served?ServiceDateFrom=2025-11-24&amp;ServiceDateTo=2025-11-24&amp;DumpsterInvNr=13-L-139368", "13-L-139368")</f>
        <v>13-L-139368</v>
      </c>
      <c r="C13044">
        <v>5</v>
      </c>
      <c r="D13044" t="s">
        <v>2499</v>
      </c>
      <c r="E13044" t="s">
        <v>11</v>
      </c>
      <c r="F13044" t="s">
        <v>13</v>
      </c>
      <c r="G13044" t="s">
        <v>430</v>
      </c>
      <c r="H13044" t="s">
        <v>432</v>
      </c>
    </row>
    <row r="13045" spans="1:8" hidden="1" x14ac:dyDescent="0.25">
      <c r="A13045" t="s">
        <v>17192</v>
      </c>
      <c r="B13045" s="1" t="str">
        <f>HYPERLINK("https://asmlis.vasa.lt/Dashboard/Served?ServiceDateFrom=2025-11-24&amp;ServiceDateTo=2025-11-24&amp;DumpsterInvNr=13-L-139841", "13-L-139841")</f>
        <v>13-L-139841</v>
      </c>
      <c r="C13045">
        <v>5</v>
      </c>
      <c r="D13045" t="s">
        <v>17193</v>
      </c>
      <c r="E13045" t="s">
        <v>11</v>
      </c>
      <c r="F13045" t="s">
        <v>13</v>
      </c>
      <c r="G13045" t="s">
        <v>1912</v>
      </c>
      <c r="H13045" t="s">
        <v>432</v>
      </c>
    </row>
    <row r="13046" spans="1:8" hidden="1" x14ac:dyDescent="0.25">
      <c r="A13046" t="s">
        <v>17194</v>
      </c>
      <c r="B13046" s="1" t="str">
        <f>HYPERLINK("https://asmlis.vasa.lt/Dashboard/Served?ServiceDateFrom=2025-11-24&amp;ServiceDateTo=2025-11-24&amp;DumpsterInvNr=13-P-500661", "13-P-500661")</f>
        <v>13-P-500661</v>
      </c>
      <c r="C13046">
        <v>2.5</v>
      </c>
      <c r="D13046" t="s">
        <v>6811</v>
      </c>
      <c r="E13046" t="s">
        <v>11</v>
      </c>
      <c r="F13046" t="s">
        <v>13</v>
      </c>
      <c r="G13046" t="s">
        <v>2178</v>
      </c>
      <c r="H13046" t="s">
        <v>432</v>
      </c>
    </row>
    <row r="13047" spans="1:8" hidden="1" x14ac:dyDescent="0.25">
      <c r="A13047" t="s">
        <v>17195</v>
      </c>
      <c r="B13047" s="1" t="str">
        <f>HYPERLINK("https://asmlis.vasa.lt/Dashboard/Served?ServiceDateFrom=2025-11-24&amp;ServiceDateTo=2025-11-24&amp;DumpsterInvNr=13-P-500662", "13-P-500662")</f>
        <v>13-P-500662</v>
      </c>
      <c r="C13047">
        <v>3</v>
      </c>
      <c r="D13047" t="s">
        <v>6811</v>
      </c>
      <c r="E13047" t="s">
        <v>11</v>
      </c>
      <c r="F13047" t="s">
        <v>13</v>
      </c>
      <c r="G13047" t="s">
        <v>2178</v>
      </c>
      <c r="H13047" t="s">
        <v>432</v>
      </c>
    </row>
    <row r="13048" spans="1:8" hidden="1" x14ac:dyDescent="0.25">
      <c r="A13048" t="s">
        <v>17196</v>
      </c>
      <c r="B13048" s="1" t="str">
        <f>HYPERLINK("https://asmlis.vasa.lt/Dashboard/Served?ServiceDateFrom=2025-11-24&amp;ServiceDateTo=2025-11-24&amp;DumpsterInvNr=13-L-317268", "13-L-317268")</f>
        <v>13-L-317268</v>
      </c>
      <c r="C13048">
        <v>1.1000000000000001</v>
      </c>
      <c r="D13048" t="s">
        <v>17197</v>
      </c>
      <c r="E13048" t="s">
        <v>11</v>
      </c>
      <c r="G13048" t="s">
        <v>9</v>
      </c>
      <c r="H13048" t="s">
        <v>14</v>
      </c>
    </row>
    <row r="13049" spans="1:8" hidden="1" x14ac:dyDescent="0.25">
      <c r="A13049" t="s">
        <v>17198</v>
      </c>
      <c r="B13049" s="1" t="str">
        <f>HYPERLINK("https://asmlis.vasa.lt/Dashboard/Served?ServiceDateFrom=2025-11-24&amp;ServiceDateTo=2025-11-24&amp;DumpsterInvNr=13-P-413129", "13-P-413129")</f>
        <v>13-P-413129</v>
      </c>
      <c r="C13049">
        <v>1.1000000000000001</v>
      </c>
      <c r="D13049" t="s">
        <v>11446</v>
      </c>
      <c r="E13049" t="s">
        <v>11</v>
      </c>
      <c r="G13049" t="s">
        <v>264</v>
      </c>
      <c r="H13049" t="s">
        <v>14</v>
      </c>
    </row>
    <row r="13050" spans="1:8" hidden="1" x14ac:dyDescent="0.25">
      <c r="A13050" t="s">
        <v>17199</v>
      </c>
      <c r="B13050" s="1" t="str">
        <f>HYPERLINK("https://asmlis.vasa.lt/Dashboard/Served?ServiceDateFrom=2025-11-24&amp;ServiceDateTo=2025-11-24&amp;DumpsterInvNr=13-P-415900", "13-P-415900")</f>
        <v>13-P-415900</v>
      </c>
      <c r="C13050">
        <v>1.1000000000000001</v>
      </c>
      <c r="D13050" t="s">
        <v>11446</v>
      </c>
      <c r="E13050" t="s">
        <v>11</v>
      </c>
      <c r="G13050" t="s">
        <v>264</v>
      </c>
      <c r="H13050" t="s">
        <v>14</v>
      </c>
    </row>
    <row r="13051" spans="1:8" hidden="1" x14ac:dyDescent="0.25">
      <c r="A13051" t="s">
        <v>17200</v>
      </c>
      <c r="B13051" s="1" t="str">
        <f>HYPERLINK("https://asmlis.vasa.lt/Dashboard/Served?ServiceDateFrom=2025-11-24&amp;ServiceDateTo=2025-11-24&amp;DumpsterInvNr=13-P-115444", "13-P-115444")</f>
        <v>13-P-115444</v>
      </c>
      <c r="C13051">
        <v>1.1000000000000001</v>
      </c>
      <c r="D13051" t="s">
        <v>6231</v>
      </c>
      <c r="E13051" t="s">
        <v>11</v>
      </c>
      <c r="G13051" t="s">
        <v>1917</v>
      </c>
      <c r="H13051" t="s">
        <v>432</v>
      </c>
    </row>
    <row r="13052" spans="1:8" hidden="1" x14ac:dyDescent="0.25">
      <c r="A13052" t="s">
        <v>17201</v>
      </c>
      <c r="B13052" s="1" t="str">
        <f>HYPERLINK("https://asmlis.vasa.lt/Dashboard/Served?ServiceDateFrom=2025-11-24&amp;ServiceDateTo=2025-11-24&amp;DumpsterInvNr=13-P-416436", "13-P-416436")</f>
        <v>13-P-416436</v>
      </c>
      <c r="C13052">
        <v>1.1000000000000001</v>
      </c>
      <c r="D13052" t="s">
        <v>11446</v>
      </c>
      <c r="E13052" t="s">
        <v>11</v>
      </c>
      <c r="G13052" t="s">
        <v>264</v>
      </c>
      <c r="H13052" t="s">
        <v>14</v>
      </c>
    </row>
    <row r="13053" spans="1:8" hidden="1" x14ac:dyDescent="0.25">
      <c r="A13053" t="s">
        <v>17202</v>
      </c>
      <c r="B13053" s="1" t="str">
        <f>HYPERLINK("https://asmlis.vasa.lt/Dashboard/Served?ServiceDateFrom=2025-11-24&amp;ServiceDateTo=2025-11-24&amp;DumpsterInvNr=13-L-318661", "13-L-318661")</f>
        <v>13-L-318661</v>
      </c>
      <c r="C13053">
        <v>1.1000000000000001</v>
      </c>
      <c r="D13053" t="s">
        <v>17203</v>
      </c>
      <c r="E13053" t="s">
        <v>11</v>
      </c>
      <c r="F13053" t="s">
        <v>13</v>
      </c>
      <c r="G13053" t="s">
        <v>9</v>
      </c>
      <c r="H13053" t="s">
        <v>14</v>
      </c>
    </row>
    <row r="13054" spans="1:8" hidden="1" x14ac:dyDescent="0.25">
      <c r="A13054" t="s">
        <v>17204</v>
      </c>
      <c r="B13054" s="1" t="str">
        <f>HYPERLINK("https://asmlis.vasa.lt/Dashboard/Served?ServiceDateFrom=2025-11-24&amp;ServiceDateTo=2025-11-24&amp;DumpsterInvNr=13-L-313837", "13-L-313837")</f>
        <v>13-L-313837</v>
      </c>
      <c r="C13054">
        <v>0.66</v>
      </c>
      <c r="D13054" t="s">
        <v>17205</v>
      </c>
      <c r="E13054" t="s">
        <v>11</v>
      </c>
      <c r="F13054" t="s">
        <v>13</v>
      </c>
      <c r="G13054" t="s">
        <v>9</v>
      </c>
      <c r="H13054" t="s">
        <v>14</v>
      </c>
    </row>
    <row r="13055" spans="1:8" hidden="1" x14ac:dyDescent="0.25">
      <c r="A13055" t="s">
        <v>17206</v>
      </c>
      <c r="B13055" s="1" t="str">
        <f>HYPERLINK("https://asmlis.vasa.lt/Dashboard/Served?ServiceDateFrom=2025-11-24&amp;ServiceDateTo=2025-11-24&amp;DumpsterInvNr=13-P-416459", "13-P-416459")</f>
        <v>13-P-416459</v>
      </c>
      <c r="C13055">
        <v>1.1000000000000001</v>
      </c>
      <c r="D13055" t="s">
        <v>3764</v>
      </c>
      <c r="E13055" t="s">
        <v>11</v>
      </c>
      <c r="F13055" t="s">
        <v>13</v>
      </c>
      <c r="G13055" t="s">
        <v>264</v>
      </c>
      <c r="H13055" t="s">
        <v>14</v>
      </c>
    </row>
    <row r="13056" spans="1:8" hidden="1" x14ac:dyDescent="0.25">
      <c r="A13056" t="s">
        <v>17207</v>
      </c>
      <c r="B13056" s="1" t="str">
        <f>HYPERLINK("https://asmlis.vasa.lt/Dashboard/Served?ServiceDateFrom=2025-11-24&amp;ServiceDateTo=2025-11-24&amp;DumpsterInvNr=13-P-415662", "13-P-415662")</f>
        <v>13-P-415662</v>
      </c>
      <c r="C13056">
        <v>1.1000000000000001</v>
      </c>
      <c r="D13056" t="s">
        <v>3764</v>
      </c>
      <c r="E13056" t="s">
        <v>11</v>
      </c>
      <c r="F13056" t="s">
        <v>13</v>
      </c>
      <c r="G13056" t="s">
        <v>264</v>
      </c>
      <c r="H13056" t="s">
        <v>14</v>
      </c>
    </row>
    <row r="13057" spans="1:8" hidden="1" x14ac:dyDescent="0.25">
      <c r="A13057" t="s">
        <v>17208</v>
      </c>
      <c r="B13057" s="1" t="str">
        <f>HYPERLINK("https://asmlis.vasa.lt/Dashboard/Served?ServiceDateFrom=2025-11-24&amp;ServiceDateTo=2025-11-24&amp;DumpsterInvNr=13-L-136031", "13-L-136031")</f>
        <v>13-L-136031</v>
      </c>
      <c r="C13057">
        <v>5</v>
      </c>
      <c r="D13057" t="s">
        <v>5290</v>
      </c>
      <c r="E13057" t="s">
        <v>11</v>
      </c>
      <c r="F13057" t="s">
        <v>13</v>
      </c>
      <c r="G13057" t="s">
        <v>430</v>
      </c>
      <c r="H13057" t="s">
        <v>432</v>
      </c>
    </row>
    <row r="13058" spans="1:8" hidden="1" x14ac:dyDescent="0.25">
      <c r="A13058" t="s">
        <v>17209</v>
      </c>
      <c r="B13058" s="1" t="str">
        <f>HYPERLINK("https://asmlis.vasa.lt/Dashboard/Served?ServiceDateFrom=2025-11-24&amp;ServiceDateTo=2025-11-24&amp;DumpsterInvNr=13-P-305416", "13-P-305416")</f>
        <v>13-P-305416</v>
      </c>
      <c r="C13058">
        <v>5</v>
      </c>
      <c r="D13058" t="s">
        <v>14089</v>
      </c>
      <c r="E13058" t="s">
        <v>11</v>
      </c>
      <c r="F13058" t="s">
        <v>13</v>
      </c>
      <c r="G13058" t="s">
        <v>412</v>
      </c>
      <c r="H13058" t="s">
        <v>14</v>
      </c>
    </row>
    <row r="13059" spans="1:8" hidden="1" x14ac:dyDescent="0.25">
      <c r="A13059" t="s">
        <v>17210</v>
      </c>
      <c r="B13059" s="1" t="str">
        <f>HYPERLINK("https://asmlis.vasa.lt/Dashboard/Served?ServiceDateFrom=2025-11-24&amp;ServiceDateTo=2025-11-24&amp;DumpsterInvNr=13-L-137958", "13-L-137958")</f>
        <v>13-L-137958</v>
      </c>
      <c r="C13059">
        <v>5</v>
      </c>
      <c r="D13059" t="s">
        <v>17211</v>
      </c>
      <c r="E13059" t="s">
        <v>11</v>
      </c>
      <c r="F13059" t="s">
        <v>13</v>
      </c>
      <c r="G13059" t="s">
        <v>1912</v>
      </c>
      <c r="H13059" t="s">
        <v>432</v>
      </c>
    </row>
    <row r="13060" spans="1:8" hidden="1" x14ac:dyDescent="0.25">
      <c r="A13060" t="s">
        <v>17212</v>
      </c>
      <c r="B13060" s="1" t="str">
        <f>HYPERLINK("https://asmlis.vasa.lt/Dashboard/Served?ServiceDateFrom=2025-11-24&amp;ServiceDateTo=2025-11-24&amp;DumpsterInvNr=13-P-306056", "13-P-306056")</f>
        <v>13-P-306056</v>
      </c>
      <c r="C13060">
        <v>5</v>
      </c>
      <c r="D13060" t="s">
        <v>14174</v>
      </c>
      <c r="E13060" t="s">
        <v>11</v>
      </c>
      <c r="G13060" t="s">
        <v>412</v>
      </c>
      <c r="H13060" t="s">
        <v>14</v>
      </c>
    </row>
    <row r="13061" spans="1:8" hidden="1" x14ac:dyDescent="0.25">
      <c r="A13061" t="s">
        <v>17213</v>
      </c>
      <c r="B13061" s="1" t="str">
        <f>HYPERLINK("https://asmlis.vasa.lt/Dashboard/Served?ServiceDateFrom=2025-11-24&amp;ServiceDateTo=2025-11-24&amp;DumpsterInvNr=13-L-317144", "13-L-317144")</f>
        <v>13-L-317144</v>
      </c>
      <c r="C13061">
        <v>1.1000000000000001</v>
      </c>
      <c r="D13061" t="s">
        <v>17214</v>
      </c>
      <c r="E13061" t="s">
        <v>11</v>
      </c>
      <c r="G13061" t="s">
        <v>9</v>
      </c>
      <c r="H13061" t="s">
        <v>14</v>
      </c>
    </row>
    <row r="13062" spans="1:8" hidden="1" x14ac:dyDescent="0.25">
      <c r="A13062" t="s">
        <v>17215</v>
      </c>
      <c r="B13062" s="1" t="str">
        <f>HYPERLINK("https://asmlis.vasa.lt/Dashboard/Served?ServiceDateFrom=2025-11-24&amp;ServiceDateTo=2025-11-24&amp;DumpsterInvNr=13-L-303391", "13-L-303391")</f>
        <v>13-L-303391</v>
      </c>
      <c r="C13062">
        <v>1.1000000000000001</v>
      </c>
      <c r="D13062" t="s">
        <v>17214</v>
      </c>
      <c r="E13062" t="s">
        <v>11</v>
      </c>
      <c r="F13062" t="s">
        <v>13</v>
      </c>
      <c r="G13062" t="s">
        <v>9</v>
      </c>
      <c r="H13062" t="s">
        <v>14</v>
      </c>
    </row>
    <row r="13063" spans="1:8" hidden="1" x14ac:dyDescent="0.25">
      <c r="A13063" t="s">
        <v>17216</v>
      </c>
      <c r="B13063" s="1" t="str">
        <f>HYPERLINK("https://asmlis.vasa.lt/Dashboard/Served?ServiceDateFrom=2025-11-24&amp;ServiceDateTo=2025-11-24&amp;DumpsterInvNr=13-P-416350", "13-P-416350")</f>
        <v>13-P-416350</v>
      </c>
      <c r="C13063">
        <v>1.1000000000000001</v>
      </c>
      <c r="D13063" t="s">
        <v>11778</v>
      </c>
      <c r="E13063" t="s">
        <v>11</v>
      </c>
      <c r="F13063" t="s">
        <v>13</v>
      </c>
      <c r="G13063" t="s">
        <v>264</v>
      </c>
      <c r="H13063" t="s">
        <v>14</v>
      </c>
    </row>
    <row r="13064" spans="1:8" hidden="1" x14ac:dyDescent="0.25">
      <c r="A13064" t="s">
        <v>17217</v>
      </c>
      <c r="B13064" s="1" t="str">
        <f>HYPERLINK("https://asmlis.vasa.lt/Dashboard/Served?ServiceDateFrom=2025-11-24&amp;ServiceDateTo=2025-11-24&amp;DumpsterInvNr=13-L-134750", "13-L-134750")</f>
        <v>13-L-134750</v>
      </c>
      <c r="C13064">
        <v>5</v>
      </c>
      <c r="D13064" t="s">
        <v>5482</v>
      </c>
      <c r="E13064" t="s">
        <v>11</v>
      </c>
      <c r="F13064" t="s">
        <v>13</v>
      </c>
      <c r="G13064" t="s">
        <v>430</v>
      </c>
      <c r="H13064" t="s">
        <v>432</v>
      </c>
    </row>
    <row r="13065" spans="1:8" hidden="1" x14ac:dyDescent="0.25">
      <c r="A13065" t="s">
        <v>17218</v>
      </c>
      <c r="B13065" s="1" t="str">
        <f>HYPERLINK("https://asmlis.vasa.lt/Dashboard/Served?ServiceDateFrom=2025-11-24&amp;ServiceDateTo=2025-11-24&amp;DumpsterInvNr=13-P-212968", "13-P-212968")</f>
        <v>13-P-212968</v>
      </c>
      <c r="C13065">
        <v>1.1000000000000001</v>
      </c>
      <c r="D13065" t="s">
        <v>9201</v>
      </c>
      <c r="E13065" t="s">
        <v>11</v>
      </c>
      <c r="G13065" t="s">
        <v>234</v>
      </c>
      <c r="H13065" t="s">
        <v>14</v>
      </c>
    </row>
    <row r="13066" spans="1:8" hidden="1" x14ac:dyDescent="0.25">
      <c r="A13066" t="s">
        <v>17219</v>
      </c>
      <c r="B13066" s="1" t="str">
        <f>HYPERLINK("https://asmlis.vasa.lt/Dashboard/Served?ServiceDateFrom=2025-11-24&amp;ServiceDateTo=2025-11-24&amp;DumpsterInvNr=13-L-137715", "13-L-137715")</f>
        <v>13-L-137715</v>
      </c>
      <c r="C13066">
        <v>5</v>
      </c>
      <c r="D13066" t="s">
        <v>17220</v>
      </c>
      <c r="E13066" t="s">
        <v>11</v>
      </c>
      <c r="F13066" t="s">
        <v>13</v>
      </c>
      <c r="G13066" t="s">
        <v>1912</v>
      </c>
      <c r="H13066" t="s">
        <v>432</v>
      </c>
    </row>
    <row r="13067" spans="1:8" hidden="1" x14ac:dyDescent="0.25">
      <c r="A13067" t="s">
        <v>17221</v>
      </c>
      <c r="B13067" s="1" t="str">
        <f>HYPERLINK("https://asmlis.vasa.lt/Dashboard/Served?ServiceDateFrom=2025-11-24&amp;ServiceDateTo=2025-11-24&amp;DumpsterInvNr=DGA-ZALVARIS", "DGA-ZALVARIS")</f>
        <v>DGA-ZALVARIS</v>
      </c>
      <c r="C13067">
        <v>1</v>
      </c>
      <c r="D13067" t="s">
        <v>3129</v>
      </c>
      <c r="E13067" t="s">
        <v>12</v>
      </c>
      <c r="F13067" t="s">
        <v>17222</v>
      </c>
      <c r="G13067" t="s">
        <v>6763</v>
      </c>
      <c r="H13067" t="s">
        <v>6765</v>
      </c>
    </row>
    <row r="13068" spans="1:8" hidden="1" x14ac:dyDescent="0.25">
      <c r="A13068" t="s">
        <v>17223</v>
      </c>
      <c r="B13068" s="1" t="str">
        <f>HYPERLINK("https://asmlis.vasa.lt/Dashboard/Served?ServiceDateFrom=2025-11-24&amp;ServiceDateTo=2025-11-24&amp;DumpsterInvNr=13-P-111220", "13-P-111220")</f>
        <v>13-P-111220</v>
      </c>
      <c r="C13068">
        <v>1.1000000000000001</v>
      </c>
      <c r="D13068" t="s">
        <v>17224</v>
      </c>
      <c r="E13068" t="s">
        <v>11</v>
      </c>
      <c r="G13068" t="s">
        <v>1917</v>
      </c>
      <c r="H13068" t="s">
        <v>432</v>
      </c>
    </row>
    <row r="13069" spans="1:8" hidden="1" x14ac:dyDescent="0.25">
      <c r="A13069" t="s">
        <v>17225</v>
      </c>
      <c r="B13069" s="1" t="str">
        <f>HYPERLINK("https://asmlis.vasa.lt/Dashboard/Served?ServiceDateFrom=2025-11-24&amp;ServiceDateTo=2025-11-24&amp;DumpsterInvNr=13-L-307109", "13-L-307109")</f>
        <v>13-L-307109</v>
      </c>
      <c r="C13069">
        <v>0.12</v>
      </c>
      <c r="D13069" t="s">
        <v>17226</v>
      </c>
      <c r="E13069" t="s">
        <v>11</v>
      </c>
      <c r="G13069" t="s">
        <v>9</v>
      </c>
      <c r="H13069" t="s">
        <v>14</v>
      </c>
    </row>
    <row r="13070" spans="1:8" hidden="1" x14ac:dyDescent="0.25">
      <c r="A13070" t="s">
        <v>17227</v>
      </c>
      <c r="B13070" s="1" t="str">
        <f>HYPERLINK("https://asmlis.vasa.lt/Dashboard/Served?ServiceDateFrom=2025-11-24&amp;ServiceDateTo=2025-11-24&amp;DumpsterInvNr=13-L-139371", "13-L-139371")</f>
        <v>13-L-139371</v>
      </c>
      <c r="C13070">
        <v>5</v>
      </c>
      <c r="D13070" t="s">
        <v>2591</v>
      </c>
      <c r="E13070" t="s">
        <v>11</v>
      </c>
      <c r="F13070" t="s">
        <v>13</v>
      </c>
      <c r="G13070" t="s">
        <v>430</v>
      </c>
      <c r="H13070" t="s">
        <v>432</v>
      </c>
    </row>
    <row r="13071" spans="1:8" hidden="1" x14ac:dyDescent="0.25">
      <c r="A13071" t="s">
        <v>17228</v>
      </c>
      <c r="B13071" s="1" t="str">
        <f>HYPERLINK("https://asmlis.vasa.lt/Dashboard/Served?ServiceDateFrom=2025-11-24&amp;ServiceDateTo=2025-11-24&amp;DumpsterInvNr=13-L-139337", "13-L-139337")</f>
        <v>13-L-139337</v>
      </c>
      <c r="C13071">
        <v>5</v>
      </c>
      <c r="D13071" t="s">
        <v>17229</v>
      </c>
      <c r="E13071" t="s">
        <v>11</v>
      </c>
      <c r="F13071" t="s">
        <v>13</v>
      </c>
      <c r="G13071" t="s">
        <v>1912</v>
      </c>
      <c r="H13071" t="s">
        <v>432</v>
      </c>
    </row>
    <row r="13072" spans="1:8" hidden="1" x14ac:dyDescent="0.25">
      <c r="A13072" t="s">
        <v>17230</v>
      </c>
      <c r="B13072" s="1" t="str">
        <f>HYPERLINK("https://asmlis.vasa.lt/Dashboard/Served?ServiceDateFrom=2025-11-24&amp;ServiceDateTo=2025-11-24&amp;DumpsterInvNr=13-P-401292", "13-P-401292")</f>
        <v>13-P-401292</v>
      </c>
      <c r="C13072">
        <v>1.1000000000000001</v>
      </c>
      <c r="D13072" t="s">
        <v>8153</v>
      </c>
      <c r="E13072" t="s">
        <v>11</v>
      </c>
      <c r="G13072" t="s">
        <v>264</v>
      </c>
      <c r="H13072" t="s">
        <v>14</v>
      </c>
    </row>
    <row r="13073" spans="1:10" x14ac:dyDescent="0.25">
      <c r="A13073" t="s">
        <v>17231</v>
      </c>
      <c r="B13073" s="1" t="str">
        <f>HYPERLINK("https://asmlis.vasa.lt/Dashboard/Served?ServiceDateFrom=2025-11-24&amp;ServiceDateTo=2025-11-24&amp;DumpsterInvNr=13-P-115373", "13-P-115373")</f>
        <v>13-P-115373</v>
      </c>
      <c r="C13073">
        <v>1.1000000000000001</v>
      </c>
      <c r="D13073" t="s">
        <v>17232</v>
      </c>
      <c r="E13073" t="s">
        <v>11</v>
      </c>
      <c r="F13073" t="s">
        <v>2491</v>
      </c>
      <c r="G13073" t="s">
        <v>1917</v>
      </c>
      <c r="H13073" t="s">
        <v>432</v>
      </c>
      <c r="J13073" t="s">
        <v>17511</v>
      </c>
    </row>
    <row r="13074" spans="1:10" hidden="1" x14ac:dyDescent="0.25">
      <c r="A13074" t="s">
        <v>17233</v>
      </c>
      <c r="B13074" s="1" t="str">
        <f>HYPERLINK("https://asmlis.vasa.lt/Dashboard/Served?ServiceDateFrom=2025-11-24&amp;ServiceDateTo=2025-11-24&amp;DumpsterInvNr=13-L-139311", "13-L-139311")</f>
        <v>13-L-139311</v>
      </c>
      <c r="C13074">
        <v>5</v>
      </c>
      <c r="D13074" t="s">
        <v>2752</v>
      </c>
      <c r="E13074" t="s">
        <v>11</v>
      </c>
      <c r="F13074" t="s">
        <v>13</v>
      </c>
      <c r="G13074" t="s">
        <v>430</v>
      </c>
      <c r="H13074" t="s">
        <v>432</v>
      </c>
    </row>
    <row r="13075" spans="1:10" hidden="1" x14ac:dyDescent="0.25">
      <c r="A13075" t="s">
        <v>17234</v>
      </c>
      <c r="B13075" s="1" t="str">
        <f>HYPERLINK("https://asmlis.vasa.lt/Dashboard/Served?ServiceDateFrom=2025-11-24&amp;ServiceDateTo=2025-11-24&amp;DumpsterInvNr=13-P-109439", "13-P-109439")</f>
        <v>13-P-109439</v>
      </c>
      <c r="C13075">
        <v>0.77</v>
      </c>
      <c r="D13075" t="s">
        <v>17235</v>
      </c>
      <c r="E13075" t="s">
        <v>11</v>
      </c>
      <c r="G13075" t="s">
        <v>1917</v>
      </c>
      <c r="H13075" t="s">
        <v>432</v>
      </c>
    </row>
    <row r="13076" spans="1:10" hidden="1" x14ac:dyDescent="0.25">
      <c r="A13076" t="s">
        <v>17236</v>
      </c>
      <c r="B13076" s="1" t="str">
        <f>HYPERLINK("https://asmlis.vasa.lt/Dashboard/Served?ServiceDateFrom=2025-11-24&amp;ServiceDateTo=2025-11-24&amp;DumpsterInvNr=13-P-415208", "13-P-415208")</f>
        <v>13-P-415208</v>
      </c>
      <c r="C13076">
        <v>1.1000000000000001</v>
      </c>
      <c r="D13076" t="s">
        <v>7977</v>
      </c>
      <c r="E13076" t="s">
        <v>11</v>
      </c>
      <c r="F13076" t="s">
        <v>13</v>
      </c>
      <c r="G13076" t="s">
        <v>264</v>
      </c>
      <c r="H13076" t="s">
        <v>14</v>
      </c>
    </row>
    <row r="13077" spans="1:10" x14ac:dyDescent="0.25">
      <c r="A13077" t="s">
        <v>17237</v>
      </c>
      <c r="B13077" s="1" t="str">
        <f>HYPERLINK("https://asmlis.vasa.lt/Dashboard/Served?ServiceDateFrom=2025-11-24&amp;ServiceDateTo=2025-11-24&amp;DumpsterInvNr=13-P-204898", "13-P-204898")</f>
        <v>13-P-204898</v>
      </c>
      <c r="C13077">
        <v>1.1000000000000001</v>
      </c>
      <c r="D13077" t="s">
        <v>7935</v>
      </c>
      <c r="E13077" t="s">
        <v>11</v>
      </c>
      <c r="F13077" t="s">
        <v>1215</v>
      </c>
      <c r="G13077" t="s">
        <v>234</v>
      </c>
      <c r="H13077" t="s">
        <v>14</v>
      </c>
      <c r="J13077" t="s">
        <v>17511</v>
      </c>
    </row>
    <row r="13078" spans="1:10" hidden="1" x14ac:dyDescent="0.25">
      <c r="A13078" t="s">
        <v>17238</v>
      </c>
      <c r="B13078" s="1" t="str">
        <f>HYPERLINK("https://asmlis.vasa.lt/Dashboard/Served?ServiceDateFrom=2025-11-24&amp;ServiceDateTo=2025-11-24&amp;DumpsterInvNr=13-L-139231", "13-L-139231")</f>
        <v>13-L-139231</v>
      </c>
      <c r="C13078">
        <v>5</v>
      </c>
      <c r="D13078" t="s">
        <v>11184</v>
      </c>
      <c r="E13078" t="s">
        <v>11</v>
      </c>
      <c r="F13078" t="s">
        <v>13</v>
      </c>
      <c r="G13078" t="s">
        <v>1912</v>
      </c>
      <c r="H13078" t="s">
        <v>432</v>
      </c>
    </row>
    <row r="13079" spans="1:10" hidden="1" x14ac:dyDescent="0.25">
      <c r="A13079" t="s">
        <v>17239</v>
      </c>
      <c r="B13079" s="1" t="str">
        <f>HYPERLINK("https://asmlis.vasa.lt/Dashboard/Served?ServiceDateFrom=2025-11-24&amp;ServiceDateTo=2025-11-24&amp;DumpsterInvNr=DGA-ZALVARIS", "DGA-ZALVARIS")</f>
        <v>DGA-ZALVARIS</v>
      </c>
      <c r="C13079">
        <v>1</v>
      </c>
      <c r="D13079" t="s">
        <v>2478</v>
      </c>
      <c r="E13079" t="s">
        <v>12</v>
      </c>
      <c r="F13079" t="s">
        <v>17240</v>
      </c>
      <c r="G13079" t="s">
        <v>6763</v>
      </c>
      <c r="H13079" t="s">
        <v>6765</v>
      </c>
    </row>
    <row r="13080" spans="1:10" hidden="1" x14ac:dyDescent="0.25">
      <c r="A13080" t="s">
        <v>17241</v>
      </c>
      <c r="B13080" s="1" t="str">
        <f>HYPERLINK("https://asmlis.vasa.lt/Dashboard/Served?ServiceDateFrom=2025-11-24&amp;ServiceDateTo=2025-11-24&amp;DumpsterInvNr=13-L-306274", "13-L-306274")</f>
        <v>13-L-306274</v>
      </c>
      <c r="C13080">
        <v>1.1000000000000001</v>
      </c>
      <c r="D13080" t="s">
        <v>17242</v>
      </c>
      <c r="E13080" t="s">
        <v>11</v>
      </c>
      <c r="G13080" t="s">
        <v>9</v>
      </c>
      <c r="H13080" t="s">
        <v>14</v>
      </c>
    </row>
    <row r="13081" spans="1:10" hidden="1" x14ac:dyDescent="0.25">
      <c r="A13081" t="s">
        <v>17243</v>
      </c>
      <c r="B13081" s="1" t="str">
        <f>HYPERLINK("https://asmlis.vasa.lt/Dashboard/Served?ServiceDateFrom=2025-11-24&amp;ServiceDateTo=2025-11-24&amp;DumpsterInvNr=13-L-306275", "13-L-306275")</f>
        <v>13-L-306275</v>
      </c>
      <c r="C13081">
        <v>1.1000000000000001</v>
      </c>
      <c r="D13081" t="s">
        <v>17244</v>
      </c>
      <c r="E13081" t="s">
        <v>11</v>
      </c>
      <c r="F13081" t="s">
        <v>13</v>
      </c>
      <c r="G13081" t="s">
        <v>9</v>
      </c>
      <c r="H13081" t="s">
        <v>14</v>
      </c>
    </row>
    <row r="13082" spans="1:10" hidden="1" x14ac:dyDescent="0.25">
      <c r="A13082" t="s">
        <v>17245</v>
      </c>
      <c r="B13082" s="1" t="str">
        <f>HYPERLINK("https://asmlis.vasa.lt/Dashboard/Served?ServiceDateFrom=2025-11-24&amp;ServiceDateTo=2025-11-24&amp;DumpsterInvNr=13-L-134747", "13-L-134747")</f>
        <v>13-L-134747</v>
      </c>
      <c r="C13082">
        <v>5</v>
      </c>
      <c r="D13082" t="s">
        <v>2910</v>
      </c>
      <c r="E13082" t="s">
        <v>11</v>
      </c>
      <c r="F13082" t="s">
        <v>13</v>
      </c>
      <c r="G13082" t="s">
        <v>430</v>
      </c>
      <c r="H13082" t="s">
        <v>432</v>
      </c>
    </row>
    <row r="13083" spans="1:10" hidden="1" x14ac:dyDescent="0.25">
      <c r="A13083" t="s">
        <v>17246</v>
      </c>
      <c r="B13083" s="1" t="str">
        <f>HYPERLINK("https://asmlis.vasa.lt/Dashboard/Served?ServiceDateFrom=2025-11-24&amp;ServiceDateTo=2025-11-24&amp;DumpsterInvNr=13-L-120453", "13-L-120453")</f>
        <v>13-L-120453</v>
      </c>
      <c r="C13083">
        <v>5</v>
      </c>
      <c r="D13083" t="s">
        <v>17247</v>
      </c>
      <c r="E13083" t="s">
        <v>11</v>
      </c>
      <c r="F13083" t="s">
        <v>13</v>
      </c>
      <c r="G13083" t="s">
        <v>1912</v>
      </c>
      <c r="H13083" t="s">
        <v>432</v>
      </c>
    </row>
    <row r="13084" spans="1:10" hidden="1" x14ac:dyDescent="0.25">
      <c r="A13084" t="s">
        <v>17248</v>
      </c>
      <c r="B13084" s="1" t="str">
        <f>HYPERLINK("https://asmlis.vasa.lt/Dashboard/Served?ServiceDateFrom=2025-11-24&amp;ServiceDateTo=2025-11-24&amp;DumpsterInvNr=13-P-115374", "13-P-115374")</f>
        <v>13-P-115374</v>
      </c>
      <c r="C13084">
        <v>1.1000000000000001</v>
      </c>
      <c r="D13084" t="s">
        <v>17249</v>
      </c>
      <c r="E13084" t="s">
        <v>11</v>
      </c>
      <c r="G13084" t="s">
        <v>1917</v>
      </c>
      <c r="H13084" t="s">
        <v>432</v>
      </c>
    </row>
    <row r="13085" spans="1:10" hidden="1" x14ac:dyDescent="0.25">
      <c r="A13085" t="s">
        <v>17250</v>
      </c>
      <c r="B13085" s="1" t="str">
        <f>HYPERLINK("https://asmlis.vasa.lt/Dashboard/Served?ServiceDateFrom=2025-11-24&amp;ServiceDateTo=2025-11-24&amp;DumpsterInvNr=13-P-402263", "13-P-402263")</f>
        <v>13-P-402263</v>
      </c>
      <c r="C13085">
        <v>1.1000000000000001</v>
      </c>
      <c r="D13085" t="s">
        <v>4678</v>
      </c>
      <c r="E13085" t="s">
        <v>11</v>
      </c>
      <c r="F13085" t="s">
        <v>2960</v>
      </c>
      <c r="G13085" t="s">
        <v>264</v>
      </c>
      <c r="H13085" t="s">
        <v>14</v>
      </c>
      <c r="J13085" t="s">
        <v>17519</v>
      </c>
    </row>
    <row r="13086" spans="1:10" hidden="1" x14ac:dyDescent="0.25">
      <c r="A13086" t="s">
        <v>17251</v>
      </c>
      <c r="B13086" s="1" t="str">
        <f>HYPERLINK("https://asmlis.vasa.lt/Dashboard/Served?ServiceDateFrom=2025-11-24&amp;ServiceDateTo=2025-11-24&amp;DumpsterInvNr=13-L-316439", "13-L-316439")</f>
        <v>13-L-316439</v>
      </c>
      <c r="C13086">
        <v>1.1000000000000001</v>
      </c>
      <c r="D13086" t="s">
        <v>17252</v>
      </c>
      <c r="E13086" t="s">
        <v>11</v>
      </c>
      <c r="G13086" t="s">
        <v>9</v>
      </c>
      <c r="H13086" t="s">
        <v>14</v>
      </c>
    </row>
    <row r="13087" spans="1:10" hidden="1" x14ac:dyDescent="0.25">
      <c r="A13087" t="s">
        <v>17253</v>
      </c>
      <c r="B13087" s="1" t="str">
        <f>HYPERLINK("https://asmlis.vasa.lt/Dashboard/Served?ServiceDateFrom=2025-11-24&amp;ServiceDateTo=2025-11-24&amp;DumpsterInvNr=DGA-ZALVARIS", "DGA-ZALVARIS")</f>
        <v>DGA-ZALVARIS</v>
      </c>
      <c r="C13087">
        <v>1</v>
      </c>
      <c r="D13087" t="s">
        <v>4147</v>
      </c>
      <c r="E13087" t="s">
        <v>12</v>
      </c>
      <c r="F13087" t="s">
        <v>17254</v>
      </c>
      <c r="G13087" t="s">
        <v>6763</v>
      </c>
      <c r="H13087" t="s">
        <v>6765</v>
      </c>
    </row>
    <row r="13088" spans="1:10" hidden="1" x14ac:dyDescent="0.25">
      <c r="A13088" t="s">
        <v>17255</v>
      </c>
      <c r="B13088" s="1" t="str">
        <f>HYPERLINK("https://asmlis.vasa.lt/Dashboard/Served?ServiceDateFrom=2025-11-24&amp;ServiceDateTo=2025-11-24&amp;DumpsterInvNr=13-P-416364", "13-P-416364")</f>
        <v>13-P-416364</v>
      </c>
      <c r="C13088">
        <v>1.1000000000000001</v>
      </c>
      <c r="D13088" t="s">
        <v>17256</v>
      </c>
      <c r="E13088" t="s">
        <v>11</v>
      </c>
      <c r="F13088" t="s">
        <v>13</v>
      </c>
      <c r="G13088" t="s">
        <v>264</v>
      </c>
      <c r="H13088" t="s">
        <v>14</v>
      </c>
    </row>
    <row r="13089" spans="1:10" hidden="1" x14ac:dyDescent="0.25">
      <c r="A13089" t="s">
        <v>17257</v>
      </c>
      <c r="B13089" s="1" t="str">
        <f>HYPERLINK("https://asmlis.vasa.lt/Dashboard/Served?ServiceDateFrom=2025-11-24&amp;ServiceDateTo=2025-11-24&amp;DumpsterInvNr=13-P-416395", "13-P-416395")</f>
        <v>13-P-416395</v>
      </c>
      <c r="C13089">
        <v>1.1000000000000001</v>
      </c>
      <c r="D13089" t="s">
        <v>17256</v>
      </c>
      <c r="E13089" t="s">
        <v>11</v>
      </c>
      <c r="F13089" t="s">
        <v>13</v>
      </c>
      <c r="G13089" t="s">
        <v>264</v>
      </c>
      <c r="H13089" t="s">
        <v>14</v>
      </c>
    </row>
    <row r="13090" spans="1:10" hidden="1" x14ac:dyDescent="0.25">
      <c r="A13090" t="s">
        <v>17258</v>
      </c>
      <c r="B13090" s="1" t="str">
        <f>HYPERLINK("https://asmlis.vasa.lt/Dashboard/Served?ServiceDateFrom=2025-11-24&amp;ServiceDateTo=2025-11-24&amp;DumpsterInvNr=13-P-208500", "13-P-208500")</f>
        <v>13-P-208500</v>
      </c>
      <c r="C13090">
        <v>1.1000000000000001</v>
      </c>
      <c r="D13090" t="s">
        <v>17259</v>
      </c>
      <c r="E13090" t="s">
        <v>11</v>
      </c>
      <c r="G13090" t="s">
        <v>234</v>
      </c>
      <c r="H13090" t="s">
        <v>14</v>
      </c>
    </row>
    <row r="13091" spans="1:10" hidden="1" x14ac:dyDescent="0.25">
      <c r="A13091" t="s">
        <v>17260</v>
      </c>
      <c r="B13091" s="1" t="str">
        <f>HYPERLINK("https://asmlis.vasa.lt/Dashboard/Served?ServiceDateFrom=2025-11-24&amp;ServiceDateTo=2025-11-24&amp;DumpsterInvNr=13-L-315577", "13-L-315577")</f>
        <v>13-L-315577</v>
      </c>
      <c r="C13091">
        <v>1.1000000000000001</v>
      </c>
      <c r="D13091" t="s">
        <v>17261</v>
      </c>
      <c r="E13091" t="s">
        <v>11</v>
      </c>
      <c r="G13091" t="s">
        <v>9</v>
      </c>
      <c r="H13091" t="s">
        <v>14</v>
      </c>
    </row>
    <row r="13092" spans="1:10" hidden="1" x14ac:dyDescent="0.25">
      <c r="A13092" t="s">
        <v>17262</v>
      </c>
      <c r="B13092" s="1" t="str">
        <f>HYPERLINK("https://asmlis.vasa.lt/Dashboard/Served?ServiceDateFrom=2025-11-24&amp;ServiceDateTo=2025-11-24&amp;DumpsterInvNr=13-L-312979", "13-L-312979")</f>
        <v>13-L-312979</v>
      </c>
      <c r="C13092">
        <v>1.1000000000000001</v>
      </c>
      <c r="D13092" t="s">
        <v>17261</v>
      </c>
      <c r="E13092" t="s">
        <v>11</v>
      </c>
      <c r="G13092" t="s">
        <v>9</v>
      </c>
      <c r="H13092" t="s">
        <v>14</v>
      </c>
    </row>
    <row r="13093" spans="1:10" hidden="1" x14ac:dyDescent="0.25">
      <c r="A13093" t="s">
        <v>17263</v>
      </c>
      <c r="B13093" s="1" t="str">
        <f>HYPERLINK("https://asmlis.vasa.lt/Dashboard/Served?ServiceDateFrom=2025-11-24&amp;ServiceDateTo=2025-11-24&amp;DumpsterInvNr=13-L-302497", "13-L-302497")</f>
        <v>13-L-302497</v>
      </c>
      <c r="C13093">
        <v>0.24</v>
      </c>
      <c r="D13093" t="s">
        <v>17264</v>
      </c>
      <c r="E13093" t="s">
        <v>11</v>
      </c>
      <c r="G13093" t="s">
        <v>9</v>
      </c>
      <c r="H13093" t="s">
        <v>14</v>
      </c>
    </row>
    <row r="13094" spans="1:10" hidden="1" x14ac:dyDescent="0.25">
      <c r="A13094" t="s">
        <v>17265</v>
      </c>
      <c r="B13094" s="1" t="str">
        <f>HYPERLINK("https://asmlis.vasa.lt/Dashboard/Served?ServiceDateFrom=2025-11-24&amp;ServiceDateTo=2025-11-24&amp;DumpsterInvNr=13-L-317891", "13-L-317891")</f>
        <v>13-L-317891</v>
      </c>
      <c r="C13094">
        <v>1.1000000000000001</v>
      </c>
      <c r="D13094" t="s">
        <v>4254</v>
      </c>
      <c r="E13094" t="s">
        <v>11</v>
      </c>
      <c r="G13094" t="s">
        <v>9</v>
      </c>
      <c r="H13094" t="s">
        <v>14</v>
      </c>
    </row>
    <row r="13095" spans="1:10" hidden="1" x14ac:dyDescent="0.25">
      <c r="A13095" t="s">
        <v>17266</v>
      </c>
      <c r="B13095" s="1" t="str">
        <f>HYPERLINK("https://asmlis.vasa.lt/Dashboard/Served?ServiceDateFrom=2025-11-24&amp;ServiceDateTo=2025-11-24&amp;DumpsterInvNr=DGA-ZALVARIS", "DGA-ZALVARIS")</f>
        <v>DGA-ZALVARIS</v>
      </c>
      <c r="C13095">
        <v>1</v>
      </c>
      <c r="D13095" t="s">
        <v>4273</v>
      </c>
      <c r="E13095" t="s">
        <v>12</v>
      </c>
      <c r="F13095" t="s">
        <v>17267</v>
      </c>
      <c r="G13095" t="s">
        <v>6763</v>
      </c>
      <c r="H13095" t="s">
        <v>6765</v>
      </c>
    </row>
    <row r="13096" spans="1:10" hidden="1" x14ac:dyDescent="0.25">
      <c r="A13096" t="s">
        <v>17268</v>
      </c>
      <c r="B13096" s="1" t="str">
        <f>HYPERLINK("https://asmlis.vasa.lt/Dashboard/Served?ServiceDateFrom=2025-11-24&amp;ServiceDateTo=2025-11-24&amp;DumpsterInvNr=13-L-134748", "13-L-134748")</f>
        <v>13-L-134748</v>
      </c>
      <c r="C13096">
        <v>5</v>
      </c>
      <c r="D13096" t="s">
        <v>9204</v>
      </c>
      <c r="E13096" t="s">
        <v>11</v>
      </c>
      <c r="F13096" t="s">
        <v>13</v>
      </c>
      <c r="G13096" t="s">
        <v>430</v>
      </c>
      <c r="H13096" t="s">
        <v>432</v>
      </c>
    </row>
    <row r="13097" spans="1:10" hidden="1" x14ac:dyDescent="0.25">
      <c r="A13097" t="s">
        <v>17269</v>
      </c>
      <c r="B13097" s="1" t="str">
        <f>HYPERLINK("https://asmlis.vasa.lt/Dashboard/Served?ServiceDateFrom=2025-11-24&amp;ServiceDateTo=2025-11-24&amp;DumpsterInvNr=13-L-311743", "13-L-311743")</f>
        <v>13-L-311743</v>
      </c>
      <c r="C13097">
        <v>1.1000000000000001</v>
      </c>
      <c r="D13097" t="s">
        <v>4254</v>
      </c>
      <c r="E13097" t="s">
        <v>11</v>
      </c>
      <c r="G13097" t="s">
        <v>9</v>
      </c>
      <c r="H13097" t="s">
        <v>14</v>
      </c>
    </row>
    <row r="13098" spans="1:10" hidden="1" x14ac:dyDescent="0.25">
      <c r="A13098" t="s">
        <v>17270</v>
      </c>
      <c r="B13098" s="1" t="str">
        <f>HYPERLINK("https://asmlis.vasa.lt/Dashboard/Served?ServiceDateFrom=2025-11-24&amp;ServiceDateTo=2025-11-24&amp;DumpsterInvNr=13-L-318949", "13-L-318949")</f>
        <v>13-L-318949</v>
      </c>
      <c r="C13098">
        <v>1.1000000000000001</v>
      </c>
      <c r="D13098" t="s">
        <v>4254</v>
      </c>
      <c r="E13098" t="s">
        <v>11</v>
      </c>
      <c r="F13098" t="s">
        <v>13</v>
      </c>
      <c r="G13098" t="s">
        <v>9</v>
      </c>
      <c r="H13098" t="s">
        <v>14</v>
      </c>
    </row>
    <row r="13099" spans="1:10" hidden="1" x14ac:dyDescent="0.25">
      <c r="A13099" t="s">
        <v>17271</v>
      </c>
      <c r="B13099" s="1" t="str">
        <f>HYPERLINK("https://asmlis.vasa.lt/Dashboard/Served?ServiceDateFrom=2025-11-24&amp;ServiceDateTo=2025-11-24&amp;DumpsterInvNr=13-L-311742", "13-L-311742")</f>
        <v>13-L-311742</v>
      </c>
      <c r="C13099">
        <v>1.1000000000000001</v>
      </c>
      <c r="D13099" t="s">
        <v>4254</v>
      </c>
      <c r="E13099" t="s">
        <v>11</v>
      </c>
      <c r="F13099" t="s">
        <v>13</v>
      </c>
      <c r="G13099" t="s">
        <v>9</v>
      </c>
      <c r="H13099" t="s">
        <v>14</v>
      </c>
    </row>
    <row r="13100" spans="1:10" x14ac:dyDescent="0.25">
      <c r="A13100" t="s">
        <v>17272</v>
      </c>
      <c r="B13100" s="1" t="str">
        <f>HYPERLINK("https://asmlis.vasa.lt/Dashboard/Served?ServiceDateFrom=2025-11-24&amp;ServiceDateTo=2025-11-24&amp;DumpsterInvNr=13-P-115361", "13-P-115361")</f>
        <v>13-P-115361</v>
      </c>
      <c r="C13100">
        <v>1.1000000000000001</v>
      </c>
      <c r="D13100" t="s">
        <v>17273</v>
      </c>
      <c r="E13100" t="s">
        <v>11</v>
      </c>
      <c r="F13100" t="s">
        <v>2491</v>
      </c>
      <c r="G13100" t="s">
        <v>1917</v>
      </c>
      <c r="H13100" t="s">
        <v>432</v>
      </c>
      <c r="J13100" t="s">
        <v>17511</v>
      </c>
    </row>
    <row r="13101" spans="1:10" hidden="1" x14ac:dyDescent="0.25">
      <c r="A13101" t="s">
        <v>17274</v>
      </c>
      <c r="B13101" s="1" t="str">
        <f>HYPERLINK("https://asmlis.vasa.lt/Dashboard/Served?ServiceDateFrom=2025-11-24&amp;ServiceDateTo=2025-11-24&amp;DumpsterInvNr=13-P-212510", "13-P-212510")</f>
        <v>13-P-212510</v>
      </c>
      <c r="C13101">
        <v>1.1000000000000001</v>
      </c>
      <c r="D13101" t="s">
        <v>17275</v>
      </c>
      <c r="E13101" t="s">
        <v>11</v>
      </c>
      <c r="G13101" t="s">
        <v>234</v>
      </c>
      <c r="H13101" t="s">
        <v>14</v>
      </c>
    </row>
    <row r="13102" spans="1:10" hidden="1" x14ac:dyDescent="0.25">
      <c r="A13102" t="s">
        <v>17276</v>
      </c>
      <c r="B13102" s="1" t="str">
        <f>HYPERLINK("https://asmlis.vasa.lt/Dashboard/Served?ServiceDateFrom=2025-11-24&amp;ServiceDateTo=2025-11-24&amp;DumpsterInvNr=13-P-105630", "13-P-105630")</f>
        <v>13-P-105630</v>
      </c>
      <c r="C13102">
        <v>0.77</v>
      </c>
      <c r="D13102" t="s">
        <v>17277</v>
      </c>
      <c r="E13102" t="s">
        <v>11</v>
      </c>
      <c r="G13102" t="s">
        <v>1917</v>
      </c>
      <c r="H13102" t="s">
        <v>432</v>
      </c>
    </row>
    <row r="13103" spans="1:10" hidden="1" x14ac:dyDescent="0.25">
      <c r="A13103" t="s">
        <v>17278</v>
      </c>
      <c r="B13103" s="1" t="str">
        <f>HYPERLINK("https://asmlis.vasa.lt/Dashboard/Served?ServiceDateFrom=2025-11-24&amp;ServiceDateTo=2025-11-24&amp;DumpsterInvNr=13-P-212503", "13-P-212503")</f>
        <v>13-P-212503</v>
      </c>
      <c r="C13103">
        <v>1.1000000000000001</v>
      </c>
      <c r="D13103" t="s">
        <v>17275</v>
      </c>
      <c r="E13103" t="s">
        <v>11</v>
      </c>
      <c r="G13103" t="s">
        <v>234</v>
      </c>
      <c r="H13103" t="s">
        <v>14</v>
      </c>
    </row>
    <row r="13104" spans="1:10" hidden="1" x14ac:dyDescent="0.25">
      <c r="A13104" t="s">
        <v>17279</v>
      </c>
      <c r="B13104" s="1" t="str">
        <f>HYPERLINK("https://asmlis.vasa.lt/Dashboard/Served?ServiceDateFrom=2025-11-24&amp;ServiceDateTo=2025-11-24&amp;DumpsterInvNr=13-P-105548", "13-P-105548")</f>
        <v>13-P-105548</v>
      </c>
      <c r="C13104">
        <v>1.1000000000000001</v>
      </c>
      <c r="D13104" t="s">
        <v>17277</v>
      </c>
      <c r="E13104" t="s">
        <v>11</v>
      </c>
      <c r="G13104" t="s">
        <v>1917</v>
      </c>
      <c r="H13104" t="s">
        <v>432</v>
      </c>
    </row>
    <row r="13105" spans="1:8" hidden="1" x14ac:dyDescent="0.25">
      <c r="A13105" t="s">
        <v>17280</v>
      </c>
      <c r="B13105" s="1" t="str">
        <f>HYPERLINK("https://asmlis.vasa.lt/Dashboard/Served?ServiceDateFrom=2025-11-24&amp;ServiceDateTo=2025-11-24&amp;DumpsterInvNr=13-L-144117", "13-L-144117")</f>
        <v>13-L-144117</v>
      </c>
      <c r="C13105">
        <v>5</v>
      </c>
      <c r="D13105" t="s">
        <v>3608</v>
      </c>
      <c r="E13105" t="s">
        <v>11</v>
      </c>
      <c r="F13105" t="s">
        <v>13</v>
      </c>
      <c r="G13105" t="s">
        <v>430</v>
      </c>
      <c r="H13105" t="s">
        <v>432</v>
      </c>
    </row>
    <row r="13106" spans="1:8" hidden="1" x14ac:dyDescent="0.25">
      <c r="A13106" t="s">
        <v>17281</v>
      </c>
      <c r="B13106" s="1" t="str">
        <f>HYPERLINK("https://asmlis.vasa.lt/Dashboard/Served?ServiceDateFrom=2025-11-24&amp;ServiceDateTo=2025-11-24&amp;DumpsterInvNr=13-L-308778", "13-L-308778")</f>
        <v>13-L-308778</v>
      </c>
      <c r="C13106">
        <v>1.1000000000000001</v>
      </c>
      <c r="D13106" t="s">
        <v>17282</v>
      </c>
      <c r="E13106" t="s">
        <v>11</v>
      </c>
      <c r="G13106" t="s">
        <v>9</v>
      </c>
      <c r="H13106" t="s">
        <v>14</v>
      </c>
    </row>
    <row r="13107" spans="1:8" hidden="1" x14ac:dyDescent="0.25">
      <c r="A13107" t="s">
        <v>17283</v>
      </c>
      <c r="B13107" s="1" t="str">
        <f>HYPERLINK("https://asmlis.vasa.lt/Dashboard/Served?ServiceDateFrom=2025-11-24&amp;ServiceDateTo=2025-11-24&amp;DumpsterInvNr=13-L-309531", "13-L-309531")</f>
        <v>13-L-309531</v>
      </c>
      <c r="C13107">
        <v>1.1000000000000001</v>
      </c>
      <c r="D13107" t="s">
        <v>17282</v>
      </c>
      <c r="E13107" t="s">
        <v>11</v>
      </c>
      <c r="G13107" t="s">
        <v>9</v>
      </c>
      <c r="H13107" t="s">
        <v>14</v>
      </c>
    </row>
    <row r="13108" spans="1:8" hidden="1" x14ac:dyDescent="0.25">
      <c r="A13108" t="s">
        <v>17284</v>
      </c>
      <c r="B13108" s="1" t="str">
        <f>HYPERLINK("https://asmlis.vasa.lt/Dashboard/Served?ServiceDateFrom=2025-11-24&amp;ServiceDateTo=2025-11-24&amp;DumpsterInvNr=13-L-145868", "13-L-145868")</f>
        <v>13-L-145868</v>
      </c>
      <c r="C13108">
        <v>5</v>
      </c>
      <c r="D13108" t="s">
        <v>3775</v>
      </c>
      <c r="E13108" t="s">
        <v>11</v>
      </c>
      <c r="F13108" t="s">
        <v>13</v>
      </c>
      <c r="G13108" t="s">
        <v>430</v>
      </c>
      <c r="H13108" t="s">
        <v>432</v>
      </c>
    </row>
    <row r="13109" spans="1:8" hidden="1" x14ac:dyDescent="0.25">
      <c r="A13109" t="s">
        <v>17285</v>
      </c>
      <c r="B13109" s="1" t="str">
        <f>HYPERLINK("https://asmlis.vasa.lt/Dashboard/Served?ServiceDateFrom=2025-11-24&amp;ServiceDateTo=2025-11-24&amp;DumpsterInvNr=13-P-415925", "13-P-415925")</f>
        <v>13-P-415925</v>
      </c>
      <c r="C13109">
        <v>1.1000000000000001</v>
      </c>
      <c r="D13109" t="s">
        <v>11988</v>
      </c>
      <c r="E13109" t="s">
        <v>11</v>
      </c>
      <c r="F13109" t="s">
        <v>13</v>
      </c>
      <c r="G13109" t="s">
        <v>264</v>
      </c>
      <c r="H13109" t="s">
        <v>14</v>
      </c>
    </row>
    <row r="13110" spans="1:8" hidden="1" x14ac:dyDescent="0.25">
      <c r="A13110" t="s">
        <v>17286</v>
      </c>
      <c r="B13110" s="1" t="str">
        <f>HYPERLINK("https://asmlis.vasa.lt/Dashboard/Served?ServiceDateFrom=2025-11-24&amp;ServiceDateTo=2025-11-24&amp;DumpsterInvNr=13-L-300653", "13-L-300653")</f>
        <v>13-L-300653</v>
      </c>
      <c r="C13110">
        <v>1.1000000000000001</v>
      </c>
      <c r="D13110" t="s">
        <v>1428</v>
      </c>
      <c r="E13110" t="s">
        <v>11</v>
      </c>
      <c r="F13110" t="s">
        <v>13</v>
      </c>
      <c r="G13110" t="s">
        <v>9</v>
      </c>
      <c r="H13110" t="s">
        <v>14</v>
      </c>
    </row>
    <row r="13111" spans="1:8" hidden="1" x14ac:dyDescent="0.25">
      <c r="A13111" t="s">
        <v>17287</v>
      </c>
      <c r="B13111" s="1" t="str">
        <f>HYPERLINK("https://asmlis.vasa.lt/Dashboard/Served?ServiceDateFrom=2025-11-24&amp;ServiceDateTo=2025-11-24&amp;DumpsterInvNr=13-P-115387", "13-P-115387")</f>
        <v>13-P-115387</v>
      </c>
      <c r="C13111">
        <v>1.1000000000000001</v>
      </c>
      <c r="D13111" t="s">
        <v>11495</v>
      </c>
      <c r="E13111" t="s">
        <v>11</v>
      </c>
      <c r="G13111" t="s">
        <v>1917</v>
      </c>
      <c r="H13111" t="s">
        <v>432</v>
      </c>
    </row>
    <row r="13112" spans="1:8" hidden="1" x14ac:dyDescent="0.25">
      <c r="A13112" t="s">
        <v>17288</v>
      </c>
      <c r="B13112" s="1" t="str">
        <f>HYPERLINK("https://asmlis.vasa.lt/Dashboard/Served?ServiceDateFrom=2025-11-24&amp;ServiceDateTo=2025-11-24&amp;DumpsterInvNr=13-L-316646", "13-L-316646")</f>
        <v>13-L-316646</v>
      </c>
      <c r="C13112">
        <v>1.1000000000000001</v>
      </c>
      <c r="D13112" t="s">
        <v>1428</v>
      </c>
      <c r="E13112" t="s">
        <v>11</v>
      </c>
      <c r="G13112" t="s">
        <v>9</v>
      </c>
      <c r="H13112" t="s">
        <v>14</v>
      </c>
    </row>
    <row r="13113" spans="1:8" hidden="1" x14ac:dyDescent="0.25">
      <c r="A13113" t="s">
        <v>17289</v>
      </c>
      <c r="B13113" s="1" t="str">
        <f>HYPERLINK("https://asmlis.vasa.lt/Dashboard/Served?ServiceDateFrom=2025-11-24&amp;ServiceDateTo=2025-11-24&amp;DumpsterInvNr=13-L-305235", "13-L-305235")</f>
        <v>13-L-305235</v>
      </c>
      <c r="C13113">
        <v>1.1000000000000001</v>
      </c>
      <c r="D13113" t="s">
        <v>1428</v>
      </c>
      <c r="E13113" t="s">
        <v>11</v>
      </c>
      <c r="G13113" t="s">
        <v>9</v>
      </c>
      <c r="H13113" t="s">
        <v>14</v>
      </c>
    </row>
    <row r="13114" spans="1:8" hidden="1" x14ac:dyDescent="0.25">
      <c r="A13114" t="s">
        <v>17290</v>
      </c>
      <c r="B13114" s="1" t="str">
        <f>HYPERLINK("https://asmlis.vasa.lt/Dashboard/Served?ServiceDateFrom=2025-11-24&amp;ServiceDateTo=2025-11-24&amp;DumpsterInvNr=13-L-146358", "13-L-146358")</f>
        <v>13-L-146358</v>
      </c>
      <c r="C13114">
        <v>5</v>
      </c>
      <c r="D13114" t="s">
        <v>4985</v>
      </c>
      <c r="E13114" t="s">
        <v>11</v>
      </c>
      <c r="F13114" t="s">
        <v>13</v>
      </c>
      <c r="G13114" t="s">
        <v>430</v>
      </c>
      <c r="H13114" t="s">
        <v>432</v>
      </c>
    </row>
    <row r="13115" spans="1:8" hidden="1" x14ac:dyDescent="0.25">
      <c r="A13115" t="s">
        <v>17291</v>
      </c>
      <c r="B13115" s="1" t="str">
        <f>HYPERLINK("https://asmlis.vasa.lt/Dashboard/Served?ServiceDateFrom=2025-11-24&amp;ServiceDateTo=2025-11-24&amp;DumpsterInvNr=13-L-139370", "13-L-139370")</f>
        <v>13-L-139370</v>
      </c>
      <c r="C13115">
        <v>5</v>
      </c>
      <c r="D13115" t="s">
        <v>4985</v>
      </c>
      <c r="E13115" t="s">
        <v>11</v>
      </c>
      <c r="F13115" t="s">
        <v>13</v>
      </c>
      <c r="G13115" t="s">
        <v>430</v>
      </c>
      <c r="H13115" t="s">
        <v>432</v>
      </c>
    </row>
    <row r="13116" spans="1:8" hidden="1" x14ac:dyDescent="0.25">
      <c r="A13116" t="s">
        <v>17292</v>
      </c>
      <c r="B13116" s="1" t="str">
        <f>HYPERLINK("https://asmlis.vasa.lt/Dashboard/Served?ServiceDateFrom=2025-11-24&amp;ServiceDateTo=2025-11-24&amp;DumpsterInvNr=13-P-105533", "13-P-105533")</f>
        <v>13-P-105533</v>
      </c>
      <c r="C13116">
        <v>1.1000000000000001</v>
      </c>
      <c r="D13116" t="s">
        <v>11937</v>
      </c>
      <c r="E13116" t="s">
        <v>11</v>
      </c>
      <c r="G13116" t="s">
        <v>1917</v>
      </c>
      <c r="H13116" t="s">
        <v>432</v>
      </c>
    </row>
    <row r="13117" spans="1:8" hidden="1" x14ac:dyDescent="0.25">
      <c r="A13117" t="s">
        <v>17294</v>
      </c>
      <c r="B13117" s="1" t="str">
        <f>HYPERLINK("https://asmlis.vasa.lt/Dashboard/Served?ServiceDateFrom=2025-11-24&amp;ServiceDateTo=2025-11-24&amp;DumpsterInvNr=13-L-317507", "13-L-317507")</f>
        <v>13-L-317507</v>
      </c>
      <c r="C13117">
        <v>1.1000000000000001</v>
      </c>
      <c r="D13117" t="s">
        <v>1428</v>
      </c>
      <c r="E13117" t="s">
        <v>11</v>
      </c>
      <c r="G13117" t="s">
        <v>9</v>
      </c>
      <c r="H13117" t="s">
        <v>14</v>
      </c>
    </row>
    <row r="13118" spans="1:8" hidden="1" x14ac:dyDescent="0.25">
      <c r="A13118" t="s">
        <v>17295</v>
      </c>
      <c r="B13118" s="1" t="str">
        <f>HYPERLINK("https://asmlis.vasa.lt/Dashboard/Served?ServiceDateFrom=2025-11-24&amp;ServiceDateTo=2025-11-24&amp;DumpsterInvNr=13-P-105532", "13-P-105532")</f>
        <v>13-P-105532</v>
      </c>
      <c r="C13118">
        <v>1.1000000000000001</v>
      </c>
      <c r="D13118" t="s">
        <v>11937</v>
      </c>
      <c r="E13118" t="s">
        <v>11</v>
      </c>
      <c r="G13118" t="s">
        <v>1917</v>
      </c>
      <c r="H13118" t="s">
        <v>432</v>
      </c>
    </row>
    <row r="13119" spans="1:8" hidden="1" x14ac:dyDescent="0.25">
      <c r="A13119" t="s">
        <v>17296</v>
      </c>
      <c r="B13119" s="1" t="str">
        <f>HYPERLINK("https://asmlis.vasa.lt/Dashboard/Served?ServiceDateFrom=2025-11-24&amp;ServiceDateTo=2025-11-24&amp;DumpsterInvNr=13-P-208353", "13-P-208353")</f>
        <v>13-P-208353</v>
      </c>
      <c r="C13119">
        <v>1.1000000000000001</v>
      </c>
      <c r="D13119" t="s">
        <v>4845</v>
      </c>
      <c r="E13119" t="s">
        <v>11</v>
      </c>
      <c r="F13119" t="s">
        <v>13</v>
      </c>
      <c r="G13119" t="s">
        <v>234</v>
      </c>
      <c r="H13119" t="s">
        <v>14</v>
      </c>
    </row>
    <row r="13120" spans="1:8" hidden="1" x14ac:dyDescent="0.25">
      <c r="A13120" t="s">
        <v>17297</v>
      </c>
      <c r="B13120" s="1" t="str">
        <f>HYPERLINK("https://asmlis.vasa.lt/Dashboard/Served?ServiceDateFrom=2025-11-24&amp;ServiceDateTo=2025-11-24&amp;DumpsterInvNr=13-P-416149", "13-P-416149")</f>
        <v>13-P-416149</v>
      </c>
      <c r="C13120">
        <v>1.1000000000000001</v>
      </c>
      <c r="D13120" t="s">
        <v>12428</v>
      </c>
      <c r="E13120" t="s">
        <v>11</v>
      </c>
      <c r="F13120" t="s">
        <v>13</v>
      </c>
      <c r="G13120" t="s">
        <v>264</v>
      </c>
      <c r="H13120" t="s">
        <v>14</v>
      </c>
    </row>
    <row r="13121" spans="1:10" hidden="1" x14ac:dyDescent="0.25">
      <c r="A13121" t="s">
        <v>17298</v>
      </c>
      <c r="B13121" s="1" t="str">
        <f>HYPERLINK("https://asmlis.vasa.lt/Dashboard/Served?ServiceDateFrom=2025-11-24&amp;ServiceDateTo=2025-11-24&amp;DumpsterInvNr=13-L-139369", "13-L-139369")</f>
        <v>13-L-139369</v>
      </c>
      <c r="C13121">
        <v>5</v>
      </c>
      <c r="D13121" t="s">
        <v>4913</v>
      </c>
      <c r="E13121" t="s">
        <v>11</v>
      </c>
      <c r="F13121" t="s">
        <v>13</v>
      </c>
      <c r="G13121" t="s">
        <v>430</v>
      </c>
      <c r="H13121" t="s">
        <v>432</v>
      </c>
    </row>
    <row r="13122" spans="1:10" hidden="1" x14ac:dyDescent="0.25">
      <c r="A13122" t="s">
        <v>17299</v>
      </c>
      <c r="B13122" s="1" t="str">
        <f>HYPERLINK("https://asmlis.vasa.lt/Dashboard/Served?ServiceDateFrom=2025-11-24&amp;ServiceDateTo=2025-11-24&amp;DumpsterInvNr=13-P-105236", "13-P-105236")</f>
        <v>13-P-105236</v>
      </c>
      <c r="C13122">
        <v>1.1000000000000001</v>
      </c>
      <c r="D13122" t="s">
        <v>17300</v>
      </c>
      <c r="E13122" t="s">
        <v>11</v>
      </c>
      <c r="F13122" t="s">
        <v>13</v>
      </c>
      <c r="G13122" t="s">
        <v>1917</v>
      </c>
      <c r="H13122" t="s">
        <v>432</v>
      </c>
    </row>
    <row r="13123" spans="1:10" hidden="1" x14ac:dyDescent="0.25">
      <c r="A13123" t="s">
        <v>17301</v>
      </c>
      <c r="B13123" s="1" t="str">
        <f>HYPERLINK("https://asmlis.vasa.lt/Dashboard/Served?ServiceDateFrom=2025-11-24&amp;ServiceDateTo=2025-11-24&amp;DumpsterInvNr=13-P-416170", "13-P-416170")</f>
        <v>13-P-416170</v>
      </c>
      <c r="C13123">
        <v>1.1000000000000001</v>
      </c>
      <c r="D13123" t="s">
        <v>12901</v>
      </c>
      <c r="E13123" t="s">
        <v>11</v>
      </c>
      <c r="F13123" t="s">
        <v>13</v>
      </c>
      <c r="G13123" t="s">
        <v>264</v>
      </c>
      <c r="H13123" t="s">
        <v>14</v>
      </c>
    </row>
    <row r="13124" spans="1:10" hidden="1" x14ac:dyDescent="0.25">
      <c r="A13124" t="s">
        <v>17302</v>
      </c>
      <c r="B13124" s="1" t="str">
        <f>HYPERLINK("https://asmlis.vasa.lt/Dashboard/Served?ServiceDateFrom=2025-11-24&amp;ServiceDateTo=2025-11-24&amp;DumpsterInvNr=13-L-134749", "13-L-134749")</f>
        <v>13-L-134749</v>
      </c>
      <c r="C13124">
        <v>5</v>
      </c>
      <c r="D13124" t="s">
        <v>5093</v>
      </c>
      <c r="E13124" t="s">
        <v>11</v>
      </c>
      <c r="F13124" t="s">
        <v>13</v>
      </c>
      <c r="G13124" t="s">
        <v>430</v>
      </c>
      <c r="H13124" t="s">
        <v>432</v>
      </c>
    </row>
    <row r="13125" spans="1:10" hidden="1" x14ac:dyDescent="0.25">
      <c r="A13125" t="s">
        <v>17303</v>
      </c>
      <c r="B13125" s="1" t="str">
        <f>HYPERLINK("https://asmlis.vasa.lt/Dashboard/Served?ServiceDateFrom=2025-11-24&amp;ServiceDateTo=2025-11-24&amp;DumpsterInvNr=13-P-213214", "13-P-213214")</f>
        <v>13-P-213214</v>
      </c>
      <c r="C13125">
        <v>1.1000000000000001</v>
      </c>
      <c r="D13125" t="s">
        <v>17304</v>
      </c>
      <c r="E13125" t="s">
        <v>11</v>
      </c>
      <c r="F13125" t="s">
        <v>2960</v>
      </c>
      <c r="G13125" t="s">
        <v>234</v>
      </c>
      <c r="H13125" t="s">
        <v>14</v>
      </c>
      <c r="J13125" t="s">
        <v>17519</v>
      </c>
    </row>
    <row r="13126" spans="1:10" hidden="1" x14ac:dyDescent="0.25">
      <c r="A13126" t="s">
        <v>17305</v>
      </c>
      <c r="B13126" s="1" t="str">
        <f>HYPERLINK("https://asmlis.vasa.lt/Dashboard/Served?ServiceDateFrom=2025-11-24&amp;ServiceDateTo=2025-11-24&amp;DumpsterInvNr=13-P-213190", "13-P-213190")</f>
        <v>13-P-213190</v>
      </c>
      <c r="C13126">
        <v>1.1000000000000001</v>
      </c>
      <c r="D13126" t="s">
        <v>17304</v>
      </c>
      <c r="E13126" t="s">
        <v>11</v>
      </c>
      <c r="F13126" t="s">
        <v>2960</v>
      </c>
      <c r="G13126" t="s">
        <v>234</v>
      </c>
      <c r="H13126" t="s">
        <v>14</v>
      </c>
      <c r="J13126" t="s">
        <v>17519</v>
      </c>
    </row>
    <row r="13127" spans="1:10" hidden="1" x14ac:dyDescent="0.25">
      <c r="A13127" t="s">
        <v>17306</v>
      </c>
      <c r="B13127" s="1" t="str">
        <f>HYPERLINK("https://asmlis.vasa.lt/Dashboard/Served?ServiceDateFrom=2025-11-24&amp;ServiceDateTo=2025-11-24&amp;DumpsterInvNr=13-P-213193", "13-P-213193")</f>
        <v>13-P-213193</v>
      </c>
      <c r="C13127">
        <v>1.1000000000000001</v>
      </c>
      <c r="D13127" t="s">
        <v>17304</v>
      </c>
      <c r="E13127" t="s">
        <v>11</v>
      </c>
      <c r="F13127" t="s">
        <v>2960</v>
      </c>
      <c r="G13127" t="s">
        <v>234</v>
      </c>
      <c r="H13127" t="s">
        <v>14</v>
      </c>
      <c r="J13127" t="s">
        <v>17519</v>
      </c>
    </row>
    <row r="13128" spans="1:10" hidden="1" x14ac:dyDescent="0.25">
      <c r="A13128" t="s">
        <v>17293</v>
      </c>
      <c r="B13128" s="1" t="str">
        <f>HYPERLINK("https://asmlis.vasa.lt/Dashboard/Served?ServiceDateFrom=2025-11-24&amp;ServiceDateTo=2025-11-24&amp;DumpsterInvNr=13-P-115879", "13-P-115879")</f>
        <v>13-P-115879</v>
      </c>
      <c r="C13128">
        <v>1.1000000000000001</v>
      </c>
      <c r="D13128" t="s">
        <v>17307</v>
      </c>
      <c r="E13128" t="s">
        <v>11</v>
      </c>
      <c r="G13128" t="s">
        <v>1917</v>
      </c>
      <c r="H13128" t="s">
        <v>432</v>
      </c>
    </row>
    <row r="13129" spans="1:10" hidden="1" x14ac:dyDescent="0.25">
      <c r="A13129" t="s">
        <v>17308</v>
      </c>
      <c r="B13129" s="1" t="str">
        <f>HYPERLINK("https://asmlis.vasa.lt/Dashboard/Served?ServiceDateFrom=2025-11-24&amp;ServiceDateTo=2025-11-24&amp;DumpsterInvNr=13-L-139725", "13-L-139725")</f>
        <v>13-L-139725</v>
      </c>
      <c r="C13129">
        <v>5</v>
      </c>
      <c r="D13129" t="s">
        <v>4492</v>
      </c>
      <c r="E13129" t="s">
        <v>11</v>
      </c>
      <c r="F13129" t="s">
        <v>13</v>
      </c>
      <c r="G13129" t="s">
        <v>430</v>
      </c>
      <c r="H13129" t="s">
        <v>432</v>
      </c>
    </row>
    <row r="13130" spans="1:10" hidden="1" x14ac:dyDescent="0.25">
      <c r="A13130" t="s">
        <v>17309</v>
      </c>
      <c r="B13130" s="1" t="str">
        <f>HYPERLINK("https://asmlis.vasa.lt/Dashboard/Served?ServiceDateFrom=2025-11-24&amp;ServiceDateTo=2025-11-24&amp;DumpsterInvNr=13-L-136030", "13-L-136030")</f>
        <v>13-L-136030</v>
      </c>
      <c r="C13130">
        <v>5</v>
      </c>
      <c r="D13130" t="s">
        <v>4660</v>
      </c>
      <c r="E13130" t="s">
        <v>11</v>
      </c>
      <c r="F13130" t="s">
        <v>13</v>
      </c>
      <c r="G13130" t="s">
        <v>430</v>
      </c>
      <c r="H13130" t="s">
        <v>432</v>
      </c>
    </row>
    <row r="13131" spans="1:10" hidden="1" x14ac:dyDescent="0.25">
      <c r="A13131" t="s">
        <v>17310</v>
      </c>
      <c r="B13131" s="1" t="str">
        <f>HYPERLINK("https://asmlis.vasa.lt/Dashboard/Served?ServiceDateFrom=2025-11-24&amp;ServiceDateTo=2025-11-24&amp;DumpsterInvNr=13-P-115367", "13-P-115367")</f>
        <v>13-P-115367</v>
      </c>
      <c r="C13131">
        <v>1.1000000000000001</v>
      </c>
      <c r="D13131" t="s">
        <v>17311</v>
      </c>
      <c r="E13131" t="s">
        <v>11</v>
      </c>
      <c r="G13131" t="s">
        <v>1917</v>
      </c>
      <c r="H13131" t="s">
        <v>432</v>
      </c>
    </row>
    <row r="13132" spans="1:10" hidden="1" x14ac:dyDescent="0.25">
      <c r="A13132" t="s">
        <v>17312</v>
      </c>
      <c r="B13132" s="1" t="str">
        <f>HYPERLINK("https://asmlis.vasa.lt/Dashboard/Served?ServiceDateFrom=2025-11-24&amp;ServiceDateTo=2025-11-24&amp;DumpsterInvNr=13-P-409070", "13-P-409070")</f>
        <v>13-P-409070</v>
      </c>
      <c r="C13132">
        <v>1.1000000000000001</v>
      </c>
      <c r="D13132" t="s">
        <v>13500</v>
      </c>
      <c r="E13132" t="s">
        <v>11</v>
      </c>
      <c r="G13132" t="s">
        <v>264</v>
      </c>
      <c r="H13132" t="s">
        <v>14</v>
      </c>
    </row>
    <row r="13133" spans="1:10" hidden="1" x14ac:dyDescent="0.25">
      <c r="A13133" t="s">
        <v>17313</v>
      </c>
      <c r="B13133" s="1" t="str">
        <f>HYPERLINK("https://asmlis.vasa.lt/Dashboard/Served?ServiceDateFrom=2025-11-24&amp;ServiceDateTo=2025-11-24&amp;DumpsterInvNr=13-P-409048", "13-P-409048")</f>
        <v>13-P-409048</v>
      </c>
      <c r="C13133">
        <v>1.1000000000000001</v>
      </c>
      <c r="D13133" t="s">
        <v>13500</v>
      </c>
      <c r="E13133" t="s">
        <v>11</v>
      </c>
      <c r="G13133" t="s">
        <v>264</v>
      </c>
      <c r="H13133" t="s">
        <v>14</v>
      </c>
    </row>
    <row r="13134" spans="1:10" hidden="1" x14ac:dyDescent="0.25">
      <c r="A13134" t="s">
        <v>17314</v>
      </c>
      <c r="B13134" s="1" t="str">
        <f>HYPERLINK("https://asmlis.vasa.lt/Dashboard/Served?ServiceDateFrom=2025-11-24&amp;ServiceDateTo=2025-11-24&amp;DumpsterInvNr=13-P-409097", "13-P-409097")</f>
        <v>13-P-409097</v>
      </c>
      <c r="C13134">
        <v>1.1000000000000001</v>
      </c>
      <c r="D13134" t="s">
        <v>13500</v>
      </c>
      <c r="E13134" t="s">
        <v>11</v>
      </c>
      <c r="G13134" t="s">
        <v>264</v>
      </c>
      <c r="H13134" t="s">
        <v>14</v>
      </c>
    </row>
    <row r="13135" spans="1:10" hidden="1" x14ac:dyDescent="0.25">
      <c r="A13135" t="s">
        <v>17315</v>
      </c>
      <c r="B13135" s="1" t="str">
        <f>HYPERLINK("https://asmlis.vasa.lt/Dashboard/Served?ServiceDateFrom=2025-11-24&amp;ServiceDateTo=2025-11-24&amp;DumpsterInvNr=13-L-137746", "13-L-137746")</f>
        <v>13-L-137746</v>
      </c>
      <c r="C13135">
        <v>5</v>
      </c>
      <c r="D13135" t="s">
        <v>4325</v>
      </c>
      <c r="E13135" t="s">
        <v>11</v>
      </c>
      <c r="F13135" t="s">
        <v>13</v>
      </c>
      <c r="G13135" t="s">
        <v>430</v>
      </c>
      <c r="H13135" t="s">
        <v>432</v>
      </c>
    </row>
    <row r="13136" spans="1:10" hidden="1" x14ac:dyDescent="0.25">
      <c r="A13136" t="s">
        <v>17316</v>
      </c>
      <c r="B13136" s="1" t="str">
        <f>HYPERLINK("https://asmlis.vasa.lt/Dashboard/Served?ServiceDateFrom=2025-11-24&amp;ServiceDateTo=2025-11-24&amp;DumpsterInvNr=13-P-409096", "13-P-409096")</f>
        <v>13-P-409096</v>
      </c>
      <c r="C13136">
        <v>1.1000000000000001</v>
      </c>
      <c r="D13136" t="s">
        <v>13500</v>
      </c>
      <c r="E13136" t="s">
        <v>11</v>
      </c>
      <c r="F13136" t="s">
        <v>13</v>
      </c>
      <c r="G13136" t="s">
        <v>264</v>
      </c>
      <c r="H13136" t="s">
        <v>14</v>
      </c>
    </row>
    <row r="13137" spans="1:8" hidden="1" x14ac:dyDescent="0.25">
      <c r="A13137" t="s">
        <v>17317</v>
      </c>
      <c r="B13137" s="1" t="str">
        <f>HYPERLINK("https://asmlis.vasa.lt/Dashboard/Served?ServiceDateFrom=2025-11-24&amp;ServiceDateTo=2025-11-24&amp;DumpsterInvNr=13-P-409054", "13-P-409054")</f>
        <v>13-P-409054</v>
      </c>
      <c r="C13137">
        <v>1.1000000000000001</v>
      </c>
      <c r="D13137" t="s">
        <v>13601</v>
      </c>
      <c r="E13137" t="s">
        <v>11</v>
      </c>
      <c r="G13137" t="s">
        <v>264</v>
      </c>
      <c r="H13137" t="s">
        <v>14</v>
      </c>
    </row>
    <row r="13138" spans="1:8" hidden="1" x14ac:dyDescent="0.25">
      <c r="A13138" t="s">
        <v>17318</v>
      </c>
      <c r="B13138" s="1" t="str">
        <f>HYPERLINK("https://asmlis.vasa.lt/Dashboard/Served?ServiceDateFrom=2025-11-24&amp;ServiceDateTo=2025-11-24&amp;DumpsterInvNr=13-P-409007", "13-P-409007")</f>
        <v>13-P-409007</v>
      </c>
      <c r="C13138">
        <v>1.1000000000000001</v>
      </c>
      <c r="D13138" t="s">
        <v>13601</v>
      </c>
      <c r="E13138" t="s">
        <v>11</v>
      </c>
      <c r="F13138" t="s">
        <v>13</v>
      </c>
      <c r="G13138" t="s">
        <v>264</v>
      </c>
      <c r="H13138" t="s">
        <v>14</v>
      </c>
    </row>
    <row r="13139" spans="1:8" hidden="1" x14ac:dyDescent="0.25">
      <c r="A13139" t="s">
        <v>17319</v>
      </c>
      <c r="B13139" s="1" t="str">
        <f>HYPERLINK("https://asmlis.vasa.lt/Dashboard/Served?ServiceDateFrom=2025-11-24&amp;ServiceDateTo=2025-11-24&amp;DumpsterInvNr=13-L-136029", "13-L-136029")</f>
        <v>13-L-136029</v>
      </c>
      <c r="C13139">
        <v>5</v>
      </c>
      <c r="D13139" t="s">
        <v>4082</v>
      </c>
      <c r="E13139" t="s">
        <v>11</v>
      </c>
      <c r="F13139" t="s">
        <v>13</v>
      </c>
      <c r="G13139" t="s">
        <v>430</v>
      </c>
      <c r="H13139" t="s">
        <v>432</v>
      </c>
    </row>
    <row r="13140" spans="1:8" hidden="1" x14ac:dyDescent="0.25">
      <c r="A13140" t="s">
        <v>17320</v>
      </c>
      <c r="B13140" s="1" t="str">
        <f>HYPERLINK("https://asmlis.vasa.lt/Dashboard/Served?ServiceDateFrom=2025-11-24&amp;ServiceDateTo=2025-11-24&amp;DumpsterInvNr=13-P-212656", "13-P-212656")</f>
        <v>13-P-212656</v>
      </c>
      <c r="C13140">
        <v>1.1000000000000001</v>
      </c>
      <c r="D13140" t="s">
        <v>17321</v>
      </c>
      <c r="E13140" t="s">
        <v>11</v>
      </c>
      <c r="F13140" t="s">
        <v>13</v>
      </c>
      <c r="G13140" t="s">
        <v>234</v>
      </c>
      <c r="H13140" t="s">
        <v>14</v>
      </c>
    </row>
    <row r="13141" spans="1:8" hidden="1" x14ac:dyDescent="0.25">
      <c r="A13141" t="s">
        <v>17322</v>
      </c>
      <c r="B13141" s="1" t="str">
        <f>HYPERLINK("https://asmlis.vasa.lt/Dashboard/Served?ServiceDateFrom=2025-11-24&amp;ServiceDateTo=2025-11-24&amp;DumpsterInvNr=13-P-115034", "13-P-115034")</f>
        <v>13-P-115034</v>
      </c>
      <c r="C13141">
        <v>1.1000000000000001</v>
      </c>
      <c r="D13141" t="s">
        <v>17323</v>
      </c>
      <c r="E13141" t="s">
        <v>11</v>
      </c>
      <c r="G13141" t="s">
        <v>1917</v>
      </c>
      <c r="H13141" t="s">
        <v>432</v>
      </c>
    </row>
    <row r="13142" spans="1:8" hidden="1" x14ac:dyDescent="0.25">
      <c r="A13142" t="s">
        <v>17324</v>
      </c>
      <c r="B13142" s="1" t="str">
        <f>HYPERLINK("https://asmlis.vasa.lt/Dashboard/Served?ServiceDateFrom=2025-11-24&amp;ServiceDateTo=2025-11-24&amp;DumpsterInvNr=13-L-136028", "13-L-136028")</f>
        <v>13-L-136028</v>
      </c>
      <c r="C13142">
        <v>5</v>
      </c>
      <c r="D13142" t="s">
        <v>8993</v>
      </c>
      <c r="E13142" t="s">
        <v>11</v>
      </c>
      <c r="F13142" t="s">
        <v>13</v>
      </c>
      <c r="G13142" t="s">
        <v>430</v>
      </c>
      <c r="H13142" t="s">
        <v>432</v>
      </c>
    </row>
    <row r="13143" spans="1:8" hidden="1" x14ac:dyDescent="0.25">
      <c r="A13143" t="s">
        <v>17325</v>
      </c>
      <c r="B13143" s="1" t="str">
        <f>HYPERLINK("https://asmlis.vasa.lt/Dashboard/Served?ServiceDateFrom=2025-11-24&amp;ServiceDateTo=2025-11-24&amp;DumpsterInvNr=13-P-116472", "13-P-116472")</f>
        <v>13-P-116472</v>
      </c>
      <c r="C13143">
        <v>1.1000000000000001</v>
      </c>
      <c r="D13143" t="s">
        <v>17326</v>
      </c>
      <c r="E13143" t="s">
        <v>11</v>
      </c>
      <c r="G13143" t="s">
        <v>1917</v>
      </c>
      <c r="H13143" t="s">
        <v>432</v>
      </c>
    </row>
    <row r="13144" spans="1:8" hidden="1" x14ac:dyDescent="0.25">
      <c r="A13144" t="s">
        <v>17327</v>
      </c>
      <c r="B13144" s="1" t="str">
        <f>HYPERLINK("https://asmlis.vasa.lt/Dashboard/Served?ServiceDateFrom=2025-11-24&amp;ServiceDateTo=2025-11-24&amp;DumpsterInvNr=13-P-116343", "13-P-116343")</f>
        <v>13-P-116343</v>
      </c>
      <c r="C13144">
        <v>1.1000000000000001</v>
      </c>
      <c r="D13144" t="s">
        <v>17328</v>
      </c>
      <c r="E13144" t="s">
        <v>11</v>
      </c>
      <c r="G13144" t="s">
        <v>1917</v>
      </c>
      <c r="H13144" t="s">
        <v>432</v>
      </c>
    </row>
    <row r="13145" spans="1:8" hidden="1" x14ac:dyDescent="0.25">
      <c r="A13145" t="s">
        <v>17329</v>
      </c>
      <c r="B13145" s="1" t="str">
        <f>HYPERLINK("https://asmlis.vasa.lt/Dashboard/Served?ServiceDateFrom=2025-11-24&amp;ServiceDateTo=2025-11-24&amp;DumpsterInvNr=13-P-115395", "13-P-115395")</f>
        <v>13-P-115395</v>
      </c>
      <c r="C13145">
        <v>1.1000000000000001</v>
      </c>
      <c r="D13145" t="s">
        <v>17330</v>
      </c>
      <c r="E13145" t="s">
        <v>11</v>
      </c>
      <c r="G13145" t="s">
        <v>1917</v>
      </c>
      <c r="H13145" t="s">
        <v>432</v>
      </c>
    </row>
    <row r="13146" spans="1:8" hidden="1" x14ac:dyDescent="0.25">
      <c r="A13146" t="s">
        <v>17331</v>
      </c>
      <c r="B13146" s="1" t="str">
        <f>HYPERLINK("https://asmlis.vasa.lt/Dashboard/Served?ServiceDateFrom=2025-11-24&amp;ServiceDateTo=2025-11-24&amp;DumpsterInvNr=13-P-111212", "13-P-111212")</f>
        <v>13-P-111212</v>
      </c>
      <c r="C13146">
        <v>1.1000000000000001</v>
      </c>
      <c r="D13146" t="s">
        <v>17332</v>
      </c>
      <c r="E13146" t="s">
        <v>11</v>
      </c>
      <c r="G13146" t="s">
        <v>1917</v>
      </c>
      <c r="H13146" t="s">
        <v>432</v>
      </c>
    </row>
    <row r="13147" spans="1:8" hidden="1" x14ac:dyDescent="0.25">
      <c r="A13147" t="s">
        <v>17333</v>
      </c>
      <c r="B13147" s="1" t="str">
        <f>HYPERLINK("https://asmlis.vasa.lt/Dashboard/Served?ServiceDateFrom=2025-11-24&amp;ServiceDateTo=2025-11-24&amp;DumpsterInvNr=13-P-208196", "13-P-208196")</f>
        <v>13-P-208196</v>
      </c>
      <c r="C13147">
        <v>0.77</v>
      </c>
      <c r="D13147" t="s">
        <v>17334</v>
      </c>
      <c r="E13147" t="s">
        <v>11</v>
      </c>
      <c r="F13147" t="s">
        <v>13</v>
      </c>
      <c r="G13147" t="s">
        <v>234</v>
      </c>
      <c r="H13147" t="s">
        <v>14</v>
      </c>
    </row>
    <row r="13148" spans="1:8" hidden="1" x14ac:dyDescent="0.25">
      <c r="A13148" t="s">
        <v>17335</v>
      </c>
      <c r="B13148" s="1" t="str">
        <f>HYPERLINK("https://asmlis.vasa.lt/Dashboard/Served?ServiceDateFrom=2025-11-24&amp;ServiceDateTo=2025-11-24&amp;DumpsterInvNr=13-P-208230", "13-P-208230")</f>
        <v>13-P-208230</v>
      </c>
      <c r="C13148">
        <v>0.77</v>
      </c>
      <c r="D13148" t="s">
        <v>17334</v>
      </c>
      <c r="E13148" t="s">
        <v>11</v>
      </c>
      <c r="F13148" t="s">
        <v>13</v>
      </c>
      <c r="G13148" t="s">
        <v>234</v>
      </c>
      <c r="H13148" t="s">
        <v>14</v>
      </c>
    </row>
    <row r="13149" spans="1:8" hidden="1" x14ac:dyDescent="0.25">
      <c r="A13149" t="s">
        <v>17336</v>
      </c>
      <c r="B13149" s="1" t="str">
        <f>HYPERLINK("https://asmlis.vasa.lt/Dashboard/Served?ServiceDateFrom=2025-11-24&amp;ServiceDateTo=2025-11-24&amp;DumpsterInvNr=13-L-139377", "13-L-139377")</f>
        <v>13-L-139377</v>
      </c>
      <c r="C13149">
        <v>5</v>
      </c>
      <c r="D13149" t="s">
        <v>8232</v>
      </c>
      <c r="E13149" t="s">
        <v>11</v>
      </c>
      <c r="F13149" t="s">
        <v>13</v>
      </c>
      <c r="G13149" t="s">
        <v>430</v>
      </c>
      <c r="H13149" t="s">
        <v>432</v>
      </c>
    </row>
    <row r="13150" spans="1:8" hidden="1" x14ac:dyDescent="0.25">
      <c r="A13150" t="s">
        <v>17337</v>
      </c>
      <c r="B13150" s="1" t="str">
        <f>HYPERLINK("https://asmlis.vasa.lt/Dashboard/Served?ServiceDateFrom=2025-11-24&amp;ServiceDateTo=2025-11-24&amp;DumpsterInvNr=13-L-136027", "13-L-136027")</f>
        <v>13-L-136027</v>
      </c>
      <c r="C13150">
        <v>5</v>
      </c>
      <c r="D13150" t="s">
        <v>8704</v>
      </c>
      <c r="E13150" t="s">
        <v>11</v>
      </c>
      <c r="F13150" t="s">
        <v>13</v>
      </c>
      <c r="G13150" t="s">
        <v>430</v>
      </c>
      <c r="H13150" t="s">
        <v>432</v>
      </c>
    </row>
    <row r="13151" spans="1:8" hidden="1" x14ac:dyDescent="0.25">
      <c r="A13151" t="s">
        <v>17338</v>
      </c>
      <c r="B13151" s="1" t="str">
        <f>HYPERLINK("https://asmlis.vasa.lt/Dashboard/Served?ServiceDateFrom=2025-11-24&amp;ServiceDateTo=2025-11-24&amp;DumpsterInvNr=13-P-204813", "13-P-204813")</f>
        <v>13-P-204813</v>
      </c>
      <c r="C13151">
        <v>1.1000000000000001</v>
      </c>
      <c r="D13151" t="s">
        <v>17339</v>
      </c>
      <c r="E13151" t="s">
        <v>11</v>
      </c>
      <c r="F13151" t="s">
        <v>13</v>
      </c>
      <c r="G13151" t="s">
        <v>234</v>
      </c>
      <c r="H13151" t="s">
        <v>14</v>
      </c>
    </row>
    <row r="13152" spans="1:8" hidden="1" x14ac:dyDescent="0.25">
      <c r="A13152" t="s">
        <v>17340</v>
      </c>
      <c r="B13152" s="1" t="str">
        <f>HYPERLINK("https://asmlis.vasa.lt/Dashboard/Served?ServiceDateFrom=2025-11-24&amp;ServiceDateTo=2025-11-24&amp;DumpsterInvNr=13-L-136026", "13-L-136026")</f>
        <v>13-L-136026</v>
      </c>
      <c r="C13152">
        <v>5</v>
      </c>
      <c r="D13152" t="s">
        <v>7857</v>
      </c>
      <c r="E13152" t="s">
        <v>11</v>
      </c>
      <c r="F13152" t="s">
        <v>13</v>
      </c>
      <c r="G13152" t="s">
        <v>430</v>
      </c>
      <c r="H13152" t="s">
        <v>432</v>
      </c>
    </row>
    <row r="13153" spans="1:10" hidden="1" x14ac:dyDescent="0.25">
      <c r="A13153" t="s">
        <v>17341</v>
      </c>
      <c r="B13153" s="1" t="str">
        <f>HYPERLINK("https://asmlis.vasa.lt/Dashboard/Served?ServiceDateFrom=2025-11-24&amp;ServiceDateTo=2025-11-24&amp;DumpsterInvNr=13-P-116099", "13-P-116099")</f>
        <v>13-P-116099</v>
      </c>
      <c r="C13153">
        <v>1.1000000000000001</v>
      </c>
      <c r="D13153" t="s">
        <v>13347</v>
      </c>
      <c r="E13153" t="s">
        <v>11</v>
      </c>
      <c r="G13153" t="s">
        <v>1917</v>
      </c>
      <c r="H13153" t="s">
        <v>432</v>
      </c>
    </row>
    <row r="13154" spans="1:10" hidden="1" x14ac:dyDescent="0.25">
      <c r="A13154" t="s">
        <v>17342</v>
      </c>
      <c r="B13154" s="1" t="str">
        <f>HYPERLINK("https://asmlis.vasa.lt/Dashboard/Served?ServiceDateFrom=2025-11-24&amp;ServiceDateTo=2025-11-24&amp;DumpsterInvNr=13-L-143129", "13-L-143129")</f>
        <v>13-L-143129</v>
      </c>
      <c r="C13154">
        <v>5</v>
      </c>
      <c r="D13154" t="s">
        <v>7774</v>
      </c>
      <c r="E13154" t="s">
        <v>11</v>
      </c>
      <c r="F13154" t="s">
        <v>13</v>
      </c>
      <c r="G13154" t="s">
        <v>430</v>
      </c>
      <c r="H13154" t="s">
        <v>432</v>
      </c>
    </row>
    <row r="13155" spans="1:10" x14ac:dyDescent="0.25">
      <c r="A13155" t="s">
        <v>17343</v>
      </c>
      <c r="B13155" s="1" t="str">
        <f>HYPERLINK("https://asmlis.vasa.lt/Dashboard/Served?ServiceDateFrom=2025-11-24&amp;ServiceDateTo=2025-11-24&amp;DumpsterInvNr=13-P-115838", "13-P-115838")</f>
        <v>13-P-115838</v>
      </c>
      <c r="C13155">
        <v>1.1000000000000001</v>
      </c>
      <c r="D13155" t="s">
        <v>17344</v>
      </c>
      <c r="E13155" t="s">
        <v>11</v>
      </c>
      <c r="F13155" t="s">
        <v>2491</v>
      </c>
      <c r="G13155" t="s">
        <v>1917</v>
      </c>
      <c r="H13155" t="s">
        <v>432</v>
      </c>
      <c r="J13155" t="s">
        <v>17511</v>
      </c>
    </row>
    <row r="13156" spans="1:10" hidden="1" x14ac:dyDescent="0.25">
      <c r="A13156" t="s">
        <v>17345</v>
      </c>
      <c r="B13156" s="1" t="str">
        <f>HYPERLINK("https://asmlis.vasa.lt/Dashboard/Served?ServiceDateFrom=2025-11-24&amp;ServiceDateTo=2025-11-24&amp;DumpsterInvNr=13-L-137882", "13-L-137882")</f>
        <v>13-L-137882</v>
      </c>
      <c r="C13156">
        <v>5</v>
      </c>
      <c r="D13156" t="s">
        <v>7648</v>
      </c>
      <c r="E13156" t="s">
        <v>11</v>
      </c>
      <c r="F13156" t="s">
        <v>13</v>
      </c>
      <c r="G13156" t="s">
        <v>430</v>
      </c>
      <c r="H13156" t="s">
        <v>432</v>
      </c>
    </row>
    <row r="13157" spans="1:10" hidden="1" x14ac:dyDescent="0.25">
      <c r="A13157" t="s">
        <v>17346</v>
      </c>
      <c r="B13157" s="1" t="str">
        <f>HYPERLINK("https://asmlis.vasa.lt/Dashboard/Served?ServiceDateFrom=2025-11-24&amp;ServiceDateTo=2025-11-24&amp;DumpsterInvNr=13-P-212569", "13-P-212569")</f>
        <v>13-P-212569</v>
      </c>
      <c r="C13157">
        <v>1.1000000000000001</v>
      </c>
      <c r="D13157" t="s">
        <v>17347</v>
      </c>
      <c r="E13157" t="s">
        <v>11</v>
      </c>
      <c r="F13157" t="s">
        <v>13</v>
      </c>
      <c r="G13157" t="s">
        <v>234</v>
      </c>
      <c r="H13157" t="s">
        <v>14</v>
      </c>
    </row>
    <row r="13158" spans="1:10" hidden="1" x14ac:dyDescent="0.25">
      <c r="A13158" t="s">
        <v>17348</v>
      </c>
      <c r="B13158" s="1" t="str">
        <f>HYPERLINK("https://asmlis.vasa.lt/Dashboard/Served?ServiceDateFrom=2025-11-24&amp;ServiceDateTo=2025-11-24&amp;DumpsterInvNr=13-L-139727", "13-L-139727")</f>
        <v>13-L-139727</v>
      </c>
      <c r="C13158">
        <v>5</v>
      </c>
      <c r="D13158" t="s">
        <v>7938</v>
      </c>
      <c r="E13158" t="s">
        <v>11</v>
      </c>
      <c r="F13158" t="s">
        <v>13</v>
      </c>
      <c r="G13158" t="s">
        <v>430</v>
      </c>
      <c r="H13158" t="s">
        <v>432</v>
      </c>
    </row>
    <row r="13159" spans="1:10" hidden="1" x14ac:dyDescent="0.25">
      <c r="A13159" t="s">
        <v>17349</v>
      </c>
      <c r="B13159" s="1" t="str">
        <f>HYPERLINK("https://asmlis.vasa.lt/Dashboard/Served?ServiceDateFrom=2025-11-24&amp;ServiceDateTo=2025-11-24&amp;DumpsterInvNr=13-P-116353", "13-P-116353")</f>
        <v>13-P-116353</v>
      </c>
      <c r="C13159">
        <v>1.1000000000000001</v>
      </c>
      <c r="D13159" t="s">
        <v>17350</v>
      </c>
      <c r="E13159" t="s">
        <v>11</v>
      </c>
      <c r="G13159" t="s">
        <v>1917</v>
      </c>
      <c r="H13159" t="s">
        <v>432</v>
      </c>
    </row>
    <row r="13160" spans="1:10" hidden="1" x14ac:dyDescent="0.25">
      <c r="A13160" t="s">
        <v>17351</v>
      </c>
      <c r="B13160" s="1" t="str">
        <f>HYPERLINK("https://asmlis.vasa.lt/Dashboard/Served?ServiceDateFrom=2025-11-24&amp;ServiceDateTo=2025-11-24&amp;DumpsterInvNr=13-P-111166", "13-P-111166")</f>
        <v>13-P-111166</v>
      </c>
      <c r="C13160">
        <v>1.1000000000000001</v>
      </c>
      <c r="D13160" t="s">
        <v>17352</v>
      </c>
      <c r="E13160" t="s">
        <v>11</v>
      </c>
      <c r="G13160" t="s">
        <v>1917</v>
      </c>
      <c r="H13160" t="s">
        <v>432</v>
      </c>
    </row>
    <row r="13161" spans="1:10" hidden="1" x14ac:dyDescent="0.25">
      <c r="A13161" t="s">
        <v>17353</v>
      </c>
      <c r="B13161" s="1" t="str">
        <f>HYPERLINK("https://asmlis.vasa.lt/Dashboard/Served?ServiceDateFrom=2025-11-24&amp;ServiceDateTo=2025-11-24&amp;DumpsterInvNr=13-L-139376", "13-L-139376")</f>
        <v>13-L-139376</v>
      </c>
      <c r="C13161">
        <v>5</v>
      </c>
      <c r="D13161" t="s">
        <v>7072</v>
      </c>
      <c r="E13161" t="s">
        <v>11</v>
      </c>
      <c r="F13161" t="s">
        <v>13</v>
      </c>
      <c r="G13161" t="s">
        <v>430</v>
      </c>
      <c r="H13161" t="s">
        <v>432</v>
      </c>
    </row>
    <row r="13162" spans="1:10" hidden="1" x14ac:dyDescent="0.25">
      <c r="A13162" t="s">
        <v>17354</v>
      </c>
      <c r="B13162" s="1" t="str">
        <f>HYPERLINK("https://asmlis.vasa.lt/Dashboard/Served?ServiceDateFrom=2025-11-24&amp;ServiceDateTo=2025-11-24&amp;DumpsterInvNr=13-L-136025", "13-L-136025")</f>
        <v>13-L-136025</v>
      </c>
      <c r="C13162">
        <v>5</v>
      </c>
      <c r="D13162" t="s">
        <v>6963</v>
      </c>
      <c r="E13162" t="s">
        <v>11</v>
      </c>
      <c r="F13162" t="s">
        <v>13</v>
      </c>
      <c r="G13162" t="s">
        <v>430</v>
      </c>
      <c r="H13162" t="s">
        <v>432</v>
      </c>
    </row>
    <row r="13163" spans="1:10" x14ac:dyDescent="0.25">
      <c r="A13163" t="s">
        <v>17355</v>
      </c>
      <c r="B13163" s="1" t="str">
        <f>HYPERLINK("https://asmlis.vasa.lt/Dashboard/Served?ServiceDateFrom=2025-11-24&amp;ServiceDateTo=2025-11-24&amp;DumpsterInvNr=13-P-116382", "13-P-116382")</f>
        <v>13-P-116382</v>
      </c>
      <c r="C13163">
        <v>1.1000000000000001</v>
      </c>
      <c r="D13163" t="s">
        <v>17356</v>
      </c>
      <c r="E13163" t="s">
        <v>11</v>
      </c>
      <c r="F13163" t="s">
        <v>2491</v>
      </c>
      <c r="G13163" t="s">
        <v>1917</v>
      </c>
      <c r="H13163" t="s">
        <v>432</v>
      </c>
      <c r="J13163" t="s">
        <v>17511</v>
      </c>
    </row>
    <row r="13164" spans="1:10" x14ac:dyDescent="0.25">
      <c r="A13164" t="s">
        <v>17357</v>
      </c>
      <c r="B13164" s="1" t="str">
        <f>HYPERLINK("https://asmlis.vasa.lt/Dashboard/Served?ServiceDateFrom=2025-11-24&amp;ServiceDateTo=2025-11-24&amp;DumpsterInvNr=13-P-116466", "13-P-116466")</f>
        <v>13-P-116466</v>
      </c>
      <c r="C13164">
        <v>1.1000000000000001</v>
      </c>
      <c r="D13164" t="s">
        <v>17356</v>
      </c>
      <c r="E13164" t="s">
        <v>11</v>
      </c>
      <c r="F13164" t="s">
        <v>2491</v>
      </c>
      <c r="G13164" t="s">
        <v>1917</v>
      </c>
      <c r="H13164" t="s">
        <v>432</v>
      </c>
      <c r="J13164" t="s">
        <v>17511</v>
      </c>
    </row>
    <row r="13165" spans="1:10" x14ac:dyDescent="0.25">
      <c r="A13165" t="s">
        <v>17358</v>
      </c>
      <c r="B13165" s="1" t="str">
        <f>HYPERLINK("https://asmlis.vasa.lt/Dashboard/Served?ServiceDateFrom=2025-11-24&amp;ServiceDateTo=2025-11-24&amp;DumpsterInvNr=13-P-116461", "13-P-116461")</f>
        <v>13-P-116461</v>
      </c>
      <c r="C13165">
        <v>1.1000000000000001</v>
      </c>
      <c r="D13165" t="s">
        <v>17356</v>
      </c>
      <c r="E13165" t="s">
        <v>11</v>
      </c>
      <c r="F13165" t="s">
        <v>2491</v>
      </c>
      <c r="G13165" t="s">
        <v>1917</v>
      </c>
      <c r="H13165" t="s">
        <v>432</v>
      </c>
      <c r="J13165" t="s">
        <v>17511</v>
      </c>
    </row>
    <row r="13166" spans="1:10" hidden="1" x14ac:dyDescent="0.25">
      <c r="A13166" t="s">
        <v>17359</v>
      </c>
      <c r="B13166" s="1" t="str">
        <f>HYPERLINK("https://asmlis.vasa.lt/Dashboard/Served?ServiceDateFrom=2025-11-24&amp;ServiceDateTo=2025-11-24&amp;DumpsterInvNr=13-L-136024", "13-L-136024")</f>
        <v>13-L-136024</v>
      </c>
      <c r="C13166">
        <v>5</v>
      </c>
      <c r="D13166" t="s">
        <v>6900</v>
      </c>
      <c r="E13166" t="s">
        <v>11</v>
      </c>
      <c r="F13166" t="s">
        <v>13</v>
      </c>
      <c r="G13166" t="s">
        <v>430</v>
      </c>
      <c r="H13166" t="s">
        <v>432</v>
      </c>
    </row>
    <row r="13167" spans="1:10" x14ac:dyDescent="0.25">
      <c r="A13167" t="s">
        <v>17360</v>
      </c>
      <c r="B13167" s="1" t="str">
        <f>HYPERLINK("https://asmlis.vasa.lt/Dashboard/Served?ServiceDateFrom=2025-11-24&amp;ServiceDateTo=2025-11-24&amp;DumpsterInvNr=13-P-116470", "13-P-116470")</f>
        <v>13-P-116470</v>
      </c>
      <c r="C13167">
        <v>1.1000000000000001</v>
      </c>
      <c r="D13167" t="s">
        <v>17356</v>
      </c>
      <c r="E13167" t="s">
        <v>11</v>
      </c>
      <c r="F13167" t="s">
        <v>2491</v>
      </c>
      <c r="G13167" t="s">
        <v>1917</v>
      </c>
      <c r="H13167" t="s">
        <v>432</v>
      </c>
      <c r="J13167" t="s">
        <v>17511</v>
      </c>
    </row>
    <row r="13168" spans="1:10" hidden="1" x14ac:dyDescent="0.25">
      <c r="A13168" t="s">
        <v>17361</v>
      </c>
      <c r="B13168" s="1" t="str">
        <f>HYPERLINK("https://asmlis.vasa.lt/Dashboard/Served?ServiceDateFrom=2025-11-24&amp;ServiceDateTo=2025-11-24&amp;DumpsterInvNr=13-P-212680", "13-P-212680")</f>
        <v>13-P-212680</v>
      </c>
      <c r="C13168">
        <v>1.1000000000000001</v>
      </c>
      <c r="D13168" t="s">
        <v>17362</v>
      </c>
      <c r="E13168" t="s">
        <v>11</v>
      </c>
      <c r="F13168" t="s">
        <v>13</v>
      </c>
      <c r="G13168" t="s">
        <v>234</v>
      </c>
      <c r="H13168" t="s">
        <v>14</v>
      </c>
    </row>
    <row r="13169" spans="1:10" hidden="1" x14ac:dyDescent="0.25">
      <c r="A13169" t="s">
        <v>17363</v>
      </c>
      <c r="B13169" s="1" t="str">
        <f>HYPERLINK("https://asmlis.vasa.lt/Dashboard/Served?ServiceDateFrom=2025-11-24&amp;ServiceDateTo=2025-11-24&amp;DumpsterInvNr=13-P-212705", "13-P-212705")</f>
        <v>13-P-212705</v>
      </c>
      <c r="C13169">
        <v>1.1000000000000001</v>
      </c>
      <c r="D13169" t="s">
        <v>17362</v>
      </c>
      <c r="E13169" t="s">
        <v>11</v>
      </c>
      <c r="F13169" t="s">
        <v>13</v>
      </c>
      <c r="G13169" t="s">
        <v>234</v>
      </c>
      <c r="H13169" t="s">
        <v>14</v>
      </c>
    </row>
    <row r="13170" spans="1:10" hidden="1" x14ac:dyDescent="0.25">
      <c r="A13170" t="s">
        <v>17364</v>
      </c>
      <c r="B13170" s="1" t="str">
        <f>HYPERLINK("https://asmlis.vasa.lt/Dashboard/Served?ServiceDateFrom=2025-11-24&amp;ServiceDateTo=2025-11-24&amp;DumpsterInvNr=13-L-134751", "13-L-134751")</f>
        <v>13-L-134751</v>
      </c>
      <c r="C13170">
        <v>5</v>
      </c>
      <c r="D13170" t="s">
        <v>6186</v>
      </c>
      <c r="E13170" t="s">
        <v>11</v>
      </c>
      <c r="F13170" t="s">
        <v>13</v>
      </c>
      <c r="G13170" t="s">
        <v>430</v>
      </c>
      <c r="H13170" t="s">
        <v>432</v>
      </c>
    </row>
    <row r="13171" spans="1:10" hidden="1" x14ac:dyDescent="0.25">
      <c r="A13171" t="s">
        <v>17365</v>
      </c>
      <c r="B13171" s="1" t="str">
        <f>HYPERLINK("https://asmlis.vasa.lt/Dashboard/Served?ServiceDateFrom=2025-11-24&amp;ServiceDateTo=2025-11-24&amp;DumpsterInvNr=13-P-115341", "13-P-115341")</f>
        <v>13-P-115341</v>
      </c>
      <c r="C13171">
        <v>1.1000000000000001</v>
      </c>
      <c r="D13171" t="s">
        <v>17366</v>
      </c>
      <c r="E13171" t="s">
        <v>11</v>
      </c>
      <c r="G13171" t="s">
        <v>1917</v>
      </c>
      <c r="H13171" t="s">
        <v>432</v>
      </c>
    </row>
    <row r="13172" spans="1:10" hidden="1" x14ac:dyDescent="0.25">
      <c r="A13172" t="s">
        <v>17367</v>
      </c>
      <c r="B13172" s="1" t="str">
        <f>HYPERLINK("https://asmlis.vasa.lt/Dashboard/Served?ServiceDateFrom=2025-11-24&amp;ServiceDateTo=2025-11-24&amp;DumpsterInvNr=13-L-144189", "13-L-144189")</f>
        <v>13-L-144189</v>
      </c>
      <c r="C13172">
        <v>5</v>
      </c>
      <c r="D13172" t="s">
        <v>5661</v>
      </c>
      <c r="E13172" t="s">
        <v>11</v>
      </c>
      <c r="F13172" t="s">
        <v>13</v>
      </c>
      <c r="G13172" t="s">
        <v>430</v>
      </c>
      <c r="H13172" t="s">
        <v>432</v>
      </c>
    </row>
    <row r="13173" spans="1:10" hidden="1" x14ac:dyDescent="0.25">
      <c r="A13173" t="s">
        <v>17368</v>
      </c>
      <c r="B13173" s="1" t="str">
        <f>HYPERLINK("https://asmlis.vasa.lt/Dashboard/Served?ServiceDateFrom=2025-11-24&amp;ServiceDateTo=2025-11-24&amp;DumpsterInvNr=13-P-115741", "13-P-115741")</f>
        <v>13-P-115741</v>
      </c>
      <c r="C13173">
        <v>1.1000000000000001</v>
      </c>
      <c r="D13173" t="s">
        <v>17369</v>
      </c>
      <c r="E13173" t="s">
        <v>11</v>
      </c>
      <c r="G13173" t="s">
        <v>1917</v>
      </c>
      <c r="H13173" t="s">
        <v>432</v>
      </c>
    </row>
    <row r="13174" spans="1:10" hidden="1" x14ac:dyDescent="0.25">
      <c r="A13174" t="s">
        <v>17370</v>
      </c>
      <c r="B13174" s="1" t="str">
        <f>HYPERLINK("https://asmlis.vasa.lt/Dashboard/Served?ServiceDateFrom=2025-11-24&amp;ServiceDateTo=2025-11-24&amp;DumpsterInvNr=13-P-101054", "13-P-101054")</f>
        <v>13-P-101054</v>
      </c>
      <c r="C13174">
        <v>1.1000000000000001</v>
      </c>
      <c r="D13174" t="s">
        <v>17371</v>
      </c>
      <c r="E13174" t="s">
        <v>11</v>
      </c>
      <c r="F13174" t="s">
        <v>1209</v>
      </c>
      <c r="G13174" t="s">
        <v>1917</v>
      </c>
      <c r="H13174" t="s">
        <v>432</v>
      </c>
    </row>
    <row r="13175" spans="1:10" hidden="1" x14ac:dyDescent="0.25">
      <c r="A13175" t="s">
        <v>17372</v>
      </c>
      <c r="B13175" s="1" t="str">
        <f>HYPERLINK("https://asmlis.vasa.lt/Dashboard/Served?ServiceDateFrom=2025-11-24&amp;ServiceDateTo=2025-11-24&amp;DumpsterInvNr=13-P-213041", "13-P-213041")</f>
        <v>13-P-213041</v>
      </c>
      <c r="C13175">
        <v>1.1000000000000001</v>
      </c>
      <c r="D13175" t="s">
        <v>17373</v>
      </c>
      <c r="E13175" t="s">
        <v>11</v>
      </c>
      <c r="F13175" t="s">
        <v>13</v>
      </c>
      <c r="G13175" t="s">
        <v>234</v>
      </c>
      <c r="H13175" t="s">
        <v>14</v>
      </c>
    </row>
    <row r="13176" spans="1:10" hidden="1" x14ac:dyDescent="0.25">
      <c r="A13176" t="s">
        <v>17374</v>
      </c>
      <c r="B13176" s="1" t="str">
        <f>HYPERLINK("https://asmlis.vasa.lt/Dashboard/Served?ServiceDateFrom=2025-11-24&amp;ServiceDateTo=2025-11-24&amp;DumpsterInvNr=13-P-115407", "13-P-115407")</f>
        <v>13-P-115407</v>
      </c>
      <c r="C13176">
        <v>0.66</v>
      </c>
      <c r="D13176" t="s">
        <v>17375</v>
      </c>
      <c r="E13176" t="s">
        <v>11</v>
      </c>
      <c r="G13176" t="s">
        <v>1917</v>
      </c>
      <c r="H13176" t="s">
        <v>432</v>
      </c>
    </row>
    <row r="13177" spans="1:10" hidden="1" x14ac:dyDescent="0.25">
      <c r="A13177" t="s">
        <v>17376</v>
      </c>
      <c r="B13177" s="1" t="str">
        <f>HYPERLINK("https://asmlis.vasa.lt/Dashboard/Served?ServiceDateFrom=2025-11-24&amp;ServiceDateTo=2025-11-24&amp;DumpsterInvNr=13-P-116356", "13-P-116356")</f>
        <v>13-P-116356</v>
      </c>
      <c r="C13177">
        <v>1.1000000000000001</v>
      </c>
      <c r="D13177" t="s">
        <v>17377</v>
      </c>
      <c r="E13177" t="s">
        <v>11</v>
      </c>
      <c r="G13177" t="s">
        <v>1917</v>
      </c>
      <c r="H13177" t="s">
        <v>432</v>
      </c>
    </row>
    <row r="13178" spans="1:10" hidden="1" x14ac:dyDescent="0.25">
      <c r="A13178" t="s">
        <v>17379</v>
      </c>
      <c r="B13178" s="1" t="str">
        <f>HYPERLINK("https://asmlis.vasa.lt/Dashboard/Served?ServiceDateFrom=2025-11-24&amp;ServiceDateTo=2025-11-24&amp;DumpsterInvNr=13-P-212447", "13-P-212447")</f>
        <v>13-P-212447</v>
      </c>
      <c r="C13178">
        <v>1.1000000000000001</v>
      </c>
      <c r="D13178" t="s">
        <v>17380</v>
      </c>
      <c r="E13178" t="s">
        <v>11</v>
      </c>
      <c r="F13178" t="s">
        <v>13</v>
      </c>
      <c r="G13178" t="s">
        <v>234</v>
      </c>
      <c r="H13178" t="s">
        <v>14</v>
      </c>
    </row>
    <row r="13179" spans="1:10" hidden="1" x14ac:dyDescent="0.25">
      <c r="A13179" t="s">
        <v>17381</v>
      </c>
      <c r="B13179" s="1" t="str">
        <f>HYPERLINK("https://asmlis.vasa.lt/Dashboard/Served?ServiceDateFrom=2025-11-24&amp;ServiceDateTo=2025-11-24&amp;DumpsterInvNr=13-P-115242", "13-P-115242")</f>
        <v>13-P-115242</v>
      </c>
      <c r="C13179">
        <v>1.1000000000000001</v>
      </c>
      <c r="D13179" t="s">
        <v>17382</v>
      </c>
      <c r="E13179" t="s">
        <v>11</v>
      </c>
      <c r="G13179" t="s">
        <v>1917</v>
      </c>
      <c r="H13179" t="s">
        <v>432</v>
      </c>
    </row>
    <row r="13180" spans="1:10" hidden="1" x14ac:dyDescent="0.25">
      <c r="A13180" t="s">
        <v>17383</v>
      </c>
      <c r="B13180" s="1" t="str">
        <f>HYPERLINK("https://asmlis.vasa.lt/Dashboard/Served?ServiceDateFrom=2025-11-24&amp;ServiceDateTo=2025-11-24&amp;DumpsterInvNr=13-L-136699", "13-L-136699")</f>
        <v>13-L-136699</v>
      </c>
      <c r="C13180">
        <v>5</v>
      </c>
      <c r="D13180" t="s">
        <v>9989</v>
      </c>
      <c r="E13180" t="s">
        <v>11</v>
      </c>
      <c r="F13180" t="s">
        <v>17384</v>
      </c>
      <c r="G13180" t="s">
        <v>430</v>
      </c>
      <c r="H13180" t="s">
        <v>432</v>
      </c>
      <c r="J13180" t="s">
        <v>17523</v>
      </c>
    </row>
    <row r="13181" spans="1:10" hidden="1" x14ac:dyDescent="0.25">
      <c r="A13181" t="s">
        <v>17386</v>
      </c>
      <c r="B13181" s="1" t="str">
        <f>HYPERLINK("https://asmlis.vasa.lt/Dashboard/Served?ServiceDateFrom=2025-11-24&amp;ServiceDateTo=2025-11-24&amp;DumpsterInvNr=13-P-212861", "13-P-212861")</f>
        <v>13-P-212861</v>
      </c>
      <c r="C13181">
        <v>1.1000000000000001</v>
      </c>
      <c r="D13181" t="s">
        <v>17387</v>
      </c>
      <c r="E13181" t="s">
        <v>11</v>
      </c>
      <c r="F13181" t="s">
        <v>13</v>
      </c>
      <c r="G13181" t="s">
        <v>234</v>
      </c>
      <c r="H13181" t="s">
        <v>14</v>
      </c>
    </row>
    <row r="13182" spans="1:10" hidden="1" x14ac:dyDescent="0.25">
      <c r="A13182" t="s">
        <v>17388</v>
      </c>
      <c r="B13182" s="1" t="str">
        <f>HYPERLINK("https://asmlis.vasa.lt/Dashboard/Served?ServiceDateFrom=2025-11-24&amp;ServiceDateTo=2025-11-24&amp;DumpsterInvNr=13-L-135723", "13-L-135723")</f>
        <v>13-L-135723</v>
      </c>
      <c r="C13182">
        <v>5</v>
      </c>
      <c r="D13182" t="s">
        <v>15057</v>
      </c>
      <c r="E13182" t="s">
        <v>11</v>
      </c>
      <c r="F13182" t="s">
        <v>17384</v>
      </c>
      <c r="G13182" t="s">
        <v>430</v>
      </c>
      <c r="H13182" t="s">
        <v>432</v>
      </c>
      <c r="J13182" t="s">
        <v>17523</v>
      </c>
    </row>
    <row r="13183" spans="1:10" hidden="1" x14ac:dyDescent="0.25">
      <c r="A13183" t="s">
        <v>17389</v>
      </c>
      <c r="B13183" s="1" t="str">
        <f>HYPERLINK("https://asmlis.vasa.lt/Dashboard/Served?ServiceDateFrom=2025-11-24&amp;ServiceDateTo=2025-11-24&amp;DumpsterInvNr=13-L-145581", "13-L-145581")</f>
        <v>13-L-145581</v>
      </c>
      <c r="C13183">
        <v>5</v>
      </c>
      <c r="D13183" t="s">
        <v>14969</v>
      </c>
      <c r="E13183" t="s">
        <v>11</v>
      </c>
      <c r="F13183" t="s">
        <v>17390</v>
      </c>
      <c r="G13183" t="s">
        <v>430</v>
      </c>
      <c r="H13183" t="s">
        <v>432</v>
      </c>
      <c r="J13183" t="s">
        <v>17523</v>
      </c>
    </row>
    <row r="13184" spans="1:10" hidden="1" x14ac:dyDescent="0.25">
      <c r="A13184" t="s">
        <v>17385</v>
      </c>
      <c r="B13184" s="1" t="str">
        <f>HYPERLINK("https://asmlis.vasa.lt/Dashboard/Served?ServiceDateFrom=2025-11-24&amp;ServiceDateTo=2025-11-24&amp;DumpsterInvNr=13-L-139723", "13-L-139723")</f>
        <v>13-L-139723</v>
      </c>
      <c r="C13184">
        <v>5</v>
      </c>
      <c r="D13184" t="s">
        <v>16170</v>
      </c>
      <c r="E13184" t="s">
        <v>11</v>
      </c>
      <c r="F13184" t="s">
        <v>17384</v>
      </c>
      <c r="G13184" t="s">
        <v>430</v>
      </c>
      <c r="H13184" t="s">
        <v>432</v>
      </c>
      <c r="J13184" t="s">
        <v>17523</v>
      </c>
    </row>
    <row r="13185" spans="1:10" hidden="1" x14ac:dyDescent="0.25">
      <c r="A13185" t="s">
        <v>17378</v>
      </c>
      <c r="B13185" s="1" t="str">
        <f>HYPERLINK("https://asmlis.vasa.lt/Dashboard/Served?ServiceDateFrom=2025-11-24&amp;ServiceDateTo=2025-11-24&amp;DumpsterInvNr=13-L-105804", "13-L-105804")</f>
        <v>13-L-105804</v>
      </c>
      <c r="C13185">
        <v>5</v>
      </c>
      <c r="D13185" t="s">
        <v>15697</v>
      </c>
      <c r="E13185" t="s">
        <v>11</v>
      </c>
      <c r="F13185" t="s">
        <v>17384</v>
      </c>
      <c r="G13185" t="s">
        <v>430</v>
      </c>
      <c r="H13185" t="s">
        <v>432</v>
      </c>
      <c r="J13185" t="s">
        <v>17523</v>
      </c>
    </row>
    <row r="13186" spans="1:10" hidden="1" x14ac:dyDescent="0.25">
      <c r="A13186" t="s">
        <v>17391</v>
      </c>
      <c r="B13186" s="1" t="str">
        <f>HYPERLINK("https://asmlis.vasa.lt/Dashboard/Served?ServiceDateFrom=2025-11-24&amp;ServiceDateTo=2025-11-24&amp;DumpsterInvNr=13-P-115304", "13-P-115304")</f>
        <v>13-P-115304</v>
      </c>
      <c r="C13186">
        <v>1.1000000000000001</v>
      </c>
      <c r="D13186" t="s">
        <v>17392</v>
      </c>
      <c r="E13186" t="s">
        <v>11</v>
      </c>
      <c r="G13186" t="s">
        <v>1917</v>
      </c>
      <c r="H13186" t="s">
        <v>432</v>
      </c>
    </row>
    <row r="13187" spans="1:10" hidden="1" x14ac:dyDescent="0.25">
      <c r="A13187" t="s">
        <v>17393</v>
      </c>
      <c r="B13187" s="1" t="str">
        <f>HYPERLINK("https://asmlis.vasa.lt/Dashboard/Served?ServiceDateFrom=2025-11-24&amp;ServiceDateTo=2025-11-24&amp;DumpsterInvNr=13-L-105803", "13-L-105803")</f>
        <v>13-L-105803</v>
      </c>
      <c r="C13187">
        <v>5</v>
      </c>
      <c r="D13187" t="s">
        <v>15697</v>
      </c>
      <c r="E13187" t="s">
        <v>11</v>
      </c>
      <c r="F13187" t="s">
        <v>17384</v>
      </c>
      <c r="G13187" t="s">
        <v>430</v>
      </c>
      <c r="H13187" t="s">
        <v>432</v>
      </c>
      <c r="J13187" t="s">
        <v>17523</v>
      </c>
    </row>
    <row r="13188" spans="1:10" hidden="1" x14ac:dyDescent="0.25">
      <c r="A13188" t="s">
        <v>17394</v>
      </c>
      <c r="B13188" s="1" t="str">
        <f>HYPERLINK("https://asmlis.vasa.lt/Dashboard/Served?ServiceDateFrom=2025-11-24&amp;ServiceDateTo=2025-11-24&amp;DumpsterInvNr=13-L-139249", "13-L-139249")</f>
        <v>13-L-139249</v>
      </c>
      <c r="C13188">
        <v>5</v>
      </c>
      <c r="D13188" t="s">
        <v>15391</v>
      </c>
      <c r="E13188" t="s">
        <v>11</v>
      </c>
      <c r="F13188" t="s">
        <v>17384</v>
      </c>
      <c r="G13188" t="s">
        <v>430</v>
      </c>
      <c r="H13188" t="s">
        <v>432</v>
      </c>
      <c r="J13188" t="s">
        <v>17523</v>
      </c>
    </row>
    <row r="13189" spans="1:10" hidden="1" x14ac:dyDescent="0.25">
      <c r="A13189" t="s">
        <v>17395</v>
      </c>
      <c r="B13189" s="1" t="str">
        <f>HYPERLINK("https://asmlis.vasa.lt/Dashboard/Served?ServiceDateFrom=2025-11-24&amp;ServiceDateTo=2025-11-24&amp;DumpsterInvNr=13-L-105802", "13-L-105802")</f>
        <v>13-L-105802</v>
      </c>
      <c r="C13189">
        <v>5</v>
      </c>
      <c r="D13189" t="s">
        <v>15815</v>
      </c>
      <c r="E13189" t="s">
        <v>11</v>
      </c>
      <c r="F13189" t="s">
        <v>17384</v>
      </c>
      <c r="G13189" t="s">
        <v>430</v>
      </c>
      <c r="H13189" t="s">
        <v>432</v>
      </c>
      <c r="J13189" t="s">
        <v>17523</v>
      </c>
    </row>
    <row r="13190" spans="1:10" hidden="1" x14ac:dyDescent="0.25">
      <c r="A13190" t="s">
        <v>17396</v>
      </c>
      <c r="B13190" s="1" t="str">
        <f>HYPERLINK("https://asmlis.vasa.lt/Dashboard/Served?ServiceDateFrom=2025-11-24&amp;ServiceDateTo=2025-11-24&amp;DumpsterInvNr=13-L-105801", "13-L-105801")</f>
        <v>13-L-105801</v>
      </c>
      <c r="C13190">
        <v>5</v>
      </c>
      <c r="D13190" t="s">
        <v>15815</v>
      </c>
      <c r="E13190" t="s">
        <v>11</v>
      </c>
      <c r="F13190" t="s">
        <v>17384</v>
      </c>
      <c r="G13190" t="s">
        <v>430</v>
      </c>
      <c r="H13190" t="s">
        <v>432</v>
      </c>
      <c r="J13190" t="s">
        <v>17523</v>
      </c>
    </row>
    <row r="13191" spans="1:10" hidden="1" x14ac:dyDescent="0.25">
      <c r="A13191" t="s">
        <v>17397</v>
      </c>
      <c r="B13191" s="1" t="str">
        <f>HYPERLINK("https://asmlis.vasa.lt/Dashboard/Served?ServiceDateFrom=2025-11-24&amp;ServiceDateTo=2025-11-24&amp;DumpsterInvNr=13-L-139724", "13-L-139724")</f>
        <v>13-L-139724</v>
      </c>
      <c r="C13191">
        <v>5</v>
      </c>
      <c r="D13191" t="s">
        <v>15120</v>
      </c>
      <c r="E13191" t="s">
        <v>11</v>
      </c>
      <c r="F13191" t="s">
        <v>17384</v>
      </c>
      <c r="G13191" t="s">
        <v>430</v>
      </c>
      <c r="H13191" t="s">
        <v>432</v>
      </c>
      <c r="J13191" t="s">
        <v>17523</v>
      </c>
    </row>
    <row r="13192" spans="1:10" hidden="1" x14ac:dyDescent="0.25">
      <c r="A13192" t="s">
        <v>17398</v>
      </c>
      <c r="B13192" s="1" t="str">
        <f>HYPERLINK("https://asmlis.vasa.lt/Dashboard/Served?ServiceDateFrom=2025-11-24&amp;ServiceDateTo=2025-11-24&amp;DumpsterInvNr=13-P-115471", "13-P-115471")</f>
        <v>13-P-115471</v>
      </c>
      <c r="C13192">
        <v>1.1000000000000001</v>
      </c>
      <c r="D13192" t="s">
        <v>17399</v>
      </c>
      <c r="E13192" t="s">
        <v>11</v>
      </c>
      <c r="G13192" t="s">
        <v>1917</v>
      </c>
      <c r="H13192" t="s">
        <v>432</v>
      </c>
    </row>
    <row r="13193" spans="1:10" hidden="1" x14ac:dyDescent="0.25">
      <c r="A13193" t="s">
        <v>17400</v>
      </c>
      <c r="B13193" s="1" t="str">
        <f>HYPERLINK("https://asmlis.vasa.lt/Dashboard/Served?ServiceDateFrom=2025-11-24&amp;ServiceDateTo=2025-11-24&amp;DumpsterInvNr=13-P-115887", "13-P-115887")</f>
        <v>13-P-115887</v>
      </c>
      <c r="C13193">
        <v>1.1000000000000001</v>
      </c>
      <c r="D13193" t="s">
        <v>17401</v>
      </c>
      <c r="E13193" t="s">
        <v>11</v>
      </c>
      <c r="G13193" t="s">
        <v>1917</v>
      </c>
      <c r="H13193" t="s">
        <v>432</v>
      </c>
    </row>
    <row r="13194" spans="1:10" hidden="1" x14ac:dyDescent="0.25">
      <c r="A13194" t="s">
        <v>17402</v>
      </c>
      <c r="B13194" s="1" t="str">
        <f>HYPERLINK("https://asmlis.vasa.lt/Dashboard/Served?ServiceDateFrom=2025-11-24&amp;ServiceDateTo=2025-11-24&amp;DumpsterInvNr=13-P-212628", "13-P-212628")</f>
        <v>13-P-212628</v>
      </c>
      <c r="C13194">
        <v>1.1000000000000001</v>
      </c>
      <c r="D13194" t="s">
        <v>17403</v>
      </c>
      <c r="E13194" t="s">
        <v>11</v>
      </c>
      <c r="F13194" t="s">
        <v>13</v>
      </c>
      <c r="G13194" t="s">
        <v>234</v>
      </c>
      <c r="H13194" t="s">
        <v>14</v>
      </c>
    </row>
    <row r="13195" spans="1:10" hidden="1" x14ac:dyDescent="0.25">
      <c r="A13195" t="s">
        <v>17404</v>
      </c>
      <c r="B13195" s="1" t="str">
        <f>HYPERLINK("https://asmlis.vasa.lt/Dashboard/Served?ServiceDateFrom=2025-11-24&amp;ServiceDateTo=2025-11-24&amp;DumpsterInvNr=13-P-115899", "13-P-115899")</f>
        <v>13-P-115899</v>
      </c>
      <c r="C13195">
        <v>1.1000000000000001</v>
      </c>
      <c r="D13195" t="s">
        <v>17405</v>
      </c>
      <c r="E13195" t="s">
        <v>11</v>
      </c>
      <c r="G13195" t="s">
        <v>1917</v>
      </c>
      <c r="H13195" t="s">
        <v>432</v>
      </c>
    </row>
    <row r="13196" spans="1:10" hidden="1" x14ac:dyDescent="0.25">
      <c r="A13196" t="s">
        <v>17406</v>
      </c>
      <c r="B13196" s="1" t="str">
        <f>HYPERLINK("https://asmlis.vasa.lt/Dashboard/Served?ServiceDateFrom=2025-11-24&amp;ServiceDateTo=2025-11-24&amp;DumpsterInvNr=13-P-203146", "13-P-203146")</f>
        <v>13-P-203146</v>
      </c>
      <c r="C13196">
        <v>1.1000000000000001</v>
      </c>
      <c r="D13196" t="s">
        <v>17407</v>
      </c>
      <c r="E13196" t="s">
        <v>11</v>
      </c>
      <c r="F13196" t="s">
        <v>13</v>
      </c>
      <c r="G13196" t="s">
        <v>234</v>
      </c>
      <c r="H13196" t="s">
        <v>14</v>
      </c>
    </row>
    <row r="13197" spans="1:10" hidden="1" x14ac:dyDescent="0.25">
      <c r="A13197" t="s">
        <v>17408</v>
      </c>
      <c r="B13197" s="1" t="str">
        <f>HYPERLINK("https://asmlis.vasa.lt/Dashboard/Served?ServiceDateFrom=2025-11-24&amp;ServiceDateTo=2025-11-24&amp;DumpsterInvNr=13-P-111092", "13-P-111092")</f>
        <v>13-P-111092</v>
      </c>
      <c r="C13197">
        <v>1.1000000000000001</v>
      </c>
      <c r="D13197" t="s">
        <v>17409</v>
      </c>
      <c r="E13197" t="s">
        <v>11</v>
      </c>
      <c r="G13197" t="s">
        <v>1917</v>
      </c>
      <c r="H13197" t="s">
        <v>432</v>
      </c>
    </row>
    <row r="13198" spans="1:10" hidden="1" x14ac:dyDescent="0.25">
      <c r="A13198" t="s">
        <v>17410</v>
      </c>
      <c r="B13198" s="1" t="str">
        <f>HYPERLINK("https://asmlis.vasa.lt/Dashboard/Served?ServiceDateFrom=2025-11-24&amp;ServiceDateTo=2025-11-24&amp;DumpsterInvNr=13-P-116004", "13-P-116004")</f>
        <v>13-P-116004</v>
      </c>
      <c r="C13198">
        <v>1.1000000000000001</v>
      </c>
      <c r="D13198" t="s">
        <v>17411</v>
      </c>
      <c r="E13198" t="s">
        <v>11</v>
      </c>
      <c r="F13198" t="s">
        <v>10965</v>
      </c>
      <c r="G13198" t="s">
        <v>1917</v>
      </c>
      <c r="H13198" t="s">
        <v>432</v>
      </c>
      <c r="J13198" t="s">
        <v>17512</v>
      </c>
    </row>
    <row r="13199" spans="1:10" hidden="1" x14ac:dyDescent="0.25">
      <c r="A13199" t="s">
        <v>17412</v>
      </c>
      <c r="B13199" s="1" t="str">
        <f>HYPERLINK("https://asmlis.vasa.lt/Dashboard/Served?ServiceDateFrom=2025-11-24&amp;ServiceDateTo=2025-11-24&amp;DumpsterInvNr=13-P-212380", "13-P-212380")</f>
        <v>13-P-212380</v>
      </c>
      <c r="C13199">
        <v>1.1000000000000001</v>
      </c>
      <c r="D13199" t="s">
        <v>17413</v>
      </c>
      <c r="E13199" t="s">
        <v>11</v>
      </c>
      <c r="F13199" t="s">
        <v>13</v>
      </c>
      <c r="G13199" t="s">
        <v>234</v>
      </c>
      <c r="H13199" t="s">
        <v>14</v>
      </c>
    </row>
    <row r="13200" spans="1:10" hidden="1" x14ac:dyDescent="0.25">
      <c r="A13200" t="s">
        <v>17414</v>
      </c>
      <c r="B13200" s="1" t="str">
        <f>HYPERLINK("https://asmlis.vasa.lt/Dashboard/Served?ServiceDateFrom=2025-11-24&amp;ServiceDateTo=2025-11-24&amp;DumpsterInvNr=13-P-111093", "13-P-111093")</f>
        <v>13-P-111093</v>
      </c>
      <c r="C13200">
        <v>1.1000000000000001</v>
      </c>
      <c r="D13200" t="s">
        <v>13665</v>
      </c>
      <c r="E13200" t="s">
        <v>11</v>
      </c>
      <c r="G13200" t="s">
        <v>1917</v>
      </c>
      <c r="H13200" t="s">
        <v>432</v>
      </c>
    </row>
    <row r="13201" spans="1:10" hidden="1" x14ac:dyDescent="0.25">
      <c r="A13201" t="s">
        <v>17415</v>
      </c>
      <c r="B13201" s="1" t="str">
        <f>HYPERLINK("https://asmlis.vasa.lt/Dashboard/Served?ServiceDateFrom=2025-11-24&amp;ServiceDateTo=2025-11-24&amp;DumpsterInvNr=13-P-115375", "13-P-115375")</f>
        <v>13-P-115375</v>
      </c>
      <c r="C13201">
        <v>1.1000000000000001</v>
      </c>
      <c r="D13201" t="s">
        <v>17416</v>
      </c>
      <c r="E13201" t="s">
        <v>11</v>
      </c>
      <c r="G13201" t="s">
        <v>1917</v>
      </c>
      <c r="H13201" t="s">
        <v>432</v>
      </c>
    </row>
    <row r="13202" spans="1:10" hidden="1" x14ac:dyDescent="0.25">
      <c r="A13202" t="s">
        <v>17417</v>
      </c>
      <c r="B13202" s="1" t="str">
        <f>HYPERLINK("https://asmlis.vasa.lt/Dashboard/Served?ServiceDateFrom=2025-11-24&amp;ServiceDateTo=2025-11-24&amp;DumpsterInvNr=13-P-212514", "13-P-212514")</f>
        <v>13-P-212514</v>
      </c>
      <c r="C13202">
        <v>1.1000000000000001</v>
      </c>
      <c r="D13202" t="s">
        <v>17418</v>
      </c>
      <c r="E13202" t="s">
        <v>11</v>
      </c>
      <c r="F13202" t="s">
        <v>13</v>
      </c>
      <c r="G13202" t="s">
        <v>234</v>
      </c>
      <c r="H13202" t="s">
        <v>14</v>
      </c>
    </row>
    <row r="13203" spans="1:10" hidden="1" x14ac:dyDescent="0.25">
      <c r="A13203" t="s">
        <v>17419</v>
      </c>
      <c r="B13203" s="1" t="str">
        <f>HYPERLINK("https://asmlis.vasa.lt/Dashboard/Served?ServiceDateFrom=2025-11-24&amp;ServiceDateTo=2025-11-24&amp;DumpsterInvNr=13-P-115076", "13-P-115076")</f>
        <v>13-P-115076</v>
      </c>
      <c r="C13203">
        <v>1.1000000000000001</v>
      </c>
      <c r="D13203" t="s">
        <v>17420</v>
      </c>
      <c r="E13203" t="s">
        <v>11</v>
      </c>
      <c r="G13203" t="s">
        <v>1917</v>
      </c>
      <c r="H13203" t="s">
        <v>432</v>
      </c>
    </row>
    <row r="13204" spans="1:10" hidden="1" x14ac:dyDescent="0.25">
      <c r="A13204" t="s">
        <v>17421</v>
      </c>
      <c r="B13204" s="1" t="str">
        <f>HYPERLINK("https://asmlis.vasa.lt/Dashboard/Served?ServiceDateFrom=2025-11-24&amp;ServiceDateTo=2025-11-24&amp;DumpsterInvNr=13-P-212602", "13-P-212602")</f>
        <v>13-P-212602</v>
      </c>
      <c r="C13204">
        <v>1.1000000000000001</v>
      </c>
      <c r="D13204" t="s">
        <v>17418</v>
      </c>
      <c r="E13204" t="s">
        <v>11</v>
      </c>
      <c r="F13204" t="s">
        <v>13</v>
      </c>
      <c r="G13204" t="s">
        <v>234</v>
      </c>
      <c r="H13204" t="s">
        <v>14</v>
      </c>
    </row>
    <row r="13205" spans="1:10" hidden="1" x14ac:dyDescent="0.25">
      <c r="A13205" t="s">
        <v>17422</v>
      </c>
      <c r="B13205" s="1" t="str">
        <f>HYPERLINK("https://asmlis.vasa.lt/Dashboard/Served?ServiceDateFrom=2025-11-24&amp;ServiceDateTo=2025-11-24&amp;DumpsterInvNr=13-P-115077", "13-P-115077")</f>
        <v>13-P-115077</v>
      </c>
      <c r="C13205">
        <v>1.1000000000000001</v>
      </c>
      <c r="D13205" t="s">
        <v>17423</v>
      </c>
      <c r="E13205" t="s">
        <v>11</v>
      </c>
      <c r="F13205" t="s">
        <v>10965</v>
      </c>
      <c r="G13205" t="s">
        <v>1917</v>
      </c>
      <c r="H13205" t="s">
        <v>432</v>
      </c>
      <c r="J13205" t="s">
        <v>17512</v>
      </c>
    </row>
    <row r="13206" spans="1:10" hidden="1" x14ac:dyDescent="0.25">
      <c r="A13206" t="s">
        <v>17424</v>
      </c>
      <c r="B13206" s="1" t="str">
        <f>HYPERLINK("https://asmlis.vasa.lt/Dashboard/Served?ServiceDateFrom=2025-11-24&amp;ServiceDateTo=2025-11-24&amp;DumpsterInvNr=13-P-115044", "13-P-115044")</f>
        <v>13-P-115044</v>
      </c>
      <c r="C13206">
        <v>1.1000000000000001</v>
      </c>
      <c r="D13206" t="s">
        <v>17425</v>
      </c>
      <c r="E13206" t="s">
        <v>11</v>
      </c>
      <c r="F13206" t="s">
        <v>10965</v>
      </c>
      <c r="G13206" t="s">
        <v>1917</v>
      </c>
      <c r="H13206" t="s">
        <v>432</v>
      </c>
      <c r="J13206" t="s">
        <v>17512</v>
      </c>
    </row>
    <row r="13207" spans="1:10" x14ac:dyDescent="0.25">
      <c r="A13207" t="s">
        <v>17426</v>
      </c>
      <c r="B13207" s="1" t="str">
        <f>HYPERLINK("https://asmlis.vasa.lt/Dashboard/Served?ServiceDateFrom=2025-11-24&amp;ServiceDateTo=2025-11-24&amp;DumpsterInvNr=13-P-106592", "13-P-106592")</f>
        <v>13-P-106592</v>
      </c>
      <c r="C13207">
        <v>0.77</v>
      </c>
      <c r="D13207" t="s">
        <v>17427</v>
      </c>
      <c r="E13207" t="s">
        <v>11</v>
      </c>
      <c r="F13207" t="s">
        <v>2491</v>
      </c>
      <c r="G13207" t="s">
        <v>1917</v>
      </c>
      <c r="H13207" t="s">
        <v>432</v>
      </c>
      <c r="J13207" t="s">
        <v>17511</v>
      </c>
    </row>
    <row r="13208" spans="1:10" x14ac:dyDescent="0.25">
      <c r="A13208" t="s">
        <v>17428</v>
      </c>
      <c r="B13208" s="1" t="str">
        <f>HYPERLINK("https://asmlis.vasa.lt/Dashboard/Served?ServiceDateFrom=2025-11-24&amp;ServiceDateTo=2025-11-24&amp;DumpsterInvNr=13-P-105552", "13-P-105552")</f>
        <v>13-P-105552</v>
      </c>
      <c r="C13208">
        <v>1.1000000000000001</v>
      </c>
      <c r="D13208" t="s">
        <v>17429</v>
      </c>
      <c r="E13208" t="s">
        <v>11</v>
      </c>
      <c r="F13208" t="s">
        <v>2491</v>
      </c>
      <c r="G13208" t="s">
        <v>1917</v>
      </c>
      <c r="H13208" t="s">
        <v>432</v>
      </c>
      <c r="J13208" t="s">
        <v>17511</v>
      </c>
    </row>
    <row r="13209" spans="1:10" hidden="1" x14ac:dyDescent="0.25">
      <c r="A13209" t="s">
        <v>17430</v>
      </c>
      <c r="B13209" s="1" t="str">
        <f>HYPERLINK("https://asmlis.vasa.lt/Dashboard/Served?ServiceDateFrom=2025-11-24&amp;ServiceDateTo=2025-11-24&amp;DumpsterInvNr=13-P-115517", "13-P-115517")</f>
        <v>13-P-115517</v>
      </c>
      <c r="C13209">
        <v>1.1000000000000001</v>
      </c>
      <c r="D13209" t="s">
        <v>17431</v>
      </c>
      <c r="E13209" t="s">
        <v>11</v>
      </c>
      <c r="G13209" t="s">
        <v>1917</v>
      </c>
      <c r="H13209" t="s">
        <v>432</v>
      </c>
    </row>
    <row r="13210" spans="1:10" x14ac:dyDescent="0.25">
      <c r="A13210" t="s">
        <v>17432</v>
      </c>
      <c r="B13210" s="1" t="str">
        <f>HYPERLINK("https://asmlis.vasa.lt/Dashboard/Served?ServiceDateFrom=2025-11-24&amp;ServiceDateTo=2025-11-24&amp;DumpsterInvNr=13-P-115386", "13-P-115386")</f>
        <v>13-P-115386</v>
      </c>
      <c r="C13210">
        <v>1.1000000000000001</v>
      </c>
      <c r="D13210" t="s">
        <v>17433</v>
      </c>
      <c r="E13210" t="s">
        <v>11</v>
      </c>
      <c r="F13210" t="s">
        <v>2491</v>
      </c>
      <c r="G13210" t="s">
        <v>1917</v>
      </c>
      <c r="H13210" t="s">
        <v>432</v>
      </c>
      <c r="J13210" t="s">
        <v>17511</v>
      </c>
    </row>
    <row r="13211" spans="1:10" hidden="1" x14ac:dyDescent="0.25">
      <c r="A13211" t="s">
        <v>17434</v>
      </c>
      <c r="B13211" s="1" t="str">
        <f>HYPERLINK("https://asmlis.vasa.lt/Dashboard/Served?ServiceDateFrom=2025-11-24&amp;ServiceDateTo=2025-11-24&amp;DumpsterInvNr=13-P-212779", "13-P-212779")</f>
        <v>13-P-212779</v>
      </c>
      <c r="C13211">
        <v>1.1000000000000001</v>
      </c>
      <c r="D13211" t="s">
        <v>17435</v>
      </c>
      <c r="E13211" t="s">
        <v>11</v>
      </c>
      <c r="F13211" t="s">
        <v>13</v>
      </c>
      <c r="G13211" t="s">
        <v>234</v>
      </c>
      <c r="H13211" t="s">
        <v>14</v>
      </c>
    </row>
    <row r="13212" spans="1:10" hidden="1" x14ac:dyDescent="0.25">
      <c r="A13212" t="s">
        <v>17436</v>
      </c>
      <c r="B13212" s="1" t="str">
        <f>HYPERLINK("https://asmlis.vasa.lt/Dashboard/Served?ServiceDateFrom=2025-11-24&amp;ServiceDateTo=2025-11-24&amp;DumpsterInvNr=13-P-212688", "13-P-212688")</f>
        <v>13-P-212688</v>
      </c>
      <c r="C13212">
        <v>1.1000000000000001</v>
      </c>
      <c r="D13212" t="s">
        <v>17435</v>
      </c>
      <c r="E13212" t="s">
        <v>11</v>
      </c>
      <c r="F13212" t="s">
        <v>13</v>
      </c>
      <c r="G13212" t="s">
        <v>234</v>
      </c>
      <c r="H13212" t="s">
        <v>14</v>
      </c>
    </row>
    <row r="13213" spans="1:10" hidden="1" x14ac:dyDescent="0.25">
      <c r="A13213" t="s">
        <v>17437</v>
      </c>
      <c r="B13213" s="1" t="str">
        <f>HYPERLINK("https://asmlis.vasa.lt/Dashboard/Served?ServiceDateFrom=2025-11-24&amp;ServiceDateTo=2025-11-24&amp;DumpsterInvNr=13-P-208510", "13-P-208510")</f>
        <v>13-P-208510</v>
      </c>
      <c r="C13213">
        <v>1.1000000000000001</v>
      </c>
      <c r="D13213" t="s">
        <v>17435</v>
      </c>
      <c r="E13213" t="s">
        <v>11</v>
      </c>
      <c r="F13213" t="s">
        <v>13</v>
      </c>
      <c r="G13213" t="s">
        <v>234</v>
      </c>
      <c r="H13213" t="s">
        <v>14</v>
      </c>
    </row>
    <row r="13214" spans="1:10" hidden="1" x14ac:dyDescent="0.25">
      <c r="A13214" t="s">
        <v>17438</v>
      </c>
      <c r="B13214" s="1" t="str">
        <f>HYPERLINK("https://asmlis.vasa.lt/Dashboard/Served?ServiceDateFrom=2025-11-24&amp;ServiceDateTo=2025-11-24&amp;DumpsterInvNr=13-P-111170", "13-P-111170")</f>
        <v>13-P-111170</v>
      </c>
      <c r="C13214">
        <v>1.1000000000000001</v>
      </c>
      <c r="D13214" t="s">
        <v>17439</v>
      </c>
      <c r="E13214" t="s">
        <v>11</v>
      </c>
      <c r="G13214" t="s">
        <v>1917</v>
      </c>
      <c r="H13214" t="s">
        <v>432</v>
      </c>
    </row>
    <row r="13215" spans="1:10" hidden="1" x14ac:dyDescent="0.25">
      <c r="A13215" t="s">
        <v>17440</v>
      </c>
      <c r="B13215" s="1" t="str">
        <f>HYPERLINK("https://asmlis.vasa.lt/Dashboard/Served?ServiceDateFrom=2025-11-24&amp;ServiceDateTo=2025-11-24&amp;DumpsterInvNr=13-P-212716", "13-P-212716")</f>
        <v>13-P-212716</v>
      </c>
      <c r="C13215">
        <v>1.1000000000000001</v>
      </c>
      <c r="D13215" t="s">
        <v>17435</v>
      </c>
      <c r="E13215" t="s">
        <v>11</v>
      </c>
      <c r="F13215" t="s">
        <v>13</v>
      </c>
      <c r="G13215" t="s">
        <v>234</v>
      </c>
      <c r="H13215" t="s">
        <v>14</v>
      </c>
    </row>
    <row r="13216" spans="1:10" hidden="1" x14ac:dyDescent="0.25">
      <c r="A13216" t="s">
        <v>17441</v>
      </c>
      <c r="B13216" s="1" t="str">
        <f>HYPERLINK("https://asmlis.vasa.lt/Dashboard/Served?ServiceDateFrom=2025-11-24&amp;ServiceDateTo=2025-11-24&amp;DumpsterInvNr=13-P-115362", "13-P-115362")</f>
        <v>13-P-115362</v>
      </c>
      <c r="C13216">
        <v>1.1000000000000001</v>
      </c>
      <c r="D13216" t="s">
        <v>13838</v>
      </c>
      <c r="E13216" t="s">
        <v>11</v>
      </c>
      <c r="G13216" t="s">
        <v>1917</v>
      </c>
      <c r="H13216" t="s">
        <v>432</v>
      </c>
    </row>
    <row r="13217" spans="1:10" hidden="1" x14ac:dyDescent="0.25">
      <c r="A13217" t="s">
        <v>17442</v>
      </c>
      <c r="B13217" s="1" t="str">
        <f>HYPERLINK("https://asmlis.vasa.lt/Dashboard/Served?ServiceDateFrom=2025-11-24&amp;ServiceDateTo=2025-11-24&amp;DumpsterInvNr=13-P-115363", "13-P-115363")</f>
        <v>13-P-115363</v>
      </c>
      <c r="C13217">
        <v>1.1000000000000001</v>
      </c>
      <c r="D13217" t="s">
        <v>17443</v>
      </c>
      <c r="E13217" t="s">
        <v>11</v>
      </c>
      <c r="G13217" t="s">
        <v>1917</v>
      </c>
      <c r="H13217" t="s">
        <v>432</v>
      </c>
    </row>
    <row r="13218" spans="1:10" x14ac:dyDescent="0.25">
      <c r="A13218" t="s">
        <v>17444</v>
      </c>
      <c r="B13218" s="1" t="str">
        <f>HYPERLINK("https://asmlis.vasa.lt/Dashboard/Served?ServiceDateFrom=2025-11-24&amp;ServiceDateTo=2025-11-24&amp;DumpsterInvNr=13-P-111168", "13-P-111168")</f>
        <v>13-P-111168</v>
      </c>
      <c r="C13218">
        <v>1.1000000000000001</v>
      </c>
      <c r="D13218" t="s">
        <v>17445</v>
      </c>
      <c r="E13218" t="s">
        <v>11</v>
      </c>
      <c r="F13218" t="s">
        <v>2491</v>
      </c>
      <c r="G13218" t="s">
        <v>1917</v>
      </c>
      <c r="H13218" t="s">
        <v>432</v>
      </c>
      <c r="J13218" t="s">
        <v>17511</v>
      </c>
    </row>
    <row r="13219" spans="1:10" x14ac:dyDescent="0.25">
      <c r="A13219" t="s">
        <v>17446</v>
      </c>
      <c r="B13219" s="1" t="str">
        <f>HYPERLINK("https://asmlis.vasa.lt/Dashboard/Served?ServiceDateFrom=2025-11-24&amp;ServiceDateTo=2025-11-24&amp;DumpsterInvNr=13-P-115364", "13-P-115364")</f>
        <v>13-P-115364</v>
      </c>
      <c r="C13219">
        <v>1.1000000000000001</v>
      </c>
      <c r="D13219" t="s">
        <v>17447</v>
      </c>
      <c r="E13219" t="s">
        <v>11</v>
      </c>
      <c r="F13219" t="s">
        <v>2491</v>
      </c>
      <c r="G13219" t="s">
        <v>1917</v>
      </c>
      <c r="H13219" t="s">
        <v>432</v>
      </c>
      <c r="J13219" t="s">
        <v>17511</v>
      </c>
    </row>
    <row r="13220" spans="1:10" hidden="1" x14ac:dyDescent="0.25">
      <c r="A13220" t="s">
        <v>17448</v>
      </c>
      <c r="B13220" s="1" t="str">
        <f>HYPERLINK("https://asmlis.vasa.lt/Dashboard/Served?ServiceDateFrom=2025-11-24&amp;ServiceDateTo=2025-11-24&amp;DumpsterInvNr=13-P-212339", "13-P-212339")</f>
        <v>13-P-212339</v>
      </c>
      <c r="C13220">
        <v>1.1000000000000001</v>
      </c>
      <c r="D13220" t="s">
        <v>17435</v>
      </c>
      <c r="E13220" t="s">
        <v>11</v>
      </c>
      <c r="F13220" t="s">
        <v>13</v>
      </c>
      <c r="G13220" t="s">
        <v>234</v>
      </c>
      <c r="H13220" t="s">
        <v>14</v>
      </c>
    </row>
    <row r="13221" spans="1:10" hidden="1" x14ac:dyDescent="0.25">
      <c r="A13221" t="s">
        <v>17449</v>
      </c>
      <c r="B13221" s="1" t="str">
        <f>HYPERLINK("https://asmlis.vasa.lt/Dashboard/Served?ServiceDateFrom=2025-11-24&amp;ServiceDateTo=2025-11-24&amp;DumpsterInvNr=13-P-212468", "13-P-212468")</f>
        <v>13-P-212468</v>
      </c>
      <c r="C13221">
        <v>1.1000000000000001</v>
      </c>
      <c r="D13221" t="s">
        <v>17435</v>
      </c>
      <c r="E13221" t="s">
        <v>11</v>
      </c>
      <c r="F13221" t="s">
        <v>13</v>
      </c>
      <c r="G13221" t="s">
        <v>234</v>
      </c>
      <c r="H13221" t="s">
        <v>14</v>
      </c>
    </row>
    <row r="13222" spans="1:10" x14ac:dyDescent="0.25">
      <c r="A13222" t="s">
        <v>17450</v>
      </c>
      <c r="B13222" s="1" t="str">
        <f>HYPERLINK("https://asmlis.vasa.lt/Dashboard/Served?ServiceDateFrom=2025-11-24&amp;ServiceDateTo=2025-11-24&amp;DumpsterInvNr=13-P-116360", "13-P-116360")</f>
        <v>13-P-116360</v>
      </c>
      <c r="C13222">
        <v>1.1000000000000001</v>
      </c>
      <c r="D13222" t="s">
        <v>17451</v>
      </c>
      <c r="E13222" t="s">
        <v>11</v>
      </c>
      <c r="F13222" t="s">
        <v>2491</v>
      </c>
      <c r="G13222" t="s">
        <v>1917</v>
      </c>
      <c r="H13222" t="s">
        <v>432</v>
      </c>
      <c r="J13222" t="s">
        <v>17511</v>
      </c>
    </row>
    <row r="13223" spans="1:10" hidden="1" x14ac:dyDescent="0.25">
      <c r="A13223" t="s">
        <v>17452</v>
      </c>
      <c r="B13223" s="1" t="str">
        <f>HYPERLINK("https://asmlis.vasa.lt/Dashboard/Served?ServiceDateFrom=2025-11-24&amp;ServiceDateTo=2025-11-24&amp;DumpsterInvNr=13-P-115396", "13-P-115396")</f>
        <v>13-P-115396</v>
      </c>
      <c r="C13223">
        <v>1.1000000000000001</v>
      </c>
      <c r="D13223" t="s">
        <v>17453</v>
      </c>
      <c r="E13223" t="s">
        <v>11</v>
      </c>
      <c r="G13223" t="s">
        <v>1917</v>
      </c>
      <c r="H13223" t="s">
        <v>432</v>
      </c>
    </row>
    <row r="13224" spans="1:10" hidden="1" x14ac:dyDescent="0.25">
      <c r="A13224" t="s">
        <v>17454</v>
      </c>
      <c r="B13224" s="1" t="str">
        <f>HYPERLINK("https://asmlis.vasa.lt/Dashboard/Served?ServiceDateFrom=2025-11-24&amp;ServiceDateTo=2025-11-24&amp;DumpsterInvNr=13-P-212421", "13-P-212421")</f>
        <v>13-P-212421</v>
      </c>
      <c r="C13224">
        <v>1.1000000000000001</v>
      </c>
      <c r="D13224" t="s">
        <v>17435</v>
      </c>
      <c r="E13224" t="s">
        <v>11</v>
      </c>
      <c r="F13224" t="s">
        <v>13</v>
      </c>
      <c r="G13224" t="s">
        <v>234</v>
      </c>
      <c r="H13224" t="s">
        <v>14</v>
      </c>
    </row>
    <row r="13225" spans="1:10" hidden="1" x14ac:dyDescent="0.25">
      <c r="A13225" t="s">
        <v>17455</v>
      </c>
      <c r="B13225" s="1" t="str">
        <f>HYPERLINK("https://asmlis.vasa.lt/Dashboard/Served?ServiceDateFrom=2025-11-24&amp;ServiceDateTo=2025-11-24&amp;DumpsterInvNr=13-P-111660", "13-P-111660")</f>
        <v>13-P-111660</v>
      </c>
      <c r="C13225">
        <v>1.1000000000000001</v>
      </c>
      <c r="D13225" t="s">
        <v>17456</v>
      </c>
      <c r="E13225" t="s">
        <v>11</v>
      </c>
      <c r="G13225" t="s">
        <v>1917</v>
      </c>
      <c r="H13225" t="s">
        <v>432</v>
      </c>
    </row>
    <row r="13226" spans="1:10" hidden="1" x14ac:dyDescent="0.25">
      <c r="A13226" t="s">
        <v>17457</v>
      </c>
      <c r="B13226" s="1" t="str">
        <f>HYPERLINK("https://asmlis.vasa.lt/Dashboard/Served?ServiceDateFrom=2025-11-24&amp;ServiceDateTo=2025-11-24&amp;DumpsterInvNr=13-P-105553", "13-P-105553")</f>
        <v>13-P-105553</v>
      </c>
      <c r="C13226">
        <v>1.1000000000000001</v>
      </c>
      <c r="D13226" t="s">
        <v>17458</v>
      </c>
      <c r="E13226" t="s">
        <v>11</v>
      </c>
      <c r="G13226" t="s">
        <v>1917</v>
      </c>
      <c r="H13226" t="s">
        <v>432</v>
      </c>
    </row>
    <row r="13227" spans="1:10" hidden="1" x14ac:dyDescent="0.25">
      <c r="A13227" t="s">
        <v>17459</v>
      </c>
      <c r="B13227" s="1" t="str">
        <f>HYPERLINK("https://asmlis.vasa.lt/Dashboard/Served?ServiceDateFrom=2025-11-24&amp;ServiceDateTo=2025-11-24&amp;DumpsterInvNr=13-P-213225", "13-P-213225")</f>
        <v>13-P-213225</v>
      </c>
      <c r="C13227">
        <v>1.1000000000000001</v>
      </c>
      <c r="D13227" t="s">
        <v>17460</v>
      </c>
      <c r="E13227" t="s">
        <v>11</v>
      </c>
      <c r="F13227" t="s">
        <v>13</v>
      </c>
      <c r="G13227" t="s">
        <v>234</v>
      </c>
      <c r="H13227" t="s">
        <v>14</v>
      </c>
    </row>
    <row r="13228" spans="1:10" hidden="1" x14ac:dyDescent="0.25">
      <c r="A13228" t="s">
        <v>17461</v>
      </c>
      <c r="B13228" s="1" t="str">
        <f>HYPERLINK("https://asmlis.vasa.lt/Dashboard/Served?ServiceDateFrom=2025-11-24&amp;ServiceDateTo=2025-11-24&amp;DumpsterInvNr=13-P-111110", "13-P-111110")</f>
        <v>13-P-111110</v>
      </c>
      <c r="C13228">
        <v>1.1000000000000001</v>
      </c>
      <c r="D13228" t="s">
        <v>17462</v>
      </c>
      <c r="E13228" t="s">
        <v>11</v>
      </c>
      <c r="G13228" t="s">
        <v>1917</v>
      </c>
      <c r="H13228" t="s">
        <v>432</v>
      </c>
    </row>
    <row r="13229" spans="1:10" hidden="1" x14ac:dyDescent="0.25">
      <c r="A13229" t="s">
        <v>17463</v>
      </c>
      <c r="B13229" s="1" t="str">
        <f>HYPERLINK("https://asmlis.vasa.lt/Dashboard/Served?ServiceDateFrom=2025-11-24&amp;ServiceDateTo=2025-11-24&amp;DumpsterInvNr=13-P-111107", "13-P-111107")</f>
        <v>13-P-111107</v>
      </c>
      <c r="C13229">
        <v>1.1000000000000001</v>
      </c>
      <c r="D13229" t="s">
        <v>17462</v>
      </c>
      <c r="E13229" t="s">
        <v>11</v>
      </c>
      <c r="G13229" t="s">
        <v>1917</v>
      </c>
      <c r="H13229" t="s">
        <v>432</v>
      </c>
    </row>
    <row r="13230" spans="1:10" hidden="1" x14ac:dyDescent="0.25">
      <c r="A13230" t="s">
        <v>17464</v>
      </c>
      <c r="B13230" s="1" t="str">
        <f>HYPERLINK("https://asmlis.vasa.lt/Dashboard/Served?ServiceDateFrom=2025-11-24&amp;ServiceDateTo=2025-11-24&amp;DumpsterInvNr=13-P-213162", "13-P-213162")</f>
        <v>13-P-213162</v>
      </c>
      <c r="C13230">
        <v>1.1000000000000001</v>
      </c>
      <c r="D13230" t="s">
        <v>17465</v>
      </c>
      <c r="E13230" t="s">
        <v>11</v>
      </c>
      <c r="F13230" t="s">
        <v>13</v>
      </c>
      <c r="G13230" t="s">
        <v>234</v>
      </c>
      <c r="H13230" t="s">
        <v>14</v>
      </c>
    </row>
    <row r="13231" spans="1:10" hidden="1" x14ac:dyDescent="0.25">
      <c r="A13231" t="s">
        <v>17466</v>
      </c>
      <c r="B13231" s="1" t="str">
        <f>HYPERLINK("https://asmlis.vasa.lt/Dashboard/Served?ServiceDateFrom=2025-11-24&amp;ServiceDateTo=2025-11-24&amp;DumpsterInvNr=13-P-213189", "13-P-213189")</f>
        <v>13-P-213189</v>
      </c>
      <c r="C13231">
        <v>1.1000000000000001</v>
      </c>
      <c r="D13231" t="s">
        <v>17467</v>
      </c>
      <c r="E13231" t="s">
        <v>11</v>
      </c>
      <c r="F13231" t="s">
        <v>13</v>
      </c>
      <c r="G13231" t="s">
        <v>234</v>
      </c>
      <c r="H13231" t="s">
        <v>14</v>
      </c>
    </row>
    <row r="13232" spans="1:10" hidden="1" x14ac:dyDescent="0.25">
      <c r="A13232" t="s">
        <v>17468</v>
      </c>
      <c r="B13232" s="1" t="str">
        <f>HYPERLINK("https://asmlis.vasa.lt/Dashboard/Served?ServiceDateFrom=2025-11-24&amp;ServiceDateTo=2025-11-24&amp;DumpsterInvNr=13-P-115243", "13-P-115243")</f>
        <v>13-P-115243</v>
      </c>
      <c r="C13232">
        <v>1.1000000000000001</v>
      </c>
      <c r="D13232" t="s">
        <v>17469</v>
      </c>
      <c r="E13232" t="s">
        <v>11</v>
      </c>
      <c r="G13232" t="s">
        <v>1917</v>
      </c>
      <c r="H13232" t="s">
        <v>432</v>
      </c>
    </row>
    <row r="13233" spans="1:10" hidden="1" x14ac:dyDescent="0.25">
      <c r="A13233" t="s">
        <v>17470</v>
      </c>
      <c r="B13233" s="1" t="str">
        <f>HYPERLINK("https://asmlis.vasa.lt/Dashboard/Served?ServiceDateFrom=2025-11-24&amp;ServiceDateTo=2025-11-24&amp;DumpsterInvNr=13-P-111111", "13-P-111111")</f>
        <v>13-P-111111</v>
      </c>
      <c r="C13233">
        <v>1.1000000000000001</v>
      </c>
      <c r="D13233" t="s">
        <v>17471</v>
      </c>
      <c r="E13233" t="s">
        <v>11</v>
      </c>
      <c r="G13233" t="s">
        <v>1917</v>
      </c>
      <c r="H13233" t="s">
        <v>432</v>
      </c>
    </row>
    <row r="13234" spans="1:10" hidden="1" x14ac:dyDescent="0.25">
      <c r="A13234" t="s">
        <v>17472</v>
      </c>
      <c r="B13234" s="1" t="str">
        <f>HYPERLINK("https://asmlis.vasa.lt/Dashboard/Served?ServiceDateFrom=2025-11-24&amp;ServiceDateTo=2025-11-24&amp;DumpsterInvNr=13-P-116465", "13-P-116465")</f>
        <v>13-P-116465</v>
      </c>
      <c r="C13234">
        <v>1.1000000000000001</v>
      </c>
      <c r="D13234" t="s">
        <v>15052</v>
      </c>
      <c r="E13234" t="s">
        <v>11</v>
      </c>
      <c r="G13234" t="s">
        <v>1917</v>
      </c>
      <c r="H13234" t="s">
        <v>432</v>
      </c>
    </row>
    <row r="13235" spans="1:10" hidden="1" x14ac:dyDescent="0.25">
      <c r="A13235" t="s">
        <v>17473</v>
      </c>
      <c r="B13235" s="1" t="str">
        <f>HYPERLINK("https://asmlis.vasa.lt/Dashboard/Served?ServiceDateFrom=2025-11-24&amp;ServiceDateTo=2025-11-24&amp;DumpsterInvNr=13-P-209526", "13-P-209526")</f>
        <v>13-P-209526</v>
      </c>
      <c r="C13235">
        <v>1.1000000000000001</v>
      </c>
      <c r="D13235" t="s">
        <v>17474</v>
      </c>
      <c r="E13235" t="s">
        <v>11</v>
      </c>
      <c r="F13235" t="s">
        <v>871</v>
      </c>
      <c r="G13235" t="s">
        <v>234</v>
      </c>
      <c r="H13235" t="s">
        <v>14</v>
      </c>
      <c r="J13235" t="s">
        <v>17512</v>
      </c>
    </row>
    <row r="13236" spans="1:10" hidden="1" x14ac:dyDescent="0.25">
      <c r="A13236" t="s">
        <v>17475</v>
      </c>
      <c r="B13236" s="1" t="str">
        <f>HYPERLINK("https://asmlis.vasa.lt/Dashboard/Served?ServiceDateFrom=2025-11-24&amp;ServiceDateTo=2025-11-24&amp;DumpsterInvNr=13-P-111064", "13-P-111064")</f>
        <v>13-P-111064</v>
      </c>
      <c r="C13236">
        <v>1.1000000000000001</v>
      </c>
      <c r="D13236" t="s">
        <v>15453</v>
      </c>
      <c r="E13236" t="s">
        <v>11</v>
      </c>
      <c r="G13236" t="s">
        <v>1917</v>
      </c>
      <c r="H13236" t="s">
        <v>432</v>
      </c>
    </row>
    <row r="13237" spans="1:10" x14ac:dyDescent="0.25">
      <c r="A13237" t="s">
        <v>17476</v>
      </c>
      <c r="B13237" s="1" t="str">
        <f>HYPERLINK("https://asmlis.vasa.lt/Dashboard/Served?ServiceDateFrom=2025-11-24&amp;ServiceDateTo=2025-11-24&amp;DumpsterInvNr=13-P-111167", "13-P-111167")</f>
        <v>13-P-111167</v>
      </c>
      <c r="C13237">
        <v>1.1000000000000001</v>
      </c>
      <c r="D13237" t="s">
        <v>17477</v>
      </c>
      <c r="E13237" t="s">
        <v>11</v>
      </c>
      <c r="F13237" t="s">
        <v>2491</v>
      </c>
      <c r="G13237" t="s">
        <v>1917</v>
      </c>
      <c r="H13237" t="s">
        <v>432</v>
      </c>
      <c r="J13237" t="s">
        <v>17511</v>
      </c>
    </row>
    <row r="13238" spans="1:10" hidden="1" x14ac:dyDescent="0.25">
      <c r="A13238" t="s">
        <v>17478</v>
      </c>
      <c r="B13238" s="1" t="str">
        <f>HYPERLINK("https://asmlis.vasa.lt/Dashboard/Served?ServiceDateFrom=2025-11-24&amp;ServiceDateTo=2025-11-24&amp;DumpsterInvNr=13-P-101725", "13-P-101725")</f>
        <v>13-P-101725</v>
      </c>
      <c r="C13238">
        <v>1.1000000000000001</v>
      </c>
      <c r="D13238" t="s">
        <v>17479</v>
      </c>
      <c r="E13238" t="s">
        <v>11</v>
      </c>
      <c r="F13238" t="s">
        <v>10965</v>
      </c>
      <c r="G13238" t="s">
        <v>1917</v>
      </c>
      <c r="H13238" t="s">
        <v>432</v>
      </c>
      <c r="J13238" t="s">
        <v>17512</v>
      </c>
    </row>
    <row r="13239" spans="1:10" hidden="1" x14ac:dyDescent="0.25">
      <c r="A13239" t="s">
        <v>17480</v>
      </c>
      <c r="B13239" s="1" t="str">
        <f>HYPERLINK("https://asmlis.vasa.lt/Dashboard/Served?ServiceDateFrom=2025-11-24&amp;ServiceDateTo=2025-11-24&amp;DumpsterInvNr=13-P-212346", "13-P-212346")</f>
        <v>13-P-212346</v>
      </c>
      <c r="C13239">
        <v>1.1000000000000001</v>
      </c>
      <c r="D13239" t="s">
        <v>17481</v>
      </c>
      <c r="E13239" t="s">
        <v>11</v>
      </c>
      <c r="F13239" t="s">
        <v>871</v>
      </c>
      <c r="G13239" t="s">
        <v>234</v>
      </c>
      <c r="H13239" t="s">
        <v>14</v>
      </c>
      <c r="J13239" t="s">
        <v>17512</v>
      </c>
    </row>
    <row r="13240" spans="1:10" hidden="1" x14ac:dyDescent="0.25">
      <c r="A13240" t="s">
        <v>17482</v>
      </c>
      <c r="B13240" s="1" t="str">
        <f>HYPERLINK("https://asmlis.vasa.lt/Dashboard/Served?ServiceDateFrom=2025-11-24&amp;ServiceDateTo=2025-11-24&amp;DumpsterInvNr=13-P-116008", "13-P-116008")</f>
        <v>13-P-116008</v>
      </c>
      <c r="C13240">
        <v>1.1000000000000001</v>
      </c>
      <c r="D13240" t="s">
        <v>17483</v>
      </c>
      <c r="E13240" t="s">
        <v>11</v>
      </c>
      <c r="G13240" t="s">
        <v>1917</v>
      </c>
      <c r="H13240" t="s">
        <v>432</v>
      </c>
    </row>
    <row r="13241" spans="1:10" hidden="1" x14ac:dyDescent="0.25">
      <c r="A13241" t="s">
        <v>17484</v>
      </c>
      <c r="B13241" s="1" t="str">
        <f>HYPERLINK("https://asmlis.vasa.lt/Dashboard/Served?ServiceDateFrom=2025-11-24&amp;ServiceDateTo=2025-11-24&amp;DumpsterInvNr=13-P-116007", "13-P-116007")</f>
        <v>13-P-116007</v>
      </c>
      <c r="C13241">
        <v>1.1000000000000001</v>
      </c>
      <c r="D13241" t="s">
        <v>17483</v>
      </c>
      <c r="E13241" t="s">
        <v>11</v>
      </c>
      <c r="G13241" t="s">
        <v>1917</v>
      </c>
      <c r="H13241" t="s">
        <v>432</v>
      </c>
    </row>
    <row r="13242" spans="1:10" hidden="1" x14ac:dyDescent="0.25">
      <c r="A13242" t="s">
        <v>17485</v>
      </c>
      <c r="B13242" s="1" t="str">
        <f>HYPERLINK("https://asmlis.vasa.lt/Dashboard/Served?ServiceDateFrom=2025-11-24&amp;ServiceDateTo=2025-11-24&amp;DumpsterInvNr=13-P-116003", "13-P-116003")</f>
        <v>13-P-116003</v>
      </c>
      <c r="C13242">
        <v>1.1000000000000001</v>
      </c>
      <c r="D13242" t="s">
        <v>17483</v>
      </c>
      <c r="E13242" t="s">
        <v>11</v>
      </c>
      <c r="G13242" t="s">
        <v>1917</v>
      </c>
      <c r="H13242" t="s">
        <v>432</v>
      </c>
    </row>
    <row r="13243" spans="1:10" hidden="1" x14ac:dyDescent="0.25">
      <c r="A13243" t="s">
        <v>17486</v>
      </c>
      <c r="B13243" s="1" t="str">
        <f>HYPERLINK("https://asmlis.vasa.lt/Dashboard/Served?ServiceDateFrom=2025-11-24&amp;ServiceDateTo=2025-11-24&amp;DumpsterInvNr=13-P-116006", "13-P-116006")</f>
        <v>13-P-116006</v>
      </c>
      <c r="C13243">
        <v>1.1000000000000001</v>
      </c>
      <c r="D13243" t="s">
        <v>17483</v>
      </c>
      <c r="E13243" t="s">
        <v>11</v>
      </c>
      <c r="G13243" t="s">
        <v>1917</v>
      </c>
      <c r="H13243" t="s">
        <v>432</v>
      </c>
    </row>
    <row r="13244" spans="1:10" hidden="1" x14ac:dyDescent="0.25">
      <c r="A13244" t="s">
        <v>17487</v>
      </c>
      <c r="B13244" s="1" t="str">
        <f>HYPERLINK("https://asmlis.vasa.lt/Dashboard/Served?ServiceDateFrom=2025-11-24&amp;ServiceDateTo=2025-11-24&amp;DumpsterInvNr=13-P-115495", "13-P-115495")</f>
        <v>13-P-115495</v>
      </c>
      <c r="C13244">
        <v>0.24</v>
      </c>
      <c r="D13244" t="s">
        <v>17488</v>
      </c>
      <c r="E13244" t="s">
        <v>11</v>
      </c>
      <c r="G13244" t="s">
        <v>1917</v>
      </c>
      <c r="H13244" t="s">
        <v>432</v>
      </c>
    </row>
    <row r="13245" spans="1:10" x14ac:dyDescent="0.25">
      <c r="A13245" t="s">
        <v>17489</v>
      </c>
      <c r="B13245" s="1" t="str">
        <f>HYPERLINK("https://asmlis.vasa.lt/Dashboard/Served?ServiceDateFrom=2025-11-24&amp;ServiceDateTo=2025-11-24&amp;DumpsterInvNr=13-P-115376", "13-P-115376")</f>
        <v>13-P-115376</v>
      </c>
      <c r="C13245">
        <v>1.1000000000000001</v>
      </c>
      <c r="D13245" t="s">
        <v>17490</v>
      </c>
      <c r="E13245" t="s">
        <v>11</v>
      </c>
      <c r="F13245" t="s">
        <v>2491</v>
      </c>
      <c r="G13245" t="s">
        <v>1917</v>
      </c>
      <c r="H13245" t="s">
        <v>432</v>
      </c>
      <c r="J13245" t="s">
        <v>17511</v>
      </c>
    </row>
    <row r="13246" spans="1:10" hidden="1" x14ac:dyDescent="0.25">
      <c r="A13246" t="s">
        <v>17491</v>
      </c>
      <c r="B13246" s="1" t="str">
        <f>HYPERLINK("https://asmlis.vasa.lt/Dashboard/Served?ServiceDateFrom=2025-11-24&amp;ServiceDateTo=2025-11-24&amp;DumpsterInvNr=13-P-115175", "13-P-115175")</f>
        <v>13-P-115175</v>
      </c>
      <c r="C13246">
        <v>1.1000000000000001</v>
      </c>
      <c r="D13246" t="s">
        <v>17492</v>
      </c>
      <c r="E13246" t="s">
        <v>11</v>
      </c>
      <c r="G13246" t="s">
        <v>1917</v>
      </c>
      <c r="H13246" t="s">
        <v>432</v>
      </c>
    </row>
    <row r="13247" spans="1:10" hidden="1" x14ac:dyDescent="0.25">
      <c r="A13247" t="s">
        <v>17493</v>
      </c>
      <c r="B13247" s="1" t="str">
        <f>HYPERLINK("https://asmlis.vasa.lt/Dashboard/Served?ServiceDateFrom=2025-11-24&amp;ServiceDateTo=2025-11-24&amp;DumpsterInvNr=13-P-111117", "13-P-111117")</f>
        <v>13-P-111117</v>
      </c>
      <c r="C13247">
        <v>1.1000000000000001</v>
      </c>
      <c r="D13247" t="s">
        <v>17494</v>
      </c>
      <c r="E13247" t="s">
        <v>11</v>
      </c>
      <c r="G13247" t="s">
        <v>1917</v>
      </c>
      <c r="H13247" t="s">
        <v>432</v>
      </c>
    </row>
    <row r="13248" spans="1:10" hidden="1" x14ac:dyDescent="0.25">
      <c r="A13248" t="s">
        <v>17495</v>
      </c>
      <c r="B13248" s="1" t="str">
        <f>HYPERLINK("https://asmlis.vasa.lt/Dashboard/Served?ServiceDateFrom=2025-11-24&amp;ServiceDateTo=2025-11-24&amp;DumpsterInvNr=13-P-101250", "13-P-101250")</f>
        <v>13-P-101250</v>
      </c>
      <c r="C13248">
        <v>1.1000000000000001</v>
      </c>
      <c r="D13248" t="s">
        <v>17496</v>
      </c>
      <c r="E13248" t="s">
        <v>11</v>
      </c>
      <c r="G13248" t="s">
        <v>1917</v>
      </c>
      <c r="H13248" t="s">
        <v>432</v>
      </c>
    </row>
    <row r="13249" spans="1:10" hidden="1" x14ac:dyDescent="0.25">
      <c r="A13249" t="s">
        <v>17497</v>
      </c>
      <c r="B13249" s="1" t="str">
        <f>HYPERLINK("https://asmlis.vasa.lt/Dashboard/Served?ServiceDateFrom=2025-11-24&amp;ServiceDateTo=2025-11-24&amp;DumpsterInvNr=13-P-116345", "13-P-116345")</f>
        <v>13-P-116345</v>
      </c>
      <c r="C13249">
        <v>1.1000000000000001</v>
      </c>
      <c r="D13249" t="s">
        <v>17498</v>
      </c>
      <c r="E13249" t="s">
        <v>11</v>
      </c>
      <c r="G13249" t="s">
        <v>1917</v>
      </c>
      <c r="H13249" t="s">
        <v>432</v>
      </c>
    </row>
    <row r="13250" spans="1:10" hidden="1" x14ac:dyDescent="0.25">
      <c r="A13250" t="s">
        <v>17499</v>
      </c>
      <c r="B13250" s="1" t="str">
        <f>HYPERLINK("https://asmlis.vasa.lt/Dashboard/Served?ServiceDateFrom=2025-11-24&amp;ServiceDateTo=2025-11-24&amp;DumpsterInvNr=13-P-115397", "13-P-115397")</f>
        <v>13-P-115397</v>
      </c>
      <c r="C13250">
        <v>1.1000000000000001</v>
      </c>
      <c r="D13250" t="s">
        <v>17500</v>
      </c>
      <c r="E13250" t="s">
        <v>11</v>
      </c>
      <c r="G13250" t="s">
        <v>1917</v>
      </c>
      <c r="H13250" t="s">
        <v>432</v>
      </c>
    </row>
    <row r="13251" spans="1:10" x14ac:dyDescent="0.25">
      <c r="A13251" t="s">
        <v>17501</v>
      </c>
      <c r="B13251" s="1" t="str">
        <f>HYPERLINK("https://asmlis.vasa.lt/Dashboard/Served?ServiceDateFrom=2025-11-24&amp;ServiceDateTo=2025-11-24&amp;DumpsterInvNr=13-P-101049", "13-P-101049")</f>
        <v>13-P-101049</v>
      </c>
      <c r="C13251">
        <v>1.1000000000000001</v>
      </c>
      <c r="D13251" t="s">
        <v>17502</v>
      </c>
      <c r="E13251" t="s">
        <v>11</v>
      </c>
      <c r="F13251" t="s">
        <v>2491</v>
      </c>
      <c r="G13251" t="s">
        <v>1917</v>
      </c>
      <c r="H13251" t="s">
        <v>432</v>
      </c>
      <c r="J13251" t="s">
        <v>17511</v>
      </c>
    </row>
    <row r="13252" spans="1:10" x14ac:dyDescent="0.25">
      <c r="A13252" t="s">
        <v>17503</v>
      </c>
      <c r="B13252" s="1" t="str">
        <f>HYPERLINK("https://asmlis.vasa.lt/Dashboard/Served?ServiceDateFrom=2025-11-24&amp;ServiceDateTo=2025-11-24&amp;DumpsterInvNr=13-P-111162", "13-P-111162")</f>
        <v>13-P-111162</v>
      </c>
      <c r="C13252">
        <v>1.1000000000000001</v>
      </c>
      <c r="D13252" t="s">
        <v>17504</v>
      </c>
      <c r="E13252" t="s">
        <v>11</v>
      </c>
      <c r="F13252" t="s">
        <v>2491</v>
      </c>
      <c r="G13252" t="s">
        <v>1917</v>
      </c>
      <c r="H13252" t="s">
        <v>432</v>
      </c>
      <c r="J13252" t="s">
        <v>17511</v>
      </c>
    </row>
    <row r="13253" spans="1:10" x14ac:dyDescent="0.25">
      <c r="A13253" t="s">
        <v>17505</v>
      </c>
      <c r="B13253" s="1" t="str">
        <f>HYPERLINK("https://asmlis.vasa.lt/Dashboard/Served?ServiceDateFrom=2025-11-24&amp;ServiceDateTo=2025-11-24&amp;DumpsterInvNr=13-P-111164", "13-P-111164")</f>
        <v>13-P-111164</v>
      </c>
      <c r="C13253">
        <v>1.1000000000000001</v>
      </c>
      <c r="D13253" t="s">
        <v>17504</v>
      </c>
      <c r="E13253" t="s">
        <v>11</v>
      </c>
      <c r="F13253" t="s">
        <v>2491</v>
      </c>
      <c r="G13253" t="s">
        <v>1917</v>
      </c>
      <c r="H13253" t="s">
        <v>432</v>
      </c>
      <c r="J13253" t="s">
        <v>17511</v>
      </c>
    </row>
    <row r="13254" spans="1:10" hidden="1" x14ac:dyDescent="0.25">
      <c r="A13254" t="s">
        <v>17506</v>
      </c>
      <c r="B13254" s="1" t="str">
        <f>HYPERLINK("https://asmlis.vasa.lt/Dashboard/Served?ServiceDateFrom=2025-11-24&amp;ServiceDateTo=2025-11-24&amp;DumpsterInvNr=13-P-115666", "13-P-115666")</f>
        <v>13-P-115666</v>
      </c>
      <c r="C13254">
        <v>0.77</v>
      </c>
      <c r="D13254" t="s">
        <v>17507</v>
      </c>
      <c r="E13254" t="s">
        <v>11</v>
      </c>
      <c r="F13254" t="s">
        <v>13</v>
      </c>
      <c r="G13254" t="s">
        <v>1917</v>
      </c>
      <c r="H13254" t="s">
        <v>432</v>
      </c>
    </row>
    <row r="13255" spans="1:10" hidden="1" x14ac:dyDescent="0.25">
      <c r="A13255" t="s">
        <v>17508</v>
      </c>
      <c r="B13255" s="1" t="str">
        <f>HYPERLINK("https://asmlis.vasa.lt/Dashboard/Served?ServiceDateFrom=2025-11-24&amp;ServiceDateTo=2025-11-24&amp;DumpsterInvNr=13-P-111115", "13-P-111115")</f>
        <v>13-P-111115</v>
      </c>
      <c r="C13255">
        <v>1.1000000000000001</v>
      </c>
      <c r="D13255" t="s">
        <v>4684</v>
      </c>
      <c r="E13255" t="s">
        <v>11</v>
      </c>
      <c r="F13255" t="s">
        <v>13</v>
      </c>
      <c r="G13255" t="s">
        <v>1917</v>
      </c>
      <c r="H13255" t="s">
        <v>432</v>
      </c>
    </row>
  </sheetData>
  <autoFilter ref="A1:J13255" xr:uid="{00000000-0001-0000-0000-000000000000}">
    <filterColumn colId="5">
      <filters>
        <filter val="Nepravažiuojamas kelias"/>
        <filter val="Nepravažiuojamas kelias_x000a_"/>
        <filter val="Nepravažiuojamas keliasNukopijuota į maršrutą nr. 300255 vartotojo Valytė Dremeikienė."/>
        <filter val="Nepravažiuojamas keliasNukopijuota į maršrutą nr. 300266 vartotojo Valytė Dremeikienė."/>
        <filter val="Nepravažiuojamas keliasNukopijuota į maršrutą nr. 300306 vartotojo Valytė Dremeikienė."/>
        <filter val="Nepravažiuojamas keliasNukopijuota į maršrutą nr. 300597 vartotojo Valytė Dremeikienė."/>
        <filter val="Nepravažiuojamas keliasNukopijuota į maršrutą nr. 304724 vartotojo Valytė Dremeikienė."/>
        <filter val="Nepravažiuojamas keliasNukopijuota į maršrutą nr. 304786 vartotojo Valytė Dremeikienė."/>
      </filters>
    </filterColumn>
    <filterColumn colId="9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Stasiukevič</cp:lastModifiedBy>
  <dcterms:modified xsi:type="dcterms:W3CDTF">2025-11-25T08:47:46Z</dcterms:modified>
</cp:coreProperties>
</file>